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99" firstSheet="3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광고비" sheetId="3" state="visible" r:id="rId3"/>
    <sheet xmlns:r="http://schemas.openxmlformats.org/officeDocument/2006/relationships" name="RD" sheetId="4" state="visible" r:id="rId4"/>
    <sheet xmlns:r="http://schemas.openxmlformats.org/officeDocument/2006/relationships" name="제품별 매출" sheetId="5" state="visible" r:id="rId5"/>
    <sheet xmlns:r="http://schemas.openxmlformats.org/officeDocument/2006/relationships" name="피벗" sheetId="6" state="visible" r:id="rId6"/>
    <sheet xmlns:r="http://schemas.openxmlformats.org/officeDocument/2006/relationships" name="매칭테이블" sheetId="7" state="visible" r:id="rId7"/>
  </sheets>
  <externalReferences>
    <externalReference xmlns:r="http://schemas.openxmlformats.org/officeDocument/2006/relationships" r:id="rId9"/>
  </externalReferences>
  <definedNames>
    <definedName name="_xlnm._FilterDatabase" localSheetId="3" hidden="1">'RD'!$B$1:$O$38</definedName>
    <definedName name="_xlnm._FilterDatabase" localSheetId="6" hidden="1">'매칭테이블'!$B$1:$J$92</definedName>
  </definedNames>
  <calcPr calcId="191029" fullCalcOnLoad="1"/>
  <pivotCaches>
    <pivotCache xmlns:r="http://schemas.openxmlformats.org/officeDocument/2006/relationships" cacheId="0" r:id="rId8"/>
  </pivotCaches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yyyy-mm-dd"/>
  </numFmts>
  <fonts count="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theme="0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1" xfId="0">
      <alignment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64" fontId="1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5" fontId="0" fillId="0" borderId="0" pivotButton="0" quotePrefix="0" xfId="0"/>
  </cellXfs>
  <cellStyles count="2">
    <cellStyle name="표준" xfId="0" builtinId="0"/>
    <cellStyle name="쉼표 [0]" xfId="1" builtinId="6"/>
  </cellStyles>
  <dxfs count="2">
    <dxf>
      <numFmt numFmtId="13" formatCode="0%"/>
    </dxf>
    <dxf>
      <font>
        <name val="맑은 고딕"/>
        <charset val="129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3" formatCode="_-* #,##0_-;\-* #,##0_-;_-* &quot;-&quot;_-;_-@_-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personal\yj_chung_thefounders1_onmicrosoft_com\Documents\&#48148;&#53461;%20&#54868;&#47732;\01.&#46972;&#48288;&#45208;_&#51060;&#51648;&#50612;&#46300;&#48124;_&#45936;&#51060;&#53552;%20&#51221;&#47532;_2020%20&#9733;%20-%20&#54868;&#50980;%20&#51076;&#49884;&#51089;&#5062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D (2)"/>
      <sheetName val="Sheet1"/>
      <sheetName val="광고비"/>
      <sheetName val="제품별 매출"/>
      <sheetName val="RD"/>
      <sheetName val="매칭테이블"/>
      <sheetName val="피벗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상품2</v>
          </cell>
          <cell r="E1" t="str">
            <v>상품 상세</v>
          </cell>
        </row>
        <row r="2">
          <cell r="D2" t="str">
            <v>리바이탈 샴푸</v>
          </cell>
          <cell r="E2" t="str">
            <v>리바이탈 샴푸</v>
          </cell>
        </row>
        <row r="3">
          <cell r="D3" t="str">
            <v>리바이탈 샴푸 2set</v>
          </cell>
          <cell r="E3" t="str">
            <v>리바이탈 샴푸</v>
          </cell>
        </row>
        <row r="4">
          <cell r="D4" t="str">
            <v>리바이탈 샴푸 3set</v>
          </cell>
          <cell r="E4" t="str">
            <v>리바이탈 샴푸</v>
          </cell>
        </row>
        <row r="5">
          <cell r="D5" t="str">
            <v>리바이탈 샴푸</v>
          </cell>
          <cell r="E5" t="str">
            <v>리바이탈 샴푸</v>
          </cell>
        </row>
        <row r="6">
          <cell r="D6" t="str">
            <v>리바이탈 샴푸 2set</v>
          </cell>
          <cell r="E6" t="str">
            <v>리바이탈 샴푸</v>
          </cell>
        </row>
        <row r="7">
          <cell r="D7" t="str">
            <v>리바이탈 샴푸 3set</v>
          </cell>
          <cell r="E7" t="str">
            <v>리바이탈 샴푸</v>
          </cell>
        </row>
        <row r="8">
          <cell r="D8" t="str">
            <v>HAIR RÉ:COVERY 15 Revital Shampoo [라베나 리커버리 15 리바이탈 샴푸]제품선택=리바이탈 샴푸 2개 세트 5%추가할인</v>
          </cell>
          <cell r="E8" t="str">
            <v>리바이탈 샴푸</v>
          </cell>
        </row>
        <row r="9">
          <cell r="D9" t="str">
            <v>헤어 리커버리 15 뉴트리셔스 밤</v>
          </cell>
          <cell r="E9" t="str">
            <v>뉴트리셔스밤</v>
          </cell>
        </row>
        <row r="10">
          <cell r="D10" t="str">
            <v>헤어 리커버리 15 헤어팩 트리트먼트</v>
          </cell>
          <cell r="E10" t="str">
            <v>트리트먼트</v>
          </cell>
        </row>
        <row r="11">
          <cell r="D11" t="str">
            <v>HAIR RÉ:COVERY 15 Revital Shampoo [라베나 리커버리 15 리바이탈 샴푸]제품선택=헤어 리커버리 15 리바이탈 샴푸 - 500ml</v>
          </cell>
          <cell r="E11" t="str">
            <v>리바이탈 샴푸</v>
          </cell>
        </row>
        <row r="12">
          <cell r="D12" t="str">
            <v>(플친전용)HAIR RÉ:COVERY 15 Hairpack Treatment [헤어 리커버리 15 헤어팩 트리트먼트]제품선택=헤어 리커버리 15 헤어팩 트리트먼트</v>
          </cell>
          <cell r="E12" t="str">
            <v>트리트먼트</v>
          </cell>
        </row>
        <row r="13">
          <cell r="D13" t="str">
            <v>(플친전용)HAIR RÉ:COVERY 15 Hairpack Treatment [헤어 리커버리 15 헤어팩 트리트먼트]제품선택=헤어팩 트리트먼트 1개 + 뉴트리셔스 밤 1개 세트</v>
          </cell>
          <cell r="E13" t="str">
            <v>트리트먼트+뉴트리셔스밤</v>
          </cell>
        </row>
        <row r="14">
          <cell r="D14" t="str">
            <v>(플친전용)HAIR RÉ:COVERY 15 Hairpack Treatment [헤어 리커버리 15 헤어팩 트리트먼트]제품선택=헤어팩 트리트먼트 2개 세트</v>
          </cell>
          <cell r="E14" t="str">
            <v>트리트먼트 2set</v>
          </cell>
        </row>
        <row r="15">
          <cell r="D15" t="str">
            <v>(플친전용)HAIR RÉ:COVERY 15 Hairpack Treatment [헤어 리커버리 15 헤어팩 트리트먼트]제품선택=헤어팩 트리트먼트 3개 세트</v>
          </cell>
          <cell r="E15" t="str">
            <v>트리트먼트 3set</v>
          </cell>
        </row>
        <row r="16">
          <cell r="D16" t="str">
            <v>(플친전용)HAIR RÉ:COVERY 15 Nutritious Balm [헤어 리커버리 15 뉴트리셔스 밤]제품선택=헤어 리커버리 15 뉴트리셔스 밤</v>
          </cell>
          <cell r="E16" t="str">
            <v>뉴트리셔스밤</v>
          </cell>
        </row>
        <row r="17">
          <cell r="D17" t="str">
            <v>(플친전용)HAIR RÉ:COVERY 15 Nutritious Balm [헤어 리커버리 15 뉴트리셔스 밤]제품선택=뉴트리셔스 밤 2개 세트</v>
          </cell>
          <cell r="E17" t="str">
            <v>뉴트리셔스밤 2set</v>
          </cell>
        </row>
        <row r="18">
          <cell r="D18" t="str">
            <v>(플친전용)HAIR RÉ:COVERY 15 Nutritious Balm [헤어 리커버리 15 뉴트리셔스 밤]제품선택=뉴트리셔스 밤 3개 세트</v>
          </cell>
          <cell r="E18" t="str">
            <v>뉴트리셔스밤 3set</v>
          </cell>
        </row>
        <row r="19">
          <cell r="D19" t="str">
            <v>(플친전용)HAIR RÉ:COVERY 15 Nutritious Balm [헤어 리커버리 15 뉴트리셔스 밤]제품선택=뉴트리셔스밤 1개 + 헤어팩 트리트먼트 1개 세트</v>
          </cell>
          <cell r="E19" t="str">
            <v>트리트먼트+뉴트리셔스밤</v>
          </cell>
        </row>
        <row r="20">
          <cell r="D20" t="str">
            <v>HAIR RÉ:COVERY 15 Hairpack Treatment [헤어 리커버리 15 헤어팩 트리트먼트]제품선택=헤어 리커버리 15 헤어팩 트리트먼트</v>
          </cell>
          <cell r="E20" t="str">
            <v>트리트먼트</v>
          </cell>
        </row>
        <row r="21">
          <cell r="D21" t="str">
            <v>HAIR RÉ:COVERY 15 Hairpack Treatment [헤어 리커버리 15 헤어팩 트리트먼트]제품선택=헤어팩 트리트먼트 1개 + 뉴트리셔스밤 1개 세트 5% 추가할인</v>
          </cell>
          <cell r="E21" t="str">
            <v>트리트먼트+뉴트리셔스밤</v>
          </cell>
        </row>
        <row r="22">
          <cell r="D22" t="str">
            <v>HAIR RÉ:COVERY 15 Hairpack Treatment [헤어 리커버리 15 헤어팩 트리트먼트]제품선택=헤어팩 트리트먼트 2개 세트 5% 추가할인</v>
          </cell>
          <cell r="E22" t="str">
            <v>트리트먼트 2set</v>
          </cell>
        </row>
        <row r="23">
          <cell r="D23" t="str">
            <v>HAIR RÉ:COVERY 15 Hairpack Treatment [헤어 리커버리 15 헤어팩 트리트먼트]제품선택=헤어팩 트리트먼트 3개 세트 10% 추가할인</v>
          </cell>
          <cell r="E23" t="str">
            <v>트리트먼트 3set</v>
          </cell>
        </row>
        <row r="24">
          <cell r="D24" t="str">
            <v>HAIR RÉ:COVERY 15 Nutritious Balm [헤어 리커버리 15 뉴트리셔스 밤]제품선택=헤어 리커버리 15 뉴트리셔스 밤</v>
          </cell>
          <cell r="E24" t="str">
            <v>뉴트리셔스밤</v>
          </cell>
        </row>
        <row r="25">
          <cell r="D25" t="str">
            <v>HAIR RÉ:COVERY 15 Nutritious Balm [헤어 리커버리 15 뉴트리셔스 밤]제품선택=뉴트리셔스 밤 2개 세트 5% 추가할인</v>
          </cell>
          <cell r="E25" t="str">
            <v>뉴트리셔스밤 2set</v>
          </cell>
        </row>
        <row r="26">
          <cell r="D26" t="str">
            <v>HAIR RÉ:COVERY 15 Nutritious Balm [헤어 리커버리 15 뉴트리셔스 밤]제품선택=뉴트리셔스 밤 3개 세트 10% 추가할인</v>
          </cell>
          <cell r="E26" t="str">
            <v>뉴트리셔스밤 3set</v>
          </cell>
        </row>
        <row r="27">
          <cell r="D27" t="str">
            <v>LAVENA HAIR RÉ:COVERY 15 Nutritious Balm [헤어 리커버리 15 뉴트리셔스 밤]제품선택=헤어 리커버리 15 뉴트리셔스 밤</v>
          </cell>
          <cell r="E27" t="str">
            <v>뉴트리셔스밤</v>
          </cell>
        </row>
        <row r="28">
          <cell r="D28" t="str">
            <v>HAIR RÉ:COVERY 15 Revital Shampoo [라베나 리커버리 15 리바이탈 샴푸]제품선택=헤어 리커버리 15 리바이탈 샴푸 - 500ml</v>
          </cell>
          <cell r="E28" t="str">
            <v>리바이탈 샴푸</v>
          </cell>
        </row>
        <row r="29">
          <cell r="D29" t="str">
            <v>HAIR RÉ:COVERY 15 Revital Shampoo [라베나 리커버리 15 리바이탈 샴푸]제품선택=리바이탈 샴푸 2개 세트 5%추가할인</v>
          </cell>
          <cell r="E29" t="str">
            <v>리바이탈 샴푸 2set</v>
          </cell>
        </row>
        <row r="30">
          <cell r="D30" t="str">
            <v>HAIR RÉ:COVERY 15 Revital Shampoo [라베나 리커버리 15 리바이탈 샴푸]제품선택=리바이탈 샴푸 3개 세트 10% 추가할인</v>
          </cell>
          <cell r="E30" t="str">
            <v>리바이탈 샴푸 3set</v>
          </cell>
        </row>
        <row r="31">
          <cell r="D31" t="str">
            <v>HAIR RÉ:COVERY 15 Nutritious Balm [헤어 리커버리 15 뉴트리셔스 밤]제품선택=뉴트리셔스밤 1개 + 헤어팩 트리트먼트 1개 세트 5%추가할인</v>
          </cell>
          <cell r="E31" t="str">
            <v>트리트먼트+뉴트리셔스밤</v>
          </cell>
        </row>
        <row r="32">
          <cell r="D32" t="str">
            <v>HAIR RÉ:COVERY 15 Hairpack Treatment [라베나 리커버리 15 헤어팩 트리트먼트]제품선택=헤어 리커버리 15 헤어팩 트리트먼트</v>
          </cell>
          <cell r="E32" t="str">
            <v>트리트먼트</v>
          </cell>
        </row>
        <row r="33">
          <cell r="D33" t="str">
            <v>HAIR RÉ:COVERY 15 Hairpack Treatment [라베나 리커버리 15 헤어팩 트리트먼트]제품선택=헤어팩 트리트먼트 2개 세트 5% 추가할인</v>
          </cell>
          <cell r="E33" t="str">
            <v>트리트먼트 2set</v>
          </cell>
        </row>
        <row r="34">
          <cell r="D34" t="str">
            <v>HAIR RÉ:COVERY 15 Hairpack Treatment [라베나 리커버리 15 헤어팩 트리트먼트]제품선택=헤어팩 트리트먼트 1개 + 뉴트리셔스밤 1개 세트 5% 추가할인</v>
          </cell>
          <cell r="E34" t="str">
            <v>트리트먼트+뉴트리셔스밤</v>
          </cell>
        </row>
        <row r="35">
          <cell r="D35" t="str">
            <v>HAIR RÉ:COVERY 15 Nutritious Balm [라베나 리커버리 15 뉴트리셔스 밤]제품선택=헤어 리커버리 15 뉴트리셔스 밤</v>
          </cell>
          <cell r="E35" t="str">
            <v>뉴트리셔스밤</v>
          </cell>
        </row>
        <row r="36">
          <cell r="D36" t="str">
            <v>HAIR RÉ:COVERY 15 Nutritious Balm [라베나 리커버리 15 뉴트리셔스 밤]제품선택=뉴트리셔스 밤 3개 세트 10% 추가할인</v>
          </cell>
          <cell r="E36" t="str">
            <v>뉴트리셔스밤 3set</v>
          </cell>
        </row>
        <row r="37">
          <cell r="D37" t="str">
            <v>HAIR RÉ:COVERY 15 Hairpack Treatment [라베나 리커버리 15 헤어팩 트리트먼트]제품선택=헤어팩 트리트먼트 3개 세트 10% 추가할인</v>
          </cell>
          <cell r="E37" t="str">
            <v>트리트먼트 3set</v>
          </cell>
        </row>
        <row r="38">
          <cell r="D38" t="str">
            <v>HAIR RÉ:COVERY 15 Nutritious Balm [라베나 리커버리 15 뉴트리셔스 밤]제품선택=뉴트리셔스 밤 2개 세트 5% 추가할인</v>
          </cell>
          <cell r="E38" t="str">
            <v>뉴트리셔스밤 2set</v>
          </cell>
        </row>
        <row r="39">
          <cell r="D39" t="str">
            <v>HAIR RÉ:COVERY 15 Nutritious Balm [라베나 리커버리 15 뉴트리셔스 밤]제품선택=뉴트리셔스밤 1개 + 헤어팩 트리트먼트 1개 세트 5%추가할인</v>
          </cell>
          <cell r="E39" t="str">
            <v>트리트먼트+뉴트리셔스밤</v>
          </cell>
        </row>
        <row r="40">
          <cell r="D40" t="str">
            <v>헤어 리커버리 15 리바이탈 샴푸</v>
          </cell>
          <cell r="E40" t="str">
            <v>리바이탈 샴푸</v>
          </cell>
        </row>
        <row r="41">
          <cell r="D41" t="str">
            <v>헤어 리커버리 15 리바이탈 샴푸</v>
          </cell>
          <cell r="E41" t="str">
            <v>리바이탈 샴푸</v>
          </cell>
        </row>
        <row r="42">
          <cell r="D42" t="str">
            <v>라베나 리커버리 15 뉴트리셔스 밤 [HAIR RÉ:COVERY 15 Nutritious Balm]제품선택=헤어 리커버리 15 뉴트리셔스 밤</v>
          </cell>
          <cell r="E42" t="str">
            <v>뉴트리셔스밤</v>
          </cell>
        </row>
        <row r="43">
          <cell r="D43" t="str">
            <v>라베나 리커버리 15 뉴트리셔스 밤 [HAIR RÉ:COVERY 15 Nutritious Balm]제품선택=뉴트리셔스 밤 2개 세트 5% 추가할인</v>
          </cell>
          <cell r="E43" t="str">
            <v>뉴트리셔스밤 2set</v>
          </cell>
        </row>
        <row r="44">
          <cell r="D44" t="str">
            <v>라베나 리커버리 15 뉴트리셔스 밤 [HAIR RÉ:COVERY 15 Nutritious Balm]제품선택=뉴트리셔스밤 1개 + 헤어팩 트리트먼트 1개 세트 5%추가할인</v>
          </cell>
          <cell r="E44" t="str">
            <v>트리트먼트+뉴트리셔스밤</v>
          </cell>
        </row>
        <row r="45">
          <cell r="D45" t="str">
            <v>라베나 리커버리 15 리바이탈 샴푸 [HAIR RÉ:COVERY 15 Revital Shampoo]제품선택=헤어 리커버리 15 리바이탈 샴푸 - 500ml</v>
          </cell>
          <cell r="E45" t="str">
            <v>리바이탈 샴푸</v>
          </cell>
        </row>
        <row r="46">
          <cell r="D46" t="str">
            <v>라베나 리커버리 15 리바이탈 샴푸 [HAIR RÉ:COVERY 15 Revital Shampoo]제품선택=리바이탈 샴푸 2개 세트 5%추가할인</v>
          </cell>
          <cell r="E46" t="str">
            <v>리바이탈 샴푸 2set</v>
          </cell>
        </row>
        <row r="47">
          <cell r="D47" t="str">
            <v>라베나 리커버리 15 리바이탈 샴푸 [HAIR RÉ:COVERY 15 Revital Shampoo]제품선택=리바이탈 샴푸 3개 세트 10% 추가할인</v>
          </cell>
          <cell r="E47" t="str">
            <v>리바이탈 샴푸 3set</v>
          </cell>
        </row>
        <row r="48">
          <cell r="D48" t="str">
            <v>라베나 리커버리 15 헤어팩 트리트먼트 [HAIR RÉ:COVERY 15 Hairpack Treatment]제품선택=헤어 리커버리 15 헤어팩 트리트먼트</v>
          </cell>
          <cell r="E48" t="str">
            <v>트리트먼트</v>
          </cell>
        </row>
        <row r="49">
          <cell r="D49" t="str">
            <v>라베나 리커버리 15 헤어팩 트리트먼트 [HAIR RÉ:COVERY 15 Hairpack Treatment]제품선택=헤어팩 트리트먼트 2개 세트 5% 추가할인</v>
          </cell>
          <cell r="E49" t="str">
            <v>트리트먼트 2set</v>
          </cell>
        </row>
        <row r="50">
          <cell r="D50" t="str">
            <v>라베나 리커버리 15 헤어팩 트리트먼트 [HAIR RÉ:COVERY 15 Hairpack Treatment]제품선택=헤어팩 트리트먼트 3개 세트 10% 추가할인</v>
          </cell>
          <cell r="E50" t="str">
            <v>트리트먼트 3set</v>
          </cell>
        </row>
        <row r="51">
          <cell r="D51" t="str">
            <v>라베나 리커버리 15 헤어팩 트리트먼트 [HAIR RÉ:COVERY 15 Hairpack Treatment]제품선택=헤어팩 트리트먼트 1개 + 뉴트리셔스밤 1개 세트 5% 추가할인</v>
          </cell>
          <cell r="E51" t="str">
            <v>트리트먼트+뉴트리셔스밤</v>
          </cell>
        </row>
        <row r="52">
          <cell r="D52" t="str">
            <v>라베나 리커버리 15 뉴트리셔스 밤 [HAIR RÉ:COVERY 15 Nutritious Balm]제품선택=뉴트리셔스 밤 3개 세트 10% 추가할인</v>
          </cell>
          <cell r="E52" t="str">
            <v>뉴트리셔스밤 3set</v>
          </cell>
        </row>
        <row r="53">
          <cell r="D53" t="str">
            <v>라베나 리커버리 15 리바이탈 바이오플라보노이드샴푸 [HAIR RÉ:COVERY 15 Revital Shampoo]제품선택=헤어 리커버리 15 리바이탈 샴푸 - 500ml</v>
          </cell>
          <cell r="E53" t="str">
            <v>리바이탈 샴푸</v>
          </cell>
        </row>
        <row r="54">
          <cell r="D54" t="str">
            <v>라베나 리커버리 15 리바이탈 바이오플라보노이드샴푸 [HAIR RÉ:COVERY 15 Revital Shampoo]제품선택=리바이탈 샴푸 2개 세트 5%추가할인</v>
          </cell>
          <cell r="E54" t="str">
            <v>리바이탈 샴푸 2set</v>
          </cell>
        </row>
        <row r="55">
          <cell r="D55" t="str">
            <v>라베나 리커버리 15 리바이탈 바이오플라보노이드샴푸 [HAIR RÉ:COVERY 15 Revital Shampoo]제품선택=리바이탈 샴푸 3개 세트 10% 추가할인</v>
          </cell>
          <cell r="E55" t="str">
            <v>리바이탈 샴푸 3set</v>
          </cell>
        </row>
        <row r="56">
          <cell r="D56" t="str">
            <v>라베나 리커버리 15 뉴트리셔스 밤 [HAIR RÉ:COVERY 15 Nutritious Balm]제품선택=헤어 리커버리 15 뉴트리셔스 밤</v>
          </cell>
          <cell r="E56" t="str">
            <v>뉴트리셔스밤</v>
          </cell>
        </row>
        <row r="57">
          <cell r="D57" t="str">
            <v>라베나 리커버리 15 뉴트리셔스 밤 [HAIR RÉ:COVERY 15 Nutritious Balm]제품선택=뉴트리셔스 밤 2개 세트 5% 추가할인</v>
          </cell>
          <cell r="E57" t="str">
            <v>뉴트리셔스밤 2set</v>
          </cell>
        </row>
        <row r="58">
          <cell r="D58" t="str">
            <v>라베나 리커버리 15 뉴트리셔스 밤 [HAIR RÉ:COVERY 15 Nutritious Balm]제품선택=뉴트리셔스 밤 3개 세트 10% 추가할인</v>
          </cell>
          <cell r="E58" t="str">
            <v>뉴트리셔스밤 3set</v>
          </cell>
        </row>
        <row r="59">
          <cell r="D59" t="str">
            <v>라베나 리커버리 15 리바이탈 바이오플라보노이드샴푸 [HAIR RÉ:COVERY 15 Revital Shampoo]제품선택=헤어 리커버리 15 리바이탈 샴푸 - 500ml</v>
          </cell>
          <cell r="E59" t="str">
            <v>리바이탈 샴푸</v>
          </cell>
        </row>
        <row r="60">
          <cell r="D60" t="str">
            <v>라베나 리커버리 15 리바이탈 바이오플라보노이드샴푸 [HAIR RÉ:COVERY 15 Revital Shampoo]제품선택=리바이탈 샴푸 2개 세트 5%추가할인</v>
          </cell>
          <cell r="E60" t="str">
            <v>리바이탈 샴푸 2set</v>
          </cell>
        </row>
        <row r="61">
          <cell r="D61" t="str">
            <v>라베나 리커버리 15 리바이탈 바이오플라보노이드샴푸 [HAIR RÉ:COVERY 15 Revital Shampoo]제품선택=리바이탈 샴푸 3개 세트 10% 추가할인</v>
          </cell>
          <cell r="E61" t="str">
            <v>리바이탈 샴푸 3set</v>
          </cell>
        </row>
        <row r="62">
          <cell r="D62" t="str">
            <v>라베나 리커버리 15 리바이탈 샴푸 [HAIR RÉ:COVERY 15 Revital Shampoo]제품선택=헤어 리커버리 15 리바이탈 샴푸 - 500ml</v>
          </cell>
          <cell r="E62" t="str">
            <v>리바이탈 샴푸</v>
          </cell>
        </row>
        <row r="63">
          <cell r="D63" t="str">
            <v>라베나 리커버리 15 헤어팩 트리트먼트 [HAIR RÉ:COVERY 15 Hairpack Treatment]제품선택=헤어 리커버리 15 헤어팩 트리트먼트</v>
          </cell>
          <cell r="E63" t="str">
            <v>트리트먼트</v>
          </cell>
        </row>
        <row r="64">
          <cell r="D64" t="str">
            <v>라베나 리커버리 15 헤어팩 트리트먼트 [HAIR RÉ:COVERY 15 Hairpack Treatment]제품선택=헤어팩 트리트먼트 2개 세트 5% 추가할인</v>
          </cell>
          <cell r="E64" t="str">
            <v>트리트먼트 2set</v>
          </cell>
        </row>
        <row r="65">
          <cell r="D65" t="str">
            <v>라베나 리커버리 15 헤어팩 트리트먼트 [HAIR RÉ:COVERY 15 Hairpack Treatment]제품선택=헤어팩 트리트먼트 3개 세트 10% 추가할인</v>
          </cell>
          <cell r="E65" t="str">
            <v>트리트먼트 3set</v>
          </cell>
        </row>
        <row r="66">
          <cell r="D66" t="str">
            <v>헤어 리커버리 15 리바이탈 샴푸</v>
          </cell>
          <cell r="E66" t="str">
            <v>리바이탈 샴푸</v>
          </cell>
        </row>
        <row r="67">
          <cell r="D67" t="str">
            <v>라베나 리커버리 15 헤어팩 트리트먼트 [HAIR RÉ:COVERY 15 Hairpack Treatment]제품선택=헤어팩 트리트먼트 1개 + 뉴트리셔스밤 1개 세트 5% 추가할인</v>
          </cell>
          <cell r="E67" t="str">
            <v>트리트먼트+뉴트리셔스밤</v>
          </cell>
        </row>
        <row r="68">
          <cell r="D68" t="str">
            <v>헤어 리커버리 15 리바이탈 샴푸</v>
          </cell>
          <cell r="E68" t="str">
            <v>리바이탈 샴푸</v>
          </cell>
        </row>
        <row r="69">
          <cell r="D69" t="str">
            <v>라베나 리커버리 15 리바이탈 바이오플라보노이드샴푸 [HAIR RÉ:COVERY 15 Revital Shampoo]제품선택=리바이탈 샴푸 2개 세트 5%추가할인</v>
          </cell>
          <cell r="E69" t="str">
            <v>리바이탈 샴푸 2set</v>
          </cell>
        </row>
        <row r="70">
          <cell r="D70" t="str">
            <v>라베나 리커버리 15 리바이탈 샴푸 [HAIR RÉ:COVERY 15 Revital Shampoo]제품선택=리바이탈 샴푸 2개 세트 5%추가할인</v>
          </cell>
          <cell r="E70" t="str">
            <v>리바이탈 샴푸 2set</v>
          </cell>
        </row>
        <row r="71">
          <cell r="D71" t="str">
            <v>라베나 리커버리 15 뉴트리셔스 밤 [HAIR RÉ:COVERY 15 Nutritious Balm]제품선택=뉴트리셔스밤 1개 + 헤어팩 트리트먼트 1개 세트 5%추가할인</v>
          </cell>
          <cell r="E71" t="str">
            <v>트리트먼트+뉴트리셔스밤</v>
          </cell>
        </row>
        <row r="72">
          <cell r="D72" t="str">
            <v>라베나 리커버리 15 리바이탈 바이오플라보노이드샴푸 [HAIR RÉ:COVERY 15 Revital Shampoo]제품선택=헤어 리커버리 15 리바이탈 샴푸 - 500ml</v>
          </cell>
          <cell r="E72" t="str">
            <v>리바이탈 샴푸</v>
          </cell>
        </row>
      </sheetData>
      <sheetData sheetId="6"/>
    </sheetDataSet>
  </externalBook>
</externalLink>
</file>

<file path=xl/pivotCache/pivotCacheDefinition1.xml><?xml version="1.0" encoding="utf-8"?>
<pivotCacheDefinition xmlns="http://schemas.openxmlformats.org/spreadsheetml/2006/main" saveData="0" refreshedBy="Excel Services" refreshedDate="44350.65233229167" createdVersion="6" refreshedVersion="7" minRefreshableVersion="3" recordCount="3702">
  <cacheSource type="worksheet">
    <worksheetSource ref="B1:O1048576" sheet="RD"/>
  </cacheSource>
  <cacheFields count="15">
    <cacheField name="일자" uniqueList="1" numFmtId="14" sqlType="0" hierarchy="0" level="0" databaseField="1">
      <sharedItems count="204" containsBlank="1" containsDate="1" containsNonDate="0" containsString="0" minDate="2020-11-09T00:00:00" maxDate="2021-06-03T00:00:00">
        <d v="2021-02-28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4T00:00:00"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1-02-21T00:00:00"/>
        <d v="2021-02-22T00:00:00"/>
        <d v="2021-02-23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m/>
      </sharedItems>
    </cacheField>
    <cacheField name="요일" uniqueList="1" numFmtId="0" sqlType="0" hierarchy="0" level="0" databaseField="1">
      <sharedItems count="0" containsBlank="1"/>
    </cacheField>
    <cacheField name="미디어" uniqueList="1" numFmtId="0" sqlType="0" hierarchy="0" level="0" databaseField="1">
      <sharedItems count="0" containsBlank="1"/>
    </cacheField>
    <cacheField name="상품1" uniqueList="1" numFmtId="0" sqlType="0" hierarchy="0" level="0" databaseField="1">
      <sharedItems count="10" containsBlank="1">
        <s v="뉴트리셔스밤"/>
        <m/>
        <s v="샴푸"/>
        <s v="트리트먼트"/>
        <e v="#N/A"/>
        <s v="기획set"/>
        <s v="가글샴푸"/>
        <s v="가글워터"/>
        <s v="0" u="1"/>
        <s v="기획" u="1"/>
      </sharedItems>
    </cacheField>
    <cacheField name="채널" uniqueList="1" numFmtId="0" sqlType="0" hierarchy="0" level="0" databaseField="1">
      <sharedItems count="0" containsBlank="1"/>
    </cacheField>
    <cacheField name="상품2" uniqueList="1" numFmtId="0" sqlType="0" hierarchy="0" level="0" databaseField="1">
      <sharedItems count="0" containsBlank="1"/>
    </cacheField>
    <cacheField name="판매수량" uniqueList="1" numFmtId="0" sqlType="0" hierarchy="0" level="0" databaseField="1">
      <sharedItems count="0" containsBlank="1" containsInteger="1" containsNumber="1" containsString="0" minValue="0" maxValue="459"/>
    </cacheField>
    <cacheField name="상품 상세" uniqueList="1" numFmtId="0" sqlType="0" hierarchy="0" level="0" databaseField="1">
      <sharedItems count="0" containsBlank="1"/>
    </cacheField>
    <cacheField name="구분" uniqueList="1" numFmtId="0" sqlType="0" hierarchy="0" level="0" databaseField="1">
      <sharedItems count="0" containsBlank="1" containsInteger="1" containsMixedTypes="1" containsNumber="1" minValue="201109" maxValue="210525"/>
    </cacheField>
    <cacheField name="광고비(VAT미포함)" uniqueList="1" numFmtId="0" sqlType="0" hierarchy="0" level="0" databaseField="1">
      <sharedItems count="0" containsBlank="1" containsNumber="1" containsString="0" minValue="0" maxValue="7005066"/>
    </cacheField>
    <cacheField name="판매액" uniqueList="1" numFmtId="0" sqlType="0" hierarchy="0" level="0" databaseField="1">
      <sharedItems count="0" containsBlank="1" containsInteger="1" containsNumber="1" containsString="0" minValue="0" maxValue="12347100"/>
    </cacheField>
    <cacheField name="판매액(수수료제외)" uniqueList="1" numFmtId="0" sqlType="0" hierarchy="0" level="0" databaseField="1">
      <sharedItems count="0" containsBlank="1" containsNumber="1" containsString="0" minValue="0" maxValue="11624794.65"/>
    </cacheField>
    <cacheField name="원가" uniqueList="1" numFmtId="0" sqlType="0" hierarchy="0" level="0" databaseField="1">
      <sharedItems count="0" containsBlank="1" containsInteger="1" containsNumber="1" containsString="0" minValue="0" maxValue="1386180"/>
    </cacheField>
    <cacheField name="구분값" uniqueList="1" numFmtId="0" sqlType="0" hierarchy="0" level="0" databaseField="1">
      <sharedItems count="0" containsBlank="1"/>
    </cacheField>
    <cacheField name="광고비%" uniqueList="1" numFmtId="0" formula="'광고비(VAT미포함)'/(판매액/1.1)" sqlType="0" hierarchy="0" level="0" databaseField="0"/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A4" firstHeaderRow="1" firstDataRow="1" firstDataCol="0" rowPageCount="1" colPageCount="1"/>
  <pivotFields count="15">
    <pivotField axis="axisPage" showDropDowns="1" compact="1" outline="1" subtotalTop="1" dragToRow="1" dragToCol="1" dragToPage="1" dragToData="1" dragOff="1" showAll="0" topAutoShow="1" itemPageCount="10" sortType="manual" defaultSubtotal="1">
      <items count="205">
        <item t="data" sd="1" x="203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Items count="1">
    <i t="data" r="0" i="0"/>
  </colItems>
  <pageFields count="1">
    <pageField fld="0" hier="-1"/>
  </pageFields>
  <dataFields count="1">
    <dataField name="합계 : 판매액" fld="10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피벗 테이블1" cacheId="0" dataOnRows="1" dataCaption="값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4:E6" firstHeaderRow="1" firstDataRow="2" firstDataCol="1"/>
  <pivotFields count="15">
    <pivotField showDropDowns="1" compact="1" outline="1" subtotalTop="1" dragToRow="1" dragToCol="1" dragToPage="1" dragToData="1" dragOff="1" showAll="0" topAutoShow="1" itemPageCount="10" sortType="ascending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m="1" x="8"/>
        <item t="data" h="1" sd="1" x="6"/>
        <item t="data" h="1" sd="1" x="7"/>
        <item t="data" sd="1" m="1" x="9"/>
        <item t="data" h="1" sd="1" x="5"/>
        <item t="data" sd="1" x="0"/>
        <item t="data" sd="1" x="2"/>
        <item t="data" sd="1" x="3"/>
        <item t="data" h="1" sd="1" x="4"/>
        <item t="data" h="1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3"/>
  </colFields>
  <colItems count="4">
    <i t="data" r="0" i="0">
      <x v="5"/>
    </i>
    <i t="data" r="0" i="0">
      <x v="6"/>
    </i>
    <i t="data" r="0" i="0">
      <x v="7"/>
    </i>
    <i t="grand" r="0" i="0">
      <x v="0"/>
    </i>
  </colItems>
  <dataFields count="1">
    <dataField name="합계 : 광고비%" fld="14" subtotal="sum" showDataAs="normal" baseField="0" baseItem="0"/>
  </dataFields>
  <formats count="2">
    <format action="formatting" dxfId="1">
      <pivotArea type="normal" dataOnly="1" grandRow="1" outline="0" collapsedLevelsAreSubtotals="1" fieldPosition="0"/>
    </format>
    <format action="formatting" dxfId="0">
      <pivotArea type="normal" dataOnly="1" outline="1" collapsedLevelsAreSubtotals="1" fieldPosition="0">
        <references count="1">
          <reference field="4294967294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M13" sqref="M13"/>
    </sheetView>
  </sheetViews>
  <sheetFormatPr baseColWidth="8" defaultRowHeight="17.4"/>
  <cols>
    <col width="13.09765625" bestFit="1" customWidth="1" style="12" min="1" max="1"/>
    <col width="9.59765625" bestFit="1" customWidth="1" style="12" min="2" max="2"/>
  </cols>
  <sheetData>
    <row r="1">
      <c r="A1" s="1" t="inlineStr">
        <is>
          <t>일자</t>
        </is>
      </c>
      <c r="B1" s="9" t="inlineStr">
        <is>
          <t>(모두)</t>
        </is>
      </c>
    </row>
    <row r="3">
      <c r="A3" s="9" t="inlineStr">
        <is>
          <t>합계 : 판매액</t>
        </is>
      </c>
    </row>
    <row r="4">
      <c r="A4" s="9" t="n">
        <v>1397789249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N24"/>
  <sheetViews>
    <sheetView workbookViewId="0">
      <selection activeCell="I10" sqref="I10"/>
    </sheetView>
  </sheetViews>
  <sheetFormatPr baseColWidth="8" defaultRowHeight="17.4"/>
  <cols>
    <col width="14.8984375" bestFit="1" customWidth="1" style="12" min="1" max="1"/>
    <col width="13.19921875" bestFit="1" customWidth="1" style="12" min="2" max="2"/>
    <col width="5.69921875" bestFit="1" customWidth="1" style="12" min="3" max="3"/>
    <col width="11.19921875" bestFit="1" customWidth="1" style="12" min="4" max="4"/>
    <col width="7.5" bestFit="1" customWidth="1" style="12" min="5" max="6"/>
    <col width="11.19921875" bestFit="1" customWidth="1" style="12" min="7" max="7"/>
    <col width="7.3984375" bestFit="1" customWidth="1" style="12" min="8" max="8"/>
    <col width="11.19921875" bestFit="1" customWidth="1" style="12" min="9" max="9"/>
    <col width="7.3984375" bestFit="1" customWidth="1" style="12" min="10" max="10"/>
    <col width="25" bestFit="1" customWidth="1" style="12" min="11" max="12"/>
    <col width="18" bestFit="1" customWidth="1" style="12" min="13" max="13"/>
    <col width="29.69921875" bestFit="1" customWidth="1" style="12" min="14" max="14"/>
  </cols>
  <sheetData>
    <row r="4">
      <c r="B4" s="1" t="inlineStr">
        <is>
          <t>열 레이블</t>
        </is>
      </c>
    </row>
    <row r="5">
      <c r="B5" s="9" t="inlineStr">
        <is>
          <t>뉴트리셔스밤</t>
        </is>
      </c>
      <c r="C5" s="9" t="inlineStr">
        <is>
          <t>샴푸</t>
        </is>
      </c>
      <c r="D5" s="9" t="inlineStr">
        <is>
          <t>트리트먼트</t>
        </is>
      </c>
      <c r="E5" s="9" t="inlineStr">
        <is>
          <t>총합계</t>
        </is>
      </c>
    </row>
    <row r="6">
      <c r="A6" s="9" t="inlineStr">
        <is>
          <t>합계 : 광고비%</t>
        </is>
      </c>
      <c r="B6" s="9" t="n">
        <v>0.2101201705179586</v>
      </c>
      <c r="C6" s="9" t="n">
        <v>0.3193641475191467</v>
      </c>
      <c r="D6" s="9" t="n">
        <v>0.005677957692158174</v>
      </c>
      <c r="E6" s="9" t="n">
        <v>0.297677261677153</v>
      </c>
    </row>
    <row r="24">
      <c r="N24" s="1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H10"/>
  <sheetViews>
    <sheetView showGridLines="0" zoomScale="101" zoomScaleNormal="70" workbookViewId="0">
      <selection activeCell="F9" sqref="F9"/>
    </sheetView>
  </sheetViews>
  <sheetFormatPr baseColWidth="8" defaultRowHeight="17.4"/>
  <cols>
    <col width="24.69921875" bestFit="1" customWidth="1" style="12" min="2" max="2"/>
    <col width="13.09765625" bestFit="1" customWidth="1" style="12" min="3" max="3"/>
    <col width="11.8984375" bestFit="1" customWidth="1" style="12" min="4" max="4"/>
    <col width="9.69921875" bestFit="1" customWidth="1" style="12" min="5" max="6"/>
    <col width="11.19921875" bestFit="1" customWidth="1" style="12" min="7" max="7"/>
    <col width="10.8984375" bestFit="1" customWidth="1" style="12" min="8" max="8"/>
    <col width="14.5" bestFit="1" customWidth="1" style="12" min="9" max="9"/>
    <col width="11.09765625" bestFit="1" customWidth="1" style="12" min="10" max="10"/>
    <col width="10.59765625" bestFit="1" customWidth="1" style="12" min="11" max="11"/>
    <col width="8.3984375" bestFit="1" customWidth="1" style="12" min="12" max="12"/>
    <col width="11.09765625" bestFit="1" customWidth="1" style="12" min="13" max="13"/>
    <col width="14.3984375" bestFit="1" customWidth="1" style="12" min="14" max="14"/>
  </cols>
  <sheetData>
    <row r="6">
      <c r="B6" s="1" t="inlineStr">
        <is>
          <t>합계 : 광고비(VAT미포함)</t>
        </is>
      </c>
      <c r="C6" s="1" t="inlineStr">
        <is>
          <t>열 레이블</t>
        </is>
      </c>
    </row>
    <row r="7">
      <c r="B7" s="1" t="inlineStr">
        <is>
          <t>행 레이블</t>
        </is>
      </c>
      <c r="C7" s="9" t="inlineStr">
        <is>
          <t>GDN</t>
        </is>
      </c>
      <c r="D7" s="9" t="inlineStr">
        <is>
          <t>네이버 검색</t>
        </is>
      </c>
      <c r="E7" s="9" t="inlineStr">
        <is>
          <t>유튜브</t>
        </is>
      </c>
      <c r="F7" s="9" t="inlineStr">
        <is>
          <t>페이스북</t>
        </is>
      </c>
      <c r="G7" s="9" t="inlineStr">
        <is>
          <t>(비어 있음)</t>
        </is>
      </c>
      <c r="H7" s="9" t="inlineStr">
        <is>
          <t>총합계</t>
        </is>
      </c>
    </row>
    <row r="8">
      <c r="B8" s="2" t="n">
        <v>44348</v>
      </c>
      <c r="C8" s="9" t="n">
        <v>105772</v>
      </c>
      <c r="D8" s="9" t="n">
        <v>8850</v>
      </c>
      <c r="E8" s="9" t="n">
        <v>4136814</v>
      </c>
      <c r="F8" s="9" t="n">
        <v>797440</v>
      </c>
      <c r="H8" s="9" t="n">
        <v>5048876</v>
      </c>
    </row>
    <row r="9">
      <c r="B9" s="2" t="n">
        <v>44349</v>
      </c>
      <c r="C9" s="9" t="n">
        <v>103689</v>
      </c>
      <c r="D9" s="9" t="n">
        <v>9730</v>
      </c>
      <c r="E9" s="9" t="n">
        <v>4626026</v>
      </c>
      <c r="F9" s="9" t="n">
        <v>860889</v>
      </c>
      <c r="H9" s="9" t="n">
        <v>5600334</v>
      </c>
    </row>
    <row r="10">
      <c r="B10" s="2" t="inlineStr">
        <is>
          <t>총합계</t>
        </is>
      </c>
      <c r="C10" s="9" t="n">
        <v>209461</v>
      </c>
      <c r="D10" s="9" t="n">
        <v>18580</v>
      </c>
      <c r="E10" s="9" t="n">
        <v>8762840</v>
      </c>
      <c r="F10" s="9" t="n">
        <v>1658329</v>
      </c>
      <c r="H10" s="9" t="n">
        <v>10649210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theme="0" tint="-0.499984740745262"/>
    <outlinePr summaryBelow="1" summaryRight="1"/>
    <pageSetUpPr/>
  </sheetPr>
  <dimension ref="A1:O3713"/>
  <sheetViews>
    <sheetView tabSelected="1" zoomScale="80" zoomScaleNormal="80" workbookViewId="0">
      <pane xSplit="1" ySplit="2" topLeftCell="B3690" activePane="bottomRight" state="frozen"/>
      <selection pane="topRight" activeCell="B1" sqref="B1"/>
      <selection pane="bottomLeft" activeCell="A3" sqref="A3"/>
      <selection pane="bottomRight" activeCell="G3707" sqref="G3707"/>
    </sheetView>
  </sheetViews>
  <sheetFormatPr baseColWidth="8" defaultRowHeight="17.4"/>
  <cols>
    <col width="28.69921875" customWidth="1" style="12" min="1" max="1"/>
    <col width="16.5" customWidth="1" style="10" min="2" max="2"/>
    <col width="9.69921875" customWidth="1" style="12" min="3" max="3"/>
    <col width="16.69921875" customWidth="1" style="12" min="4" max="4"/>
    <col width="17.3984375" customWidth="1" style="12" min="5" max="5"/>
    <col width="12.59765625" customWidth="1" style="12" min="6" max="6"/>
    <col width="13.59765625" customWidth="1" style="12" min="7" max="7"/>
    <col width="7.69921875" customWidth="1" style="12" min="8" max="8"/>
    <col width="12.09765625" customWidth="1" style="12" min="9" max="9"/>
    <col width="9.59765625" customWidth="1" style="12" min="10" max="10"/>
    <col width="19.09765625" customWidth="1" style="12" min="11" max="11"/>
    <col width="18" customWidth="1" style="12" min="12" max="12"/>
    <col width="18.09765625" customWidth="1" style="12" min="13" max="13"/>
    <col width="36.8984375" bestFit="1" customWidth="1" style="12" min="15" max="15"/>
  </cols>
  <sheetData>
    <row r="1">
      <c r="A1" s="9" t="inlineStr">
        <is>
          <t>광고</t>
        </is>
      </c>
      <c r="B1" s="10" t="inlineStr">
        <is>
          <t>일자</t>
        </is>
      </c>
      <c r="C1" s="9" t="inlineStr">
        <is>
          <t>요일</t>
        </is>
      </c>
      <c r="D1" s="9" t="inlineStr">
        <is>
          <t>미디어</t>
        </is>
      </c>
      <c r="E1" s="9" t="inlineStr">
        <is>
          <t>상품1</t>
        </is>
      </c>
      <c r="F1" s="9" t="inlineStr">
        <is>
          <t>채널</t>
        </is>
      </c>
      <c r="G1" s="9" t="inlineStr">
        <is>
          <t>상품2</t>
        </is>
      </c>
      <c r="H1" s="9" t="inlineStr">
        <is>
          <t>판매수량</t>
        </is>
      </c>
      <c r="I1" s="9" t="inlineStr">
        <is>
          <t>상품 상세</t>
        </is>
      </c>
      <c r="J1" s="9" t="inlineStr">
        <is>
          <t>구분</t>
        </is>
      </c>
      <c r="K1" s="9" t="inlineStr">
        <is>
          <t>광고비(VAT미포함)</t>
        </is>
      </c>
      <c r="L1" s="9" t="inlineStr">
        <is>
          <t>판매액</t>
        </is>
      </c>
      <c r="M1" s="9" t="inlineStr">
        <is>
          <t>판매액(수수료제외)</t>
        </is>
      </c>
      <c r="N1" s="9" t="inlineStr">
        <is>
          <t>원가</t>
        </is>
      </c>
      <c r="O1" s="9" t="inlineStr">
        <is>
          <t>구분값</t>
        </is>
      </c>
    </row>
    <row r="2">
      <c r="A2" s="9" t="inlineStr">
        <is>
          <t>0118_샴푸_비듬똥균_4차_1</t>
        </is>
      </c>
      <c r="B2" s="10" t="n">
        <v>44255</v>
      </c>
      <c r="C2" s="9">
        <f>TEXT(B2,"aaa")</f>
        <v/>
      </c>
      <c r="D2" s="9">
        <f>VLOOKUP($A2,매칭테이블!$B$123:$D$1048576,2,0)</f>
        <v/>
      </c>
      <c r="E2" s="9">
        <f>INDEX(매칭테이블!C:C,MATCH(RD!G2,매칭테이블!D:D,0))</f>
        <v/>
      </c>
      <c r="F2" s="9" t="inlineStr">
        <is>
          <t>카페24</t>
        </is>
      </c>
      <c r="G2" s="9" t="inlineStr">
        <is>
          <t>라베나 리커버리 15 뉴트리셔스 밤 [HAIR RÉ:COVERY 15 Nutritious Balm]제품선택=헤어 리커버리 15 뉴트리셔스 밤</t>
        </is>
      </c>
      <c r="H2" s="9" t="n">
        <v>0</v>
      </c>
      <c r="I2" s="9">
        <f>VLOOKUP(G2,매칭테이블!D:E,2,0)</f>
        <v/>
      </c>
      <c r="J2" s="9" t="n">
        <v>210201</v>
      </c>
      <c r="L2" s="9">
        <f>VLOOKUP($O2,매칭테이블!$G:$J,2,0)*H2</f>
        <v/>
      </c>
      <c r="M2" s="9">
        <f>L2-L2*VLOOKUP($O2,매칭테이블!$G:$J,3,0)</f>
        <v/>
      </c>
      <c r="N2" s="9">
        <f>VLOOKUP($O2,매칭테이블!$G:$J,4,0)*H2</f>
        <v/>
      </c>
      <c r="O2" s="9">
        <f>F2&amp;E2&amp;G2&amp;J2</f>
        <v/>
      </c>
    </row>
    <row r="3">
      <c r="B3" s="10" t="n">
        <v>44195</v>
      </c>
      <c r="C3" s="9">
        <f>TEXT(B3,"aaa")</f>
        <v/>
      </c>
      <c r="D3" s="9" t="inlineStr">
        <is>
          <t>페이스북</t>
        </is>
      </c>
      <c r="K3" s="9" t="n">
        <v>1266829</v>
      </c>
    </row>
    <row r="4">
      <c r="B4" s="10" t="n">
        <v>44195</v>
      </c>
      <c r="C4" s="9">
        <f>TEXT(B4,"aaa")</f>
        <v/>
      </c>
      <c r="D4" s="9" t="inlineStr">
        <is>
          <t>네이버 검색</t>
        </is>
      </c>
      <c r="K4" s="9">
        <f>1771/1.1</f>
        <v/>
      </c>
    </row>
    <row r="5">
      <c r="B5" s="10" t="n">
        <v>44195</v>
      </c>
      <c r="C5" s="9">
        <f>TEXT(B5,"aaa")</f>
        <v/>
      </c>
      <c r="D5" s="9" t="inlineStr">
        <is>
          <t>네이버 GFA</t>
        </is>
      </c>
      <c r="K5" s="9">
        <f>181212/1.1</f>
        <v/>
      </c>
    </row>
    <row r="6">
      <c r="B6" s="11" t="n">
        <v>44196</v>
      </c>
      <c r="C6" s="9" t="inlineStr">
        <is>
          <t>목</t>
        </is>
      </c>
      <c r="D6" s="9" t="inlineStr">
        <is>
          <t>페이스북</t>
        </is>
      </c>
      <c r="K6" s="9" t="n">
        <v>604068</v>
      </c>
    </row>
    <row r="7">
      <c r="B7" s="11" t="n">
        <v>44196</v>
      </c>
      <c r="C7" s="9" t="inlineStr">
        <is>
          <t>목</t>
        </is>
      </c>
      <c r="D7" s="9" t="inlineStr">
        <is>
          <t>네이버 검색</t>
        </is>
      </c>
      <c r="K7" s="9">
        <f>1155/1.1</f>
        <v/>
      </c>
    </row>
    <row r="8">
      <c r="B8" s="11" t="n">
        <v>44196</v>
      </c>
      <c r="C8" s="9" t="inlineStr">
        <is>
          <t>목</t>
        </is>
      </c>
      <c r="D8" s="9" t="inlineStr">
        <is>
          <t>네이버 GFA</t>
        </is>
      </c>
      <c r="K8" s="9">
        <f>227063/1.1</f>
        <v/>
      </c>
    </row>
    <row r="9">
      <c r="B9" s="11" t="n">
        <v>44197</v>
      </c>
      <c r="C9" s="9" t="inlineStr">
        <is>
          <t>금</t>
        </is>
      </c>
      <c r="D9" s="9" t="inlineStr">
        <is>
          <t>페이스북</t>
        </is>
      </c>
      <c r="K9" s="9" t="n">
        <v>621910</v>
      </c>
    </row>
    <row r="10">
      <c r="B10" s="11" t="n">
        <v>44197</v>
      </c>
      <c r="C10" s="9" t="inlineStr">
        <is>
          <t>금</t>
        </is>
      </c>
      <c r="D10" s="9" t="inlineStr">
        <is>
          <t>네이버 검색</t>
        </is>
      </c>
      <c r="K10" s="9">
        <f>1309/1.1</f>
        <v/>
      </c>
    </row>
    <row r="11">
      <c r="B11" s="11" t="n">
        <v>44197</v>
      </c>
      <c r="C11" s="9" t="inlineStr">
        <is>
          <t>금</t>
        </is>
      </c>
      <c r="D11" s="9" t="inlineStr">
        <is>
          <t>네이버 GFA</t>
        </is>
      </c>
      <c r="K11" s="9">
        <f>222123/1.1</f>
        <v/>
      </c>
    </row>
    <row r="12">
      <c r="B12" s="11" t="n">
        <v>44198</v>
      </c>
      <c r="C12" s="9" t="inlineStr">
        <is>
          <t>토</t>
        </is>
      </c>
      <c r="D12" s="9" t="inlineStr">
        <is>
          <t>페이스북</t>
        </is>
      </c>
      <c r="K12" s="9" t="n">
        <v>862403</v>
      </c>
    </row>
    <row r="13">
      <c r="B13" s="11" t="n">
        <v>44198</v>
      </c>
      <c r="C13" s="9" t="inlineStr">
        <is>
          <t>토</t>
        </is>
      </c>
      <c r="D13" s="9" t="inlineStr">
        <is>
          <t>네이버 검색</t>
        </is>
      </c>
      <c r="K13" s="9">
        <f>1386/1.1</f>
        <v/>
      </c>
    </row>
    <row r="14">
      <c r="B14" s="11" t="n">
        <v>44198</v>
      </c>
      <c r="C14" s="9" t="inlineStr">
        <is>
          <t>토</t>
        </is>
      </c>
      <c r="D14" s="9" t="inlineStr">
        <is>
          <t>네이버 GFA</t>
        </is>
      </c>
      <c r="K14" s="9">
        <f>198686/1.1</f>
        <v/>
      </c>
    </row>
    <row r="15">
      <c r="B15" s="11" t="n">
        <v>44199</v>
      </c>
      <c r="C15" s="9" t="inlineStr">
        <is>
          <t>일</t>
        </is>
      </c>
      <c r="D15" s="9" t="inlineStr">
        <is>
          <t>페이스북</t>
        </is>
      </c>
      <c r="K15" s="9" t="n">
        <v>1115571</v>
      </c>
    </row>
    <row r="16">
      <c r="B16" s="11" t="n">
        <v>44199</v>
      </c>
      <c r="C16" s="9" t="inlineStr">
        <is>
          <t>일</t>
        </is>
      </c>
      <c r="D16" s="9" t="inlineStr">
        <is>
          <t>네이버 검색</t>
        </is>
      </c>
      <c r="K16" s="9">
        <f>2233/1.1</f>
        <v/>
      </c>
    </row>
    <row r="17">
      <c r="B17" s="11" t="n">
        <v>44199</v>
      </c>
      <c r="C17" s="9" t="inlineStr">
        <is>
          <t>일</t>
        </is>
      </c>
      <c r="D17" s="9" t="inlineStr">
        <is>
          <t>네이버 GFA</t>
        </is>
      </c>
      <c r="K17" s="9">
        <f>235984/1.1</f>
        <v/>
      </c>
    </row>
    <row r="18">
      <c r="B18" s="10" t="n">
        <v>44200</v>
      </c>
      <c r="C18" s="9" t="inlineStr">
        <is>
          <t>월</t>
        </is>
      </c>
      <c r="D18" s="9" t="inlineStr">
        <is>
          <t>페이스북</t>
        </is>
      </c>
      <c r="K18" s="9" t="n">
        <v>1084337</v>
      </c>
    </row>
    <row r="19">
      <c r="B19" s="10" t="n">
        <v>44200</v>
      </c>
      <c r="C19" s="9" t="inlineStr">
        <is>
          <t>월</t>
        </is>
      </c>
      <c r="D19" s="9" t="inlineStr">
        <is>
          <t>네이버 검색</t>
        </is>
      </c>
      <c r="K19" s="9">
        <f>2079/1.1</f>
        <v/>
      </c>
    </row>
    <row r="20">
      <c r="B20" s="10" t="n">
        <v>44200</v>
      </c>
      <c r="C20" s="9" t="inlineStr">
        <is>
          <t>월</t>
        </is>
      </c>
      <c r="D20" s="9" t="inlineStr">
        <is>
          <t>네이버 GFA</t>
        </is>
      </c>
      <c r="K20" s="9">
        <f>465779/1.1</f>
        <v/>
      </c>
    </row>
    <row r="21">
      <c r="B21" s="10" t="n">
        <v>44201</v>
      </c>
      <c r="C21" s="9" t="inlineStr">
        <is>
          <t>화</t>
        </is>
      </c>
      <c r="D21" s="9" t="inlineStr">
        <is>
          <t>페이스북</t>
        </is>
      </c>
      <c r="K21" s="9" t="n">
        <v>857492</v>
      </c>
    </row>
    <row r="22">
      <c r="B22" s="10" t="n">
        <v>44201</v>
      </c>
      <c r="C22" s="9" t="inlineStr">
        <is>
          <t>화</t>
        </is>
      </c>
      <c r="D22" s="9" t="inlineStr">
        <is>
          <t>네이버 검색</t>
        </is>
      </c>
      <c r="K22" s="9">
        <f>1386/1.1</f>
        <v/>
      </c>
    </row>
    <row r="23">
      <c r="B23" s="10" t="n">
        <v>44201</v>
      </c>
      <c r="C23" s="9" t="inlineStr">
        <is>
          <t>화</t>
        </is>
      </c>
      <c r="D23" s="9" t="inlineStr">
        <is>
          <t>네이버 GFA</t>
        </is>
      </c>
      <c r="K23" s="9">
        <f>533384/1.1</f>
        <v/>
      </c>
    </row>
    <row r="24">
      <c r="B24" s="10" t="n">
        <v>44202</v>
      </c>
      <c r="C24" s="9" t="inlineStr">
        <is>
          <t>수</t>
        </is>
      </c>
      <c r="D24" s="9" t="inlineStr">
        <is>
          <t>페이스북</t>
        </is>
      </c>
      <c r="K24" s="9" t="n">
        <v>725091</v>
      </c>
    </row>
    <row r="25">
      <c r="B25" s="10" t="n">
        <v>44202</v>
      </c>
      <c r="C25" s="9" t="inlineStr">
        <is>
          <t>수</t>
        </is>
      </c>
      <c r="D25" s="9" t="inlineStr">
        <is>
          <t>네이버 검색</t>
        </is>
      </c>
      <c r="K25" s="9">
        <f>1771/1.1</f>
        <v/>
      </c>
    </row>
    <row r="26">
      <c r="B26" s="10" t="n">
        <v>44202</v>
      </c>
      <c r="C26" s="9" t="inlineStr">
        <is>
          <t>수</t>
        </is>
      </c>
      <c r="D26" s="9" t="inlineStr">
        <is>
          <t>네이버 GFA</t>
        </is>
      </c>
      <c r="K26" s="9">
        <f>853931/1.1</f>
        <v/>
      </c>
    </row>
    <row r="27">
      <c r="B27" s="10" t="n">
        <v>44203</v>
      </c>
      <c r="C27" s="9" t="inlineStr">
        <is>
          <t>목</t>
        </is>
      </c>
      <c r="D27" s="9" t="inlineStr">
        <is>
          <t>페이스북</t>
        </is>
      </c>
      <c r="K27" s="9" t="n">
        <v>1073186</v>
      </c>
    </row>
    <row r="28">
      <c r="B28" s="10" t="n">
        <v>44203</v>
      </c>
      <c r="C28" s="9" t="inlineStr">
        <is>
          <t>목</t>
        </is>
      </c>
      <c r="D28" s="9" t="inlineStr">
        <is>
          <t>네이버 검색</t>
        </is>
      </c>
      <c r="K28" s="9">
        <f>2156/1.1</f>
        <v/>
      </c>
    </row>
    <row r="29">
      <c r="B29" s="10" t="n">
        <v>44203</v>
      </c>
      <c r="C29" s="9" t="inlineStr">
        <is>
          <t>목</t>
        </is>
      </c>
      <c r="D29" s="9" t="inlineStr">
        <is>
          <t>네이버 GFA</t>
        </is>
      </c>
      <c r="K29" s="9">
        <f>830590/1.1</f>
        <v/>
      </c>
    </row>
    <row r="30">
      <c r="B30" s="10" t="n">
        <v>44204</v>
      </c>
      <c r="C30" s="9" t="inlineStr">
        <is>
          <t>금</t>
        </is>
      </c>
      <c r="D30" s="9" t="inlineStr">
        <is>
          <t>페이스북</t>
        </is>
      </c>
      <c r="K30" s="9" t="n">
        <v>851832</v>
      </c>
    </row>
    <row r="31">
      <c r="B31" s="10" t="n">
        <v>44204</v>
      </c>
      <c r="C31" s="9" t="inlineStr">
        <is>
          <t>금</t>
        </is>
      </c>
      <c r="D31" s="9" t="inlineStr">
        <is>
          <t>네이버 검색</t>
        </is>
      </c>
      <c r="K31" s="9">
        <f>1309/1.1</f>
        <v/>
      </c>
    </row>
    <row r="32">
      <c r="B32" s="10" t="n">
        <v>44204</v>
      </c>
      <c r="C32" s="9" t="inlineStr">
        <is>
          <t>금</t>
        </is>
      </c>
      <c r="D32" s="9" t="inlineStr">
        <is>
          <t>네이버 GFA</t>
        </is>
      </c>
      <c r="K32" s="9">
        <f>340194/1.1</f>
        <v/>
      </c>
    </row>
    <row r="33">
      <c r="B33" s="10" t="n">
        <v>44205</v>
      </c>
      <c r="C33" s="9" t="inlineStr">
        <is>
          <t>토</t>
        </is>
      </c>
      <c r="D33" s="9" t="inlineStr">
        <is>
          <t>페이스북</t>
        </is>
      </c>
      <c r="K33" s="9" t="n">
        <v>928639</v>
      </c>
    </row>
    <row r="34">
      <c r="B34" s="10" t="n">
        <v>44205</v>
      </c>
      <c r="C34" s="9" t="inlineStr">
        <is>
          <t>토</t>
        </is>
      </c>
      <c r="D34" s="9" t="inlineStr">
        <is>
          <t>네이버 검색</t>
        </is>
      </c>
      <c r="K34" s="9">
        <f>1694/1.1</f>
        <v/>
      </c>
    </row>
    <row r="35">
      <c r="B35" s="10" t="n">
        <v>44205</v>
      </c>
      <c r="C35" s="9" t="inlineStr">
        <is>
          <t>토</t>
        </is>
      </c>
      <c r="D35" s="9" t="inlineStr">
        <is>
          <t>네이버 GFA</t>
        </is>
      </c>
      <c r="K35" s="9" t="n">
        <v>0</v>
      </c>
    </row>
    <row r="36">
      <c r="B36" s="10" t="n">
        <v>44206</v>
      </c>
      <c r="C36" s="9" t="inlineStr">
        <is>
          <t>일</t>
        </is>
      </c>
      <c r="D36" s="9" t="inlineStr">
        <is>
          <t>페이스북</t>
        </is>
      </c>
      <c r="K36" s="9" t="n">
        <v>1190341</v>
      </c>
    </row>
    <row r="37">
      <c r="B37" s="10" t="n">
        <v>44206</v>
      </c>
      <c r="C37" s="9" t="inlineStr">
        <is>
          <t>일</t>
        </is>
      </c>
      <c r="D37" s="9" t="inlineStr">
        <is>
          <t>네이버 검색</t>
        </is>
      </c>
      <c r="K37" s="9">
        <f>1309/1.1</f>
        <v/>
      </c>
    </row>
    <row r="38">
      <c r="B38" s="10" t="n">
        <v>44206</v>
      </c>
      <c r="C38" s="9" t="inlineStr">
        <is>
          <t>일</t>
        </is>
      </c>
      <c r="D38" s="9" t="inlineStr">
        <is>
          <t>네이버 GFA</t>
        </is>
      </c>
      <c r="K38" s="9" t="n">
        <v>0</v>
      </c>
    </row>
    <row r="39">
      <c r="B39" s="10" t="n">
        <v>44207</v>
      </c>
      <c r="C39" s="9" t="inlineStr">
        <is>
          <t>월</t>
        </is>
      </c>
      <c r="D39" s="9" t="inlineStr">
        <is>
          <t>페이스북</t>
        </is>
      </c>
      <c r="K39" s="9" t="n">
        <v>783186</v>
      </c>
    </row>
    <row r="40">
      <c r="B40" s="10" t="n">
        <v>44207</v>
      </c>
      <c r="C40" s="9" t="inlineStr">
        <is>
          <t>월</t>
        </is>
      </c>
      <c r="D40" s="9" t="inlineStr">
        <is>
          <t>네이버 검색</t>
        </is>
      </c>
      <c r="K40" s="9">
        <f>2310/1.1</f>
        <v/>
      </c>
    </row>
    <row r="41">
      <c r="B41" s="10" t="n">
        <v>44207</v>
      </c>
      <c r="C41" s="9" t="inlineStr">
        <is>
          <t>월</t>
        </is>
      </c>
      <c r="D41" s="9" t="inlineStr">
        <is>
          <t>네이버 GFA</t>
        </is>
      </c>
      <c r="K41" s="9" t="n">
        <v>0</v>
      </c>
    </row>
    <row r="42">
      <c r="B42" s="10" t="n">
        <v>44207</v>
      </c>
      <c r="C42" s="9" t="inlineStr">
        <is>
          <t>월</t>
        </is>
      </c>
      <c r="D42" s="9" t="inlineStr">
        <is>
          <t>유튜브</t>
        </is>
      </c>
      <c r="K42" s="9" t="n">
        <v>155050</v>
      </c>
    </row>
    <row r="43">
      <c r="B43" s="10" t="n">
        <v>44208</v>
      </c>
      <c r="C43" s="9" t="inlineStr">
        <is>
          <t>화</t>
        </is>
      </c>
      <c r="D43" s="9" t="inlineStr">
        <is>
          <t>페이스북</t>
        </is>
      </c>
      <c r="K43" s="9" t="n">
        <v>662365</v>
      </c>
    </row>
    <row r="44">
      <c r="B44" s="10" t="n">
        <v>44208</v>
      </c>
      <c r="C44" s="9" t="inlineStr">
        <is>
          <t>화</t>
        </is>
      </c>
      <c r="D44" s="9" t="inlineStr">
        <is>
          <t>네이버 검색</t>
        </is>
      </c>
      <c r="K44" s="9">
        <f>29645/1.1</f>
        <v/>
      </c>
    </row>
    <row r="45">
      <c r="B45" s="10" t="n">
        <v>44208</v>
      </c>
      <c r="C45" s="9" t="inlineStr">
        <is>
          <t>화</t>
        </is>
      </c>
      <c r="D45" s="9" t="inlineStr">
        <is>
          <t>네이버 GFA</t>
        </is>
      </c>
      <c r="K45" s="9" t="n">
        <v>0</v>
      </c>
    </row>
    <row r="46">
      <c r="B46" s="10" t="n">
        <v>44208</v>
      </c>
      <c r="C46" s="9" t="inlineStr">
        <is>
          <t>화</t>
        </is>
      </c>
      <c r="D46" s="9" t="inlineStr">
        <is>
          <t>유튜브</t>
        </is>
      </c>
      <c r="K46" s="9" t="n">
        <v>3126235</v>
      </c>
    </row>
    <row r="47">
      <c r="B47" s="10" t="n">
        <v>44209</v>
      </c>
      <c r="C47" s="9" t="inlineStr">
        <is>
          <t>수</t>
        </is>
      </c>
      <c r="D47" s="9" t="inlineStr">
        <is>
          <t>페이스북</t>
        </is>
      </c>
      <c r="K47" s="9" t="n">
        <v>716178</v>
      </c>
    </row>
    <row r="48">
      <c r="B48" s="10" t="n">
        <v>44209</v>
      </c>
      <c r="C48" s="9" t="inlineStr">
        <is>
          <t>수</t>
        </is>
      </c>
      <c r="D48" s="9" t="inlineStr">
        <is>
          <t>네이버 검색</t>
        </is>
      </c>
      <c r="K48" s="9">
        <f>6314/1.1</f>
        <v/>
      </c>
    </row>
    <row r="49">
      <c r="B49" s="10" t="n">
        <v>44209</v>
      </c>
      <c r="C49" s="9" t="inlineStr">
        <is>
          <t>수</t>
        </is>
      </c>
      <c r="D49" s="9" t="inlineStr">
        <is>
          <t>네이버 GFA</t>
        </is>
      </c>
      <c r="K49" s="9" t="n">
        <v>0</v>
      </c>
    </row>
    <row r="50">
      <c r="B50" s="10" t="n">
        <v>44209</v>
      </c>
      <c r="C50" s="9" t="inlineStr">
        <is>
          <t>수</t>
        </is>
      </c>
      <c r="D50" s="9" t="inlineStr">
        <is>
          <t>유튜브</t>
        </is>
      </c>
      <c r="K50" s="9" t="n">
        <v>112009</v>
      </c>
    </row>
    <row r="51">
      <c r="B51" s="10" t="n">
        <v>44210</v>
      </c>
      <c r="C51" s="9" t="inlineStr">
        <is>
          <t>목</t>
        </is>
      </c>
      <c r="D51" s="9" t="inlineStr">
        <is>
          <t>페이스북</t>
        </is>
      </c>
      <c r="K51" s="9" t="n">
        <v>848875</v>
      </c>
    </row>
    <row r="52">
      <c r="B52" s="10" t="n">
        <v>44210</v>
      </c>
      <c r="C52" s="9" t="inlineStr">
        <is>
          <t>목</t>
        </is>
      </c>
      <c r="D52" s="9" t="inlineStr">
        <is>
          <t>네이버 검색</t>
        </is>
      </c>
      <c r="K52" s="9">
        <f>6699/1.1</f>
        <v/>
      </c>
    </row>
    <row r="53">
      <c r="B53" s="10" t="n">
        <v>44210</v>
      </c>
      <c r="C53" s="9" t="inlineStr">
        <is>
          <t>목</t>
        </is>
      </c>
      <c r="D53" s="9" t="inlineStr">
        <is>
          <t>네이버 GFA</t>
        </is>
      </c>
      <c r="K53" s="9" t="n">
        <v>0</v>
      </c>
    </row>
    <row r="54">
      <c r="B54" s="10" t="n">
        <v>44210</v>
      </c>
      <c r="C54" s="9" t="inlineStr">
        <is>
          <t>목</t>
        </is>
      </c>
      <c r="D54" s="9" t="inlineStr">
        <is>
          <t>유튜브</t>
        </is>
      </c>
      <c r="K54" s="9" t="n">
        <v>719161</v>
      </c>
    </row>
    <row r="55">
      <c r="B55" s="10" t="n">
        <v>44211</v>
      </c>
      <c r="C55" s="9" t="inlineStr">
        <is>
          <t>금</t>
        </is>
      </c>
      <c r="D55" s="9" t="inlineStr">
        <is>
          <t>페이스북</t>
        </is>
      </c>
      <c r="K55" s="9" t="n">
        <v>834047</v>
      </c>
    </row>
    <row r="56">
      <c r="B56" s="10" t="n">
        <v>44211</v>
      </c>
      <c r="C56" s="9" t="inlineStr">
        <is>
          <t>금</t>
        </is>
      </c>
      <c r="D56" s="9" t="inlineStr">
        <is>
          <t>네이버 검색</t>
        </is>
      </c>
      <c r="K56" s="9">
        <f>19261/1.1</f>
        <v/>
      </c>
    </row>
    <row r="57">
      <c r="B57" s="10" t="n">
        <v>44211</v>
      </c>
      <c r="C57" s="9" t="inlineStr">
        <is>
          <t>금</t>
        </is>
      </c>
      <c r="D57" s="9" t="inlineStr">
        <is>
          <t>네이버 GFA</t>
        </is>
      </c>
      <c r="K57" s="9" t="n">
        <v>0</v>
      </c>
    </row>
    <row r="58">
      <c r="B58" s="10" t="n">
        <v>44211</v>
      </c>
      <c r="C58" s="9" t="inlineStr">
        <is>
          <t>금</t>
        </is>
      </c>
      <c r="D58" s="9" t="inlineStr">
        <is>
          <t>유튜브</t>
        </is>
      </c>
      <c r="K58" s="9" t="n">
        <v>3244447</v>
      </c>
    </row>
    <row r="59">
      <c r="B59" s="10" t="n">
        <v>44212</v>
      </c>
      <c r="C59" s="9" t="inlineStr">
        <is>
          <t>토</t>
        </is>
      </c>
      <c r="D59" s="9" t="inlineStr">
        <is>
          <t>페이스북</t>
        </is>
      </c>
      <c r="K59" s="9" t="n">
        <v>800693</v>
      </c>
    </row>
    <row r="60">
      <c r="B60" s="10" t="n">
        <v>44212</v>
      </c>
      <c r="C60" s="9" t="inlineStr">
        <is>
          <t>토</t>
        </is>
      </c>
      <c r="D60" s="9" t="inlineStr">
        <is>
          <t>네이버 검색</t>
        </is>
      </c>
      <c r="K60" s="9">
        <f>4235/1.1</f>
        <v/>
      </c>
    </row>
    <row r="61">
      <c r="B61" s="10" t="n">
        <v>44212</v>
      </c>
      <c r="C61" s="9" t="inlineStr">
        <is>
          <t>토</t>
        </is>
      </c>
      <c r="D61" s="9" t="inlineStr">
        <is>
          <t>네이버 GFA</t>
        </is>
      </c>
      <c r="K61" s="9" t="n">
        <v>0</v>
      </c>
    </row>
    <row r="62">
      <c r="B62" s="10" t="n">
        <v>44212</v>
      </c>
      <c r="C62" s="9" t="inlineStr">
        <is>
          <t>토</t>
        </is>
      </c>
      <c r="D62" s="9" t="inlineStr">
        <is>
          <t>유튜브</t>
        </is>
      </c>
      <c r="K62" s="9" t="n">
        <v>114461</v>
      </c>
    </row>
    <row r="63">
      <c r="B63" s="10" t="n">
        <v>44213</v>
      </c>
      <c r="C63" s="9" t="inlineStr">
        <is>
          <t>일</t>
        </is>
      </c>
      <c r="D63" s="9" t="inlineStr">
        <is>
          <t>페이스북</t>
        </is>
      </c>
      <c r="K63" s="9" t="n">
        <v>921553</v>
      </c>
    </row>
    <row r="64">
      <c r="B64" s="10" t="n">
        <v>44213</v>
      </c>
      <c r="C64" s="9" t="inlineStr">
        <is>
          <t>일</t>
        </is>
      </c>
      <c r="D64" s="9" t="inlineStr">
        <is>
          <t>네이버 검색</t>
        </is>
      </c>
      <c r="K64" s="9">
        <f>3773/1.1</f>
        <v/>
      </c>
    </row>
    <row r="65">
      <c r="B65" s="10" t="n">
        <v>44213</v>
      </c>
      <c r="C65" s="9" t="inlineStr">
        <is>
          <t>일</t>
        </is>
      </c>
      <c r="D65" s="9" t="inlineStr">
        <is>
          <t>네이버 GFA</t>
        </is>
      </c>
      <c r="K65" s="9" t="n">
        <v>0</v>
      </c>
    </row>
    <row r="66">
      <c r="B66" s="10" t="n">
        <v>44213</v>
      </c>
      <c r="C66" s="9" t="inlineStr">
        <is>
          <t>일</t>
        </is>
      </c>
      <c r="D66" s="9" t="inlineStr">
        <is>
          <t>유튜브</t>
        </is>
      </c>
      <c r="K66" s="9" t="n">
        <v>0</v>
      </c>
    </row>
    <row r="67">
      <c r="B67" s="10" t="n">
        <v>44214</v>
      </c>
      <c r="C67" s="9" t="inlineStr">
        <is>
          <t>월</t>
        </is>
      </c>
      <c r="D67" s="9" t="inlineStr">
        <is>
          <t>페이스북</t>
        </is>
      </c>
      <c r="K67" s="9" t="n">
        <v>514666</v>
      </c>
    </row>
    <row r="68">
      <c r="B68" s="10" t="n">
        <v>44214</v>
      </c>
      <c r="C68" s="9" t="inlineStr">
        <is>
          <t>월</t>
        </is>
      </c>
      <c r="D68" s="9" t="inlineStr">
        <is>
          <t>네이버 검색</t>
        </is>
      </c>
      <c r="K68" s="9">
        <f>10549/1.1</f>
        <v/>
      </c>
    </row>
    <row r="69">
      <c r="B69" s="10" t="n">
        <v>44214</v>
      </c>
      <c r="C69" s="9" t="inlineStr">
        <is>
          <t>월</t>
        </is>
      </c>
      <c r="D69" s="9" t="inlineStr">
        <is>
          <t>네이버 GFA</t>
        </is>
      </c>
      <c r="K69" s="9" t="n">
        <v>0</v>
      </c>
    </row>
    <row r="70">
      <c r="B70" s="10" t="n">
        <v>44214</v>
      </c>
      <c r="C70" s="9" t="inlineStr">
        <is>
          <t>월</t>
        </is>
      </c>
      <c r="D70" s="9" t="inlineStr">
        <is>
          <t>유튜브</t>
        </is>
      </c>
      <c r="K70" s="9" t="n">
        <v>2021237</v>
      </c>
    </row>
    <row r="71">
      <c r="B71" s="10" t="n">
        <v>44215</v>
      </c>
      <c r="C71" s="9" t="inlineStr">
        <is>
          <t>화</t>
        </is>
      </c>
      <c r="D71" s="9" t="inlineStr">
        <is>
          <t>페이스북</t>
        </is>
      </c>
      <c r="K71" s="9" t="n">
        <v>502101</v>
      </c>
    </row>
    <row r="72">
      <c r="B72" s="10" t="n">
        <v>44215</v>
      </c>
      <c r="C72" s="9" t="inlineStr">
        <is>
          <t>화</t>
        </is>
      </c>
      <c r="D72" s="9" t="inlineStr">
        <is>
          <t>네이버 검색</t>
        </is>
      </c>
      <c r="K72" s="9">
        <f>11011/1.1</f>
        <v/>
      </c>
    </row>
    <row r="73">
      <c r="B73" s="10" t="n">
        <v>44215</v>
      </c>
      <c r="C73" s="9" t="inlineStr">
        <is>
          <t>화</t>
        </is>
      </c>
      <c r="D73" s="9" t="inlineStr">
        <is>
          <t>네이버 GFA</t>
        </is>
      </c>
      <c r="K73" s="9" t="n">
        <v>0</v>
      </c>
    </row>
    <row r="74">
      <c r="B74" s="10" t="n">
        <v>44215</v>
      </c>
      <c r="C74" s="9" t="inlineStr">
        <is>
          <t>화</t>
        </is>
      </c>
      <c r="D74" s="9" t="inlineStr">
        <is>
          <t>유튜브</t>
        </is>
      </c>
      <c r="K74" s="9" t="n">
        <v>2024932</v>
      </c>
    </row>
    <row r="75">
      <c r="B75" s="10" t="n">
        <v>44216</v>
      </c>
      <c r="C75" s="9" t="inlineStr">
        <is>
          <t>수</t>
        </is>
      </c>
      <c r="D75" s="9" t="inlineStr">
        <is>
          <t>페이스북</t>
        </is>
      </c>
      <c r="K75" s="9" t="n">
        <v>497567</v>
      </c>
    </row>
    <row r="76">
      <c r="B76" s="10" t="n">
        <v>44216</v>
      </c>
      <c r="C76" s="9" t="inlineStr">
        <is>
          <t>수</t>
        </is>
      </c>
      <c r="D76" s="9" t="inlineStr">
        <is>
          <t>네이버 검색</t>
        </is>
      </c>
      <c r="K76" s="9">
        <f>10472/1.1</f>
        <v/>
      </c>
    </row>
    <row r="77">
      <c r="B77" s="10" t="n">
        <v>44216</v>
      </c>
      <c r="C77" s="9" t="inlineStr">
        <is>
          <t>수</t>
        </is>
      </c>
      <c r="D77" s="9" t="inlineStr">
        <is>
          <t>네이버 GFA</t>
        </is>
      </c>
      <c r="K77" s="9" t="n">
        <v>0</v>
      </c>
    </row>
    <row r="78">
      <c r="B78" s="10" t="n">
        <v>44216</v>
      </c>
      <c r="C78" s="9" t="inlineStr">
        <is>
          <t>수</t>
        </is>
      </c>
      <c r="D78" s="9" t="inlineStr">
        <is>
          <t>유튜브</t>
        </is>
      </c>
      <c r="K78" s="9" t="n">
        <v>2062343</v>
      </c>
    </row>
    <row r="79">
      <c r="B79" s="10" t="n">
        <v>44217</v>
      </c>
      <c r="C79" s="9" t="inlineStr">
        <is>
          <t>목</t>
        </is>
      </c>
      <c r="D79" s="9" t="inlineStr">
        <is>
          <t>페이스북</t>
        </is>
      </c>
      <c r="K79" s="9" t="n">
        <v>467488</v>
      </c>
    </row>
    <row r="80">
      <c r="B80" s="10" t="n">
        <v>44217</v>
      </c>
      <c r="C80" s="9" t="inlineStr">
        <is>
          <t>목</t>
        </is>
      </c>
      <c r="D80" s="9" t="inlineStr">
        <is>
          <t>네이버 검색</t>
        </is>
      </c>
      <c r="K80" s="9">
        <f>12089/1.1</f>
        <v/>
      </c>
    </row>
    <row r="81">
      <c r="B81" s="10" t="n">
        <v>44217</v>
      </c>
      <c r="C81" s="9" t="inlineStr">
        <is>
          <t>목</t>
        </is>
      </c>
      <c r="D81" s="9" t="inlineStr">
        <is>
          <t>네이버 GFA</t>
        </is>
      </c>
      <c r="K81" s="9" t="n">
        <v>0</v>
      </c>
    </row>
    <row r="82">
      <c r="B82" s="10" t="n">
        <v>44217</v>
      </c>
      <c r="C82" s="9" t="inlineStr">
        <is>
          <t>목</t>
        </is>
      </c>
      <c r="D82" s="9" t="inlineStr">
        <is>
          <t>유튜브</t>
        </is>
      </c>
      <c r="K82" s="9" t="n">
        <v>2041421</v>
      </c>
    </row>
    <row r="83">
      <c r="B83" s="10" t="n">
        <v>44218</v>
      </c>
      <c r="C83" s="9" t="inlineStr">
        <is>
          <t>금</t>
        </is>
      </c>
      <c r="D83" s="9" t="inlineStr">
        <is>
          <t>페이스북</t>
        </is>
      </c>
      <c r="K83" s="9" t="n">
        <v>472659</v>
      </c>
    </row>
    <row r="84">
      <c r="B84" s="10" t="n">
        <v>44218</v>
      </c>
      <c r="C84" s="9" t="inlineStr">
        <is>
          <t>금</t>
        </is>
      </c>
      <c r="D84" s="9" t="inlineStr">
        <is>
          <t>네이버 검색</t>
        </is>
      </c>
      <c r="K84" s="9">
        <f>26521/1.1</f>
        <v/>
      </c>
    </row>
    <row r="85">
      <c r="B85" s="10" t="n">
        <v>44218</v>
      </c>
      <c r="C85" s="9" t="inlineStr">
        <is>
          <t>금</t>
        </is>
      </c>
      <c r="D85" s="9" t="inlineStr">
        <is>
          <t>네이버 GFA</t>
        </is>
      </c>
      <c r="K85" s="9" t="n">
        <v>0</v>
      </c>
    </row>
    <row r="86">
      <c r="B86" s="10" t="n">
        <v>44218</v>
      </c>
      <c r="C86" s="9" t="inlineStr">
        <is>
          <t>금</t>
        </is>
      </c>
      <c r="D86" s="9" t="inlineStr">
        <is>
          <t>유튜브</t>
        </is>
      </c>
      <c r="K86" s="9" t="n">
        <v>2006058</v>
      </c>
    </row>
    <row r="87">
      <c r="B87" s="10" t="n">
        <v>44219</v>
      </c>
      <c r="C87" s="9" t="inlineStr">
        <is>
          <t>토</t>
        </is>
      </c>
      <c r="D87" s="9" t="inlineStr">
        <is>
          <t>페이스북</t>
        </is>
      </c>
      <c r="K87" s="9" t="n">
        <v>513353</v>
      </c>
    </row>
    <row r="88">
      <c r="B88" s="10" t="n">
        <v>44219</v>
      </c>
      <c r="C88" s="9" t="inlineStr">
        <is>
          <t>토</t>
        </is>
      </c>
      <c r="D88" s="9" t="inlineStr">
        <is>
          <t>네이버 검색</t>
        </is>
      </c>
      <c r="K88" s="9">
        <f>33880/1.1</f>
        <v/>
      </c>
    </row>
    <row r="89">
      <c r="B89" s="10" t="n">
        <v>44219</v>
      </c>
      <c r="C89" s="9" t="inlineStr">
        <is>
          <t>토</t>
        </is>
      </c>
      <c r="D89" s="9" t="inlineStr">
        <is>
          <t>네이버 GFA</t>
        </is>
      </c>
      <c r="K89" s="9" t="n">
        <v>0</v>
      </c>
    </row>
    <row r="90">
      <c r="B90" s="10" t="n">
        <v>44219</v>
      </c>
      <c r="C90" s="9" t="inlineStr">
        <is>
          <t>토</t>
        </is>
      </c>
      <c r="D90" s="9" t="inlineStr">
        <is>
          <t>유튜브</t>
        </is>
      </c>
      <c r="K90" s="9" t="n">
        <v>2007111</v>
      </c>
    </row>
    <row r="91">
      <c r="B91" s="10" t="n">
        <v>44220</v>
      </c>
      <c r="C91" s="9" t="inlineStr">
        <is>
          <t>일</t>
        </is>
      </c>
      <c r="D91" s="9" t="inlineStr">
        <is>
          <t>페이스북</t>
        </is>
      </c>
      <c r="K91" s="9" t="n">
        <v>483137</v>
      </c>
    </row>
    <row r="92">
      <c r="B92" s="10" t="n">
        <v>44220</v>
      </c>
      <c r="C92" s="9" t="inlineStr">
        <is>
          <t>일</t>
        </is>
      </c>
      <c r="D92" s="9" t="inlineStr">
        <is>
          <t>네이버 검색</t>
        </is>
      </c>
      <c r="K92" s="9">
        <f>43087/1.1</f>
        <v/>
      </c>
    </row>
    <row r="93">
      <c r="B93" s="10" t="n">
        <v>44220</v>
      </c>
      <c r="C93" s="9" t="inlineStr">
        <is>
          <t>일</t>
        </is>
      </c>
      <c r="D93" s="9" t="inlineStr">
        <is>
          <t>네이버 GFA</t>
        </is>
      </c>
      <c r="K93" s="9" t="n">
        <v>0</v>
      </c>
    </row>
    <row r="94">
      <c r="B94" s="10" t="n">
        <v>44220</v>
      </c>
      <c r="C94" s="9" t="inlineStr">
        <is>
          <t>일</t>
        </is>
      </c>
      <c r="D94" s="9" t="inlineStr">
        <is>
          <t>유튜브</t>
        </is>
      </c>
      <c r="K94" s="9" t="n">
        <v>2013438</v>
      </c>
    </row>
    <row r="95">
      <c r="B95" s="10" t="n">
        <v>44221</v>
      </c>
      <c r="C95" s="9" t="inlineStr">
        <is>
          <t>월</t>
        </is>
      </c>
      <c r="D95" s="9" t="inlineStr">
        <is>
          <t>페이스북</t>
        </is>
      </c>
      <c r="K95" s="9" t="n">
        <v>413785</v>
      </c>
    </row>
    <row r="96">
      <c r="B96" s="10" t="n">
        <v>44221</v>
      </c>
      <c r="C96" s="9" t="inlineStr">
        <is>
          <t>월</t>
        </is>
      </c>
      <c r="D96" s="9" t="inlineStr">
        <is>
          <t>네이버 검색</t>
        </is>
      </c>
      <c r="K96" s="9">
        <f>33000/1.1</f>
        <v/>
      </c>
    </row>
    <row r="97">
      <c r="B97" s="10" t="n">
        <v>44221</v>
      </c>
      <c r="C97" s="9" t="inlineStr">
        <is>
          <t>월</t>
        </is>
      </c>
      <c r="D97" s="9" t="inlineStr">
        <is>
          <t>네이버 GFA</t>
        </is>
      </c>
      <c r="K97" s="9" t="n">
        <v>0</v>
      </c>
    </row>
    <row r="98">
      <c r="B98" s="10" t="n">
        <v>44221</v>
      </c>
      <c r="C98" s="9" t="inlineStr">
        <is>
          <t>월</t>
        </is>
      </c>
      <c r="D98" s="9" t="inlineStr">
        <is>
          <t>유튜브</t>
        </is>
      </c>
      <c r="K98" s="9" t="n">
        <v>2082144</v>
      </c>
    </row>
    <row r="99">
      <c r="B99" s="10" t="n">
        <v>44222</v>
      </c>
      <c r="C99" s="9" t="inlineStr">
        <is>
          <t>화</t>
        </is>
      </c>
      <c r="D99" s="9" t="inlineStr">
        <is>
          <t>페이스북</t>
        </is>
      </c>
      <c r="K99" s="9" t="n">
        <v>399532</v>
      </c>
    </row>
    <row r="100">
      <c r="B100" s="10" t="n">
        <v>44222</v>
      </c>
      <c r="C100" s="9" t="inlineStr">
        <is>
          <t>화</t>
        </is>
      </c>
      <c r="D100" s="9" t="inlineStr">
        <is>
          <t>네이버 검색</t>
        </is>
      </c>
      <c r="K100" s="9">
        <f>59686/1.1</f>
        <v/>
      </c>
    </row>
    <row r="101">
      <c r="B101" s="10" t="n">
        <v>44222</v>
      </c>
      <c r="C101" s="9" t="inlineStr">
        <is>
          <t>화</t>
        </is>
      </c>
      <c r="D101" s="9" t="inlineStr">
        <is>
          <t>네이버 GFA</t>
        </is>
      </c>
      <c r="K101" s="9" t="n">
        <v>0</v>
      </c>
    </row>
    <row r="102">
      <c r="B102" s="10" t="n">
        <v>44222</v>
      </c>
      <c r="C102" s="9" t="inlineStr">
        <is>
          <t>화</t>
        </is>
      </c>
      <c r="D102" s="9" t="inlineStr">
        <is>
          <t>유튜브</t>
        </is>
      </c>
      <c r="K102" s="9" t="n">
        <v>2040635</v>
      </c>
    </row>
    <row r="103">
      <c r="B103" s="10" t="n">
        <v>44222</v>
      </c>
      <c r="C103" s="9" t="inlineStr">
        <is>
          <t>화</t>
        </is>
      </c>
      <c r="D103" s="9" t="inlineStr">
        <is>
          <t>구글 검색</t>
        </is>
      </c>
      <c r="K103" s="9" t="n">
        <v>31188</v>
      </c>
    </row>
    <row r="104">
      <c r="B104" s="10" t="n">
        <v>44222</v>
      </c>
      <c r="C104" s="9" t="inlineStr">
        <is>
          <t>화</t>
        </is>
      </c>
      <c r="D104" s="9" t="inlineStr">
        <is>
          <t>카카오 플친</t>
        </is>
      </c>
      <c r="K104" s="9">
        <f>71808/1.1</f>
        <v/>
      </c>
    </row>
    <row r="105">
      <c r="B105" s="10" t="n">
        <v>44223</v>
      </c>
      <c r="C105" s="9" t="inlineStr">
        <is>
          <t>수</t>
        </is>
      </c>
      <c r="D105" s="9" t="inlineStr">
        <is>
          <t>페이스북</t>
        </is>
      </c>
      <c r="K105" s="9" t="n">
        <v>421014</v>
      </c>
    </row>
    <row r="106">
      <c r="B106" s="10" t="n">
        <v>44223</v>
      </c>
      <c r="C106" s="9" t="inlineStr">
        <is>
          <t>수</t>
        </is>
      </c>
      <c r="D106" s="9" t="inlineStr">
        <is>
          <t>네이버 검색</t>
        </is>
      </c>
      <c r="K106" s="9">
        <f>105479/1.1</f>
        <v/>
      </c>
    </row>
    <row r="107">
      <c r="B107" s="10" t="n">
        <v>44223</v>
      </c>
      <c r="C107" s="9" t="inlineStr">
        <is>
          <t>수</t>
        </is>
      </c>
      <c r="D107" s="9" t="inlineStr">
        <is>
          <t>네이버 GFA</t>
        </is>
      </c>
      <c r="K107" s="9" t="n">
        <v>0</v>
      </c>
    </row>
    <row r="108">
      <c r="B108" s="10" t="n">
        <v>44223</v>
      </c>
      <c r="C108" s="9" t="inlineStr">
        <is>
          <t>수</t>
        </is>
      </c>
      <c r="D108" s="9" t="inlineStr">
        <is>
          <t>유튜브</t>
        </is>
      </c>
      <c r="K108" s="9" t="n">
        <v>2042870</v>
      </c>
    </row>
    <row r="109">
      <c r="B109" s="10" t="n">
        <v>44223</v>
      </c>
      <c r="C109" s="9" t="inlineStr">
        <is>
          <t>수</t>
        </is>
      </c>
      <c r="D109" s="9" t="inlineStr">
        <is>
          <t>구글 검색</t>
        </is>
      </c>
      <c r="K109" s="9" t="n">
        <v>31242</v>
      </c>
    </row>
    <row r="110">
      <c r="B110" s="10" t="n">
        <v>44223</v>
      </c>
      <c r="C110" s="9" t="inlineStr">
        <is>
          <t>수</t>
        </is>
      </c>
      <c r="D110" s="9" t="inlineStr">
        <is>
          <t>카카오 플친</t>
        </is>
      </c>
      <c r="K110" s="9">
        <f>2129/1.1</f>
        <v/>
      </c>
    </row>
    <row r="111">
      <c r="B111" s="10" t="n">
        <v>44224</v>
      </c>
      <c r="C111" s="9" t="inlineStr">
        <is>
          <t>목</t>
        </is>
      </c>
      <c r="D111" s="9" t="inlineStr">
        <is>
          <t>페이스북</t>
        </is>
      </c>
      <c r="K111" s="9" t="n">
        <v>440888</v>
      </c>
    </row>
    <row r="112">
      <c r="B112" s="10" t="n">
        <v>44224</v>
      </c>
      <c r="C112" s="9" t="inlineStr">
        <is>
          <t>목</t>
        </is>
      </c>
      <c r="D112" s="9" t="inlineStr">
        <is>
          <t>네이버 검색</t>
        </is>
      </c>
      <c r="K112" s="9" t="n">
        <v>110810</v>
      </c>
    </row>
    <row r="113">
      <c r="B113" s="10" t="n">
        <v>44224</v>
      </c>
      <c r="C113" s="9" t="inlineStr">
        <is>
          <t>목</t>
        </is>
      </c>
      <c r="D113" s="9" t="inlineStr">
        <is>
          <t>네이버 GFA</t>
        </is>
      </c>
      <c r="K113" s="9" t="n">
        <v>0</v>
      </c>
    </row>
    <row r="114">
      <c r="B114" s="10" t="n">
        <v>44224</v>
      </c>
      <c r="C114" s="9" t="inlineStr">
        <is>
          <t>목</t>
        </is>
      </c>
      <c r="D114" s="9" t="inlineStr">
        <is>
          <t>유튜브</t>
        </is>
      </c>
      <c r="K114" s="9" t="n">
        <v>2561925</v>
      </c>
    </row>
    <row r="115">
      <c r="B115" s="10" t="n">
        <v>44224</v>
      </c>
      <c r="C115" s="9" t="inlineStr">
        <is>
          <t>목</t>
        </is>
      </c>
      <c r="D115" s="9" t="inlineStr">
        <is>
          <t>구글 검색</t>
        </is>
      </c>
      <c r="K115" s="9" t="n">
        <v>30672</v>
      </c>
    </row>
    <row r="116">
      <c r="B116" s="10" t="n">
        <v>44224</v>
      </c>
      <c r="C116" s="9" t="inlineStr">
        <is>
          <t>목</t>
        </is>
      </c>
      <c r="D116" s="9" t="inlineStr">
        <is>
          <t>카카오 플친</t>
        </is>
      </c>
      <c r="K116" s="9">
        <f>1832/1.1</f>
        <v/>
      </c>
    </row>
    <row r="117">
      <c r="B117" s="10" t="n">
        <v>44224</v>
      </c>
      <c r="C117" s="9" t="inlineStr">
        <is>
          <t>목</t>
        </is>
      </c>
      <c r="D117" s="9" t="inlineStr">
        <is>
          <t>GDN</t>
        </is>
      </c>
      <c r="K117" s="9" t="n">
        <v>65580</v>
      </c>
    </row>
    <row r="118">
      <c r="B118" s="10" t="n">
        <v>44225</v>
      </c>
      <c r="C118" s="9" t="inlineStr">
        <is>
          <t>금</t>
        </is>
      </c>
      <c r="D118" s="9" t="inlineStr">
        <is>
          <t>페이스북</t>
        </is>
      </c>
      <c r="K118" s="9" t="n">
        <v>436444</v>
      </c>
    </row>
    <row r="119">
      <c r="B119" s="10" t="n">
        <v>44225</v>
      </c>
      <c r="C119" s="9" t="inlineStr">
        <is>
          <t>금</t>
        </is>
      </c>
      <c r="D119" s="9" t="inlineStr">
        <is>
          <t>네이버 검색</t>
        </is>
      </c>
      <c r="K119" s="9">
        <f>74371/1.1</f>
        <v/>
      </c>
    </row>
    <row r="120">
      <c r="B120" s="10" t="n">
        <v>44225</v>
      </c>
      <c r="C120" s="9" t="inlineStr">
        <is>
          <t>금</t>
        </is>
      </c>
      <c r="D120" s="9" t="inlineStr">
        <is>
          <t>네이버 GFA</t>
        </is>
      </c>
      <c r="K120" s="9" t="n">
        <v>0</v>
      </c>
    </row>
    <row r="121">
      <c r="B121" s="10" t="n">
        <v>44225</v>
      </c>
      <c r="C121" s="9" t="inlineStr">
        <is>
          <t>금</t>
        </is>
      </c>
      <c r="D121" s="9" t="inlineStr">
        <is>
          <t>유튜브</t>
        </is>
      </c>
      <c r="K121" s="9" t="n">
        <v>2472851</v>
      </c>
    </row>
    <row r="122">
      <c r="B122" s="10" t="n">
        <v>44225</v>
      </c>
      <c r="C122" s="9" t="inlineStr">
        <is>
          <t>금</t>
        </is>
      </c>
      <c r="D122" s="9" t="inlineStr">
        <is>
          <t>구글 검색</t>
        </is>
      </c>
      <c r="K122" s="9" t="n">
        <v>13563</v>
      </c>
    </row>
    <row r="123">
      <c r="B123" s="10" t="n">
        <v>44225</v>
      </c>
      <c r="C123" s="9" t="inlineStr">
        <is>
          <t>금</t>
        </is>
      </c>
      <c r="D123" s="9" t="inlineStr">
        <is>
          <t>카카오 플친</t>
        </is>
      </c>
      <c r="K123" s="9">
        <f>80041/1.1</f>
        <v/>
      </c>
    </row>
    <row r="124">
      <c r="B124" s="10" t="n">
        <v>44225</v>
      </c>
      <c r="C124" s="9" t="inlineStr">
        <is>
          <t>금</t>
        </is>
      </c>
      <c r="D124" s="9" t="inlineStr">
        <is>
          <t>GDN</t>
        </is>
      </c>
      <c r="K124" s="9" t="n">
        <v>344068</v>
      </c>
    </row>
    <row r="125">
      <c r="B125" s="10" t="n">
        <v>44226</v>
      </c>
      <c r="C125" s="9" t="inlineStr">
        <is>
          <t>토</t>
        </is>
      </c>
      <c r="D125" s="9" t="inlineStr">
        <is>
          <t>페이스북</t>
        </is>
      </c>
      <c r="K125" s="9" t="n">
        <v>416119</v>
      </c>
    </row>
    <row r="126">
      <c r="B126" s="10" t="n">
        <v>44226</v>
      </c>
      <c r="C126" s="9" t="inlineStr">
        <is>
          <t>토</t>
        </is>
      </c>
      <c r="D126" s="9" t="inlineStr">
        <is>
          <t>네이버 검색</t>
        </is>
      </c>
      <c r="K126" s="9">
        <f>34056/1.1</f>
        <v/>
      </c>
    </row>
    <row r="127">
      <c r="B127" s="10" t="n">
        <v>44226</v>
      </c>
      <c r="C127" s="9" t="inlineStr">
        <is>
          <t>토</t>
        </is>
      </c>
      <c r="D127" s="9" t="inlineStr">
        <is>
          <t>네이버 GFA</t>
        </is>
      </c>
      <c r="K127" s="9" t="n">
        <v>0</v>
      </c>
    </row>
    <row r="128">
      <c r="B128" s="10" t="n">
        <v>44226</v>
      </c>
      <c r="C128" s="9" t="inlineStr">
        <is>
          <t>토</t>
        </is>
      </c>
      <c r="D128" s="9" t="inlineStr">
        <is>
          <t>유튜브</t>
        </is>
      </c>
      <c r="K128" s="9" t="n">
        <v>2367565</v>
      </c>
    </row>
    <row r="129">
      <c r="B129" s="10" t="n">
        <v>44226</v>
      </c>
      <c r="C129" s="9" t="inlineStr">
        <is>
          <t>토</t>
        </is>
      </c>
      <c r="D129" s="9" t="inlineStr">
        <is>
          <t>구글 검색</t>
        </is>
      </c>
      <c r="K129" s="9" t="n">
        <v>1647</v>
      </c>
    </row>
    <row r="130">
      <c r="B130" s="10" t="n">
        <v>44226</v>
      </c>
      <c r="C130" s="9" t="inlineStr">
        <is>
          <t>토</t>
        </is>
      </c>
      <c r="D130" s="9" t="inlineStr">
        <is>
          <t>카카오 플친</t>
        </is>
      </c>
      <c r="K130" s="9" t="n">
        <v>0</v>
      </c>
    </row>
    <row r="131">
      <c r="B131" s="10" t="n">
        <v>44226</v>
      </c>
      <c r="C131" s="9" t="inlineStr">
        <is>
          <t>토</t>
        </is>
      </c>
      <c r="D131" s="9" t="inlineStr">
        <is>
          <t>GDN</t>
        </is>
      </c>
      <c r="K131" s="9" t="n">
        <v>576895</v>
      </c>
    </row>
    <row r="132">
      <c r="B132" s="10" t="n">
        <v>44227</v>
      </c>
      <c r="C132" s="9" t="inlineStr">
        <is>
          <t>일</t>
        </is>
      </c>
      <c r="D132" s="9" t="inlineStr">
        <is>
          <t>페이스북</t>
        </is>
      </c>
      <c r="K132" s="9" t="n">
        <v>251292</v>
      </c>
    </row>
    <row r="133">
      <c r="B133" s="10" t="n">
        <v>44227</v>
      </c>
      <c r="C133" s="9" t="inlineStr">
        <is>
          <t>일</t>
        </is>
      </c>
      <c r="D133" s="9" t="inlineStr">
        <is>
          <t>네이버 검색</t>
        </is>
      </c>
      <c r="K133" s="9">
        <f>31768/1.1</f>
        <v/>
      </c>
    </row>
    <row r="134">
      <c r="B134" s="10" t="n">
        <v>44227</v>
      </c>
      <c r="C134" s="9" t="inlineStr">
        <is>
          <t>일</t>
        </is>
      </c>
      <c r="D134" s="9" t="inlineStr">
        <is>
          <t>네이버 GFA</t>
        </is>
      </c>
      <c r="K134" s="9" t="n">
        <v>0</v>
      </c>
    </row>
    <row r="135">
      <c r="B135" s="10" t="n">
        <v>44227</v>
      </c>
      <c r="C135" s="9" t="inlineStr">
        <is>
          <t>일</t>
        </is>
      </c>
      <c r="D135" s="9" t="inlineStr">
        <is>
          <t>유튜브</t>
        </is>
      </c>
      <c r="K135" s="9" t="n">
        <v>2366105</v>
      </c>
    </row>
    <row r="136">
      <c r="B136" s="10" t="n">
        <v>44227</v>
      </c>
      <c r="C136" s="9" t="inlineStr">
        <is>
          <t>일</t>
        </is>
      </c>
      <c r="D136" s="9" t="inlineStr">
        <is>
          <t>구글 검색</t>
        </is>
      </c>
      <c r="K136" s="9" t="n">
        <v>842</v>
      </c>
    </row>
    <row r="137">
      <c r="B137" s="10" t="n">
        <v>44227</v>
      </c>
      <c r="C137" s="9" t="inlineStr">
        <is>
          <t>일</t>
        </is>
      </c>
      <c r="D137" s="9" t="inlineStr">
        <is>
          <t>카카오 플친</t>
        </is>
      </c>
      <c r="K137" s="9" t="n">
        <v>0</v>
      </c>
    </row>
    <row r="138">
      <c r="B138" s="10" t="n">
        <v>44227</v>
      </c>
      <c r="C138" s="9" t="inlineStr">
        <is>
          <t>일</t>
        </is>
      </c>
      <c r="D138" s="9" t="inlineStr">
        <is>
          <t>GDN</t>
        </is>
      </c>
      <c r="K138" s="9" t="n">
        <v>329251</v>
      </c>
    </row>
    <row r="139">
      <c r="B139" s="10" t="n">
        <v>44228</v>
      </c>
      <c r="C139" s="9" t="inlineStr">
        <is>
          <t>월</t>
        </is>
      </c>
      <c r="D139" s="9" t="inlineStr">
        <is>
          <t>페이스북</t>
        </is>
      </c>
      <c r="K139" s="9" t="n">
        <v>248561</v>
      </c>
    </row>
    <row r="140">
      <c r="B140" s="10" t="n">
        <v>44228</v>
      </c>
      <c r="C140" s="9" t="inlineStr">
        <is>
          <t>월</t>
        </is>
      </c>
      <c r="D140" s="9" t="inlineStr">
        <is>
          <t>네이버 검색</t>
        </is>
      </c>
      <c r="K140" s="9">
        <f>38918/1.1</f>
        <v/>
      </c>
    </row>
    <row r="141">
      <c r="B141" s="10" t="n">
        <v>44228</v>
      </c>
      <c r="C141" s="9" t="inlineStr">
        <is>
          <t>월</t>
        </is>
      </c>
      <c r="D141" s="9" t="inlineStr">
        <is>
          <t>유튜브</t>
        </is>
      </c>
      <c r="K141" s="9" t="n">
        <v>3379340</v>
      </c>
    </row>
    <row r="142">
      <c r="B142" s="10" t="n">
        <v>44228</v>
      </c>
      <c r="C142" s="9" t="inlineStr">
        <is>
          <t>월</t>
        </is>
      </c>
      <c r="D142" s="9" t="inlineStr">
        <is>
          <t>구글 검색</t>
        </is>
      </c>
      <c r="K142" s="9" t="n">
        <v>3952</v>
      </c>
    </row>
    <row r="143">
      <c r="B143" s="10" t="n">
        <v>44228</v>
      </c>
      <c r="C143" s="9" t="inlineStr">
        <is>
          <t>월</t>
        </is>
      </c>
      <c r="D143" s="9" t="inlineStr">
        <is>
          <t>GDN</t>
        </is>
      </c>
      <c r="K143" s="9" t="n">
        <v>509390</v>
      </c>
    </row>
    <row r="144">
      <c r="B144" s="10" t="n">
        <v>44229</v>
      </c>
      <c r="C144" s="9" t="inlineStr">
        <is>
          <t>화</t>
        </is>
      </c>
      <c r="D144" s="9" t="inlineStr">
        <is>
          <t>페이스북</t>
        </is>
      </c>
      <c r="K144" s="9" t="n">
        <v>240415</v>
      </c>
    </row>
    <row r="145">
      <c r="B145" s="10" t="n">
        <v>44229</v>
      </c>
      <c r="C145" s="9" t="inlineStr">
        <is>
          <t>화</t>
        </is>
      </c>
      <c r="D145" s="9" t="inlineStr">
        <is>
          <t>네이버 검색</t>
        </is>
      </c>
      <c r="K145" s="9">
        <f>41789/1.1</f>
        <v/>
      </c>
    </row>
    <row r="146">
      <c r="B146" s="10" t="n">
        <v>44229</v>
      </c>
      <c r="C146" s="9" t="inlineStr">
        <is>
          <t>화</t>
        </is>
      </c>
      <c r="D146" s="9" t="inlineStr">
        <is>
          <t>유튜브</t>
        </is>
      </c>
      <c r="K146" s="9" t="n">
        <v>3012864</v>
      </c>
    </row>
    <row r="147">
      <c r="B147" s="10" t="n">
        <v>44229</v>
      </c>
      <c r="C147" s="9" t="inlineStr">
        <is>
          <t>화</t>
        </is>
      </c>
      <c r="D147" s="9" t="inlineStr">
        <is>
          <t>구글 검색</t>
        </is>
      </c>
      <c r="K147" s="9" t="n">
        <v>11354</v>
      </c>
    </row>
    <row r="148">
      <c r="B148" s="10" t="n">
        <v>44229</v>
      </c>
      <c r="C148" s="9" t="inlineStr">
        <is>
          <t>화</t>
        </is>
      </c>
      <c r="D148" s="9" t="inlineStr">
        <is>
          <t>GDN</t>
        </is>
      </c>
      <c r="K148" s="9" t="n">
        <v>652639</v>
      </c>
    </row>
    <row r="149">
      <c r="B149" s="10" t="n">
        <v>44230</v>
      </c>
      <c r="C149" s="9" t="inlineStr">
        <is>
          <t>수</t>
        </is>
      </c>
      <c r="D149" s="9" t="inlineStr">
        <is>
          <t>페이스북</t>
        </is>
      </c>
      <c r="K149" s="9" t="n">
        <v>248918</v>
      </c>
    </row>
    <row r="150">
      <c r="B150" s="10" t="n">
        <v>44230</v>
      </c>
      <c r="C150" s="9" t="inlineStr">
        <is>
          <t>수</t>
        </is>
      </c>
      <c r="D150" s="9" t="inlineStr">
        <is>
          <t>네이버 검색</t>
        </is>
      </c>
      <c r="K150" s="9">
        <f>108713/1.1</f>
        <v/>
      </c>
    </row>
    <row r="151">
      <c r="B151" s="10" t="n">
        <v>44230</v>
      </c>
      <c r="C151" s="9" t="inlineStr">
        <is>
          <t>수</t>
        </is>
      </c>
      <c r="D151" s="9" t="inlineStr">
        <is>
          <t>유튜브</t>
        </is>
      </c>
      <c r="K151" s="9" t="n">
        <v>2797171</v>
      </c>
    </row>
    <row r="152">
      <c r="B152" s="10" t="n">
        <v>44230</v>
      </c>
      <c r="C152" s="9" t="inlineStr">
        <is>
          <t>수</t>
        </is>
      </c>
      <c r="D152" s="9" t="inlineStr">
        <is>
          <t>구글 검색</t>
        </is>
      </c>
      <c r="K152" s="9" t="n">
        <v>1726</v>
      </c>
    </row>
    <row r="153">
      <c r="B153" s="10" t="n">
        <v>44230</v>
      </c>
      <c r="C153" s="9" t="inlineStr">
        <is>
          <t>수</t>
        </is>
      </c>
      <c r="D153" s="9" t="inlineStr">
        <is>
          <t>GDN</t>
        </is>
      </c>
      <c r="K153" s="9" t="n">
        <v>483827</v>
      </c>
    </row>
    <row r="154">
      <c r="B154" s="10" t="n">
        <v>44231</v>
      </c>
      <c r="C154" s="9" t="inlineStr">
        <is>
          <t>목</t>
        </is>
      </c>
      <c r="D154" s="9" t="inlineStr">
        <is>
          <t>페이스북</t>
        </is>
      </c>
      <c r="K154" s="9" t="n">
        <v>257393</v>
      </c>
    </row>
    <row r="155">
      <c r="B155" s="10" t="n">
        <v>44231</v>
      </c>
      <c r="C155" s="9" t="inlineStr">
        <is>
          <t>목</t>
        </is>
      </c>
      <c r="D155" s="9" t="inlineStr">
        <is>
          <t>네이버 검색</t>
        </is>
      </c>
      <c r="K155" s="9">
        <f>75603/1.1</f>
        <v/>
      </c>
    </row>
    <row r="156">
      <c r="B156" s="10" t="n">
        <v>44231</v>
      </c>
      <c r="C156" s="9" t="inlineStr">
        <is>
          <t>목</t>
        </is>
      </c>
      <c r="D156" s="9" t="inlineStr">
        <is>
          <t>네이버 GFA</t>
        </is>
      </c>
      <c r="K156" s="9">
        <f>62975/1.1</f>
        <v/>
      </c>
    </row>
    <row r="157">
      <c r="B157" s="10" t="n">
        <v>44231</v>
      </c>
      <c r="C157" s="9" t="inlineStr">
        <is>
          <t>목</t>
        </is>
      </c>
      <c r="D157" s="9" t="inlineStr">
        <is>
          <t>유튜브</t>
        </is>
      </c>
      <c r="K157" s="9" t="n">
        <v>2737636</v>
      </c>
    </row>
    <row r="158">
      <c r="B158" s="10" t="n">
        <v>44231</v>
      </c>
      <c r="C158" s="9" t="inlineStr">
        <is>
          <t>목</t>
        </is>
      </c>
      <c r="D158" s="9" t="inlineStr">
        <is>
          <t>GDN</t>
        </is>
      </c>
      <c r="K158" s="9" t="n">
        <v>500262</v>
      </c>
    </row>
    <row r="159">
      <c r="B159" s="10" t="n">
        <v>44232</v>
      </c>
      <c r="C159" s="9" t="inlineStr">
        <is>
          <t>금</t>
        </is>
      </c>
      <c r="D159" s="9" t="inlineStr">
        <is>
          <t>페이스북</t>
        </is>
      </c>
      <c r="K159" s="9" t="n">
        <v>290408</v>
      </c>
    </row>
    <row r="160">
      <c r="B160" s="10" t="n">
        <v>44232</v>
      </c>
      <c r="C160" s="9" t="inlineStr">
        <is>
          <t>금</t>
        </is>
      </c>
      <c r="D160" s="9" t="inlineStr">
        <is>
          <t>네이버 검색</t>
        </is>
      </c>
      <c r="K160" s="9">
        <f>62359/1.1</f>
        <v/>
      </c>
    </row>
    <row r="161">
      <c r="B161" s="10" t="n">
        <v>44232</v>
      </c>
      <c r="C161" s="9" t="inlineStr">
        <is>
          <t>금</t>
        </is>
      </c>
      <c r="D161" s="9" t="inlineStr">
        <is>
          <t>네이버 GFA</t>
        </is>
      </c>
      <c r="K161" s="9">
        <f>20577/1.1</f>
        <v/>
      </c>
    </row>
    <row r="162">
      <c r="B162" s="10" t="n">
        <v>44232</v>
      </c>
      <c r="C162" s="9" t="inlineStr">
        <is>
          <t>금</t>
        </is>
      </c>
      <c r="D162" s="9" t="inlineStr">
        <is>
          <t>유튜브</t>
        </is>
      </c>
      <c r="K162" s="9" t="n">
        <v>2747045</v>
      </c>
    </row>
    <row r="163">
      <c r="B163" s="10" t="n">
        <v>44232</v>
      </c>
      <c r="C163" s="9" t="inlineStr">
        <is>
          <t>금</t>
        </is>
      </c>
      <c r="D163" s="9" t="inlineStr">
        <is>
          <t>GDN</t>
        </is>
      </c>
      <c r="K163" s="9" t="n">
        <v>444466</v>
      </c>
    </row>
    <row r="164">
      <c r="B164" s="10" t="n">
        <v>44233</v>
      </c>
      <c r="C164" s="9" t="inlineStr">
        <is>
          <t>토</t>
        </is>
      </c>
      <c r="D164" s="9" t="inlineStr">
        <is>
          <t>페이스북</t>
        </is>
      </c>
      <c r="K164" s="9" t="n">
        <v>491238</v>
      </c>
    </row>
    <row r="165">
      <c r="B165" s="10" t="n">
        <v>44233</v>
      </c>
      <c r="C165" s="9" t="inlineStr">
        <is>
          <t>토</t>
        </is>
      </c>
      <c r="D165" s="9" t="inlineStr">
        <is>
          <t>네이버 검색</t>
        </is>
      </c>
      <c r="K165" s="9">
        <f>(66737+154)/1.1</f>
        <v/>
      </c>
    </row>
    <row r="166">
      <c r="B166" s="10" t="n">
        <v>44233</v>
      </c>
      <c r="C166" s="9" t="inlineStr">
        <is>
          <t>토</t>
        </is>
      </c>
      <c r="D166" s="9" t="inlineStr">
        <is>
          <t>유튜브</t>
        </is>
      </c>
      <c r="K166" s="9" t="n">
        <v>3149357</v>
      </c>
    </row>
    <row r="167">
      <c r="B167" s="10" t="n">
        <v>44233</v>
      </c>
      <c r="C167" s="9" t="inlineStr">
        <is>
          <t>토</t>
        </is>
      </c>
      <c r="D167" s="9" t="inlineStr">
        <is>
          <t>GDN</t>
        </is>
      </c>
      <c r="K167" s="9" t="n">
        <v>1252202</v>
      </c>
    </row>
    <row r="168">
      <c r="B168" s="10" t="n">
        <v>44234</v>
      </c>
      <c r="C168" s="9" t="inlineStr">
        <is>
          <t>일</t>
        </is>
      </c>
      <c r="D168" s="9" t="inlineStr">
        <is>
          <t>페이스북</t>
        </is>
      </c>
      <c r="K168" s="9" t="n">
        <v>526175</v>
      </c>
    </row>
    <row r="169">
      <c r="B169" s="10" t="n">
        <v>44234</v>
      </c>
      <c r="C169" s="9" t="inlineStr">
        <is>
          <t>일</t>
        </is>
      </c>
      <c r="D169" s="9" t="inlineStr">
        <is>
          <t>네이버 검색</t>
        </is>
      </c>
      <c r="K169" s="9">
        <f>(82269+154+1320)/1.1</f>
        <v/>
      </c>
    </row>
    <row r="170">
      <c r="B170" s="10" t="n">
        <v>44234</v>
      </c>
      <c r="C170" s="9" t="inlineStr">
        <is>
          <t>일</t>
        </is>
      </c>
      <c r="D170" s="9" t="inlineStr">
        <is>
          <t>유튜브</t>
        </is>
      </c>
      <c r="K170" s="9" t="n">
        <v>2877478</v>
      </c>
    </row>
    <row r="171">
      <c r="B171" s="10" t="n">
        <v>44234</v>
      </c>
      <c r="C171" s="9" t="inlineStr">
        <is>
          <t>일</t>
        </is>
      </c>
      <c r="D171" s="9" t="inlineStr">
        <is>
          <t>GDN</t>
        </is>
      </c>
      <c r="K171" s="9" t="n">
        <v>296771</v>
      </c>
    </row>
    <row r="172">
      <c r="B172" s="10" t="n">
        <v>44235</v>
      </c>
      <c r="C172" s="9" t="inlineStr">
        <is>
          <t>월</t>
        </is>
      </c>
      <c r="D172" s="9" t="inlineStr">
        <is>
          <t>페이스북</t>
        </is>
      </c>
      <c r="K172" s="9" t="n">
        <v>390803</v>
      </c>
    </row>
    <row r="173">
      <c r="B173" s="10" t="n">
        <v>44235</v>
      </c>
      <c r="C173" s="9" t="inlineStr">
        <is>
          <t>월</t>
        </is>
      </c>
      <c r="D173" s="9" t="inlineStr">
        <is>
          <t>네이버 검색</t>
        </is>
      </c>
      <c r="K173" s="9">
        <f>(75449+77)/1.1</f>
        <v/>
      </c>
    </row>
    <row r="174">
      <c r="B174" s="10" t="n">
        <v>44235</v>
      </c>
      <c r="C174" s="9" t="inlineStr">
        <is>
          <t>월</t>
        </is>
      </c>
      <c r="D174" s="9" t="inlineStr">
        <is>
          <t>유튜브</t>
        </is>
      </c>
      <c r="K174" s="9" t="n">
        <v>2763168</v>
      </c>
    </row>
    <row r="175">
      <c r="B175" s="10" t="n">
        <v>44235</v>
      </c>
      <c r="C175" s="9" t="inlineStr">
        <is>
          <t>월</t>
        </is>
      </c>
      <c r="D175" s="9" t="inlineStr">
        <is>
          <t>GDN</t>
        </is>
      </c>
      <c r="K175" s="9" t="n">
        <v>254459</v>
      </c>
    </row>
    <row r="176">
      <c r="B176" s="10" t="n">
        <v>44236</v>
      </c>
      <c r="C176" s="9" t="inlineStr">
        <is>
          <t>화</t>
        </is>
      </c>
      <c r="D176" s="9" t="inlineStr">
        <is>
          <t>페이스북</t>
        </is>
      </c>
      <c r="K176" s="9" t="n">
        <v>409295</v>
      </c>
    </row>
    <row r="177">
      <c r="B177" s="10" t="n">
        <v>44236</v>
      </c>
      <c r="C177" s="9" t="inlineStr">
        <is>
          <t>화</t>
        </is>
      </c>
      <c r="D177" s="9" t="inlineStr">
        <is>
          <t>네이버 검색</t>
        </is>
      </c>
      <c r="K177" s="9">
        <f>(62986+77)/1.1</f>
        <v/>
      </c>
    </row>
    <row r="178">
      <c r="B178" s="10" t="n">
        <v>44236</v>
      </c>
      <c r="C178" s="9" t="inlineStr">
        <is>
          <t>화</t>
        </is>
      </c>
      <c r="D178" s="9" t="inlineStr">
        <is>
          <t>네이버 GFA</t>
        </is>
      </c>
      <c r="K178" s="9">
        <f>10897/1.1</f>
        <v/>
      </c>
    </row>
    <row r="179">
      <c r="B179" s="10" t="n">
        <v>44236</v>
      </c>
      <c r="C179" s="9" t="inlineStr">
        <is>
          <t>화</t>
        </is>
      </c>
      <c r="D179" s="9" t="inlineStr">
        <is>
          <t>유튜브</t>
        </is>
      </c>
      <c r="K179" s="9" t="n">
        <v>2968626</v>
      </c>
    </row>
    <row r="180">
      <c r="B180" s="10" t="n">
        <v>44236</v>
      </c>
      <c r="C180" s="9" t="inlineStr">
        <is>
          <t>화</t>
        </is>
      </c>
      <c r="D180" s="9" t="inlineStr">
        <is>
          <t>GDN</t>
        </is>
      </c>
      <c r="K180" s="9" t="n">
        <v>293734</v>
      </c>
    </row>
    <row r="181">
      <c r="B181" s="10" t="n">
        <v>44237</v>
      </c>
      <c r="C181" s="9" t="inlineStr">
        <is>
          <t>수</t>
        </is>
      </c>
      <c r="D181" s="9" t="inlineStr">
        <is>
          <t>페이스북</t>
        </is>
      </c>
      <c r="K181" s="9" t="n">
        <v>413896</v>
      </c>
    </row>
    <row r="182">
      <c r="B182" s="10" t="n">
        <v>44237</v>
      </c>
      <c r="C182" s="9" t="inlineStr">
        <is>
          <t>수</t>
        </is>
      </c>
      <c r="D182" s="9" t="inlineStr">
        <is>
          <t>네이버 검색</t>
        </is>
      </c>
      <c r="K182" s="9">
        <f>52877/1.1</f>
        <v/>
      </c>
    </row>
    <row r="183">
      <c r="B183" s="10" t="n">
        <v>44237</v>
      </c>
      <c r="C183" s="9" t="inlineStr">
        <is>
          <t>수</t>
        </is>
      </c>
      <c r="D183" s="9" t="inlineStr">
        <is>
          <t>네이버 GFA</t>
        </is>
      </c>
      <c r="K183" s="9">
        <f>83760/1.1</f>
        <v/>
      </c>
    </row>
    <row r="184">
      <c r="B184" s="10" t="n">
        <v>44237</v>
      </c>
      <c r="C184" s="9" t="inlineStr">
        <is>
          <t>수</t>
        </is>
      </c>
      <c r="D184" s="9" t="inlineStr">
        <is>
          <t>유튜브</t>
        </is>
      </c>
      <c r="K184" s="9" t="n">
        <v>2393493</v>
      </c>
    </row>
    <row r="185">
      <c r="B185" s="10" t="n">
        <v>44237</v>
      </c>
      <c r="C185" s="9" t="inlineStr">
        <is>
          <t>수</t>
        </is>
      </c>
      <c r="D185" s="9" t="inlineStr">
        <is>
          <t>GDN</t>
        </is>
      </c>
      <c r="K185" s="9" t="n">
        <v>232121</v>
      </c>
    </row>
    <row r="186">
      <c r="B186" s="10" t="n">
        <v>44238</v>
      </c>
      <c r="C186" s="9" t="inlineStr">
        <is>
          <t>목</t>
        </is>
      </c>
      <c r="D186" s="9" t="inlineStr">
        <is>
          <t>페이스북</t>
        </is>
      </c>
      <c r="K186" s="9" t="n">
        <v>427048</v>
      </c>
    </row>
    <row r="187">
      <c r="B187" s="10" t="n">
        <v>44238</v>
      </c>
      <c r="C187" s="9" t="inlineStr">
        <is>
          <t>목</t>
        </is>
      </c>
      <c r="D187" s="9" t="inlineStr">
        <is>
          <t>네이버 검색</t>
        </is>
      </c>
      <c r="K187" s="9">
        <f>(53878+154+1100)/1.1</f>
        <v/>
      </c>
    </row>
    <row r="188">
      <c r="B188" s="10" t="n">
        <v>44238</v>
      </c>
      <c r="C188" s="9" t="inlineStr">
        <is>
          <t>목</t>
        </is>
      </c>
      <c r="D188" s="9" t="inlineStr">
        <is>
          <t>네이버 GFA</t>
        </is>
      </c>
      <c r="K188" s="9">
        <f>70825/1.1</f>
        <v/>
      </c>
    </row>
    <row r="189">
      <c r="B189" s="10" t="n">
        <v>44238</v>
      </c>
      <c r="C189" s="9" t="inlineStr">
        <is>
          <t>목</t>
        </is>
      </c>
      <c r="D189" s="9" t="inlineStr">
        <is>
          <t>유튜브</t>
        </is>
      </c>
      <c r="K189" s="9" t="n">
        <v>2374843</v>
      </c>
    </row>
    <row r="190">
      <c r="B190" s="10" t="n">
        <v>44238</v>
      </c>
      <c r="C190" s="9" t="inlineStr">
        <is>
          <t>목</t>
        </is>
      </c>
      <c r="D190" s="9" t="inlineStr">
        <is>
          <t>GDN</t>
        </is>
      </c>
      <c r="K190" s="9" t="n">
        <v>144717</v>
      </c>
    </row>
    <row r="191">
      <c r="B191" s="10" t="n">
        <v>44239</v>
      </c>
      <c r="C191" s="9" t="inlineStr">
        <is>
          <t>금</t>
        </is>
      </c>
      <c r="D191" s="9" t="inlineStr">
        <is>
          <t>페이스북</t>
        </is>
      </c>
      <c r="K191" s="9" t="n">
        <v>446468</v>
      </c>
    </row>
    <row r="192">
      <c r="B192" s="10" t="n">
        <v>44239</v>
      </c>
      <c r="C192" s="9" t="inlineStr">
        <is>
          <t>금</t>
        </is>
      </c>
      <c r="D192" s="9" t="inlineStr">
        <is>
          <t>네이버 검색</t>
        </is>
      </c>
      <c r="K192" s="9">
        <f>(80674+231)/1.1</f>
        <v/>
      </c>
    </row>
    <row r="193">
      <c r="B193" s="10" t="n">
        <v>44239</v>
      </c>
      <c r="C193" s="9" t="inlineStr">
        <is>
          <t>금</t>
        </is>
      </c>
      <c r="D193" s="9" t="inlineStr">
        <is>
          <t>네이버 GFA</t>
        </is>
      </c>
      <c r="K193" s="9">
        <f>99774/1.1</f>
        <v/>
      </c>
    </row>
    <row r="194">
      <c r="B194" s="10" t="n">
        <v>44239</v>
      </c>
      <c r="C194" s="9" t="inlineStr">
        <is>
          <t>금</t>
        </is>
      </c>
      <c r="D194" s="9" t="inlineStr">
        <is>
          <t>유튜브</t>
        </is>
      </c>
      <c r="K194" s="9" t="n">
        <v>3037285</v>
      </c>
    </row>
    <row r="195">
      <c r="B195" s="10" t="n">
        <v>44239</v>
      </c>
      <c r="C195" s="9" t="inlineStr">
        <is>
          <t>금</t>
        </is>
      </c>
      <c r="D195" s="9" t="inlineStr">
        <is>
          <t>GDN</t>
        </is>
      </c>
      <c r="K195" s="9" t="n">
        <v>53138</v>
      </c>
    </row>
    <row r="196">
      <c r="B196" s="10" t="n">
        <v>44240</v>
      </c>
      <c r="C196" s="9" t="inlineStr">
        <is>
          <t>토</t>
        </is>
      </c>
      <c r="D196" s="9" t="inlineStr">
        <is>
          <t>페이스북</t>
        </is>
      </c>
      <c r="K196" s="9" t="n">
        <v>454645</v>
      </c>
    </row>
    <row r="197">
      <c r="B197" s="10" t="n">
        <v>44240</v>
      </c>
      <c r="C197" s="9" t="inlineStr">
        <is>
          <t>토</t>
        </is>
      </c>
      <c r="D197" s="9" t="inlineStr">
        <is>
          <t>네이버 검색</t>
        </is>
      </c>
      <c r="K197" s="9">
        <f>(76252+154)/1.1</f>
        <v/>
      </c>
    </row>
    <row r="198">
      <c r="B198" s="10" t="n">
        <v>44240</v>
      </c>
      <c r="C198" s="9" t="inlineStr">
        <is>
          <t>토</t>
        </is>
      </c>
      <c r="D198" s="9" t="inlineStr">
        <is>
          <t>네이버 GFA</t>
        </is>
      </c>
      <c r="K198" s="9">
        <f>75652/1.1</f>
        <v/>
      </c>
    </row>
    <row r="199">
      <c r="B199" s="10" t="n">
        <v>44240</v>
      </c>
      <c r="C199" s="9" t="inlineStr">
        <is>
          <t>토</t>
        </is>
      </c>
      <c r="D199" s="9" t="inlineStr">
        <is>
          <t>유튜브</t>
        </is>
      </c>
      <c r="K199" s="9" t="n">
        <v>3041479</v>
      </c>
    </row>
    <row r="200">
      <c r="B200" s="10" t="n">
        <v>44240</v>
      </c>
      <c r="C200" s="9" t="inlineStr">
        <is>
          <t>토</t>
        </is>
      </c>
      <c r="D200" s="9" t="inlineStr">
        <is>
          <t>GDN</t>
        </is>
      </c>
      <c r="K200" s="9" t="n">
        <v>82265</v>
      </c>
    </row>
    <row r="201">
      <c r="B201" s="10" t="n">
        <v>44241</v>
      </c>
      <c r="C201" s="9" t="inlineStr">
        <is>
          <t>일</t>
        </is>
      </c>
      <c r="D201" s="9" t="inlineStr">
        <is>
          <t>페이스북</t>
        </is>
      </c>
      <c r="K201" s="9" t="n">
        <v>449345</v>
      </c>
    </row>
    <row r="202">
      <c r="B202" s="10" t="n">
        <v>44241</v>
      </c>
      <c r="C202" s="9" t="inlineStr">
        <is>
          <t>일</t>
        </is>
      </c>
      <c r="D202" s="9" t="inlineStr">
        <is>
          <t>네이버 검색</t>
        </is>
      </c>
      <c r="K202" s="9" t="n">
        <v>85390</v>
      </c>
    </row>
    <row r="203">
      <c r="B203" s="10" t="n">
        <v>44241</v>
      </c>
      <c r="C203" s="9" t="inlineStr">
        <is>
          <t>일</t>
        </is>
      </c>
      <c r="D203" s="9" t="inlineStr">
        <is>
          <t>네이버 GFA</t>
        </is>
      </c>
      <c r="K203" s="9">
        <f>10116/1.1</f>
        <v/>
      </c>
    </row>
    <row r="204">
      <c r="B204" s="10" t="n">
        <v>44241</v>
      </c>
      <c r="C204" s="9" t="inlineStr">
        <is>
          <t>일</t>
        </is>
      </c>
      <c r="D204" s="9" t="inlineStr">
        <is>
          <t>유튜브</t>
        </is>
      </c>
      <c r="K204" s="9" t="n">
        <v>3203522</v>
      </c>
    </row>
    <row r="205">
      <c r="B205" s="10" t="n">
        <v>44241</v>
      </c>
      <c r="C205" s="9" t="inlineStr">
        <is>
          <t>일</t>
        </is>
      </c>
      <c r="D205" s="9" t="inlineStr">
        <is>
          <t>GDN</t>
        </is>
      </c>
      <c r="K205" s="9" t="n">
        <v>173970</v>
      </c>
    </row>
    <row r="206">
      <c r="B206" s="10" t="n">
        <v>44242</v>
      </c>
      <c r="C206" s="9" t="inlineStr">
        <is>
          <t>월</t>
        </is>
      </c>
      <c r="D206" s="9" t="inlineStr">
        <is>
          <t>페이스북</t>
        </is>
      </c>
      <c r="K206" s="9" t="n">
        <v>450244</v>
      </c>
    </row>
    <row r="207">
      <c r="B207" s="10" t="n">
        <v>44242</v>
      </c>
      <c r="C207" s="9" t="inlineStr">
        <is>
          <t>월</t>
        </is>
      </c>
      <c r="D207" s="9" t="inlineStr">
        <is>
          <t>네이버 검색</t>
        </is>
      </c>
      <c r="K207" s="9">
        <f>(86748+154+1463)/1.1</f>
        <v/>
      </c>
    </row>
    <row r="208">
      <c r="B208" s="10" t="n">
        <v>44242</v>
      </c>
      <c r="C208" s="9" t="inlineStr">
        <is>
          <t>월</t>
        </is>
      </c>
      <c r="D208" s="9" t="inlineStr">
        <is>
          <t>네이버 GFA</t>
        </is>
      </c>
      <c r="K208" s="9">
        <f>811/1.1</f>
        <v/>
      </c>
    </row>
    <row r="209">
      <c r="B209" s="10" t="n">
        <v>44242</v>
      </c>
      <c r="C209" s="9" t="inlineStr">
        <is>
          <t>월</t>
        </is>
      </c>
      <c r="D209" s="9" t="inlineStr">
        <is>
          <t>유튜브</t>
        </is>
      </c>
      <c r="K209" s="9" t="n">
        <v>3133230</v>
      </c>
    </row>
    <row r="210">
      <c r="B210" s="10" t="n">
        <v>44242</v>
      </c>
      <c r="C210" s="9" t="inlineStr">
        <is>
          <t>월</t>
        </is>
      </c>
      <c r="D210" s="9" t="inlineStr">
        <is>
          <t>GDN</t>
        </is>
      </c>
      <c r="K210" s="9" t="n">
        <v>227748</v>
      </c>
    </row>
    <row r="211">
      <c r="B211" s="10" t="n">
        <v>44243</v>
      </c>
      <c r="C211" s="9" t="inlineStr">
        <is>
          <t>화</t>
        </is>
      </c>
      <c r="D211" s="9" t="inlineStr">
        <is>
          <t>페이스북</t>
        </is>
      </c>
      <c r="K211" s="9" t="n">
        <v>433291</v>
      </c>
    </row>
    <row r="212">
      <c r="B212" s="10" t="n">
        <v>44243</v>
      </c>
      <c r="C212" s="9" t="inlineStr">
        <is>
          <t>화</t>
        </is>
      </c>
      <c r="D212" s="9" t="inlineStr">
        <is>
          <t>네이버 검색</t>
        </is>
      </c>
      <c r="K212" s="9">
        <f>79563/1.1</f>
        <v/>
      </c>
    </row>
    <row r="213">
      <c r="B213" s="10" t="n">
        <v>44243</v>
      </c>
      <c r="C213" s="9" t="inlineStr">
        <is>
          <t>화</t>
        </is>
      </c>
      <c r="D213" s="9" t="inlineStr">
        <is>
          <t>네이버 GFA</t>
        </is>
      </c>
      <c r="K213" s="9">
        <f>53508/1.1</f>
        <v/>
      </c>
    </row>
    <row r="214">
      <c r="B214" s="10" t="n">
        <v>44243</v>
      </c>
      <c r="C214" s="9" t="inlineStr">
        <is>
          <t>화</t>
        </is>
      </c>
      <c r="D214" s="9" t="inlineStr">
        <is>
          <t>유튜브</t>
        </is>
      </c>
      <c r="K214" s="9" t="n">
        <v>2697403</v>
      </c>
    </row>
    <row r="215">
      <c r="B215" s="10" t="n">
        <v>44243</v>
      </c>
      <c r="C215" s="9" t="inlineStr">
        <is>
          <t>화</t>
        </is>
      </c>
      <c r="D215" s="9" t="inlineStr">
        <is>
          <t>GDN</t>
        </is>
      </c>
      <c r="K215" s="9" t="n">
        <v>364676</v>
      </c>
    </row>
    <row r="216">
      <c r="B216" s="10" t="n">
        <v>44244</v>
      </c>
      <c r="C216" s="9" t="inlineStr">
        <is>
          <t>수</t>
        </is>
      </c>
      <c r="D216" s="9" t="inlineStr">
        <is>
          <t>페이스북</t>
        </is>
      </c>
      <c r="K216" s="9" t="n">
        <v>376843</v>
      </c>
    </row>
    <row r="217">
      <c r="B217" s="10" t="n">
        <v>44244</v>
      </c>
      <c r="C217" s="9" t="inlineStr">
        <is>
          <t>수</t>
        </is>
      </c>
      <c r="D217" s="9" t="inlineStr">
        <is>
          <t>네이버 검색</t>
        </is>
      </c>
      <c r="K217" s="9">
        <f>(112882+77)/1.1</f>
        <v/>
      </c>
    </row>
    <row r="218">
      <c r="B218" s="10" t="n">
        <v>44244</v>
      </c>
      <c r="C218" s="9" t="inlineStr">
        <is>
          <t>수</t>
        </is>
      </c>
      <c r="D218" s="9" t="inlineStr">
        <is>
          <t>네이버 GFA</t>
        </is>
      </c>
      <c r="K218" s="9">
        <f>19017/1.1</f>
        <v/>
      </c>
    </row>
    <row r="219">
      <c r="B219" s="10" t="n">
        <v>44244</v>
      </c>
      <c r="C219" s="9" t="inlineStr">
        <is>
          <t>수</t>
        </is>
      </c>
      <c r="D219" s="9" t="inlineStr">
        <is>
          <t>유튜브</t>
        </is>
      </c>
      <c r="K219" s="9" t="n">
        <v>4126269</v>
      </c>
    </row>
    <row r="220">
      <c r="B220" s="10" t="n">
        <v>44244</v>
      </c>
      <c r="C220" s="9" t="inlineStr">
        <is>
          <t>수</t>
        </is>
      </c>
      <c r="D220" s="9" t="inlineStr">
        <is>
          <t>GDN</t>
        </is>
      </c>
      <c r="K220" s="9" t="n">
        <v>324462</v>
      </c>
    </row>
    <row r="221">
      <c r="B221" s="10" t="n">
        <v>44245</v>
      </c>
      <c r="C221" s="9" t="inlineStr">
        <is>
          <t>목</t>
        </is>
      </c>
      <c r="D221" s="9" t="inlineStr">
        <is>
          <t>페이스북</t>
        </is>
      </c>
      <c r="K221" s="9" t="n">
        <v>359849</v>
      </c>
    </row>
    <row r="222">
      <c r="B222" s="10" t="n">
        <v>44245</v>
      </c>
      <c r="C222" s="9" t="inlineStr">
        <is>
          <t>목</t>
        </is>
      </c>
      <c r="D222" s="9" t="inlineStr">
        <is>
          <t>네이버 검색</t>
        </is>
      </c>
      <c r="K222" s="9">
        <f>(18403)+1133/1.1</f>
        <v/>
      </c>
    </row>
    <row r="223">
      <c r="B223" s="10" t="n">
        <v>44245</v>
      </c>
      <c r="C223" s="9" t="inlineStr">
        <is>
          <t>목</t>
        </is>
      </c>
      <c r="D223" s="9" t="inlineStr">
        <is>
          <t>네이버 GFA</t>
        </is>
      </c>
      <c r="K223" s="9">
        <f>31612/1.1</f>
        <v/>
      </c>
    </row>
    <row r="224">
      <c r="B224" s="10" t="n">
        <v>44245</v>
      </c>
      <c r="C224" s="9" t="inlineStr">
        <is>
          <t>목</t>
        </is>
      </c>
      <c r="D224" s="9" t="inlineStr">
        <is>
          <t>유튜브</t>
        </is>
      </c>
      <c r="K224" s="9">
        <f>3665531</f>
        <v/>
      </c>
    </row>
    <row r="225">
      <c r="B225" s="10" t="n">
        <v>44245</v>
      </c>
      <c r="C225" s="9" t="inlineStr">
        <is>
          <t>목</t>
        </is>
      </c>
      <c r="D225" s="9" t="inlineStr">
        <is>
          <t>GDN</t>
        </is>
      </c>
      <c r="K225" s="9" t="n">
        <v>549141</v>
      </c>
    </row>
    <row r="226">
      <c r="B226" s="10" t="n">
        <v>44246</v>
      </c>
      <c r="C226" s="9" t="inlineStr">
        <is>
          <t>금</t>
        </is>
      </c>
      <c r="D226" s="9" t="inlineStr">
        <is>
          <t>페이스북</t>
        </is>
      </c>
      <c r="K226" s="9" t="n">
        <v>357067</v>
      </c>
    </row>
    <row r="227">
      <c r="B227" s="10" t="n">
        <v>44246</v>
      </c>
      <c r="C227" s="9" t="inlineStr">
        <is>
          <t>금</t>
        </is>
      </c>
      <c r="D227" s="9" t="inlineStr">
        <is>
          <t>네이버 검색</t>
        </is>
      </c>
      <c r="K227" s="9">
        <f>(114147+77+1848)/1.1</f>
        <v/>
      </c>
    </row>
    <row r="228">
      <c r="B228" s="10" t="n">
        <v>44246</v>
      </c>
      <c r="C228" s="9" t="inlineStr">
        <is>
          <t>금</t>
        </is>
      </c>
      <c r="D228" s="9" t="inlineStr">
        <is>
          <t>네이버 GFA</t>
        </is>
      </c>
      <c r="K228" s="9">
        <f>1472/1.1</f>
        <v/>
      </c>
    </row>
    <row r="229">
      <c r="B229" s="10" t="n">
        <v>44246</v>
      </c>
      <c r="C229" s="9" t="inlineStr">
        <is>
          <t>금</t>
        </is>
      </c>
      <c r="D229" s="9" t="inlineStr">
        <is>
          <t>유튜브</t>
        </is>
      </c>
      <c r="K229" s="9">
        <f>3464958</f>
        <v/>
      </c>
    </row>
    <row r="230">
      <c r="B230" s="10" t="n">
        <v>44246</v>
      </c>
      <c r="C230" s="9" t="inlineStr">
        <is>
          <t>금</t>
        </is>
      </c>
      <c r="D230" s="9" t="inlineStr">
        <is>
          <t>GDN</t>
        </is>
      </c>
      <c r="K230" s="9" t="n">
        <v>219909</v>
      </c>
    </row>
    <row r="231">
      <c r="B231" s="10" t="n">
        <v>44247</v>
      </c>
      <c r="C231" s="9" t="inlineStr">
        <is>
          <t>토</t>
        </is>
      </c>
      <c r="D231" s="9" t="inlineStr">
        <is>
          <t>페이스북</t>
        </is>
      </c>
      <c r="K231" s="9" t="n">
        <v>357485</v>
      </c>
    </row>
    <row r="232">
      <c r="B232" s="10" t="n">
        <v>44247</v>
      </c>
      <c r="C232" s="9" t="inlineStr">
        <is>
          <t>토</t>
        </is>
      </c>
      <c r="D232" s="9" t="inlineStr">
        <is>
          <t>네이버 검색</t>
        </is>
      </c>
      <c r="K232" s="9">
        <f>76912/1.1</f>
        <v/>
      </c>
    </row>
    <row r="233">
      <c r="B233" s="10" t="n">
        <v>44247</v>
      </c>
      <c r="C233" s="9" t="inlineStr">
        <is>
          <t>토</t>
        </is>
      </c>
      <c r="D233" s="9" t="inlineStr">
        <is>
          <t>네이버 GFA</t>
        </is>
      </c>
      <c r="K233" s="9">
        <f>1449/1.1</f>
        <v/>
      </c>
    </row>
    <row r="234">
      <c r="B234" s="10" t="n">
        <v>44247</v>
      </c>
      <c r="C234" s="9" t="inlineStr">
        <is>
          <t>토</t>
        </is>
      </c>
      <c r="D234" s="9" t="inlineStr">
        <is>
          <t>유튜브</t>
        </is>
      </c>
      <c r="K234" s="9" t="n">
        <v>3284508</v>
      </c>
    </row>
    <row r="235">
      <c r="B235" s="10" t="n">
        <v>44247</v>
      </c>
      <c r="C235" s="9" t="inlineStr">
        <is>
          <t>토</t>
        </is>
      </c>
      <c r="D235" s="9" t="inlineStr">
        <is>
          <t>GDN</t>
        </is>
      </c>
      <c r="K235" s="9" t="n">
        <v>202174</v>
      </c>
    </row>
    <row r="236">
      <c r="B236" s="10" t="n">
        <v>44251</v>
      </c>
      <c r="C236" s="9" t="inlineStr">
        <is>
          <t>수</t>
        </is>
      </c>
      <c r="D236" s="9" t="inlineStr">
        <is>
          <t>페이스북</t>
        </is>
      </c>
      <c r="K236" s="9" t="n">
        <v>318252</v>
      </c>
    </row>
    <row r="237">
      <c r="B237" s="10" t="n">
        <v>44251</v>
      </c>
      <c r="C237" s="9" t="inlineStr">
        <is>
          <t>수</t>
        </is>
      </c>
      <c r="D237" s="9" t="inlineStr">
        <is>
          <t>네이버 검색</t>
        </is>
      </c>
      <c r="K237" s="9">
        <f>(77+62678+1375)/1.1</f>
        <v/>
      </c>
    </row>
    <row r="238">
      <c r="B238" s="10" t="n">
        <v>44251</v>
      </c>
      <c r="C238" s="9" t="inlineStr">
        <is>
          <t>수</t>
        </is>
      </c>
      <c r="D238" s="9" t="inlineStr">
        <is>
          <t>유튜브</t>
        </is>
      </c>
      <c r="K238" s="9" t="n">
        <v>2726998</v>
      </c>
    </row>
    <row r="239">
      <c r="B239" s="10" t="n">
        <v>44251</v>
      </c>
      <c r="C239" s="9" t="inlineStr">
        <is>
          <t>수</t>
        </is>
      </c>
      <c r="D239" s="9" t="inlineStr">
        <is>
          <t>GDN</t>
        </is>
      </c>
      <c r="K239" s="9" t="n">
        <v>155848</v>
      </c>
    </row>
    <row r="240">
      <c r="B240" s="10" t="n">
        <v>44144</v>
      </c>
      <c r="C240" s="9">
        <f>TEXT(B240,"aaa")</f>
        <v/>
      </c>
      <c r="E240" s="9" t="inlineStr">
        <is>
          <t>샴푸</t>
        </is>
      </c>
      <c r="F240" s="9" t="inlineStr">
        <is>
          <t>라베나 CS</t>
        </is>
      </c>
      <c r="H240" s="9" t="n">
        <v>53</v>
      </c>
      <c r="I240" s="9" t="inlineStr">
        <is>
          <t>리바이탈 샴푸</t>
        </is>
      </c>
      <c r="J240" s="9" t="n">
        <v>201109</v>
      </c>
      <c r="L240" s="9">
        <f>VLOOKUP($O240,매칭테이블!$G:$J,2,0)*H240</f>
        <v/>
      </c>
      <c r="M240" s="9">
        <f>L240-L240*VLOOKUP($O240,매칭테이블!$G:$J,3,0)</f>
        <v/>
      </c>
      <c r="N240" s="9">
        <f>VLOOKUP($O240,매칭테이블!$G:$J,4,0)*H240</f>
        <v/>
      </c>
      <c r="O240" s="9">
        <f>F240&amp;E240&amp;I240&amp;J240</f>
        <v/>
      </c>
    </row>
    <row r="241">
      <c r="B241" s="10" t="n">
        <v>44144</v>
      </c>
      <c r="C241" s="9">
        <f>TEXT(B241,"aaa")</f>
        <v/>
      </c>
      <c r="E241" s="9" t="inlineStr">
        <is>
          <t>샴푸</t>
        </is>
      </c>
      <c r="F241" s="9" t="inlineStr">
        <is>
          <t>카페24</t>
        </is>
      </c>
      <c r="H241" s="9" t="n">
        <v>2</v>
      </c>
      <c r="I241" s="9" t="inlineStr">
        <is>
          <t>리바이탈 샴푸</t>
        </is>
      </c>
      <c r="J241" s="9" t="n">
        <v>201109</v>
      </c>
      <c r="L241" s="9">
        <f>VLOOKUP($O241,매칭테이블!$G:$J,2,0)*H241</f>
        <v/>
      </c>
      <c r="M241" s="9">
        <f>L241-L241*VLOOKUP($O241,매칭테이블!$G:$J,3,0)</f>
        <v/>
      </c>
      <c r="N241" s="9">
        <f>VLOOKUP($O241,매칭테이블!$G:$J,4,0)*H241</f>
        <v/>
      </c>
      <c r="O241" s="9">
        <f>F241&amp;E241&amp;I241&amp;J241</f>
        <v/>
      </c>
    </row>
    <row r="242">
      <c r="B242" s="10" t="n">
        <v>44148</v>
      </c>
      <c r="C242" s="9">
        <f>TEXT(B242,"aaa")</f>
        <v/>
      </c>
      <c r="E242" s="9" t="inlineStr">
        <is>
          <t>샴푸</t>
        </is>
      </c>
      <c r="F242" s="9" t="inlineStr">
        <is>
          <t>카페24</t>
        </is>
      </c>
      <c r="H242" s="9" t="n">
        <v>1</v>
      </c>
      <c r="I242" s="9" t="inlineStr">
        <is>
          <t>리바이탈 샴푸</t>
        </is>
      </c>
      <c r="J242" s="9" t="n">
        <v>201109</v>
      </c>
      <c r="L242" s="9">
        <f>VLOOKUP($O242,매칭테이블!$G:$J,2,0)*H242</f>
        <v/>
      </c>
      <c r="M242" s="9">
        <f>L242-L242*VLOOKUP($O242,매칭테이블!$G:$J,3,0)</f>
        <v/>
      </c>
      <c r="N242" s="9">
        <f>VLOOKUP($O242,매칭테이블!$G:$J,4,0)*H242</f>
        <v/>
      </c>
      <c r="O242" s="9">
        <f>F242&amp;E242&amp;I242&amp;J242</f>
        <v/>
      </c>
    </row>
    <row r="243">
      <c r="B243" s="10" t="n">
        <v>44149</v>
      </c>
      <c r="C243" s="9">
        <f>TEXT(B243,"aaa")</f>
        <v/>
      </c>
      <c r="E243" s="9" t="inlineStr">
        <is>
          <t>샴푸</t>
        </is>
      </c>
      <c r="F243" s="9" t="inlineStr">
        <is>
          <t>카페24</t>
        </is>
      </c>
      <c r="H243" s="9" t="n">
        <v>1</v>
      </c>
      <c r="I243" s="9" t="inlineStr">
        <is>
          <t>리바이탈 샴푸</t>
        </is>
      </c>
      <c r="J243" s="9" t="n">
        <v>201109</v>
      </c>
      <c r="L243" s="9">
        <f>VLOOKUP($O243,매칭테이블!$G:$J,2,0)*H243</f>
        <v/>
      </c>
      <c r="M243" s="9">
        <f>L243-L243*VLOOKUP($O243,매칭테이블!$G:$J,3,0)</f>
        <v/>
      </c>
      <c r="N243" s="9">
        <f>VLOOKUP($O243,매칭테이블!$G:$J,4,0)*H243</f>
        <v/>
      </c>
      <c r="O243" s="9">
        <f>F243&amp;E243&amp;I243&amp;J243</f>
        <v/>
      </c>
    </row>
    <row r="244">
      <c r="B244" s="10" t="n">
        <v>44149</v>
      </c>
      <c r="C244" s="9">
        <f>TEXT(B244,"aaa")</f>
        <v/>
      </c>
      <c r="E244" s="9" t="inlineStr">
        <is>
          <t>샴푸</t>
        </is>
      </c>
      <c r="F244" s="9" t="inlineStr">
        <is>
          <t>카페24</t>
        </is>
      </c>
      <c r="H244" s="9" t="n">
        <v>2</v>
      </c>
      <c r="I244" s="9" t="inlineStr">
        <is>
          <t>리바이탈 샴푸 2set</t>
        </is>
      </c>
      <c r="J244" s="9" t="n">
        <v>201109</v>
      </c>
      <c r="L244" s="9">
        <f>VLOOKUP($O244,매칭테이블!$G:$J,2,0)*H244</f>
        <v/>
      </c>
      <c r="M244" s="9">
        <f>L244-L244*VLOOKUP($O244,매칭테이블!$G:$J,3,0)</f>
        <v/>
      </c>
      <c r="N244" s="9">
        <f>VLOOKUP($O244,매칭테이블!$G:$J,4,0)*H244</f>
        <v/>
      </c>
      <c r="O244" s="9">
        <f>F244&amp;E244&amp;I244&amp;J244</f>
        <v/>
      </c>
    </row>
    <row r="245">
      <c r="B245" s="10" t="n">
        <v>44149</v>
      </c>
      <c r="C245" s="9">
        <f>TEXT(B245,"aaa")</f>
        <v/>
      </c>
      <c r="E245" s="9" t="inlineStr">
        <is>
          <t>샴푸</t>
        </is>
      </c>
      <c r="F245" s="9" t="inlineStr">
        <is>
          <t>카페24</t>
        </is>
      </c>
      <c r="H245" s="9" t="n">
        <v>1</v>
      </c>
      <c r="I245" s="9" t="inlineStr">
        <is>
          <t>리바이탈 샴푸 3set</t>
        </is>
      </c>
      <c r="J245" s="9" t="n">
        <v>201109</v>
      </c>
      <c r="L245" s="9">
        <f>VLOOKUP($O245,매칭테이블!$G:$J,2,0)*H245</f>
        <v/>
      </c>
      <c r="M245" s="9">
        <f>L245-L245*VLOOKUP($O245,매칭테이블!$G:$J,3,0)</f>
        <v/>
      </c>
      <c r="N245" s="9">
        <f>VLOOKUP($O245,매칭테이블!$G:$J,4,0)*H245</f>
        <v/>
      </c>
      <c r="O245" s="9">
        <f>F245&amp;E245&amp;I245&amp;J245</f>
        <v/>
      </c>
    </row>
    <row r="246">
      <c r="B246" s="10" t="n">
        <v>44150</v>
      </c>
      <c r="C246" s="9">
        <f>TEXT(B246,"aaa")</f>
        <v/>
      </c>
      <c r="E246" s="9" t="inlineStr">
        <is>
          <t>샴푸</t>
        </is>
      </c>
      <c r="F246" s="9" t="inlineStr">
        <is>
          <t>카페24</t>
        </is>
      </c>
      <c r="H246" s="9" t="n">
        <v>3</v>
      </c>
      <c r="I246" s="9" t="inlineStr">
        <is>
          <t>리바이탈 샴푸</t>
        </is>
      </c>
      <c r="J246" s="9" t="n">
        <v>201109</v>
      </c>
      <c r="L246" s="9">
        <f>VLOOKUP($O246,매칭테이블!$G:$J,2,0)*H246</f>
        <v/>
      </c>
      <c r="M246" s="9">
        <f>L246-L246*VLOOKUP($O246,매칭테이블!$G:$J,3,0)</f>
        <v/>
      </c>
      <c r="N246" s="9">
        <f>VLOOKUP($O246,매칭테이블!$G:$J,4,0)*H246</f>
        <v/>
      </c>
      <c r="O246" s="9">
        <f>F246&amp;E246&amp;I246&amp;J246</f>
        <v/>
      </c>
    </row>
    <row r="247">
      <c r="B247" s="10" t="n">
        <v>44150</v>
      </c>
      <c r="C247" s="9">
        <f>TEXT(B247,"aaa")</f>
        <v/>
      </c>
      <c r="E247" s="9" t="inlineStr">
        <is>
          <t>샴푸</t>
        </is>
      </c>
      <c r="F247" s="9" t="inlineStr">
        <is>
          <t>카페24</t>
        </is>
      </c>
      <c r="H247" s="9" t="n">
        <v>2</v>
      </c>
      <c r="I247" s="9" t="inlineStr">
        <is>
          <t>리바이탈 샴푸 3set</t>
        </is>
      </c>
      <c r="J247" s="9" t="n">
        <v>201109</v>
      </c>
      <c r="L247" s="9">
        <f>VLOOKUP($O247,매칭테이블!$G:$J,2,0)*H247</f>
        <v/>
      </c>
      <c r="M247" s="9">
        <f>L247-L247*VLOOKUP($O247,매칭테이블!$G:$J,3,0)</f>
        <v/>
      </c>
      <c r="N247" s="9">
        <f>VLOOKUP($O247,매칭테이블!$G:$J,4,0)*H247</f>
        <v/>
      </c>
      <c r="O247" s="9">
        <f>F247&amp;E247&amp;I247&amp;J247</f>
        <v/>
      </c>
    </row>
    <row r="248">
      <c r="B248" s="10" t="n">
        <v>44151</v>
      </c>
      <c r="C248" s="9">
        <f>TEXT(B248,"aaa")</f>
        <v/>
      </c>
      <c r="E248" s="9" t="inlineStr">
        <is>
          <t>샴푸</t>
        </is>
      </c>
      <c r="F248" s="9" t="inlineStr">
        <is>
          <t>카페24</t>
        </is>
      </c>
      <c r="H248" s="9" t="n">
        <v>2</v>
      </c>
      <c r="I248" s="9" t="inlineStr">
        <is>
          <t>리바이탈 샴푸</t>
        </is>
      </c>
      <c r="J248" s="9" t="n">
        <v>201109</v>
      </c>
      <c r="L248" s="9">
        <f>VLOOKUP($O248,매칭테이블!$G:$J,2,0)*H248</f>
        <v/>
      </c>
      <c r="M248" s="9">
        <f>L248-L248*VLOOKUP($O248,매칭테이블!$G:$J,3,0)</f>
        <v/>
      </c>
      <c r="N248" s="9">
        <f>VLOOKUP($O248,매칭테이블!$G:$J,4,0)*H248</f>
        <v/>
      </c>
      <c r="O248" s="9">
        <f>F248&amp;E248&amp;I248&amp;J248</f>
        <v/>
      </c>
    </row>
    <row r="249">
      <c r="B249" s="10" t="n">
        <v>44151</v>
      </c>
      <c r="C249" s="9">
        <f>TEXT(B249,"aaa")</f>
        <v/>
      </c>
      <c r="E249" s="9" t="inlineStr">
        <is>
          <t>샴푸</t>
        </is>
      </c>
      <c r="F249" s="9" t="inlineStr">
        <is>
          <t>카페24</t>
        </is>
      </c>
      <c r="H249" s="9" t="n">
        <v>1</v>
      </c>
      <c r="I249" s="9" t="inlineStr">
        <is>
          <t>리바이탈 샴푸 3set</t>
        </is>
      </c>
      <c r="J249" s="9" t="n">
        <v>201109</v>
      </c>
      <c r="L249" s="9">
        <f>VLOOKUP($O249,매칭테이블!$G:$J,2,0)*H249</f>
        <v/>
      </c>
      <c r="M249" s="9">
        <f>L249-L249*VLOOKUP($O249,매칭테이블!$G:$J,3,0)</f>
        <v/>
      </c>
      <c r="N249" s="9">
        <f>VLOOKUP($O249,매칭테이블!$G:$J,4,0)*H249</f>
        <v/>
      </c>
      <c r="O249" s="9">
        <f>F249&amp;E249&amp;I249&amp;J249</f>
        <v/>
      </c>
    </row>
    <row r="250">
      <c r="B250" s="10" t="n">
        <v>44152</v>
      </c>
      <c r="C250" s="9">
        <f>TEXT(B250,"aaa")</f>
        <v/>
      </c>
      <c r="E250" s="9" t="inlineStr">
        <is>
          <t>샴푸</t>
        </is>
      </c>
      <c r="F250" s="9" t="inlineStr">
        <is>
          <t>카페24</t>
        </is>
      </c>
      <c r="H250" s="9" t="n">
        <v>3</v>
      </c>
      <c r="I250" s="9" t="inlineStr">
        <is>
          <t>리바이탈 샴푸</t>
        </is>
      </c>
      <c r="J250" s="9" t="n">
        <v>201109</v>
      </c>
      <c r="L250" s="9">
        <f>VLOOKUP($O250,매칭테이블!$G:$J,2,0)*H250</f>
        <v/>
      </c>
      <c r="M250" s="9">
        <f>L250-L250*VLOOKUP($O250,매칭테이블!$G:$J,3,0)</f>
        <v/>
      </c>
      <c r="N250" s="9">
        <f>VLOOKUP($O250,매칭테이블!$G:$J,4,0)*H250</f>
        <v/>
      </c>
      <c r="O250" s="9">
        <f>F250&amp;E250&amp;I250&amp;J250</f>
        <v/>
      </c>
    </row>
    <row r="251">
      <c r="B251" s="10" t="n">
        <v>44152</v>
      </c>
      <c r="C251" s="9">
        <f>TEXT(B251,"aaa")</f>
        <v/>
      </c>
      <c r="E251" s="9" t="inlineStr">
        <is>
          <t>샴푸</t>
        </is>
      </c>
      <c r="F251" s="9" t="inlineStr">
        <is>
          <t>카페24</t>
        </is>
      </c>
      <c r="H251" s="9" t="n">
        <v>1</v>
      </c>
      <c r="I251" s="9" t="inlineStr">
        <is>
          <t>리바이탈 샴푸 2set</t>
        </is>
      </c>
      <c r="J251" s="9" t="n">
        <v>201109</v>
      </c>
      <c r="L251" s="9">
        <f>VLOOKUP($O251,매칭테이블!$G:$J,2,0)*H251</f>
        <v/>
      </c>
      <c r="M251" s="9">
        <f>L251-L251*VLOOKUP($O251,매칭테이블!$G:$J,3,0)</f>
        <v/>
      </c>
      <c r="N251" s="9">
        <f>VLOOKUP($O251,매칭테이블!$G:$J,4,0)*H251</f>
        <v/>
      </c>
      <c r="O251" s="9">
        <f>F251&amp;E251&amp;I251&amp;J251</f>
        <v/>
      </c>
    </row>
    <row r="252">
      <c r="B252" s="10" t="n">
        <v>44152</v>
      </c>
      <c r="C252" s="9">
        <f>TEXT(B252,"aaa")</f>
        <v/>
      </c>
      <c r="E252" s="9" t="inlineStr">
        <is>
          <t>샴푸</t>
        </is>
      </c>
      <c r="F252" s="9" t="inlineStr">
        <is>
          <t>카페24</t>
        </is>
      </c>
      <c r="H252" s="9" t="n">
        <v>1</v>
      </c>
      <c r="I252" s="9" t="inlineStr">
        <is>
          <t>리바이탈 샴푸 3set</t>
        </is>
      </c>
      <c r="J252" s="9" t="n">
        <v>201109</v>
      </c>
      <c r="L252" s="9">
        <f>VLOOKUP($O252,매칭테이블!$G:$J,2,0)*H252</f>
        <v/>
      </c>
      <c r="M252" s="9">
        <f>L252-L252*VLOOKUP($O252,매칭테이블!$G:$J,3,0)</f>
        <v/>
      </c>
      <c r="N252" s="9">
        <f>VLOOKUP($O252,매칭테이블!$G:$J,4,0)*H252</f>
        <v/>
      </c>
      <c r="O252" s="9">
        <f>F252&amp;E252&amp;I252&amp;J252</f>
        <v/>
      </c>
    </row>
    <row r="253">
      <c r="B253" s="10" t="n">
        <v>44153</v>
      </c>
      <c r="C253" s="9">
        <f>TEXT(B253,"aaa")</f>
        <v/>
      </c>
      <c r="E253" s="9" t="inlineStr">
        <is>
          <t>샴푸</t>
        </is>
      </c>
      <c r="F253" s="9" t="inlineStr">
        <is>
          <t>카페24</t>
        </is>
      </c>
      <c r="H253" s="9" t="n">
        <v>3</v>
      </c>
      <c r="I253" s="9" t="inlineStr">
        <is>
          <t>리바이탈 샴푸</t>
        </is>
      </c>
      <c r="J253" s="9" t="n">
        <v>201109</v>
      </c>
      <c r="L253" s="9">
        <f>VLOOKUP($O253,매칭테이블!$G:$J,2,0)*H253</f>
        <v/>
      </c>
      <c r="M253" s="9">
        <f>L253-L253*VLOOKUP($O253,매칭테이블!$G:$J,3,0)</f>
        <v/>
      </c>
      <c r="N253" s="9">
        <f>VLOOKUP($O253,매칭테이블!$G:$J,4,0)*H253</f>
        <v/>
      </c>
      <c r="O253" s="9">
        <f>F253&amp;E253&amp;I253&amp;J253</f>
        <v/>
      </c>
    </row>
    <row r="254">
      <c r="B254" s="10" t="n">
        <v>44153</v>
      </c>
      <c r="C254" s="9">
        <f>TEXT(B254,"aaa")</f>
        <v/>
      </c>
      <c r="E254" s="9" t="inlineStr">
        <is>
          <t>샴푸</t>
        </is>
      </c>
      <c r="F254" s="9" t="inlineStr">
        <is>
          <t>카페24</t>
        </is>
      </c>
      <c r="H254" s="9" t="n">
        <v>3</v>
      </c>
      <c r="I254" s="9" t="inlineStr">
        <is>
          <t>리바이탈 샴푸 2set</t>
        </is>
      </c>
      <c r="J254" s="9" t="n">
        <v>201109</v>
      </c>
      <c r="L254" s="9">
        <f>VLOOKUP($O254,매칭테이블!$G:$J,2,0)*H254</f>
        <v/>
      </c>
      <c r="M254" s="9">
        <f>L254-L254*VLOOKUP($O254,매칭테이블!$G:$J,3,0)</f>
        <v/>
      </c>
      <c r="N254" s="9">
        <f>VLOOKUP($O254,매칭테이블!$G:$J,4,0)*H254</f>
        <v/>
      </c>
      <c r="O254" s="9">
        <f>F254&amp;E254&amp;I254&amp;J254</f>
        <v/>
      </c>
    </row>
    <row r="255">
      <c r="B255" s="10" t="n">
        <v>44153</v>
      </c>
      <c r="C255" s="9">
        <f>TEXT(B255,"aaa")</f>
        <v/>
      </c>
      <c r="E255" s="9" t="inlineStr">
        <is>
          <t>샴푸</t>
        </is>
      </c>
      <c r="F255" s="9" t="inlineStr">
        <is>
          <t>카페24</t>
        </is>
      </c>
      <c r="H255" s="9" t="n">
        <v>4</v>
      </c>
      <c r="I255" s="9" t="inlineStr">
        <is>
          <t>리바이탈 샴푸 3set</t>
        </is>
      </c>
      <c r="J255" s="9" t="n">
        <v>201109</v>
      </c>
      <c r="L255" s="9">
        <f>VLOOKUP($O255,매칭테이블!$G:$J,2,0)*H255</f>
        <v/>
      </c>
      <c r="M255" s="9">
        <f>L255-L255*VLOOKUP($O255,매칭테이블!$G:$J,3,0)</f>
        <v/>
      </c>
      <c r="N255" s="9">
        <f>VLOOKUP($O255,매칭테이블!$G:$J,4,0)*H255</f>
        <v/>
      </c>
      <c r="O255" s="9">
        <f>F255&amp;E255&amp;I255&amp;J255</f>
        <v/>
      </c>
    </row>
    <row r="256">
      <c r="B256" s="10" t="n">
        <v>44154</v>
      </c>
      <c r="C256" s="9">
        <f>TEXT(B256,"aaa")</f>
        <v/>
      </c>
      <c r="E256" s="9" t="inlineStr">
        <is>
          <t>샴푸</t>
        </is>
      </c>
      <c r="F256" s="9" t="inlineStr">
        <is>
          <t>카페24</t>
        </is>
      </c>
      <c r="H256" s="9" t="n">
        <v>4</v>
      </c>
      <c r="I256" s="9" t="inlineStr">
        <is>
          <t>리바이탈 샴푸</t>
        </is>
      </c>
      <c r="J256" s="9" t="n">
        <v>201109</v>
      </c>
      <c r="L256" s="9">
        <f>VLOOKUP($O256,매칭테이블!$G:$J,2,0)*H256</f>
        <v/>
      </c>
      <c r="M256" s="9">
        <f>L256-L256*VLOOKUP($O256,매칭테이블!$G:$J,3,0)</f>
        <v/>
      </c>
      <c r="N256" s="9">
        <f>VLOOKUP($O256,매칭테이블!$G:$J,4,0)*H256</f>
        <v/>
      </c>
      <c r="O256" s="9">
        <f>F256&amp;E256&amp;I256&amp;J256</f>
        <v/>
      </c>
    </row>
    <row r="257">
      <c r="B257" s="10" t="n">
        <v>44154</v>
      </c>
      <c r="C257" s="9">
        <f>TEXT(B257,"aaa")</f>
        <v/>
      </c>
      <c r="E257" s="9" t="inlineStr">
        <is>
          <t>샴푸</t>
        </is>
      </c>
      <c r="F257" s="9" t="inlineStr">
        <is>
          <t>카페24</t>
        </is>
      </c>
      <c r="H257" s="9" t="n">
        <v>4</v>
      </c>
      <c r="I257" s="9" t="inlineStr">
        <is>
          <t>리바이탈 샴푸 2set</t>
        </is>
      </c>
      <c r="J257" s="9" t="n">
        <v>201109</v>
      </c>
      <c r="L257" s="9">
        <f>VLOOKUP($O257,매칭테이블!$G:$J,2,0)*H257</f>
        <v/>
      </c>
      <c r="M257" s="9">
        <f>L257-L257*VLOOKUP($O257,매칭테이블!$G:$J,3,0)</f>
        <v/>
      </c>
      <c r="N257" s="9">
        <f>VLOOKUP($O257,매칭테이블!$G:$J,4,0)*H257</f>
        <v/>
      </c>
      <c r="O257" s="9">
        <f>F257&amp;E257&amp;I257&amp;J257</f>
        <v/>
      </c>
    </row>
    <row r="258">
      <c r="B258" s="10" t="n">
        <v>44155</v>
      </c>
      <c r="C258" s="9">
        <f>TEXT(B258,"aaa")</f>
        <v/>
      </c>
      <c r="E258" s="9" t="inlineStr">
        <is>
          <t>샴푸</t>
        </is>
      </c>
      <c r="F258" s="9" t="inlineStr">
        <is>
          <t>라베나 CS</t>
        </is>
      </c>
      <c r="H258" s="9" t="n">
        <v>1</v>
      </c>
      <c r="I258" s="9" t="inlineStr">
        <is>
          <t>리바이탈 샴푸</t>
        </is>
      </c>
      <c r="J258" s="9" t="n">
        <v>201109</v>
      </c>
      <c r="L258" s="9">
        <f>VLOOKUP($O258,매칭테이블!$G:$J,2,0)*H258</f>
        <v/>
      </c>
      <c r="M258" s="9">
        <f>L258-L258*VLOOKUP($O258,매칭테이블!$G:$J,3,0)</f>
        <v/>
      </c>
      <c r="N258" s="9">
        <f>VLOOKUP($O258,매칭테이블!$G:$J,4,0)*H258</f>
        <v/>
      </c>
      <c r="O258" s="9">
        <f>F258&amp;E258&amp;I258&amp;J258</f>
        <v/>
      </c>
    </row>
    <row r="259">
      <c r="B259" s="10" t="n">
        <v>44155</v>
      </c>
      <c r="C259" s="9">
        <f>TEXT(B259,"aaa")</f>
        <v/>
      </c>
      <c r="E259" s="9" t="inlineStr">
        <is>
          <t>샴푸</t>
        </is>
      </c>
      <c r="F259" s="9" t="inlineStr">
        <is>
          <t>카페24</t>
        </is>
      </c>
      <c r="H259" s="9" t="n">
        <v>8</v>
      </c>
      <c r="I259" s="9" t="inlineStr">
        <is>
          <t>리바이탈 샴푸</t>
        </is>
      </c>
      <c r="J259" s="9" t="n">
        <v>201109</v>
      </c>
      <c r="L259" s="9">
        <f>VLOOKUP($O259,매칭테이블!$G:$J,2,0)*H259</f>
        <v/>
      </c>
      <c r="M259" s="9">
        <f>L259-L259*VLOOKUP($O259,매칭테이블!$G:$J,3,0)</f>
        <v/>
      </c>
      <c r="N259" s="9">
        <f>VLOOKUP($O259,매칭테이블!$G:$J,4,0)*H259</f>
        <v/>
      </c>
      <c r="O259" s="9">
        <f>F259&amp;E259&amp;I259&amp;J259</f>
        <v/>
      </c>
    </row>
    <row r="260">
      <c r="B260" s="10" t="n">
        <v>44155</v>
      </c>
      <c r="C260" s="9">
        <f>TEXT(B260,"aaa")</f>
        <v/>
      </c>
      <c r="E260" s="9" t="inlineStr">
        <is>
          <t>샴푸</t>
        </is>
      </c>
      <c r="F260" s="9" t="inlineStr">
        <is>
          <t>카페24</t>
        </is>
      </c>
      <c r="H260" s="9" t="n">
        <v>4</v>
      </c>
      <c r="I260" s="9" t="inlineStr">
        <is>
          <t>리바이탈 샴푸 2set</t>
        </is>
      </c>
      <c r="J260" s="9" t="n">
        <v>201109</v>
      </c>
      <c r="L260" s="9">
        <f>VLOOKUP($O260,매칭테이블!$G:$J,2,0)*H260</f>
        <v/>
      </c>
      <c r="M260" s="9">
        <f>L260-L260*VLOOKUP($O260,매칭테이블!$G:$J,3,0)</f>
        <v/>
      </c>
      <c r="N260" s="9">
        <f>VLOOKUP($O260,매칭테이블!$G:$J,4,0)*H260</f>
        <v/>
      </c>
      <c r="O260" s="9">
        <f>F260&amp;E260&amp;I260&amp;J260</f>
        <v/>
      </c>
    </row>
    <row r="261">
      <c r="B261" s="10" t="n">
        <v>44155</v>
      </c>
      <c r="C261" s="9">
        <f>TEXT(B261,"aaa")</f>
        <v/>
      </c>
      <c r="E261" s="9" t="inlineStr">
        <is>
          <t>샴푸</t>
        </is>
      </c>
      <c r="F261" s="9" t="inlineStr">
        <is>
          <t>카페24</t>
        </is>
      </c>
      <c r="H261" s="9" t="n">
        <v>2</v>
      </c>
      <c r="I261" s="9" t="inlineStr">
        <is>
          <t>리바이탈 샴푸 3set</t>
        </is>
      </c>
      <c r="J261" s="9" t="n">
        <v>201109</v>
      </c>
      <c r="L261" s="9">
        <f>VLOOKUP($O261,매칭테이블!$G:$J,2,0)*H261</f>
        <v/>
      </c>
      <c r="M261" s="9">
        <f>L261-L261*VLOOKUP($O261,매칭테이블!$G:$J,3,0)</f>
        <v/>
      </c>
      <c r="N261" s="9">
        <f>VLOOKUP($O261,매칭테이블!$G:$J,4,0)*H261</f>
        <v/>
      </c>
      <c r="O261" s="9">
        <f>F261&amp;E261&amp;I261&amp;J261</f>
        <v/>
      </c>
    </row>
    <row r="262">
      <c r="B262" s="10" t="n">
        <v>44156</v>
      </c>
      <c r="C262" s="9">
        <f>TEXT(B262,"aaa")</f>
        <v/>
      </c>
      <c r="E262" s="9" t="inlineStr">
        <is>
          <t>샴푸</t>
        </is>
      </c>
      <c r="F262" s="9" t="inlineStr">
        <is>
          <t>카페24</t>
        </is>
      </c>
      <c r="H262" s="9" t="n">
        <v>30</v>
      </c>
      <c r="I262" s="9" t="inlineStr">
        <is>
          <t>리바이탈 샴푸</t>
        </is>
      </c>
      <c r="J262" s="9" t="n">
        <v>201109</v>
      </c>
      <c r="L262" s="9">
        <f>VLOOKUP($O262,매칭테이블!$G:$J,2,0)*H262</f>
        <v/>
      </c>
      <c r="M262" s="9">
        <f>L262-L262*VLOOKUP($O262,매칭테이블!$G:$J,3,0)</f>
        <v/>
      </c>
      <c r="N262" s="9">
        <f>VLOOKUP($O262,매칭테이블!$G:$J,4,0)*H262</f>
        <v/>
      </c>
      <c r="O262" s="9">
        <f>F262&amp;E262&amp;I262&amp;J262</f>
        <v/>
      </c>
    </row>
    <row r="263">
      <c r="B263" s="10" t="n">
        <v>44156</v>
      </c>
      <c r="C263" s="9">
        <f>TEXT(B263,"aaa")</f>
        <v/>
      </c>
      <c r="E263" s="9" t="inlineStr">
        <is>
          <t>샴푸</t>
        </is>
      </c>
      <c r="F263" s="9" t="inlineStr">
        <is>
          <t>카페24</t>
        </is>
      </c>
      <c r="H263" s="9" t="n">
        <v>13</v>
      </c>
      <c r="I263" s="9" t="inlineStr">
        <is>
          <t>리바이탈 샴푸 2set</t>
        </is>
      </c>
      <c r="J263" s="9" t="n">
        <v>201109</v>
      </c>
      <c r="L263" s="9">
        <f>VLOOKUP($O263,매칭테이블!$G:$J,2,0)*H263</f>
        <v/>
      </c>
      <c r="M263" s="9">
        <f>L263-L263*VLOOKUP($O263,매칭테이블!$G:$J,3,0)</f>
        <v/>
      </c>
      <c r="N263" s="9">
        <f>VLOOKUP($O263,매칭테이블!$G:$J,4,0)*H263</f>
        <v/>
      </c>
      <c r="O263" s="9">
        <f>F263&amp;E263&amp;I263&amp;J263</f>
        <v/>
      </c>
    </row>
    <row r="264">
      <c r="B264" s="10" t="n">
        <v>44156</v>
      </c>
      <c r="C264" s="9">
        <f>TEXT(B264,"aaa")</f>
        <v/>
      </c>
      <c r="E264" s="9" t="inlineStr">
        <is>
          <t>샴푸</t>
        </is>
      </c>
      <c r="F264" s="9" t="inlineStr">
        <is>
          <t>카페24</t>
        </is>
      </c>
      <c r="H264" s="9" t="n">
        <v>5</v>
      </c>
      <c r="I264" s="9" t="inlineStr">
        <is>
          <t>리바이탈 샴푸 3set</t>
        </is>
      </c>
      <c r="J264" s="9" t="n">
        <v>201109</v>
      </c>
      <c r="L264" s="9">
        <f>VLOOKUP($O264,매칭테이블!$G:$J,2,0)*H264</f>
        <v/>
      </c>
      <c r="M264" s="9">
        <f>L264-L264*VLOOKUP($O264,매칭테이블!$G:$J,3,0)</f>
        <v/>
      </c>
      <c r="N264" s="9">
        <f>VLOOKUP($O264,매칭테이블!$G:$J,4,0)*H264</f>
        <v/>
      </c>
      <c r="O264" s="9">
        <f>F264&amp;E264&amp;I264&amp;J264</f>
        <v/>
      </c>
    </row>
    <row r="265">
      <c r="B265" s="10" t="n">
        <v>44157</v>
      </c>
      <c r="C265" s="9">
        <f>TEXT(B265,"aaa")</f>
        <v/>
      </c>
      <c r="E265" s="9" t="inlineStr">
        <is>
          <t>샴푸</t>
        </is>
      </c>
      <c r="F265" s="9" t="inlineStr">
        <is>
          <t>카페24</t>
        </is>
      </c>
      <c r="H265" s="9" t="n">
        <v>30</v>
      </c>
      <c r="I265" s="9" t="inlineStr">
        <is>
          <t>리바이탈 샴푸</t>
        </is>
      </c>
      <c r="J265" s="9" t="n">
        <v>201109</v>
      </c>
      <c r="L265" s="9">
        <f>VLOOKUP($O265,매칭테이블!$G:$J,2,0)*H265</f>
        <v/>
      </c>
      <c r="M265" s="9">
        <f>L265-L265*VLOOKUP($O265,매칭테이블!$G:$J,3,0)</f>
        <v/>
      </c>
      <c r="N265" s="9">
        <f>VLOOKUP($O265,매칭테이블!$G:$J,4,0)*H265</f>
        <v/>
      </c>
      <c r="O265" s="9">
        <f>F265&amp;E265&amp;I265&amp;J265</f>
        <v/>
      </c>
    </row>
    <row r="266">
      <c r="B266" s="10" t="n">
        <v>44157</v>
      </c>
      <c r="C266" s="9">
        <f>TEXT(B266,"aaa")</f>
        <v/>
      </c>
      <c r="E266" s="9" t="inlineStr">
        <is>
          <t>샴푸</t>
        </is>
      </c>
      <c r="F266" s="9" t="inlineStr">
        <is>
          <t>카페24</t>
        </is>
      </c>
      <c r="H266" s="9" t="n">
        <v>9</v>
      </c>
      <c r="I266" s="9" t="inlineStr">
        <is>
          <t>리바이탈 샴푸 2set</t>
        </is>
      </c>
      <c r="J266" s="9" t="n">
        <v>201109</v>
      </c>
      <c r="L266" s="9">
        <f>VLOOKUP($O266,매칭테이블!$G:$J,2,0)*H266</f>
        <v/>
      </c>
      <c r="M266" s="9">
        <f>L266-L266*VLOOKUP($O266,매칭테이블!$G:$J,3,0)</f>
        <v/>
      </c>
      <c r="N266" s="9">
        <f>VLOOKUP($O266,매칭테이블!$G:$J,4,0)*H266</f>
        <v/>
      </c>
      <c r="O266" s="9">
        <f>F266&amp;E266&amp;I266&amp;J266</f>
        <v/>
      </c>
    </row>
    <row r="267">
      <c r="B267" s="10" t="n">
        <v>44157</v>
      </c>
      <c r="C267" s="9">
        <f>TEXT(B267,"aaa")</f>
        <v/>
      </c>
      <c r="E267" s="9" t="inlineStr">
        <is>
          <t>샴푸</t>
        </is>
      </c>
      <c r="F267" s="9" t="inlineStr">
        <is>
          <t>카페24</t>
        </is>
      </c>
      <c r="H267" s="9" t="n">
        <v>8</v>
      </c>
      <c r="I267" s="9" t="inlineStr">
        <is>
          <t>리바이탈 샴푸 3set</t>
        </is>
      </c>
      <c r="J267" s="9" t="n">
        <v>201109</v>
      </c>
      <c r="L267" s="9">
        <f>VLOOKUP($O267,매칭테이블!$G:$J,2,0)*H267</f>
        <v/>
      </c>
      <c r="M267" s="9">
        <f>L267-L267*VLOOKUP($O267,매칭테이블!$G:$J,3,0)</f>
        <v/>
      </c>
      <c r="N267" s="9">
        <f>VLOOKUP($O267,매칭테이블!$G:$J,4,0)*H267</f>
        <v/>
      </c>
      <c r="O267" s="9">
        <f>F267&amp;E267&amp;I267&amp;J267</f>
        <v/>
      </c>
    </row>
    <row r="268">
      <c r="B268" s="10" t="n">
        <v>44158</v>
      </c>
      <c r="C268" s="9">
        <f>TEXT(B268,"aaa")</f>
        <v/>
      </c>
      <c r="E268" s="9" t="inlineStr">
        <is>
          <t>샴푸</t>
        </is>
      </c>
      <c r="F268" s="9" t="inlineStr">
        <is>
          <t>카페24</t>
        </is>
      </c>
      <c r="H268" s="9" t="n">
        <v>26</v>
      </c>
      <c r="I268" s="9" t="inlineStr">
        <is>
          <t>리바이탈 샴푸</t>
        </is>
      </c>
      <c r="J268" s="9" t="n">
        <v>201109</v>
      </c>
      <c r="L268" s="9">
        <f>VLOOKUP($O268,매칭테이블!$G:$J,2,0)*H268</f>
        <v/>
      </c>
      <c r="M268" s="9">
        <f>L268-L268*VLOOKUP($O268,매칭테이블!$G:$J,3,0)</f>
        <v/>
      </c>
      <c r="N268" s="9">
        <f>VLOOKUP($O268,매칭테이블!$G:$J,4,0)*H268</f>
        <v/>
      </c>
      <c r="O268" s="9">
        <f>F268&amp;E268&amp;I268&amp;J268</f>
        <v/>
      </c>
    </row>
    <row r="269">
      <c r="B269" s="10" t="n">
        <v>44158</v>
      </c>
      <c r="C269" s="9">
        <f>TEXT(B269,"aaa")</f>
        <v/>
      </c>
      <c r="E269" s="9" t="inlineStr">
        <is>
          <t>샴푸</t>
        </is>
      </c>
      <c r="F269" s="9" t="inlineStr">
        <is>
          <t>카페24</t>
        </is>
      </c>
      <c r="H269" s="9" t="n">
        <v>10</v>
      </c>
      <c r="I269" s="9" t="inlineStr">
        <is>
          <t>리바이탈 샴푸 2set</t>
        </is>
      </c>
      <c r="J269" s="9" t="n">
        <v>201109</v>
      </c>
      <c r="L269" s="9">
        <f>VLOOKUP($O269,매칭테이블!$G:$J,2,0)*H269</f>
        <v/>
      </c>
      <c r="M269" s="9">
        <f>L269-L269*VLOOKUP($O269,매칭테이블!$G:$J,3,0)</f>
        <v/>
      </c>
      <c r="N269" s="9">
        <f>VLOOKUP($O269,매칭테이블!$G:$J,4,0)*H269</f>
        <v/>
      </c>
      <c r="O269" s="9">
        <f>F269&amp;E269&amp;I269&amp;J269</f>
        <v/>
      </c>
    </row>
    <row r="270">
      <c r="B270" s="10" t="n">
        <v>44158</v>
      </c>
      <c r="C270" s="9">
        <f>TEXT(B270,"aaa")</f>
        <v/>
      </c>
      <c r="E270" s="9" t="inlineStr">
        <is>
          <t>샴푸</t>
        </is>
      </c>
      <c r="F270" s="9" t="inlineStr">
        <is>
          <t>카페24</t>
        </is>
      </c>
      <c r="H270" s="9" t="n">
        <v>6</v>
      </c>
      <c r="I270" s="9" t="inlineStr">
        <is>
          <t>리바이탈 샴푸 3set</t>
        </is>
      </c>
      <c r="J270" s="9" t="n">
        <v>201109</v>
      </c>
      <c r="L270" s="9">
        <f>VLOOKUP($O270,매칭테이블!$G:$J,2,0)*H270</f>
        <v/>
      </c>
      <c r="M270" s="9">
        <f>L270-L270*VLOOKUP($O270,매칭테이블!$G:$J,3,0)</f>
        <v/>
      </c>
      <c r="N270" s="9">
        <f>VLOOKUP($O270,매칭테이블!$G:$J,4,0)*H270</f>
        <v/>
      </c>
      <c r="O270" s="9">
        <f>F270&amp;E270&amp;I270&amp;J270</f>
        <v/>
      </c>
    </row>
    <row r="271">
      <c r="B271" s="10" t="n">
        <v>44159</v>
      </c>
      <c r="C271" s="9">
        <f>TEXT(B271,"aaa")</f>
        <v/>
      </c>
      <c r="E271" s="9" t="inlineStr">
        <is>
          <t>샴푸</t>
        </is>
      </c>
      <c r="F271" s="9" t="inlineStr">
        <is>
          <t>카페24</t>
        </is>
      </c>
      <c r="H271" s="9" t="n">
        <v>26</v>
      </c>
      <c r="I271" s="9" t="inlineStr">
        <is>
          <t>리바이탈 샴푸</t>
        </is>
      </c>
      <c r="J271" s="9" t="n">
        <v>201109</v>
      </c>
      <c r="L271" s="9">
        <f>VLOOKUP($O271,매칭테이블!$G:$J,2,0)*H271</f>
        <v/>
      </c>
      <c r="M271" s="9">
        <f>L271-L271*VLOOKUP($O271,매칭테이블!$G:$J,3,0)</f>
        <v/>
      </c>
      <c r="N271" s="9">
        <f>VLOOKUP($O271,매칭테이블!$G:$J,4,0)*H271</f>
        <v/>
      </c>
      <c r="O271" s="9">
        <f>F271&amp;E271&amp;I271&amp;J271</f>
        <v/>
      </c>
    </row>
    <row r="272">
      <c r="B272" s="10" t="n">
        <v>44159</v>
      </c>
      <c r="C272" s="9">
        <f>TEXT(B272,"aaa")</f>
        <v/>
      </c>
      <c r="E272" s="9" t="inlineStr">
        <is>
          <t>샴푸</t>
        </is>
      </c>
      <c r="F272" s="9" t="inlineStr">
        <is>
          <t>카페24</t>
        </is>
      </c>
      <c r="H272" s="9" t="n">
        <v>14</v>
      </c>
      <c r="I272" s="9" t="inlineStr">
        <is>
          <t>리바이탈 샴푸 2set</t>
        </is>
      </c>
      <c r="J272" s="9" t="n">
        <v>201109</v>
      </c>
      <c r="L272" s="9">
        <f>VLOOKUP($O272,매칭테이블!$G:$J,2,0)*H272</f>
        <v/>
      </c>
      <c r="M272" s="9">
        <f>L272-L272*VLOOKUP($O272,매칭테이블!$G:$J,3,0)</f>
        <v/>
      </c>
      <c r="N272" s="9">
        <f>VLOOKUP($O272,매칭테이블!$G:$J,4,0)*H272</f>
        <v/>
      </c>
      <c r="O272" s="9">
        <f>F272&amp;E272&amp;I272&amp;J272</f>
        <v/>
      </c>
    </row>
    <row r="273">
      <c r="B273" s="10" t="n">
        <v>44159</v>
      </c>
      <c r="C273" s="9">
        <f>TEXT(B273,"aaa")</f>
        <v/>
      </c>
      <c r="E273" s="9" t="inlineStr">
        <is>
          <t>샴푸</t>
        </is>
      </c>
      <c r="F273" s="9" t="inlineStr">
        <is>
          <t>카페24</t>
        </is>
      </c>
      <c r="H273" s="9" t="n">
        <v>7</v>
      </c>
      <c r="I273" s="9" t="inlineStr">
        <is>
          <t>리바이탈 샴푸 3set</t>
        </is>
      </c>
      <c r="J273" s="9" t="n">
        <v>201109</v>
      </c>
      <c r="L273" s="9">
        <f>VLOOKUP($O273,매칭테이블!$G:$J,2,0)*H273</f>
        <v/>
      </c>
      <c r="M273" s="9">
        <f>L273-L273*VLOOKUP($O273,매칭테이블!$G:$J,3,0)</f>
        <v/>
      </c>
      <c r="N273" s="9">
        <f>VLOOKUP($O273,매칭테이블!$G:$J,4,0)*H273</f>
        <v/>
      </c>
      <c r="O273" s="9">
        <f>F273&amp;E273&amp;I273&amp;J273</f>
        <v/>
      </c>
    </row>
    <row r="274">
      <c r="B274" s="10" t="n">
        <v>44160</v>
      </c>
      <c r="C274" s="9">
        <f>TEXT(B274,"aaa")</f>
        <v/>
      </c>
      <c r="E274" s="9" t="inlineStr">
        <is>
          <t>샴푸</t>
        </is>
      </c>
      <c r="F274" s="9" t="inlineStr">
        <is>
          <t>카페24</t>
        </is>
      </c>
      <c r="H274" s="9" t="n">
        <v>19</v>
      </c>
      <c r="I274" s="9" t="inlineStr">
        <is>
          <t>리바이탈 샴푸</t>
        </is>
      </c>
      <c r="J274" s="9" t="n">
        <v>201109</v>
      </c>
      <c r="L274" s="9">
        <f>VLOOKUP($O274,매칭테이블!$G:$J,2,0)*H274</f>
        <v/>
      </c>
      <c r="M274" s="9">
        <f>L274-L274*VLOOKUP($O274,매칭테이블!$G:$J,3,0)</f>
        <v/>
      </c>
      <c r="N274" s="9">
        <f>VLOOKUP($O274,매칭테이블!$G:$J,4,0)*H274</f>
        <v/>
      </c>
      <c r="O274" s="9">
        <f>F274&amp;E274&amp;I274&amp;J274</f>
        <v/>
      </c>
    </row>
    <row r="275">
      <c r="B275" s="10" t="n">
        <v>44160</v>
      </c>
      <c r="C275" s="9">
        <f>TEXT(B275,"aaa")</f>
        <v/>
      </c>
      <c r="E275" s="9" t="inlineStr">
        <is>
          <t>샴푸</t>
        </is>
      </c>
      <c r="F275" s="9" t="inlineStr">
        <is>
          <t>카페24</t>
        </is>
      </c>
      <c r="H275" s="9" t="n">
        <v>11</v>
      </c>
      <c r="I275" s="9" t="inlineStr">
        <is>
          <t>리바이탈 샴푸 2set</t>
        </is>
      </c>
      <c r="J275" s="9" t="n">
        <v>201109</v>
      </c>
      <c r="L275" s="9">
        <f>VLOOKUP($O275,매칭테이블!$G:$J,2,0)*H275</f>
        <v/>
      </c>
      <c r="M275" s="9">
        <f>L275-L275*VLOOKUP($O275,매칭테이블!$G:$J,3,0)</f>
        <v/>
      </c>
      <c r="N275" s="9">
        <f>VLOOKUP($O275,매칭테이블!$G:$J,4,0)*H275</f>
        <v/>
      </c>
      <c r="O275" s="9">
        <f>F275&amp;E275&amp;I275&amp;J275</f>
        <v/>
      </c>
    </row>
    <row r="276">
      <c r="B276" s="10" t="n">
        <v>44160</v>
      </c>
      <c r="C276" s="9">
        <f>TEXT(B276,"aaa")</f>
        <v/>
      </c>
      <c r="E276" s="9" t="inlineStr">
        <is>
          <t>샴푸</t>
        </is>
      </c>
      <c r="F276" s="9" t="inlineStr">
        <is>
          <t>카페24</t>
        </is>
      </c>
      <c r="H276" s="9" t="n">
        <v>3</v>
      </c>
      <c r="I276" s="9" t="inlineStr">
        <is>
          <t>리바이탈 샴푸 3set</t>
        </is>
      </c>
      <c r="J276" s="9" t="n">
        <v>201109</v>
      </c>
      <c r="L276" s="9">
        <f>VLOOKUP($O276,매칭테이블!$G:$J,2,0)*H276</f>
        <v/>
      </c>
      <c r="M276" s="9">
        <f>L276-L276*VLOOKUP($O276,매칭테이블!$G:$J,3,0)</f>
        <v/>
      </c>
      <c r="N276" s="9">
        <f>VLOOKUP($O276,매칭테이블!$G:$J,4,0)*H276</f>
        <v/>
      </c>
      <c r="O276" s="9">
        <f>F276&amp;E276&amp;I276&amp;J276</f>
        <v/>
      </c>
    </row>
    <row r="277">
      <c r="B277" s="10" t="n">
        <v>44161</v>
      </c>
      <c r="C277" s="9">
        <f>TEXT(B277,"aaa")</f>
        <v/>
      </c>
      <c r="E277" s="9" t="inlineStr">
        <is>
          <t>샴푸</t>
        </is>
      </c>
      <c r="F277" s="9" t="inlineStr">
        <is>
          <t>카페24</t>
        </is>
      </c>
      <c r="H277" s="9" t="n">
        <v>14</v>
      </c>
      <c r="I277" s="9" t="inlineStr">
        <is>
          <t>리바이탈 샴푸</t>
        </is>
      </c>
      <c r="J277" s="9" t="n">
        <v>201109</v>
      </c>
      <c r="L277" s="9">
        <f>VLOOKUP($O277,매칭테이블!$G:$J,2,0)*H277</f>
        <v/>
      </c>
      <c r="M277" s="9">
        <f>L277-L277*VLOOKUP($O277,매칭테이블!$G:$J,3,0)</f>
        <v/>
      </c>
      <c r="N277" s="9">
        <f>VLOOKUP($O277,매칭테이블!$G:$J,4,0)*H277</f>
        <v/>
      </c>
      <c r="O277" s="9">
        <f>F277&amp;E277&amp;I277&amp;J277</f>
        <v/>
      </c>
    </row>
    <row r="278">
      <c r="B278" s="10" t="n">
        <v>44161</v>
      </c>
      <c r="C278" s="9">
        <f>TEXT(B278,"aaa")</f>
        <v/>
      </c>
      <c r="E278" s="9" t="inlineStr">
        <is>
          <t>샴푸</t>
        </is>
      </c>
      <c r="F278" s="9" t="inlineStr">
        <is>
          <t>카페24</t>
        </is>
      </c>
      <c r="H278" s="9" t="n">
        <v>10</v>
      </c>
      <c r="I278" s="9" t="inlineStr">
        <is>
          <t>리바이탈 샴푸 2set</t>
        </is>
      </c>
      <c r="J278" s="9" t="n">
        <v>201109</v>
      </c>
      <c r="L278" s="9">
        <f>VLOOKUP($O278,매칭테이블!$G:$J,2,0)*H278</f>
        <v/>
      </c>
      <c r="M278" s="9">
        <f>L278-L278*VLOOKUP($O278,매칭테이블!$G:$J,3,0)</f>
        <v/>
      </c>
      <c r="N278" s="9">
        <f>VLOOKUP($O278,매칭테이블!$G:$J,4,0)*H278</f>
        <v/>
      </c>
      <c r="O278" s="9">
        <f>F278&amp;E278&amp;I278&amp;J278</f>
        <v/>
      </c>
    </row>
    <row r="279">
      <c r="B279" s="10" t="n">
        <v>44161</v>
      </c>
      <c r="C279" s="9">
        <f>TEXT(B279,"aaa")</f>
        <v/>
      </c>
      <c r="E279" s="9" t="inlineStr">
        <is>
          <t>샴푸</t>
        </is>
      </c>
      <c r="F279" s="9" t="inlineStr">
        <is>
          <t>카페24</t>
        </is>
      </c>
      <c r="H279" s="9" t="n">
        <v>5</v>
      </c>
      <c r="I279" s="9" t="inlineStr">
        <is>
          <t>리바이탈 샴푸 3set</t>
        </is>
      </c>
      <c r="J279" s="9" t="n">
        <v>201109</v>
      </c>
      <c r="L279" s="9">
        <f>VLOOKUP($O279,매칭테이블!$G:$J,2,0)*H279</f>
        <v/>
      </c>
      <c r="M279" s="9">
        <f>L279-L279*VLOOKUP($O279,매칭테이블!$G:$J,3,0)</f>
        <v/>
      </c>
      <c r="N279" s="9">
        <f>VLOOKUP($O279,매칭테이블!$G:$J,4,0)*H279</f>
        <v/>
      </c>
      <c r="O279" s="9">
        <f>F279&amp;E279&amp;I279&amp;J279</f>
        <v/>
      </c>
    </row>
    <row r="280">
      <c r="B280" s="10" t="n">
        <v>44162</v>
      </c>
      <c r="C280" s="9">
        <f>TEXT(B280,"aaa")</f>
        <v/>
      </c>
      <c r="E280" s="9" t="inlineStr">
        <is>
          <t>샴푸</t>
        </is>
      </c>
      <c r="F280" s="9" t="inlineStr">
        <is>
          <t>카페24</t>
        </is>
      </c>
      <c r="H280" s="9" t="n">
        <v>12</v>
      </c>
      <c r="I280" s="9" t="inlineStr">
        <is>
          <t>리바이탈 샴푸</t>
        </is>
      </c>
      <c r="J280" s="9" t="n">
        <v>201109</v>
      </c>
      <c r="L280" s="9">
        <f>VLOOKUP($O280,매칭테이블!$G:$J,2,0)*H280</f>
        <v/>
      </c>
      <c r="M280" s="9">
        <f>L280-L280*VLOOKUP($O280,매칭테이블!$G:$J,3,0)</f>
        <v/>
      </c>
      <c r="N280" s="9">
        <f>VLOOKUP($O280,매칭테이블!$G:$J,4,0)*H280</f>
        <v/>
      </c>
      <c r="O280" s="9">
        <f>F280&amp;E280&amp;I280&amp;J280</f>
        <v/>
      </c>
    </row>
    <row r="281">
      <c r="B281" s="10" t="n">
        <v>44162</v>
      </c>
      <c r="C281" s="9">
        <f>TEXT(B281,"aaa")</f>
        <v/>
      </c>
      <c r="E281" s="9" t="inlineStr">
        <is>
          <t>샴푸</t>
        </is>
      </c>
      <c r="F281" s="9" t="inlineStr">
        <is>
          <t>카페24</t>
        </is>
      </c>
      <c r="H281" s="9" t="n">
        <v>8</v>
      </c>
      <c r="I281" s="9" t="inlineStr">
        <is>
          <t>리바이탈 샴푸 2set</t>
        </is>
      </c>
      <c r="J281" s="9" t="n">
        <v>201109</v>
      </c>
      <c r="L281" s="9">
        <f>VLOOKUP($O281,매칭테이블!$G:$J,2,0)*H281</f>
        <v/>
      </c>
      <c r="M281" s="9">
        <f>L281-L281*VLOOKUP($O281,매칭테이블!$G:$J,3,0)</f>
        <v/>
      </c>
      <c r="N281" s="9">
        <f>VLOOKUP($O281,매칭테이블!$G:$J,4,0)*H281</f>
        <v/>
      </c>
      <c r="O281" s="9">
        <f>F281&amp;E281&amp;I281&amp;J281</f>
        <v/>
      </c>
    </row>
    <row r="282">
      <c r="B282" s="10" t="n">
        <v>44162</v>
      </c>
      <c r="C282" s="9">
        <f>TEXT(B282,"aaa")</f>
        <v/>
      </c>
      <c r="E282" s="9" t="inlineStr">
        <is>
          <t>샴푸</t>
        </is>
      </c>
      <c r="F282" s="9" t="inlineStr">
        <is>
          <t>카페24</t>
        </is>
      </c>
      <c r="H282" s="9" t="n">
        <v>4</v>
      </c>
      <c r="I282" s="9" t="inlineStr">
        <is>
          <t>리바이탈 샴푸 3set</t>
        </is>
      </c>
      <c r="J282" s="9" t="n">
        <v>201109</v>
      </c>
      <c r="L282" s="9">
        <f>VLOOKUP($O282,매칭테이블!$G:$J,2,0)*H282</f>
        <v/>
      </c>
      <c r="M282" s="9">
        <f>L282-L282*VLOOKUP($O282,매칭테이블!$G:$J,3,0)</f>
        <v/>
      </c>
      <c r="N282" s="9">
        <f>VLOOKUP($O282,매칭테이블!$G:$J,4,0)*H282</f>
        <v/>
      </c>
      <c r="O282" s="9">
        <f>F282&amp;E282&amp;I282&amp;J282</f>
        <v/>
      </c>
    </row>
    <row r="283">
      <c r="B283" s="10" t="n">
        <v>44163</v>
      </c>
      <c r="C283" s="9">
        <f>TEXT(B283,"aaa")</f>
        <v/>
      </c>
      <c r="E283" s="9" t="inlineStr">
        <is>
          <t>샴푸</t>
        </is>
      </c>
      <c r="F283" s="9" t="inlineStr">
        <is>
          <t>카페24</t>
        </is>
      </c>
      <c r="H283" s="9" t="n">
        <v>17</v>
      </c>
      <c r="I283" s="9" t="inlineStr">
        <is>
          <t>리바이탈 샴푸</t>
        </is>
      </c>
      <c r="J283" s="9" t="n">
        <v>201109</v>
      </c>
      <c r="L283" s="9">
        <f>VLOOKUP($O283,매칭테이블!$G:$J,2,0)*H283</f>
        <v/>
      </c>
      <c r="M283" s="9">
        <f>L283-L283*VLOOKUP($O283,매칭테이블!$G:$J,3,0)</f>
        <v/>
      </c>
      <c r="N283" s="9">
        <f>VLOOKUP($O283,매칭테이블!$G:$J,4,0)*H283</f>
        <v/>
      </c>
      <c r="O283" s="9">
        <f>F283&amp;E283&amp;I283&amp;J283</f>
        <v/>
      </c>
    </row>
    <row r="284">
      <c r="B284" s="10" t="n">
        <v>44163</v>
      </c>
      <c r="C284" s="9">
        <f>TEXT(B284,"aaa")</f>
        <v/>
      </c>
      <c r="E284" s="9" t="inlineStr">
        <is>
          <t>샴푸</t>
        </is>
      </c>
      <c r="F284" s="9" t="inlineStr">
        <is>
          <t>카페24</t>
        </is>
      </c>
      <c r="H284" s="9" t="n">
        <v>7</v>
      </c>
      <c r="I284" s="9" t="inlineStr">
        <is>
          <t>리바이탈 샴푸 2set</t>
        </is>
      </c>
      <c r="J284" s="9" t="n">
        <v>201109</v>
      </c>
      <c r="L284" s="9">
        <f>VLOOKUP($O284,매칭테이블!$G:$J,2,0)*H284</f>
        <v/>
      </c>
      <c r="M284" s="9">
        <f>L284-L284*VLOOKUP($O284,매칭테이블!$G:$J,3,0)</f>
        <v/>
      </c>
      <c r="N284" s="9">
        <f>VLOOKUP($O284,매칭테이블!$G:$J,4,0)*H284</f>
        <v/>
      </c>
      <c r="O284" s="9">
        <f>F284&amp;E284&amp;I284&amp;J284</f>
        <v/>
      </c>
    </row>
    <row r="285">
      <c r="B285" s="10" t="n">
        <v>44163</v>
      </c>
      <c r="C285" s="9">
        <f>TEXT(B285,"aaa")</f>
        <v/>
      </c>
      <c r="E285" s="9" t="inlineStr">
        <is>
          <t>샴푸</t>
        </is>
      </c>
      <c r="F285" s="9" t="inlineStr">
        <is>
          <t>카페24</t>
        </is>
      </c>
      <c r="H285" s="9" t="n">
        <v>2</v>
      </c>
      <c r="I285" s="9" t="inlineStr">
        <is>
          <t>리바이탈 샴푸 3set</t>
        </is>
      </c>
      <c r="J285" s="9" t="n">
        <v>201109</v>
      </c>
      <c r="L285" s="9">
        <f>VLOOKUP($O285,매칭테이블!$G:$J,2,0)*H285</f>
        <v/>
      </c>
      <c r="M285" s="9">
        <f>L285-L285*VLOOKUP($O285,매칭테이블!$G:$J,3,0)</f>
        <v/>
      </c>
      <c r="N285" s="9">
        <f>VLOOKUP($O285,매칭테이블!$G:$J,4,0)*H285</f>
        <v/>
      </c>
      <c r="O285" s="9">
        <f>F285&amp;E285&amp;I285&amp;J285</f>
        <v/>
      </c>
    </row>
    <row r="286">
      <c r="B286" s="10" t="n">
        <v>44164</v>
      </c>
      <c r="C286" s="9">
        <f>TEXT(B286,"aaa")</f>
        <v/>
      </c>
      <c r="E286" s="9" t="inlineStr">
        <is>
          <t>샴푸</t>
        </is>
      </c>
      <c r="F286" s="9" t="inlineStr">
        <is>
          <t>카페24</t>
        </is>
      </c>
      <c r="H286" s="9" t="n">
        <v>21</v>
      </c>
      <c r="I286" s="9" t="inlineStr">
        <is>
          <t>리바이탈 샴푸</t>
        </is>
      </c>
      <c r="J286" s="9" t="n">
        <v>201109</v>
      </c>
      <c r="L286" s="9">
        <f>VLOOKUP($O286,매칭테이블!$G:$J,2,0)*H286</f>
        <v/>
      </c>
      <c r="M286" s="9">
        <f>L286-L286*VLOOKUP($O286,매칭테이블!$G:$J,3,0)</f>
        <v/>
      </c>
      <c r="N286" s="9">
        <f>VLOOKUP($O286,매칭테이블!$G:$J,4,0)*H286</f>
        <v/>
      </c>
      <c r="O286" s="9">
        <f>F286&amp;E286&amp;I286&amp;J286</f>
        <v/>
      </c>
    </row>
    <row r="287">
      <c r="B287" s="10" t="n">
        <v>44164</v>
      </c>
      <c r="C287" s="9">
        <f>TEXT(B287,"aaa")</f>
        <v/>
      </c>
      <c r="E287" s="9" t="inlineStr">
        <is>
          <t>샴푸</t>
        </is>
      </c>
      <c r="F287" s="9" t="inlineStr">
        <is>
          <t>카페24</t>
        </is>
      </c>
      <c r="H287" s="9" t="n">
        <v>19</v>
      </c>
      <c r="I287" s="9" t="inlineStr">
        <is>
          <t>리바이탈 샴푸 2set</t>
        </is>
      </c>
      <c r="J287" s="9" t="n">
        <v>201109</v>
      </c>
      <c r="L287" s="9">
        <f>VLOOKUP($O287,매칭테이블!$G:$J,2,0)*H287</f>
        <v/>
      </c>
      <c r="M287" s="9">
        <f>L287-L287*VLOOKUP($O287,매칭테이블!$G:$J,3,0)</f>
        <v/>
      </c>
      <c r="N287" s="9">
        <f>VLOOKUP($O287,매칭테이블!$G:$J,4,0)*H287</f>
        <v/>
      </c>
      <c r="O287" s="9">
        <f>F287&amp;E287&amp;I287&amp;J287</f>
        <v/>
      </c>
    </row>
    <row r="288">
      <c r="B288" s="10" t="n">
        <v>44164</v>
      </c>
      <c r="C288" s="9">
        <f>TEXT(B288,"aaa")</f>
        <v/>
      </c>
      <c r="E288" s="9" t="inlineStr">
        <is>
          <t>샴푸</t>
        </is>
      </c>
      <c r="F288" s="9" t="inlineStr">
        <is>
          <t>카페24</t>
        </is>
      </c>
      <c r="H288" s="9" t="n">
        <v>5</v>
      </c>
      <c r="I288" s="9" t="inlineStr">
        <is>
          <t>리바이탈 샴푸 3set</t>
        </is>
      </c>
      <c r="J288" s="9" t="n">
        <v>201109</v>
      </c>
      <c r="L288" s="9">
        <f>VLOOKUP($O288,매칭테이블!$G:$J,2,0)*H288</f>
        <v/>
      </c>
      <c r="M288" s="9">
        <f>L288-L288*VLOOKUP($O288,매칭테이블!$G:$J,3,0)</f>
        <v/>
      </c>
      <c r="N288" s="9">
        <f>VLOOKUP($O288,매칭테이블!$G:$J,4,0)*H288</f>
        <v/>
      </c>
      <c r="O288" s="9">
        <f>F288&amp;E288&amp;I288&amp;J288</f>
        <v/>
      </c>
    </row>
    <row r="289">
      <c r="B289" s="10" t="n">
        <v>44165</v>
      </c>
      <c r="C289" s="9">
        <f>TEXT(B289,"aaa")</f>
        <v/>
      </c>
      <c r="E289" s="9" t="inlineStr">
        <is>
          <t>샴푸</t>
        </is>
      </c>
      <c r="F289" s="9" t="inlineStr">
        <is>
          <t>카페24</t>
        </is>
      </c>
      <c r="H289" s="9" t="n">
        <v>18</v>
      </c>
      <c r="I289" s="9" t="inlineStr">
        <is>
          <t>리바이탈 샴푸</t>
        </is>
      </c>
      <c r="J289" s="9" t="n">
        <v>201109</v>
      </c>
      <c r="L289" s="9">
        <f>VLOOKUP($O289,매칭테이블!$G:$J,2,0)*H289</f>
        <v/>
      </c>
      <c r="M289" s="9">
        <f>L289-L289*VLOOKUP($O289,매칭테이블!$G:$J,3,0)</f>
        <v/>
      </c>
      <c r="N289" s="9">
        <f>VLOOKUP($O289,매칭테이블!$G:$J,4,0)*H289</f>
        <v/>
      </c>
      <c r="O289" s="9">
        <f>F289&amp;E289&amp;I289&amp;J289</f>
        <v/>
      </c>
    </row>
    <row r="290">
      <c r="B290" s="10" t="n">
        <v>44165</v>
      </c>
      <c r="C290" s="9">
        <f>TEXT(B290,"aaa")</f>
        <v/>
      </c>
      <c r="E290" s="9" t="inlineStr">
        <is>
          <t>샴푸</t>
        </is>
      </c>
      <c r="F290" s="9" t="inlineStr">
        <is>
          <t>카페24</t>
        </is>
      </c>
      <c r="H290" s="9" t="n">
        <v>15</v>
      </c>
      <c r="I290" s="9" t="inlineStr">
        <is>
          <t>리바이탈 샴푸 2set</t>
        </is>
      </c>
      <c r="J290" s="9" t="n">
        <v>201109</v>
      </c>
      <c r="L290" s="9">
        <f>VLOOKUP($O290,매칭테이블!$G:$J,2,0)*H290</f>
        <v/>
      </c>
      <c r="M290" s="9">
        <f>L290-L290*VLOOKUP($O290,매칭테이블!$G:$J,3,0)</f>
        <v/>
      </c>
      <c r="N290" s="9">
        <f>VLOOKUP($O290,매칭테이블!$G:$J,4,0)*H290</f>
        <v/>
      </c>
      <c r="O290" s="9">
        <f>F290&amp;E290&amp;I290&amp;J290</f>
        <v/>
      </c>
    </row>
    <row r="291">
      <c r="B291" s="10" t="n">
        <v>44165</v>
      </c>
      <c r="C291" s="9">
        <f>TEXT(B291,"aaa")</f>
        <v/>
      </c>
      <c r="E291" s="9" t="inlineStr">
        <is>
          <t>샴푸</t>
        </is>
      </c>
      <c r="F291" s="9" t="inlineStr">
        <is>
          <t>카페24</t>
        </is>
      </c>
      <c r="H291" s="9" t="n">
        <v>11</v>
      </c>
      <c r="I291" s="9" t="inlineStr">
        <is>
          <t>리바이탈 샴푸 3set</t>
        </is>
      </c>
      <c r="J291" s="9" t="n">
        <v>201109</v>
      </c>
      <c r="L291" s="9">
        <f>VLOOKUP($O291,매칭테이블!$G:$J,2,0)*H291</f>
        <v/>
      </c>
      <c r="M291" s="9">
        <f>L291-L291*VLOOKUP($O291,매칭테이블!$G:$J,3,0)</f>
        <v/>
      </c>
      <c r="N291" s="9">
        <f>VLOOKUP($O291,매칭테이블!$G:$J,4,0)*H291</f>
        <v/>
      </c>
      <c r="O291" s="9">
        <f>F291&amp;E291&amp;I291&amp;J291</f>
        <v/>
      </c>
    </row>
    <row r="292">
      <c r="B292" s="10" t="n">
        <v>44166</v>
      </c>
      <c r="C292" s="9">
        <f>TEXT(B292,"aaa")</f>
        <v/>
      </c>
      <c r="E292" s="9">
        <f>INDEX(매칭테이블!C:C,MATCH(RD!G292,매칭테이블!D:D,0))</f>
        <v/>
      </c>
      <c r="F292" s="9" t="inlineStr">
        <is>
          <t>카페24</t>
        </is>
      </c>
      <c r="G292" s="9" t="inlineStr">
        <is>
          <t>HAIR RÉ:COVERY 15 Revital Shampoo [라베나 리커버리 15 리바이탈 샴푸]제품선택=헤어 리커버리 15 리바이탈 샴푸 - 500ml</t>
        </is>
      </c>
      <c r="H292" s="9" t="n">
        <v>29</v>
      </c>
      <c r="I292" s="9">
        <f>VLOOKUP(G292,매칭테이블!D:E,2,0)</f>
        <v/>
      </c>
      <c r="J292" s="9" t="n">
        <v>201210</v>
      </c>
      <c r="L292" s="9">
        <f>VLOOKUP($O292,매칭테이블!$G:$J,2,0)*H292</f>
        <v/>
      </c>
      <c r="M292" s="9">
        <f>L292-L292*VLOOKUP($O292,매칭테이블!$G:$J,3,0)</f>
        <v/>
      </c>
      <c r="N292" s="9">
        <f>VLOOKUP($O292,매칭테이블!$G:$J,4,0)*H292</f>
        <v/>
      </c>
      <c r="O292" s="9">
        <f>F292&amp;E292&amp;G292&amp;J292</f>
        <v/>
      </c>
    </row>
    <row r="293">
      <c r="B293" s="10" t="n">
        <v>44166</v>
      </c>
      <c r="C293" s="9">
        <f>TEXT(B293,"aaa")</f>
        <v/>
      </c>
      <c r="E293" s="9">
        <f>INDEX(매칭테이블!C:C,MATCH(RD!G293,매칭테이블!D:D,0))</f>
        <v/>
      </c>
      <c r="F293" s="9" t="inlineStr">
        <is>
          <t>카페24</t>
        </is>
      </c>
      <c r="G293" s="9" t="inlineStr">
        <is>
          <t>HAIR RÉ:COVERY 15 Revital Shampoo [라베나 리커버리 15 리바이탈 샴푸]제품선택=리바이탈 샴푸 2개 세트 5%추가할인</t>
        </is>
      </c>
      <c r="H293" s="9" t="n">
        <v>15</v>
      </c>
      <c r="I293" s="9">
        <f>VLOOKUP(G293,매칭테이블!D:E,2,0)</f>
        <v/>
      </c>
      <c r="J293" s="9" t="n">
        <v>201210</v>
      </c>
      <c r="L293" s="9">
        <f>VLOOKUP($O293,매칭테이블!$G:$J,2,0)*H293</f>
        <v/>
      </c>
      <c r="M293" s="9">
        <f>L293-L293*VLOOKUP($O293,매칭테이블!$G:$J,3,0)</f>
        <v/>
      </c>
      <c r="N293" s="9">
        <f>VLOOKUP($O293,매칭테이블!$G:$J,4,0)*H293</f>
        <v/>
      </c>
      <c r="O293" s="9">
        <f>F293&amp;E293&amp;G293&amp;J293</f>
        <v/>
      </c>
    </row>
    <row r="294">
      <c r="B294" s="10" t="n">
        <v>44166</v>
      </c>
      <c r="C294" s="9">
        <f>TEXT(B294,"aaa")</f>
        <v/>
      </c>
      <c r="E294" s="9">
        <f>INDEX(매칭테이블!C:C,MATCH(RD!G294,매칭테이블!D:D,0))</f>
        <v/>
      </c>
      <c r="F294" s="9" t="inlineStr">
        <is>
          <t>카페24</t>
        </is>
      </c>
      <c r="G294" s="9" t="inlineStr">
        <is>
          <t>HAIR RÉ:COVERY 15 Revital Shampoo [라베나 리커버리 15 리바이탈 샴푸]제품선택=리바이탈 샴푸 3개 세트 10% 추가할인</t>
        </is>
      </c>
      <c r="H294" s="9" t="n">
        <v>7</v>
      </c>
      <c r="I294" s="9">
        <f>VLOOKUP(G294,매칭테이블!D:E,2,0)</f>
        <v/>
      </c>
      <c r="J294" s="9" t="n">
        <v>201210</v>
      </c>
      <c r="L294" s="9">
        <f>VLOOKUP($O294,매칭테이블!$G:$J,2,0)*H294</f>
        <v/>
      </c>
      <c r="M294" s="9">
        <f>L294-L294*VLOOKUP($O294,매칭테이블!$G:$J,3,0)</f>
        <v/>
      </c>
      <c r="N294" s="9">
        <f>VLOOKUP($O294,매칭테이블!$G:$J,4,0)*H294</f>
        <v/>
      </c>
      <c r="O294" s="9">
        <f>F294&amp;E294&amp;G294&amp;J294</f>
        <v/>
      </c>
    </row>
    <row r="295">
      <c r="B295" s="10" t="n">
        <v>44167</v>
      </c>
      <c r="C295" s="9">
        <f>TEXT(B295,"aaa")</f>
        <v/>
      </c>
      <c r="E295" s="9">
        <f>INDEX(매칭테이블!C:C,MATCH(RD!G295,매칭테이블!D:D,0))</f>
        <v/>
      </c>
      <c r="F295" s="9" t="inlineStr">
        <is>
          <t>카페24</t>
        </is>
      </c>
      <c r="G295" s="9" t="inlineStr">
        <is>
          <t>HAIR RÉ:COVERY 15 Revital Shampoo [라베나 리커버리 15 리바이탈 샴푸]제품선택=헤어 리커버리 15 리바이탈 샴푸 - 500ml</t>
        </is>
      </c>
      <c r="H295" s="9" t="n">
        <v>29</v>
      </c>
      <c r="I295" s="9">
        <f>VLOOKUP(G295,매칭테이블!D:E,2,0)</f>
        <v/>
      </c>
      <c r="J295" s="9" t="n">
        <v>201210</v>
      </c>
      <c r="L295" s="9">
        <f>VLOOKUP($O295,매칭테이블!$G:$J,2,0)*H295</f>
        <v/>
      </c>
      <c r="M295" s="9">
        <f>L295-L295*VLOOKUP($O295,매칭테이블!$G:$J,3,0)</f>
        <v/>
      </c>
      <c r="N295" s="9">
        <f>VLOOKUP($O295,매칭테이블!$G:$J,4,0)*H295</f>
        <v/>
      </c>
      <c r="O295" s="9">
        <f>F295&amp;E295&amp;G295&amp;J295</f>
        <v/>
      </c>
    </row>
    <row r="296">
      <c r="B296" s="10" t="n">
        <v>44167</v>
      </c>
      <c r="C296" s="9">
        <f>TEXT(B296,"aaa")</f>
        <v/>
      </c>
      <c r="E296" s="9">
        <f>INDEX(매칭테이블!C:C,MATCH(RD!G296,매칭테이블!D:D,0))</f>
        <v/>
      </c>
      <c r="F296" s="9" t="inlineStr">
        <is>
          <t>카페24</t>
        </is>
      </c>
      <c r="G296" s="9" t="inlineStr">
        <is>
          <t>HAIR RÉ:COVERY 15 Revital Shampoo [라베나 리커버리 15 리바이탈 샴푸]제품선택=리바이탈 샴푸 2개 세트 5%추가할인</t>
        </is>
      </c>
      <c r="H296" s="9" t="n">
        <v>10</v>
      </c>
      <c r="I296" s="9">
        <f>VLOOKUP(G296,매칭테이블!D:E,2,0)</f>
        <v/>
      </c>
      <c r="J296" s="9" t="n">
        <v>201210</v>
      </c>
      <c r="L296" s="9">
        <f>VLOOKUP($O296,매칭테이블!$G:$J,2,0)*H296</f>
        <v/>
      </c>
      <c r="M296" s="9">
        <f>L296-L296*VLOOKUP($O296,매칭테이블!$G:$J,3,0)</f>
        <v/>
      </c>
      <c r="N296" s="9">
        <f>VLOOKUP($O296,매칭테이블!$G:$J,4,0)*H296</f>
        <v/>
      </c>
      <c r="O296" s="9">
        <f>F296&amp;E296&amp;G296&amp;J296</f>
        <v/>
      </c>
    </row>
    <row r="297">
      <c r="B297" s="10" t="n">
        <v>44167</v>
      </c>
      <c r="C297" s="9">
        <f>TEXT(B297,"aaa")</f>
        <v/>
      </c>
      <c r="E297" s="9">
        <f>INDEX(매칭테이블!C:C,MATCH(RD!G297,매칭테이블!D:D,0))</f>
        <v/>
      </c>
      <c r="F297" s="9" t="inlineStr">
        <is>
          <t>카페24</t>
        </is>
      </c>
      <c r="G297" s="9" t="inlineStr">
        <is>
          <t>HAIR RÉ:COVERY 15 Revital Shampoo [라베나 리커버리 15 리바이탈 샴푸]제품선택=리바이탈 샴푸 3개 세트 10% 추가할인</t>
        </is>
      </c>
      <c r="H297" s="9" t="n">
        <v>5</v>
      </c>
      <c r="I297" s="9">
        <f>VLOOKUP(G297,매칭테이블!D:E,2,0)</f>
        <v/>
      </c>
      <c r="J297" s="9" t="n">
        <v>201210</v>
      </c>
      <c r="L297" s="9">
        <f>VLOOKUP($O297,매칭테이블!$G:$J,2,0)*H297</f>
        <v/>
      </c>
      <c r="M297" s="9">
        <f>L297-L297*VLOOKUP($O297,매칭테이블!$G:$J,3,0)</f>
        <v/>
      </c>
      <c r="N297" s="9">
        <f>VLOOKUP($O297,매칭테이블!$G:$J,4,0)*H297</f>
        <v/>
      </c>
      <c r="O297" s="9">
        <f>F297&amp;E297&amp;G297&amp;J297</f>
        <v/>
      </c>
    </row>
    <row r="298">
      <c r="B298" s="10" t="n">
        <v>44168</v>
      </c>
      <c r="C298" s="9">
        <f>TEXT(B298,"aaa")</f>
        <v/>
      </c>
      <c r="E298" s="9">
        <f>INDEX(매칭테이블!C:C,MATCH(RD!G298,매칭테이블!D:D,0))</f>
        <v/>
      </c>
      <c r="F298" s="9" t="inlineStr">
        <is>
          <t>카페24</t>
        </is>
      </c>
      <c r="G298" s="9" t="inlineStr">
        <is>
          <t>HAIR RÉ:COVERY 15 Revital Shampoo [라베나 리커버리 15 리바이탈 샴푸]제품선택=헤어 리커버리 15 리바이탈 샴푸 - 500ml</t>
        </is>
      </c>
      <c r="H298" s="9" t="n">
        <v>23</v>
      </c>
      <c r="I298" s="9">
        <f>VLOOKUP(G298,매칭테이블!D:E,2,0)</f>
        <v/>
      </c>
      <c r="J298" s="9" t="n">
        <v>201210</v>
      </c>
      <c r="L298" s="9">
        <f>VLOOKUP($O298,매칭테이블!$G:$J,2,0)*H298</f>
        <v/>
      </c>
      <c r="M298" s="9">
        <f>L298-L298*VLOOKUP($O298,매칭테이블!$G:$J,3,0)</f>
        <v/>
      </c>
      <c r="N298" s="9">
        <f>VLOOKUP($O298,매칭테이블!$G:$J,4,0)*H298</f>
        <v/>
      </c>
      <c r="O298" s="9">
        <f>F298&amp;E298&amp;G298&amp;J298</f>
        <v/>
      </c>
    </row>
    <row r="299">
      <c r="B299" s="10" t="n">
        <v>44168</v>
      </c>
      <c r="C299" s="9">
        <f>TEXT(B299,"aaa")</f>
        <v/>
      </c>
      <c r="E299" s="9">
        <f>INDEX(매칭테이블!C:C,MATCH(RD!G299,매칭테이블!D:D,0))</f>
        <v/>
      </c>
      <c r="F299" s="9" t="inlineStr">
        <is>
          <t>카페24</t>
        </is>
      </c>
      <c r="G299" s="9" t="inlineStr">
        <is>
          <t>HAIR RÉ:COVERY 15 Revital Shampoo [라베나 리커버리 15 리바이탈 샴푸]제품선택=리바이탈 샴푸 2개 세트 5%추가할인</t>
        </is>
      </c>
      <c r="H299" s="9" t="n">
        <v>10</v>
      </c>
      <c r="I299" s="9">
        <f>VLOOKUP(G299,매칭테이블!D:E,2,0)</f>
        <v/>
      </c>
      <c r="J299" s="9" t="n">
        <v>201210</v>
      </c>
      <c r="L299" s="9">
        <f>VLOOKUP($O299,매칭테이블!$G:$J,2,0)*H299</f>
        <v/>
      </c>
      <c r="M299" s="9">
        <f>L299-L299*VLOOKUP($O299,매칭테이블!$G:$J,3,0)</f>
        <v/>
      </c>
      <c r="N299" s="9">
        <f>VLOOKUP($O299,매칭테이블!$G:$J,4,0)*H299</f>
        <v/>
      </c>
      <c r="O299" s="9">
        <f>F299&amp;E299&amp;G299&amp;J299</f>
        <v/>
      </c>
    </row>
    <row r="300">
      <c r="B300" s="10" t="n">
        <v>44168</v>
      </c>
      <c r="C300" s="9">
        <f>TEXT(B300,"aaa")</f>
        <v/>
      </c>
      <c r="E300" s="9">
        <f>INDEX(매칭테이블!C:C,MATCH(RD!G300,매칭테이블!D:D,0))</f>
        <v/>
      </c>
      <c r="F300" s="9" t="inlineStr">
        <is>
          <t>카페24</t>
        </is>
      </c>
      <c r="G300" s="9" t="inlineStr">
        <is>
          <t>HAIR RÉ:COVERY 15 Revital Shampoo [라베나 리커버리 15 리바이탈 샴푸]제품선택=리바이탈 샴푸 3개 세트 10% 추가할인</t>
        </is>
      </c>
      <c r="H300" s="9" t="n">
        <v>12</v>
      </c>
      <c r="I300" s="9">
        <f>VLOOKUP(G300,매칭테이블!D:E,2,0)</f>
        <v/>
      </c>
      <c r="J300" s="9" t="n">
        <v>201210</v>
      </c>
      <c r="L300" s="9">
        <f>VLOOKUP($O300,매칭테이블!$G:$J,2,0)*H300</f>
        <v/>
      </c>
      <c r="M300" s="9">
        <f>L300-L300*VLOOKUP($O300,매칭테이블!$G:$J,3,0)</f>
        <v/>
      </c>
      <c r="N300" s="9">
        <f>VLOOKUP($O300,매칭테이블!$G:$J,4,0)*H300</f>
        <v/>
      </c>
      <c r="O300" s="9">
        <f>F300&amp;E300&amp;G300&amp;J300</f>
        <v/>
      </c>
    </row>
    <row r="301">
      <c r="B301" s="10" t="n">
        <v>44169</v>
      </c>
      <c r="C301" s="9">
        <f>TEXT(B301,"aaa")</f>
        <v/>
      </c>
      <c r="E301" s="9">
        <f>INDEX(매칭테이블!C:C,MATCH(RD!G301,매칭테이블!D:D,0))</f>
        <v/>
      </c>
      <c r="F301" s="9" t="inlineStr">
        <is>
          <t>라베나 CS</t>
        </is>
      </c>
      <c r="G301" s="9" t="inlineStr">
        <is>
          <t>HAIR RÉ:COVERY 15 Revital Shampoo [라베나 리커버리 15 리바이탈 샴푸]제품선택=헤어 리커버리 15 리바이탈 샴푸 - 500ml</t>
        </is>
      </c>
      <c r="H301" s="9" t="n">
        <v>1</v>
      </c>
      <c r="I301" s="9">
        <f>VLOOKUP(G301,매칭테이블!D:E,2,0)</f>
        <v/>
      </c>
      <c r="J301" s="9" t="n">
        <v>201210</v>
      </c>
      <c r="L301" s="9">
        <f>VLOOKUP($O301,매칭테이블!$G:$J,2,0)*H301</f>
        <v/>
      </c>
      <c r="M301" s="9">
        <f>L301-L301*VLOOKUP($O301,매칭테이블!$G:$J,3,0)</f>
        <v/>
      </c>
      <c r="N301" s="9">
        <f>VLOOKUP($O301,매칭테이블!$G:$J,4,0)*H301</f>
        <v/>
      </c>
      <c r="O301" s="9">
        <f>F301&amp;E301&amp;G301&amp;J301</f>
        <v/>
      </c>
    </row>
    <row r="302">
      <c r="B302" s="10" t="n">
        <v>44169</v>
      </c>
      <c r="C302" s="9">
        <f>TEXT(B302,"aaa")</f>
        <v/>
      </c>
      <c r="E302" s="9">
        <f>INDEX(매칭테이블!C:C,MATCH(RD!G302,매칭테이블!D:D,0))</f>
        <v/>
      </c>
      <c r="F302" s="9" t="inlineStr">
        <is>
          <t>카페24</t>
        </is>
      </c>
      <c r="G302" s="9" t="inlineStr">
        <is>
          <t>HAIR RÉ:COVERY 15 Revital Shampoo [라베나 리커버리 15 리바이탈 샴푸]제품선택=헤어 리커버리 15 리바이탈 샴푸 - 500ml</t>
        </is>
      </c>
      <c r="H302" s="9" t="n">
        <v>22</v>
      </c>
      <c r="I302" s="9">
        <f>VLOOKUP(G302,매칭테이블!D:E,2,0)</f>
        <v/>
      </c>
      <c r="J302" s="9" t="n">
        <v>201210</v>
      </c>
      <c r="L302" s="9">
        <f>VLOOKUP($O302,매칭테이블!$G:$J,2,0)*H302</f>
        <v/>
      </c>
      <c r="M302" s="9">
        <f>L302-L302*VLOOKUP($O302,매칭테이블!$G:$J,3,0)</f>
        <v/>
      </c>
      <c r="N302" s="9">
        <f>VLOOKUP($O302,매칭테이블!$G:$J,4,0)*H302</f>
        <v/>
      </c>
      <c r="O302" s="9">
        <f>F302&amp;E302&amp;G302&amp;J302</f>
        <v/>
      </c>
    </row>
    <row r="303">
      <c r="B303" s="10" t="n">
        <v>44169</v>
      </c>
      <c r="C303" s="9">
        <f>TEXT(B303,"aaa")</f>
        <v/>
      </c>
      <c r="E303" s="9">
        <f>INDEX(매칭테이블!C:C,MATCH(RD!G303,매칭테이블!D:D,0))</f>
        <v/>
      </c>
      <c r="F303" s="9" t="inlineStr">
        <is>
          <t>카페24</t>
        </is>
      </c>
      <c r="G303" s="9" t="inlineStr">
        <is>
          <t>HAIR RÉ:COVERY 15 Revital Shampoo [라베나 리커버리 15 리바이탈 샴푸]제품선택=리바이탈 샴푸 2개 세트 5%추가할인</t>
        </is>
      </c>
      <c r="H303" s="9" t="n">
        <v>8</v>
      </c>
      <c r="I303" s="9">
        <f>VLOOKUP(G303,매칭테이블!D:E,2,0)</f>
        <v/>
      </c>
      <c r="J303" s="9" t="n">
        <v>201210</v>
      </c>
      <c r="L303" s="9">
        <f>VLOOKUP($O303,매칭테이블!$G:$J,2,0)*H303</f>
        <v/>
      </c>
      <c r="M303" s="9">
        <f>L303-L303*VLOOKUP($O303,매칭테이블!$G:$J,3,0)</f>
        <v/>
      </c>
      <c r="N303" s="9">
        <f>VLOOKUP($O303,매칭테이블!$G:$J,4,0)*H303</f>
        <v/>
      </c>
      <c r="O303" s="9">
        <f>F303&amp;E303&amp;G303&amp;J303</f>
        <v/>
      </c>
    </row>
    <row r="304">
      <c r="B304" s="10" t="n">
        <v>44169</v>
      </c>
      <c r="C304" s="9">
        <f>TEXT(B304,"aaa")</f>
        <v/>
      </c>
      <c r="E304" s="9">
        <f>INDEX(매칭테이블!C:C,MATCH(RD!G304,매칭테이블!D:D,0))</f>
        <v/>
      </c>
      <c r="F304" s="9" t="inlineStr">
        <is>
          <t>카페24</t>
        </is>
      </c>
      <c r="G304" s="9" t="inlineStr">
        <is>
          <t>HAIR RÉ:COVERY 15 Revital Shampoo [라베나 리커버리 15 리바이탈 샴푸]제품선택=리바이탈 샴푸 3개 세트 10% 추가할인</t>
        </is>
      </c>
      <c r="H304" s="9" t="n">
        <v>6</v>
      </c>
      <c r="I304" s="9">
        <f>VLOOKUP(G304,매칭테이블!D:E,2,0)</f>
        <v/>
      </c>
      <c r="J304" s="9" t="n">
        <v>201210</v>
      </c>
      <c r="L304" s="9">
        <f>VLOOKUP($O304,매칭테이블!$G:$J,2,0)*H304</f>
        <v/>
      </c>
      <c r="M304" s="9">
        <f>L304-L304*VLOOKUP($O304,매칭테이블!$G:$J,3,0)</f>
        <v/>
      </c>
      <c r="N304" s="9">
        <f>VLOOKUP($O304,매칭테이블!$G:$J,4,0)*H304</f>
        <v/>
      </c>
      <c r="O304" s="9">
        <f>F304&amp;E304&amp;G304&amp;J304</f>
        <v/>
      </c>
    </row>
    <row r="305">
      <c r="B305" s="10" t="n">
        <v>44170</v>
      </c>
      <c r="C305" s="9">
        <f>TEXT(B305,"aaa")</f>
        <v/>
      </c>
      <c r="E305" s="9">
        <f>INDEX(매칭테이블!C:C,MATCH(RD!G305,매칭테이블!D:D,0))</f>
        <v/>
      </c>
      <c r="F305" s="9" t="inlineStr">
        <is>
          <t>라베나 CS</t>
        </is>
      </c>
      <c r="G305" s="9" t="inlineStr">
        <is>
          <t>HAIR RÉ:COVERY 15 Revital Shampoo [라베나 리커버리 15 리바이탈 샴푸]제품선택=리바이탈 샴푸 2개 세트 5%추가할인</t>
        </is>
      </c>
      <c r="H305" s="9" t="n">
        <v>1</v>
      </c>
      <c r="I305" s="9">
        <f>VLOOKUP(G305,매칭테이블!D:E,2,0)</f>
        <v/>
      </c>
      <c r="J305" s="9" t="n">
        <v>201210</v>
      </c>
      <c r="L305" s="9">
        <f>VLOOKUP($O305,매칭테이블!$G:$J,2,0)*H305</f>
        <v/>
      </c>
      <c r="M305" s="9">
        <f>L305-L305*VLOOKUP($O305,매칭테이블!$G:$J,3,0)</f>
        <v/>
      </c>
      <c r="N305" s="9">
        <f>VLOOKUP($O305,매칭테이블!$G:$J,4,0)*H305</f>
        <v/>
      </c>
      <c r="O305" s="9">
        <f>F305&amp;E305&amp;G305&amp;J305</f>
        <v/>
      </c>
    </row>
    <row r="306">
      <c r="B306" s="10" t="n">
        <v>44170</v>
      </c>
      <c r="C306" s="9">
        <f>TEXT(B306,"aaa")</f>
        <v/>
      </c>
      <c r="E306" s="9">
        <f>INDEX(매칭테이블!C:C,MATCH(RD!G306,매칭테이블!D:D,0))</f>
        <v/>
      </c>
      <c r="F306" s="9" t="inlineStr">
        <is>
          <t>카페24</t>
        </is>
      </c>
      <c r="G306" s="9" t="inlineStr">
        <is>
          <t>HAIR RÉ:COVERY 15 Revital Shampoo [라베나 리커버리 15 리바이탈 샴푸]제품선택=헤어 리커버리 15 리바이탈 샴푸 - 500ml</t>
        </is>
      </c>
      <c r="H306" s="9" t="n">
        <v>25</v>
      </c>
      <c r="I306" s="9">
        <f>VLOOKUP(G306,매칭테이블!D:E,2,0)</f>
        <v/>
      </c>
      <c r="J306" s="9" t="n">
        <v>201210</v>
      </c>
      <c r="L306" s="9">
        <f>VLOOKUP($O306,매칭테이블!$G:$J,2,0)*H306</f>
        <v/>
      </c>
      <c r="M306" s="9">
        <f>L306-L306*VLOOKUP($O306,매칭테이블!$G:$J,3,0)</f>
        <v/>
      </c>
      <c r="N306" s="9">
        <f>VLOOKUP($O306,매칭테이블!$G:$J,4,0)*H306</f>
        <v/>
      </c>
      <c r="O306" s="9">
        <f>F306&amp;E306&amp;G306&amp;J306</f>
        <v/>
      </c>
    </row>
    <row r="307">
      <c r="B307" s="10" t="n">
        <v>44170</v>
      </c>
      <c r="C307" s="9">
        <f>TEXT(B307,"aaa")</f>
        <v/>
      </c>
      <c r="E307" s="9">
        <f>INDEX(매칭테이블!C:C,MATCH(RD!G307,매칭테이블!D:D,0))</f>
        <v/>
      </c>
      <c r="F307" s="9" t="inlineStr">
        <is>
          <t>카페24</t>
        </is>
      </c>
      <c r="G307" s="9" t="inlineStr">
        <is>
          <t>HAIR RÉ:COVERY 15 Revital Shampoo [라베나 리커버리 15 리바이탈 샴푸]제품선택=리바이탈 샴푸 2개 세트 5%추가할인</t>
        </is>
      </c>
      <c r="H307" s="9" t="n">
        <v>17</v>
      </c>
      <c r="I307" s="9">
        <f>VLOOKUP(G307,매칭테이블!D:E,2,0)</f>
        <v/>
      </c>
      <c r="J307" s="9" t="n">
        <v>201210</v>
      </c>
      <c r="L307" s="9">
        <f>VLOOKUP($O307,매칭테이블!$G:$J,2,0)*H307</f>
        <v/>
      </c>
      <c r="M307" s="9">
        <f>L307-L307*VLOOKUP($O307,매칭테이블!$G:$J,3,0)</f>
        <v/>
      </c>
      <c r="N307" s="9">
        <f>VLOOKUP($O307,매칭테이블!$G:$J,4,0)*H307</f>
        <v/>
      </c>
      <c r="O307" s="9">
        <f>F307&amp;E307&amp;G307&amp;J307</f>
        <v/>
      </c>
    </row>
    <row r="308">
      <c r="B308" s="10" t="n">
        <v>44170</v>
      </c>
      <c r="C308" s="9">
        <f>TEXT(B308,"aaa")</f>
        <v/>
      </c>
      <c r="E308" s="9">
        <f>INDEX(매칭테이블!C:C,MATCH(RD!G308,매칭테이블!D:D,0))</f>
        <v/>
      </c>
      <c r="F308" s="9" t="inlineStr">
        <is>
          <t>카페24</t>
        </is>
      </c>
      <c r="G308" s="9" t="inlineStr">
        <is>
          <t>HAIR RÉ:COVERY 15 Revital Shampoo [라베나 리커버리 15 리바이탈 샴푸]제품선택=리바이탈 샴푸 3개 세트 10% 추가할인</t>
        </is>
      </c>
      <c r="H308" s="9" t="n">
        <v>14</v>
      </c>
      <c r="I308" s="9">
        <f>VLOOKUP(G308,매칭테이블!D:E,2,0)</f>
        <v/>
      </c>
      <c r="J308" s="9" t="n">
        <v>201210</v>
      </c>
      <c r="L308" s="9">
        <f>VLOOKUP($O308,매칭테이블!$G:$J,2,0)*H308</f>
        <v/>
      </c>
      <c r="M308" s="9">
        <f>L308-L308*VLOOKUP($O308,매칭테이블!$G:$J,3,0)</f>
        <v/>
      </c>
      <c r="N308" s="9">
        <f>VLOOKUP($O308,매칭테이블!$G:$J,4,0)*H308</f>
        <v/>
      </c>
      <c r="O308" s="9">
        <f>F308&amp;E308&amp;G308&amp;J308</f>
        <v/>
      </c>
    </row>
    <row r="309">
      <c r="B309" s="10" t="n">
        <v>44171</v>
      </c>
      <c r="C309" s="9">
        <f>TEXT(B309,"aaa")</f>
        <v/>
      </c>
      <c r="E309" s="9">
        <f>INDEX(매칭테이블!C:C,MATCH(RD!G309,매칭테이블!D:D,0))</f>
        <v/>
      </c>
      <c r="F309" s="9" t="inlineStr">
        <is>
          <t>카페24</t>
        </is>
      </c>
      <c r="G309" s="9" t="inlineStr">
        <is>
          <t>HAIR RÉ:COVERY 15 Revital Shampoo [라베나 리커버리 15 리바이탈 샴푸]제품선택=헤어 리커버리 15 리바이탈 샴푸 - 500ml</t>
        </is>
      </c>
      <c r="H309" s="9" t="n">
        <v>33</v>
      </c>
      <c r="I309" s="9">
        <f>VLOOKUP(G309,매칭테이블!D:E,2,0)</f>
        <v/>
      </c>
      <c r="J309" s="9" t="n">
        <v>201210</v>
      </c>
      <c r="L309" s="9">
        <f>VLOOKUP($O309,매칭테이블!$G:$J,2,0)*H309</f>
        <v/>
      </c>
      <c r="M309" s="9">
        <f>L309-L309*VLOOKUP($O309,매칭테이블!$G:$J,3,0)</f>
        <v/>
      </c>
      <c r="N309" s="9">
        <f>VLOOKUP($O309,매칭테이블!$G:$J,4,0)*H309</f>
        <v/>
      </c>
      <c r="O309" s="9">
        <f>F309&amp;E309&amp;G309&amp;J309</f>
        <v/>
      </c>
    </row>
    <row r="310">
      <c r="B310" s="10" t="n">
        <v>44171</v>
      </c>
      <c r="C310" s="9">
        <f>TEXT(B310,"aaa")</f>
        <v/>
      </c>
      <c r="E310" s="9">
        <f>INDEX(매칭테이블!C:C,MATCH(RD!G310,매칭테이블!D:D,0))</f>
        <v/>
      </c>
      <c r="F310" s="9" t="inlineStr">
        <is>
          <t>카페24</t>
        </is>
      </c>
      <c r="G310" s="9" t="inlineStr">
        <is>
          <t>HAIR RÉ:COVERY 15 Revital Shampoo [라베나 리커버리 15 리바이탈 샴푸]제품선택=리바이탈 샴푸 2개 세트 5%추가할인</t>
        </is>
      </c>
      <c r="H310" s="9" t="n">
        <v>14</v>
      </c>
      <c r="I310" s="9">
        <f>VLOOKUP(G310,매칭테이블!D:E,2,0)</f>
        <v/>
      </c>
      <c r="J310" s="9" t="n">
        <v>201210</v>
      </c>
      <c r="L310" s="9">
        <f>VLOOKUP($O310,매칭테이블!$G:$J,2,0)*H310</f>
        <v/>
      </c>
      <c r="M310" s="9">
        <f>L310-L310*VLOOKUP($O310,매칭테이블!$G:$J,3,0)</f>
        <v/>
      </c>
      <c r="N310" s="9">
        <f>VLOOKUP($O310,매칭테이블!$G:$J,4,0)*H310</f>
        <v/>
      </c>
      <c r="O310" s="9">
        <f>F310&amp;E310&amp;G310&amp;J310</f>
        <v/>
      </c>
    </row>
    <row r="311">
      <c r="B311" s="10" t="n">
        <v>44171</v>
      </c>
      <c r="C311" s="9">
        <f>TEXT(B311,"aaa")</f>
        <v/>
      </c>
      <c r="E311" s="9">
        <f>INDEX(매칭테이블!C:C,MATCH(RD!G311,매칭테이블!D:D,0))</f>
        <v/>
      </c>
      <c r="F311" s="9" t="inlineStr">
        <is>
          <t>카페24</t>
        </is>
      </c>
      <c r="G311" s="9" t="inlineStr">
        <is>
          <t>HAIR RÉ:COVERY 15 Revital Shampoo [라베나 리커버리 15 리바이탈 샴푸]제품선택=리바이탈 샴푸 3개 세트 10% 추가할인</t>
        </is>
      </c>
      <c r="H311" s="9" t="n">
        <v>10</v>
      </c>
      <c r="I311" s="9">
        <f>VLOOKUP(G311,매칭테이블!D:E,2,0)</f>
        <v/>
      </c>
      <c r="J311" s="9" t="n">
        <v>201210</v>
      </c>
      <c r="L311" s="9">
        <f>VLOOKUP($O311,매칭테이블!$G:$J,2,0)*H311</f>
        <v/>
      </c>
      <c r="M311" s="9">
        <f>L311-L311*VLOOKUP($O311,매칭테이블!$G:$J,3,0)</f>
        <v/>
      </c>
      <c r="N311" s="9">
        <f>VLOOKUP($O311,매칭테이블!$G:$J,4,0)*H311</f>
        <v/>
      </c>
      <c r="O311" s="9">
        <f>F311&amp;E311&amp;G311&amp;J311</f>
        <v/>
      </c>
    </row>
    <row r="312">
      <c r="B312" s="10" t="n">
        <v>44172</v>
      </c>
      <c r="C312" s="9">
        <f>TEXT(B312,"aaa")</f>
        <v/>
      </c>
      <c r="E312" s="9">
        <f>INDEX(매칭테이블!C:C,MATCH(RD!G312,매칭테이블!D:D,0))</f>
        <v/>
      </c>
      <c r="F312" s="9" t="inlineStr">
        <is>
          <t>라베나 CS</t>
        </is>
      </c>
      <c r="G312" s="9" t="inlineStr">
        <is>
          <t>HAIR RÉ:COVERY 15 Revital Shampoo [라베나 리커버리 15 리바이탈 샴푸]제품선택=헤어 리커버리 15 리바이탈 샴푸 - 500ml</t>
        </is>
      </c>
      <c r="H312" s="9" t="n">
        <v>1</v>
      </c>
      <c r="I312" s="9">
        <f>VLOOKUP(G312,매칭테이블!D:E,2,0)</f>
        <v/>
      </c>
      <c r="J312" s="9" t="n">
        <v>201210</v>
      </c>
      <c r="L312" s="9">
        <f>VLOOKUP($O312,매칭테이블!$G:$J,2,0)*H312</f>
        <v/>
      </c>
      <c r="M312" s="9">
        <f>L312-L312*VLOOKUP($O312,매칭테이블!$G:$J,3,0)</f>
        <v/>
      </c>
      <c r="N312" s="9">
        <f>VLOOKUP($O312,매칭테이블!$G:$J,4,0)*H312</f>
        <v/>
      </c>
      <c r="O312" s="9">
        <f>F312&amp;E312&amp;G312&amp;J312</f>
        <v/>
      </c>
    </row>
    <row r="313">
      <c r="B313" s="10" t="n">
        <v>44172</v>
      </c>
      <c r="C313" s="9">
        <f>TEXT(B313,"aaa")</f>
        <v/>
      </c>
      <c r="E313" s="9">
        <f>INDEX(매칭테이블!C:C,MATCH(RD!G313,매칭테이블!D:D,0))</f>
        <v/>
      </c>
      <c r="F313" s="9" t="inlineStr">
        <is>
          <t>라베나 CS</t>
        </is>
      </c>
      <c r="G313" s="9" t="inlineStr">
        <is>
          <t>헤어 리커버리 15 헤어팩 트리트먼트</t>
        </is>
      </c>
      <c r="H313" s="9" t="n">
        <v>90</v>
      </c>
      <c r="I313" s="9">
        <f>VLOOKUP(G313,매칭테이블!D:E,2,0)</f>
        <v/>
      </c>
      <c r="J313" s="9" t="n">
        <v>201210</v>
      </c>
      <c r="L313" s="9">
        <f>VLOOKUP($O313,매칭테이블!$G:$J,2,0)*H313</f>
        <v/>
      </c>
      <c r="M313" s="9">
        <f>L313-L313*VLOOKUP($O313,매칭테이블!$G:$J,3,0)</f>
        <v/>
      </c>
      <c r="N313" s="9">
        <f>VLOOKUP($O313,매칭테이블!$G:$J,4,0)*H313</f>
        <v/>
      </c>
      <c r="O313" s="9">
        <f>F313&amp;E313&amp;G313&amp;J313</f>
        <v/>
      </c>
    </row>
    <row r="314">
      <c r="B314" s="10" t="n">
        <v>44172</v>
      </c>
      <c r="C314" s="9">
        <f>TEXT(B314,"aaa")</f>
        <v/>
      </c>
      <c r="E314" s="9">
        <f>INDEX(매칭테이블!C:C,MATCH(RD!G314,매칭테이블!D:D,0))</f>
        <v/>
      </c>
      <c r="F314" s="9" t="inlineStr">
        <is>
          <t>카페24</t>
        </is>
      </c>
      <c r="G314" s="9" t="inlineStr">
        <is>
          <t>HAIR RÉ:COVERY 15 Revital Shampoo [라베나 리커버리 15 리바이탈 샴푸]제품선택=헤어 리커버리 15 리바이탈 샴푸 - 500ml</t>
        </is>
      </c>
      <c r="H314" s="9" t="n">
        <v>30</v>
      </c>
      <c r="I314" s="9">
        <f>VLOOKUP(G314,매칭테이블!D:E,2,0)</f>
        <v/>
      </c>
      <c r="J314" s="9" t="n">
        <v>201210</v>
      </c>
      <c r="L314" s="9">
        <f>VLOOKUP($O314,매칭테이블!$G:$J,2,0)*H314</f>
        <v/>
      </c>
      <c r="M314" s="9">
        <f>L314-L314*VLOOKUP($O314,매칭테이블!$G:$J,3,0)</f>
        <v/>
      </c>
      <c r="N314" s="9">
        <f>VLOOKUP($O314,매칭테이블!$G:$J,4,0)*H314</f>
        <v/>
      </c>
      <c r="O314" s="9">
        <f>F314&amp;E314&amp;G314&amp;J314</f>
        <v/>
      </c>
    </row>
    <row r="315">
      <c r="B315" s="10" t="n">
        <v>44172</v>
      </c>
      <c r="C315" s="9">
        <f>TEXT(B315,"aaa")</f>
        <v/>
      </c>
      <c r="E315" s="9">
        <f>INDEX(매칭테이블!C:C,MATCH(RD!G315,매칭테이블!D:D,0))</f>
        <v/>
      </c>
      <c r="F315" s="9" t="inlineStr">
        <is>
          <t>카페24</t>
        </is>
      </c>
      <c r="G315" s="9" t="inlineStr">
        <is>
          <t>HAIR RÉ:COVERY 15 Revital Shampoo [라베나 리커버리 15 리바이탈 샴푸]제품선택=리바이탈 샴푸 2개 세트 5%추가할인</t>
        </is>
      </c>
      <c r="H315" s="9" t="n">
        <v>9</v>
      </c>
      <c r="I315" s="9">
        <f>VLOOKUP(G315,매칭테이블!D:E,2,0)</f>
        <v/>
      </c>
      <c r="J315" s="9" t="n">
        <v>201210</v>
      </c>
      <c r="L315" s="9">
        <f>VLOOKUP($O315,매칭테이블!$G:$J,2,0)*H315</f>
        <v/>
      </c>
      <c r="M315" s="9">
        <f>L315-L315*VLOOKUP($O315,매칭테이블!$G:$J,3,0)</f>
        <v/>
      </c>
      <c r="N315" s="9">
        <f>VLOOKUP($O315,매칭테이블!$G:$J,4,0)*H315</f>
        <v/>
      </c>
      <c r="O315" s="9">
        <f>F315&amp;E315&amp;G315&amp;J315</f>
        <v/>
      </c>
    </row>
    <row r="316">
      <c r="B316" s="10" t="n">
        <v>44172</v>
      </c>
      <c r="C316" s="9">
        <f>TEXT(B316,"aaa")</f>
        <v/>
      </c>
      <c r="E316" s="9">
        <f>INDEX(매칭테이블!C:C,MATCH(RD!G316,매칭테이블!D:D,0))</f>
        <v/>
      </c>
      <c r="F316" s="9" t="inlineStr">
        <is>
          <t>카페24</t>
        </is>
      </c>
      <c r="G316" s="9" t="inlineStr">
        <is>
          <t>HAIR RÉ:COVERY 15 Revital Shampoo [라베나 리커버리 15 리바이탈 샴푸]제품선택=리바이탈 샴푸 3개 세트 10% 추가할인</t>
        </is>
      </c>
      <c r="H316" s="9" t="n">
        <v>5</v>
      </c>
      <c r="I316" s="9">
        <f>VLOOKUP(G316,매칭테이블!D:E,2,0)</f>
        <v/>
      </c>
      <c r="J316" s="9" t="n">
        <v>201210</v>
      </c>
      <c r="L316" s="9">
        <f>VLOOKUP($O316,매칭테이블!$G:$J,2,0)*H316</f>
        <v/>
      </c>
      <c r="M316" s="9">
        <f>L316-L316*VLOOKUP($O316,매칭테이블!$G:$J,3,0)</f>
        <v/>
      </c>
      <c r="N316" s="9">
        <f>VLOOKUP($O316,매칭테이블!$G:$J,4,0)*H316</f>
        <v/>
      </c>
      <c r="O316" s="9">
        <f>F316&amp;E316&amp;G316&amp;J316</f>
        <v/>
      </c>
    </row>
    <row r="317">
      <c r="B317" s="10" t="n">
        <v>44173</v>
      </c>
      <c r="C317" s="9">
        <f>TEXT(B317,"aaa")</f>
        <v/>
      </c>
      <c r="E317" s="9">
        <f>INDEX(매칭테이블!C:C,MATCH(RD!G317,매칭테이블!D:D,0))</f>
        <v/>
      </c>
      <c r="F317" s="9" t="inlineStr">
        <is>
          <t>카페24</t>
        </is>
      </c>
      <c r="G317" s="9" t="inlineStr">
        <is>
          <t>(플친전용)HAIR RÉ:COVERY 15 Hairpack Treatment [헤어 리커버리 15 헤어팩 트리트먼트]제품선택=헤어 리커버리 15 헤어팩 트리트먼트</t>
        </is>
      </c>
      <c r="H317" s="9" t="n">
        <v>5</v>
      </c>
      <c r="I317" s="9">
        <f>VLOOKUP(G317,매칭테이블!D:E,2,0)</f>
        <v/>
      </c>
      <c r="J317" s="9" t="n">
        <v>201210</v>
      </c>
      <c r="L317" s="9">
        <f>VLOOKUP($O317,매칭테이블!$G:$J,2,0)*H317</f>
        <v/>
      </c>
      <c r="M317" s="9">
        <f>L317-L317*VLOOKUP($O317,매칭테이블!$G:$J,3,0)</f>
        <v/>
      </c>
      <c r="N317" s="9">
        <f>VLOOKUP($O317,매칭테이블!$G:$J,4,0)*H317</f>
        <v/>
      </c>
      <c r="O317" s="9">
        <f>F317&amp;E317&amp;G317&amp;J317</f>
        <v/>
      </c>
    </row>
    <row r="318">
      <c r="B318" s="10" t="n">
        <v>44173</v>
      </c>
      <c r="C318" s="9">
        <f>TEXT(B318,"aaa")</f>
        <v/>
      </c>
      <c r="E318" s="9">
        <f>INDEX(매칭테이블!C:C,MATCH(RD!G318,매칭테이블!D:D,0))</f>
        <v/>
      </c>
      <c r="F318" s="9" t="inlineStr">
        <is>
          <t>카페24</t>
        </is>
      </c>
      <c r="G318" s="9" t="inlineStr">
        <is>
          <t>(플친전용)HAIR RÉ:COVERY 15 Hairpack Treatment [헤어 리커버리 15 헤어팩 트리트먼트]제품선택=헤어팩 트리트먼트 2개 세트</t>
        </is>
      </c>
      <c r="H318" s="9" t="n">
        <v>3</v>
      </c>
      <c r="I318" s="9">
        <f>VLOOKUP(G318,매칭테이블!D:E,2,0)</f>
        <v/>
      </c>
      <c r="J318" s="9" t="n">
        <v>201210</v>
      </c>
      <c r="L318" s="9">
        <f>VLOOKUP($O318,매칭테이블!$G:$J,2,0)*H318</f>
        <v/>
      </c>
      <c r="M318" s="9">
        <f>L318-L318*VLOOKUP($O318,매칭테이블!$G:$J,3,0)</f>
        <v/>
      </c>
      <c r="N318" s="9">
        <f>VLOOKUP($O318,매칭테이블!$G:$J,4,0)*H318</f>
        <v/>
      </c>
      <c r="O318" s="9">
        <f>F318&amp;E318&amp;G318&amp;J318</f>
        <v/>
      </c>
    </row>
    <row r="319">
      <c r="B319" s="10" t="n">
        <v>44173</v>
      </c>
      <c r="C319" s="9">
        <f>TEXT(B319,"aaa")</f>
        <v/>
      </c>
      <c r="E319" s="9">
        <f>INDEX(매칭테이블!C:C,MATCH(RD!G319,매칭테이블!D:D,0))</f>
        <v/>
      </c>
      <c r="F319" s="9" t="inlineStr">
        <is>
          <t>카페24</t>
        </is>
      </c>
      <c r="G319" s="9" t="inlineStr">
        <is>
          <t>(플친전용)HAIR RÉ:COVERY 15 Hairpack Treatment [헤어 리커버리 15 헤어팩 트리트먼트]제품선택=헤어팩 트리트먼트 3개 세트</t>
        </is>
      </c>
      <c r="H319" s="9" t="n">
        <v>1</v>
      </c>
      <c r="I319" s="9">
        <f>VLOOKUP(G319,매칭테이블!D:E,2,0)</f>
        <v/>
      </c>
      <c r="J319" s="9" t="n">
        <v>201210</v>
      </c>
      <c r="L319" s="9">
        <f>VLOOKUP($O319,매칭테이블!$G:$J,2,0)*H319</f>
        <v/>
      </c>
      <c r="M319" s="9">
        <f>L319-L319*VLOOKUP($O319,매칭테이블!$G:$J,3,0)</f>
        <v/>
      </c>
      <c r="N319" s="9">
        <f>VLOOKUP($O319,매칭테이블!$G:$J,4,0)*H319</f>
        <v/>
      </c>
      <c r="O319" s="9">
        <f>F319&amp;E319&amp;G319&amp;J319</f>
        <v/>
      </c>
    </row>
    <row r="320">
      <c r="B320" s="10" t="n">
        <v>44173</v>
      </c>
      <c r="C320" s="9">
        <f>TEXT(B320,"aaa")</f>
        <v/>
      </c>
      <c r="E320" s="9">
        <f>INDEX(매칭테이블!C:C,MATCH(RD!G320,매칭테이블!D:D,0))</f>
        <v/>
      </c>
      <c r="F320" s="9" t="inlineStr">
        <is>
          <t>카페24</t>
        </is>
      </c>
      <c r="G320" s="9" t="inlineStr">
        <is>
          <t>(플친전용)HAIR RÉ:COVERY 15 Hairpack Treatment [헤어 리커버리 15 헤어팩 트리트먼트]제품선택=헤어팩 트리트먼트 1개 + 뉴트리셔스 밤 1개 세트</t>
        </is>
      </c>
      <c r="H320" s="9" t="n">
        <v>3</v>
      </c>
      <c r="I320" s="9">
        <f>VLOOKUP(G320,매칭테이블!D:E,2,0)</f>
        <v/>
      </c>
      <c r="J320" s="9" t="n">
        <v>201210</v>
      </c>
      <c r="L320" s="9">
        <f>VLOOKUP($O320,매칭테이블!$G:$J,2,0)*H320</f>
        <v/>
      </c>
      <c r="M320" s="9">
        <f>L320-L320*VLOOKUP($O320,매칭테이블!$G:$J,3,0)</f>
        <v/>
      </c>
      <c r="N320" s="9">
        <f>VLOOKUP($O320,매칭테이블!$G:$J,4,0)*H320</f>
        <v/>
      </c>
      <c r="O320" s="9">
        <f>F320&amp;E320&amp;G320&amp;J320</f>
        <v/>
      </c>
    </row>
    <row r="321">
      <c r="B321" s="10" t="n">
        <v>44173</v>
      </c>
      <c r="C321" s="9">
        <f>TEXT(B321,"aaa")</f>
        <v/>
      </c>
      <c r="E321" s="9">
        <f>INDEX(매칭테이블!C:C,MATCH(RD!G321,매칭테이블!D:D,0))</f>
        <v/>
      </c>
      <c r="F321" s="9" t="inlineStr">
        <is>
          <t>카페24</t>
        </is>
      </c>
      <c r="G321" s="9" t="inlineStr">
        <is>
          <t>(플친전용)HAIR RÉ:COVERY 15 Nutritious Balm [헤어 리커버리 15 뉴트리셔스 밤]제품선택=헤어 리커버리 15 뉴트리셔스 밤</t>
        </is>
      </c>
      <c r="H321" s="9" t="n">
        <v>2</v>
      </c>
      <c r="I321" s="9">
        <f>VLOOKUP(G321,매칭테이블!D:E,2,0)</f>
        <v/>
      </c>
      <c r="J321" s="9" t="n">
        <v>201210</v>
      </c>
      <c r="L321" s="9">
        <f>VLOOKUP($O321,매칭테이블!$G:$J,2,0)*H321</f>
        <v/>
      </c>
      <c r="M321" s="9">
        <f>L321-L321*VLOOKUP($O321,매칭테이블!$G:$J,3,0)</f>
        <v/>
      </c>
      <c r="N321" s="9">
        <f>VLOOKUP($O321,매칭테이블!$G:$J,4,0)*H321</f>
        <v/>
      </c>
      <c r="O321" s="9">
        <f>F321&amp;E321&amp;G321&amp;J321</f>
        <v/>
      </c>
    </row>
    <row r="322">
      <c r="B322" s="10" t="n">
        <v>44173</v>
      </c>
      <c r="C322" s="9">
        <f>TEXT(B322,"aaa")</f>
        <v/>
      </c>
      <c r="E322" s="9">
        <f>INDEX(매칭테이블!C:C,MATCH(RD!G322,매칭테이블!D:D,0))</f>
        <v/>
      </c>
      <c r="F322" s="9" t="inlineStr">
        <is>
          <t>카페24</t>
        </is>
      </c>
      <c r="G322" s="9" t="inlineStr">
        <is>
          <t>(플친전용)HAIR RÉ:COVERY 15 Nutritious Balm [헤어 리커버리 15 뉴트리셔스 밤]제품선택=뉴트리셔스 밤 3개 세트</t>
        </is>
      </c>
      <c r="H322" s="9" t="n">
        <v>1</v>
      </c>
      <c r="I322" s="9">
        <f>VLOOKUP(G322,매칭테이블!D:E,2,0)</f>
        <v/>
      </c>
      <c r="J322" s="9" t="n">
        <v>201210</v>
      </c>
      <c r="L322" s="9">
        <f>VLOOKUP($O322,매칭테이블!$G:$J,2,0)*H322</f>
        <v/>
      </c>
      <c r="M322" s="9">
        <f>L322-L322*VLOOKUP($O322,매칭테이블!$G:$J,3,0)</f>
        <v/>
      </c>
      <c r="N322" s="9">
        <f>VLOOKUP($O322,매칭테이블!$G:$J,4,0)*H322</f>
        <v/>
      </c>
      <c r="O322" s="9">
        <f>F322&amp;E322&amp;G322&amp;J322</f>
        <v/>
      </c>
    </row>
    <row r="323">
      <c r="B323" s="10" t="n">
        <v>44173</v>
      </c>
      <c r="C323" s="9">
        <f>TEXT(B323,"aaa")</f>
        <v/>
      </c>
      <c r="E323" s="9">
        <f>INDEX(매칭테이블!C:C,MATCH(RD!G323,매칭테이블!D:D,0))</f>
        <v/>
      </c>
      <c r="F323" s="9" t="inlineStr">
        <is>
          <t>카페24</t>
        </is>
      </c>
      <c r="G323" s="9" t="inlineStr">
        <is>
          <t>HAIR RÉ:COVERY 15 Hairpack Treatment [헤어 리커버리 15 헤어팩 트리트먼트]제품선택=헤어 리커버리 15 헤어팩 트리트먼트</t>
        </is>
      </c>
      <c r="H323" s="9" t="n">
        <v>5</v>
      </c>
      <c r="I323" s="9">
        <f>VLOOKUP(G323,매칭테이블!D:E,2,0)</f>
        <v/>
      </c>
      <c r="J323" s="9" t="n">
        <v>201210</v>
      </c>
      <c r="L323" s="9">
        <f>VLOOKUP($O323,매칭테이블!$G:$J,2,0)*H323</f>
        <v/>
      </c>
      <c r="M323" s="9">
        <f>L323-L323*VLOOKUP($O323,매칭테이블!$G:$J,3,0)</f>
        <v/>
      </c>
      <c r="N323" s="9">
        <f>VLOOKUP($O323,매칭테이블!$G:$J,4,0)*H323</f>
        <v/>
      </c>
      <c r="O323" s="9">
        <f>F323&amp;E323&amp;G323&amp;J323</f>
        <v/>
      </c>
    </row>
    <row r="324">
      <c r="B324" s="10" t="n">
        <v>44173</v>
      </c>
      <c r="C324" s="9">
        <f>TEXT(B324,"aaa")</f>
        <v/>
      </c>
      <c r="E324" s="9">
        <f>INDEX(매칭테이블!C:C,MATCH(RD!G324,매칭테이블!D:D,0))</f>
        <v/>
      </c>
      <c r="F324" s="9" t="inlineStr">
        <is>
          <t>카페24</t>
        </is>
      </c>
      <c r="G324" s="9" t="inlineStr">
        <is>
          <t>HAIR RÉ:COVERY 15 Hairpack Treatment [헤어 리커버리 15 헤어팩 트리트먼트]제품선택=헤어팩 트리트먼트 1개 + 뉴트리셔스밤 1개 세트 5% 추가할인</t>
        </is>
      </c>
      <c r="H324" s="9" t="n">
        <v>1</v>
      </c>
      <c r="I324" s="9">
        <f>VLOOKUP(G324,매칭테이블!D:E,2,0)</f>
        <v/>
      </c>
      <c r="J324" s="9" t="n">
        <v>201210</v>
      </c>
      <c r="L324" s="9">
        <f>VLOOKUP($O324,매칭테이블!$G:$J,2,0)*H324</f>
        <v/>
      </c>
      <c r="M324" s="9">
        <f>L324-L324*VLOOKUP($O324,매칭테이블!$G:$J,3,0)</f>
        <v/>
      </c>
      <c r="N324" s="9">
        <f>VLOOKUP($O324,매칭테이블!$G:$J,4,0)*H324</f>
        <v/>
      </c>
      <c r="O324" s="9">
        <f>F324&amp;E324&amp;G324&amp;J324</f>
        <v/>
      </c>
    </row>
    <row r="325">
      <c r="B325" s="10" t="n">
        <v>44173</v>
      </c>
      <c r="C325" s="9">
        <f>TEXT(B325,"aaa")</f>
        <v/>
      </c>
      <c r="E325" s="9">
        <f>INDEX(매칭테이블!C:C,MATCH(RD!G325,매칭테이블!D:D,0))</f>
        <v/>
      </c>
      <c r="F325" s="9" t="inlineStr">
        <is>
          <t>카페24</t>
        </is>
      </c>
      <c r="G325" s="9" t="inlineStr">
        <is>
          <t>HAIR RÉ:COVERY 15 Nutritious Balm [헤어 리커버리 15 뉴트리셔스 밤]제품선택=헤어 리커버리 15 뉴트리셔스 밤</t>
        </is>
      </c>
      <c r="H325" s="9" t="n">
        <v>2</v>
      </c>
      <c r="I325" s="9">
        <f>VLOOKUP(G325,매칭테이블!D:E,2,0)</f>
        <v/>
      </c>
      <c r="J325" s="9" t="n">
        <v>201210</v>
      </c>
      <c r="L325" s="9">
        <f>VLOOKUP($O325,매칭테이블!$G:$J,2,0)*H325</f>
        <v/>
      </c>
      <c r="M325" s="9">
        <f>L325-L325*VLOOKUP($O325,매칭테이블!$G:$J,3,0)</f>
        <v/>
      </c>
      <c r="N325" s="9">
        <f>VLOOKUP($O325,매칭테이블!$G:$J,4,0)*H325</f>
        <v/>
      </c>
      <c r="O325" s="9">
        <f>F325&amp;E325&amp;G325&amp;J325</f>
        <v/>
      </c>
    </row>
    <row r="326">
      <c r="B326" s="10" t="n">
        <v>44173</v>
      </c>
      <c r="C326" s="9">
        <f>TEXT(B326,"aaa")</f>
        <v/>
      </c>
      <c r="E326" s="9">
        <f>INDEX(매칭테이블!C:C,MATCH(RD!G326,매칭테이블!D:D,0))</f>
        <v/>
      </c>
      <c r="F326" s="9" t="inlineStr">
        <is>
          <t>카페24</t>
        </is>
      </c>
      <c r="G326" s="9" t="inlineStr">
        <is>
          <t>HAIR RÉ:COVERY 15 Revital Shampoo [라베나 리커버리 15 리바이탈 샴푸]제품선택=헤어 리커버리 15 리바이탈 샴푸 - 500ml</t>
        </is>
      </c>
      <c r="H326" s="9" t="n">
        <v>27</v>
      </c>
      <c r="I326" s="9">
        <f>VLOOKUP(G326,매칭테이블!D:E,2,0)</f>
        <v/>
      </c>
      <c r="J326" s="9" t="n">
        <v>201210</v>
      </c>
      <c r="L326" s="9">
        <f>VLOOKUP($O326,매칭테이블!$G:$J,2,0)*H326</f>
        <v/>
      </c>
      <c r="M326" s="9">
        <f>L326-L326*VLOOKUP($O326,매칭테이블!$G:$J,3,0)</f>
        <v/>
      </c>
      <c r="N326" s="9">
        <f>VLOOKUP($O326,매칭테이블!$G:$J,4,0)*H326</f>
        <v/>
      </c>
      <c r="O326" s="9">
        <f>F326&amp;E326&amp;G326&amp;J326</f>
        <v/>
      </c>
    </row>
    <row r="327">
      <c r="B327" s="10" t="n">
        <v>44173</v>
      </c>
      <c r="C327" s="9">
        <f>TEXT(B327,"aaa")</f>
        <v/>
      </c>
      <c r="E327" s="9">
        <f>INDEX(매칭테이블!C:C,MATCH(RD!G327,매칭테이블!D:D,0))</f>
        <v/>
      </c>
      <c r="F327" s="9" t="inlineStr">
        <is>
          <t>카페24</t>
        </is>
      </c>
      <c r="G327" s="9" t="inlineStr">
        <is>
          <t>HAIR RÉ:COVERY 15 Revital Shampoo [라베나 리커버리 15 리바이탈 샴푸]제품선택=리바이탈 샴푸 2개 세트 5%추가할인</t>
        </is>
      </c>
      <c r="H327" s="9" t="n">
        <v>12</v>
      </c>
      <c r="I327" s="9">
        <f>VLOOKUP(G327,매칭테이블!D:E,2,0)</f>
        <v/>
      </c>
      <c r="J327" s="9" t="n">
        <v>201210</v>
      </c>
      <c r="L327" s="9">
        <f>VLOOKUP($O327,매칭테이블!$G:$J,2,0)*H327</f>
        <v/>
      </c>
      <c r="M327" s="9">
        <f>L327-L327*VLOOKUP($O327,매칭테이블!$G:$J,3,0)</f>
        <v/>
      </c>
      <c r="N327" s="9">
        <f>VLOOKUP($O327,매칭테이블!$G:$J,4,0)*H327</f>
        <v/>
      </c>
      <c r="O327" s="9">
        <f>F327&amp;E327&amp;G327&amp;J327</f>
        <v/>
      </c>
    </row>
    <row r="328">
      <c r="B328" s="10" t="n">
        <v>44173</v>
      </c>
      <c r="C328" s="9">
        <f>TEXT(B328,"aaa")</f>
        <v/>
      </c>
      <c r="E328" s="9">
        <f>INDEX(매칭테이블!C:C,MATCH(RD!G328,매칭테이블!D:D,0))</f>
        <v/>
      </c>
      <c r="F328" s="9" t="inlineStr">
        <is>
          <t>카페24</t>
        </is>
      </c>
      <c r="G328" s="9" t="inlineStr">
        <is>
          <t>HAIR RÉ:COVERY 15 Revital Shampoo [라베나 리커버리 15 리바이탈 샴푸]제품선택=리바이탈 샴푸 3개 세트 10% 추가할인</t>
        </is>
      </c>
      <c r="H328" s="9" t="n">
        <v>13</v>
      </c>
      <c r="I328" s="9">
        <f>VLOOKUP(G328,매칭테이블!D:E,2,0)</f>
        <v/>
      </c>
      <c r="J328" s="9" t="n">
        <v>201210</v>
      </c>
      <c r="L328" s="9">
        <f>VLOOKUP($O328,매칭테이블!$G:$J,2,0)*H328</f>
        <v/>
      </c>
      <c r="M328" s="9">
        <f>L328-L328*VLOOKUP($O328,매칭테이블!$G:$J,3,0)</f>
        <v/>
      </c>
      <c r="N328" s="9">
        <f>VLOOKUP($O328,매칭테이블!$G:$J,4,0)*H328</f>
        <v/>
      </c>
      <c r="O328" s="9">
        <f>F328&amp;E328&amp;G328&amp;J328</f>
        <v/>
      </c>
    </row>
    <row r="329">
      <c r="B329" s="10" t="n">
        <v>44173</v>
      </c>
      <c r="C329" s="9">
        <f>TEXT(B329,"aaa")</f>
        <v/>
      </c>
      <c r="E329" s="9">
        <f>INDEX(매칭테이블!C:C,MATCH(RD!G329,매칭테이블!D:D,0))</f>
        <v/>
      </c>
      <c r="F329" s="9" t="inlineStr">
        <is>
          <t>카페24</t>
        </is>
      </c>
      <c r="G329" s="9" t="inlineStr">
        <is>
          <t>LAVENA HAIR RÉ:COVERY 15 Nutritious Balm [헤어 리커버리 15 뉴트리셔스 밤]제품선택=헤어 리커버리 15 뉴트리셔스 밤</t>
        </is>
      </c>
      <c r="H329" s="9" t="n">
        <v>1</v>
      </c>
      <c r="I329" s="9">
        <f>VLOOKUP(G329,매칭테이블!D:E,2,0)</f>
        <v/>
      </c>
      <c r="J329" s="9" t="n">
        <v>201210</v>
      </c>
      <c r="L329" s="9">
        <f>VLOOKUP($O329,매칭테이블!$G:$J,2,0)*H329</f>
        <v/>
      </c>
      <c r="M329" s="9">
        <f>L329-L329*VLOOKUP($O329,매칭테이블!$G:$J,3,0)</f>
        <v/>
      </c>
      <c r="N329" s="9">
        <f>VLOOKUP($O329,매칭테이블!$G:$J,4,0)*H329</f>
        <v/>
      </c>
      <c r="O329" s="9">
        <f>F329&amp;E329&amp;G329&amp;J329</f>
        <v/>
      </c>
    </row>
    <row r="330">
      <c r="B330" s="10" t="n">
        <v>44174</v>
      </c>
      <c r="C330" s="9">
        <f>TEXT(B330,"aaa")</f>
        <v/>
      </c>
      <c r="E330" s="9">
        <f>INDEX(매칭테이블!C:C,MATCH(RD!G330,매칭테이블!D:D,0))</f>
        <v/>
      </c>
      <c r="F330" s="9" t="inlineStr">
        <is>
          <t>라베나 CS</t>
        </is>
      </c>
      <c r="G330" s="9" t="inlineStr">
        <is>
          <t>헤어 리커버리 15 헤어팩 트리트먼트</t>
        </is>
      </c>
      <c r="H330" s="9" t="n">
        <v>1</v>
      </c>
      <c r="I330" s="9">
        <f>VLOOKUP(G330,매칭테이블!D:E,2,0)</f>
        <v/>
      </c>
      <c r="J330" s="9" t="n">
        <v>201210</v>
      </c>
      <c r="L330" s="9">
        <f>VLOOKUP($O330,매칭테이블!$G:$J,2,0)*H330</f>
        <v/>
      </c>
      <c r="M330" s="9">
        <f>L330-L330*VLOOKUP($O330,매칭테이블!$G:$J,3,0)</f>
        <v/>
      </c>
      <c r="N330" s="9">
        <f>VLOOKUP($O330,매칭테이블!$G:$J,4,0)*H330</f>
        <v/>
      </c>
      <c r="O330" s="9">
        <f>F330&amp;E330&amp;G330&amp;J330</f>
        <v/>
      </c>
    </row>
    <row r="331">
      <c r="B331" s="10" t="n">
        <v>44174</v>
      </c>
      <c r="C331" s="9">
        <f>TEXT(B331,"aaa")</f>
        <v/>
      </c>
      <c r="E331" s="9">
        <f>INDEX(매칭테이블!C:C,MATCH(RD!G331,매칭테이블!D:D,0))</f>
        <v/>
      </c>
      <c r="F331" s="9" t="inlineStr">
        <is>
          <t>카페24</t>
        </is>
      </c>
      <c r="G331" s="9" t="inlineStr">
        <is>
          <t>(플친전용)HAIR RÉ:COVERY 15 Hairpack Treatment [헤어 리커버리 15 헤어팩 트리트먼트]제품선택=헤어 리커버리 15 헤어팩 트리트먼트</t>
        </is>
      </c>
      <c r="H331" s="9" t="n">
        <v>3</v>
      </c>
      <c r="I331" s="9">
        <f>VLOOKUP(G331,매칭테이블!D:E,2,0)</f>
        <v/>
      </c>
      <c r="J331" s="9" t="n">
        <v>201210</v>
      </c>
      <c r="L331" s="9">
        <f>VLOOKUP($O331,매칭테이블!$G:$J,2,0)*H331</f>
        <v/>
      </c>
      <c r="M331" s="9">
        <f>L331-L331*VLOOKUP($O331,매칭테이블!$G:$J,3,0)</f>
        <v/>
      </c>
      <c r="N331" s="9">
        <f>VLOOKUP($O331,매칭테이블!$G:$J,4,0)*H331</f>
        <v/>
      </c>
      <c r="O331" s="9">
        <f>F331&amp;E331&amp;G331&amp;J331</f>
        <v/>
      </c>
    </row>
    <row r="332">
      <c r="B332" s="10" t="n">
        <v>44174</v>
      </c>
      <c r="C332" s="9">
        <f>TEXT(B332,"aaa")</f>
        <v/>
      </c>
      <c r="E332" s="9">
        <f>INDEX(매칭테이블!C:C,MATCH(RD!G332,매칭테이블!D:D,0))</f>
        <v/>
      </c>
      <c r="F332" s="9" t="inlineStr">
        <is>
          <t>카페24</t>
        </is>
      </c>
      <c r="G332" s="9" t="inlineStr">
        <is>
          <t>(플친전용)HAIR RÉ:COVERY 15 Hairpack Treatment [헤어 리커버리 15 헤어팩 트리트먼트]제품선택=헤어팩 트리트먼트 3개 세트</t>
        </is>
      </c>
      <c r="H332" s="9" t="n">
        <v>1</v>
      </c>
      <c r="I332" s="9">
        <f>VLOOKUP(G332,매칭테이블!D:E,2,0)</f>
        <v/>
      </c>
      <c r="J332" s="9" t="n">
        <v>201210</v>
      </c>
      <c r="L332" s="9">
        <f>VLOOKUP($O332,매칭테이블!$G:$J,2,0)*H332</f>
        <v/>
      </c>
      <c r="M332" s="9">
        <f>L332-L332*VLOOKUP($O332,매칭테이블!$G:$J,3,0)</f>
        <v/>
      </c>
      <c r="N332" s="9">
        <f>VLOOKUP($O332,매칭테이블!$G:$J,4,0)*H332</f>
        <v/>
      </c>
      <c r="O332" s="9">
        <f>F332&amp;E332&amp;G332&amp;J332</f>
        <v/>
      </c>
    </row>
    <row r="333">
      <c r="B333" s="10" t="n">
        <v>44174</v>
      </c>
      <c r="C333" s="9">
        <f>TEXT(B333,"aaa")</f>
        <v/>
      </c>
      <c r="E333" s="9">
        <f>INDEX(매칭테이블!C:C,MATCH(RD!G333,매칭테이블!D:D,0))</f>
        <v/>
      </c>
      <c r="F333" s="9" t="inlineStr">
        <is>
          <t>카페24</t>
        </is>
      </c>
      <c r="G333" s="9" t="inlineStr">
        <is>
          <t>(플친전용)HAIR RÉ:COVERY 15 Hairpack Treatment [헤어 리커버리 15 헤어팩 트리트먼트]제품선택=헤어팩 트리트먼트 1개 + 뉴트리셔스 밤 1개 세트</t>
        </is>
      </c>
      <c r="H333" s="9" t="n">
        <v>1</v>
      </c>
      <c r="I333" s="9">
        <f>VLOOKUP(G333,매칭테이블!D:E,2,0)</f>
        <v/>
      </c>
      <c r="J333" s="9" t="n">
        <v>201210</v>
      </c>
      <c r="L333" s="9">
        <f>VLOOKUP($O333,매칭테이블!$G:$J,2,0)*H333</f>
        <v/>
      </c>
      <c r="M333" s="9">
        <f>L333-L333*VLOOKUP($O333,매칭테이블!$G:$J,3,0)</f>
        <v/>
      </c>
      <c r="N333" s="9">
        <f>VLOOKUP($O333,매칭테이블!$G:$J,4,0)*H333</f>
        <v/>
      </c>
      <c r="O333" s="9">
        <f>F333&amp;E333&amp;G333&amp;J333</f>
        <v/>
      </c>
    </row>
    <row r="334">
      <c r="B334" s="10" t="n">
        <v>44174</v>
      </c>
      <c r="C334" s="9">
        <f>TEXT(B334,"aaa")</f>
        <v/>
      </c>
      <c r="E334" s="9">
        <f>INDEX(매칭테이블!C:C,MATCH(RD!G334,매칭테이블!D:D,0))</f>
        <v/>
      </c>
      <c r="F334" s="9" t="inlineStr">
        <is>
          <t>카페24</t>
        </is>
      </c>
      <c r="G334" s="9" t="inlineStr">
        <is>
          <t>(플친전용)HAIR RÉ:COVERY 15 Nutritious Balm [헤어 리커버리 15 뉴트리셔스 밤]제품선택=헤어 리커버리 15 뉴트리셔스 밤</t>
        </is>
      </c>
      <c r="H334" s="9" t="n">
        <v>1</v>
      </c>
      <c r="I334" s="9">
        <f>VLOOKUP(G334,매칭테이블!D:E,2,0)</f>
        <v/>
      </c>
      <c r="J334" s="9" t="n">
        <v>201210</v>
      </c>
      <c r="L334" s="9">
        <f>VLOOKUP($O334,매칭테이블!$G:$J,2,0)*H334</f>
        <v/>
      </c>
      <c r="M334" s="9">
        <f>L334-L334*VLOOKUP($O334,매칭테이블!$G:$J,3,0)</f>
        <v/>
      </c>
      <c r="N334" s="9">
        <f>VLOOKUP($O334,매칭테이블!$G:$J,4,0)*H334</f>
        <v/>
      </c>
      <c r="O334" s="9">
        <f>F334&amp;E334&amp;G334&amp;J334</f>
        <v/>
      </c>
    </row>
    <row r="335">
      <c r="B335" s="10" t="n">
        <v>44174</v>
      </c>
      <c r="C335" s="9">
        <f>TEXT(B335,"aaa")</f>
        <v/>
      </c>
      <c r="E335" s="9">
        <f>INDEX(매칭테이블!C:C,MATCH(RD!G335,매칭테이블!D:D,0))</f>
        <v/>
      </c>
      <c r="F335" s="9" t="inlineStr">
        <is>
          <t>카페24</t>
        </is>
      </c>
      <c r="G335" s="9" t="inlineStr">
        <is>
          <t>HAIR RÉ:COVERY 15 Hairpack Treatment [헤어 리커버리 15 헤어팩 트리트먼트]제품선택=헤어 리커버리 15 헤어팩 트리트먼트</t>
        </is>
      </c>
      <c r="H335" s="9" t="n">
        <v>5</v>
      </c>
      <c r="I335" s="9">
        <f>VLOOKUP(G335,매칭테이블!D:E,2,0)</f>
        <v/>
      </c>
      <c r="J335" s="9" t="n">
        <v>201210</v>
      </c>
      <c r="L335" s="9">
        <f>VLOOKUP($O335,매칭테이블!$G:$J,2,0)*H335</f>
        <v/>
      </c>
      <c r="M335" s="9">
        <f>L335-L335*VLOOKUP($O335,매칭테이블!$G:$J,3,0)</f>
        <v/>
      </c>
      <c r="N335" s="9">
        <f>VLOOKUP($O335,매칭테이블!$G:$J,4,0)*H335</f>
        <v/>
      </c>
      <c r="O335" s="9">
        <f>F335&amp;E335&amp;G335&amp;J335</f>
        <v/>
      </c>
    </row>
    <row r="336">
      <c r="B336" s="10" t="n">
        <v>44174</v>
      </c>
      <c r="C336" s="9">
        <f>TEXT(B336,"aaa")</f>
        <v/>
      </c>
      <c r="E336" s="9">
        <f>INDEX(매칭테이블!C:C,MATCH(RD!G336,매칭테이블!D:D,0))</f>
        <v/>
      </c>
      <c r="F336" s="9" t="inlineStr">
        <is>
          <t>카페24</t>
        </is>
      </c>
      <c r="G336" s="9" t="inlineStr">
        <is>
          <t>HAIR RÉ:COVERY 15 Hairpack Treatment [헤어 리커버리 15 헤어팩 트리트먼트]제품선택=헤어팩 트리트먼트 3개 세트 10% 추가할인</t>
        </is>
      </c>
      <c r="H336" s="9" t="n">
        <v>1</v>
      </c>
      <c r="I336" s="9">
        <f>VLOOKUP(G336,매칭테이블!D:E,2,0)</f>
        <v/>
      </c>
      <c r="J336" s="9" t="n">
        <v>201210</v>
      </c>
      <c r="L336" s="9">
        <f>VLOOKUP($O336,매칭테이블!$G:$J,2,0)*H336</f>
        <v/>
      </c>
      <c r="M336" s="9">
        <f>L336-L336*VLOOKUP($O336,매칭테이블!$G:$J,3,0)</f>
        <v/>
      </c>
      <c r="N336" s="9">
        <f>VLOOKUP($O336,매칭테이블!$G:$J,4,0)*H336</f>
        <v/>
      </c>
      <c r="O336" s="9">
        <f>F336&amp;E336&amp;G336&amp;J336</f>
        <v/>
      </c>
    </row>
    <row r="337">
      <c r="B337" s="10" t="n">
        <v>44174</v>
      </c>
      <c r="C337" s="9">
        <f>TEXT(B337,"aaa")</f>
        <v/>
      </c>
      <c r="E337" s="9">
        <f>INDEX(매칭테이블!C:C,MATCH(RD!G337,매칭테이블!D:D,0))</f>
        <v/>
      </c>
      <c r="F337" s="9" t="inlineStr">
        <is>
          <t>카페24</t>
        </is>
      </c>
      <c r="G337" s="9" t="inlineStr">
        <is>
          <t>HAIR RÉ:COVERY 15 Nutritious Balm [헤어 리커버리 15 뉴트리셔스 밤]제품선택=헤어 리커버리 15 뉴트리셔스 밤</t>
        </is>
      </c>
      <c r="H337" s="9" t="n">
        <v>3</v>
      </c>
      <c r="I337" s="9">
        <f>VLOOKUP(G337,매칭테이블!D:E,2,0)</f>
        <v/>
      </c>
      <c r="J337" s="9" t="n">
        <v>201210</v>
      </c>
      <c r="L337" s="9">
        <f>VLOOKUP($O337,매칭테이블!$G:$J,2,0)*H337</f>
        <v/>
      </c>
      <c r="M337" s="9">
        <f>L337-L337*VLOOKUP($O337,매칭테이블!$G:$J,3,0)</f>
        <v/>
      </c>
      <c r="N337" s="9">
        <f>VLOOKUP($O337,매칭테이블!$G:$J,4,0)*H337</f>
        <v/>
      </c>
      <c r="O337" s="9">
        <f>F337&amp;E337&amp;G337&amp;J337</f>
        <v/>
      </c>
    </row>
    <row r="338">
      <c r="B338" s="10" t="n">
        <v>44174</v>
      </c>
      <c r="C338" s="9">
        <f>TEXT(B338,"aaa")</f>
        <v/>
      </c>
      <c r="E338" s="9">
        <f>INDEX(매칭테이블!C:C,MATCH(RD!G338,매칭테이블!D:D,0))</f>
        <v/>
      </c>
      <c r="F338" s="9" t="inlineStr">
        <is>
          <t>카페24</t>
        </is>
      </c>
      <c r="G338" s="9" t="inlineStr">
        <is>
          <t>HAIR RÉ:COVERY 15 Nutritious Balm [헤어 리커버리 15 뉴트리셔스 밤]제품선택=뉴트리셔스 밤 2개 세트 5% 추가할인</t>
        </is>
      </c>
      <c r="H338" s="9" t="n">
        <v>1</v>
      </c>
      <c r="I338" s="9">
        <f>VLOOKUP(G338,매칭테이블!D:E,2,0)</f>
        <v/>
      </c>
      <c r="J338" s="9" t="n">
        <v>201210</v>
      </c>
      <c r="L338" s="9">
        <f>VLOOKUP($O338,매칭테이블!$G:$J,2,0)*H338</f>
        <v/>
      </c>
      <c r="M338" s="9">
        <f>L338-L338*VLOOKUP($O338,매칭테이블!$G:$J,3,0)</f>
        <v/>
      </c>
      <c r="N338" s="9">
        <f>VLOOKUP($O338,매칭테이블!$G:$J,4,0)*H338</f>
        <v/>
      </c>
      <c r="O338" s="9">
        <f>F338&amp;E338&amp;G338&amp;J338</f>
        <v/>
      </c>
    </row>
    <row r="339">
      <c r="B339" s="10" t="n">
        <v>44174</v>
      </c>
      <c r="C339" s="9">
        <f>TEXT(B339,"aaa")</f>
        <v/>
      </c>
      <c r="E339" s="9">
        <f>INDEX(매칭테이블!C:C,MATCH(RD!G339,매칭테이블!D:D,0))</f>
        <v/>
      </c>
      <c r="F339" s="9" t="inlineStr">
        <is>
          <t>카페24</t>
        </is>
      </c>
      <c r="G339" s="9" t="inlineStr">
        <is>
          <t>HAIR RÉ:COVERY 15 Revital Shampoo [라베나 리커버리 15 리바이탈 샴푸]제품선택=헤어 리커버리 15 리바이탈 샴푸 - 500ml</t>
        </is>
      </c>
      <c r="H339" s="9" t="n">
        <v>27</v>
      </c>
      <c r="I339" s="9">
        <f>VLOOKUP(G339,매칭테이블!D:E,2,0)</f>
        <v/>
      </c>
      <c r="J339" s="9" t="n">
        <v>201210</v>
      </c>
      <c r="L339" s="9">
        <f>VLOOKUP($O339,매칭테이블!$G:$J,2,0)*H339</f>
        <v/>
      </c>
      <c r="M339" s="9">
        <f>L339-L339*VLOOKUP($O339,매칭테이블!$G:$J,3,0)</f>
        <v/>
      </c>
      <c r="N339" s="9">
        <f>VLOOKUP($O339,매칭테이블!$G:$J,4,0)*H339</f>
        <v/>
      </c>
      <c r="O339" s="9">
        <f>F339&amp;E339&amp;G339&amp;J339</f>
        <v/>
      </c>
    </row>
    <row r="340">
      <c r="B340" s="10" t="n">
        <v>44174</v>
      </c>
      <c r="C340" s="9">
        <f>TEXT(B340,"aaa")</f>
        <v/>
      </c>
      <c r="E340" s="9">
        <f>INDEX(매칭테이블!C:C,MATCH(RD!G340,매칭테이블!D:D,0))</f>
        <v/>
      </c>
      <c r="F340" s="9" t="inlineStr">
        <is>
          <t>카페24</t>
        </is>
      </c>
      <c r="G340" s="9" t="inlineStr">
        <is>
          <t>HAIR RÉ:COVERY 15 Revital Shampoo [라베나 리커버리 15 리바이탈 샴푸]제품선택=리바이탈 샴푸 2개 세트 5%추가할인</t>
        </is>
      </c>
      <c r="H340" s="9" t="n">
        <v>7</v>
      </c>
      <c r="I340" s="9">
        <f>VLOOKUP(G340,매칭테이블!D:E,2,0)</f>
        <v/>
      </c>
      <c r="J340" s="9" t="n">
        <v>201210</v>
      </c>
      <c r="L340" s="9">
        <f>VLOOKUP($O340,매칭테이블!$G:$J,2,0)*H340</f>
        <v/>
      </c>
      <c r="M340" s="9">
        <f>L340-L340*VLOOKUP($O340,매칭테이블!$G:$J,3,0)</f>
        <v/>
      </c>
      <c r="N340" s="9">
        <f>VLOOKUP($O340,매칭테이블!$G:$J,4,0)*H340</f>
        <v/>
      </c>
      <c r="O340" s="9">
        <f>F340&amp;E340&amp;G340&amp;J340</f>
        <v/>
      </c>
    </row>
    <row r="341">
      <c r="B341" s="10" t="n">
        <v>44174</v>
      </c>
      <c r="C341" s="9">
        <f>TEXT(B341,"aaa")</f>
        <v/>
      </c>
      <c r="E341" s="9">
        <f>INDEX(매칭테이블!C:C,MATCH(RD!G341,매칭테이블!D:D,0))</f>
        <v/>
      </c>
      <c r="F341" s="9" t="inlineStr">
        <is>
          <t>카페24</t>
        </is>
      </c>
      <c r="G341" s="9" t="inlineStr">
        <is>
          <t>HAIR RÉ:COVERY 15 Revital Shampoo [라베나 리커버리 15 리바이탈 샴푸]제품선택=리바이탈 샴푸 3개 세트 10% 추가할인</t>
        </is>
      </c>
      <c r="H341" s="9" t="n">
        <v>8</v>
      </c>
      <c r="I341" s="9">
        <f>VLOOKUP(G341,매칭테이블!D:E,2,0)</f>
        <v/>
      </c>
      <c r="J341" s="9" t="n">
        <v>201210</v>
      </c>
      <c r="L341" s="9">
        <f>VLOOKUP($O341,매칭테이블!$G:$J,2,0)*H341</f>
        <v/>
      </c>
      <c r="M341" s="9">
        <f>L341-L341*VLOOKUP($O341,매칭테이블!$G:$J,3,0)</f>
        <v/>
      </c>
      <c r="N341" s="9">
        <f>VLOOKUP($O341,매칭테이블!$G:$J,4,0)*H341</f>
        <v/>
      </c>
      <c r="O341" s="9">
        <f>F341&amp;E341&amp;G341&amp;J341</f>
        <v/>
      </c>
    </row>
    <row r="342">
      <c r="B342" s="10" t="n">
        <v>44175</v>
      </c>
      <c r="C342" s="9">
        <f>TEXT(B342,"aaa")</f>
        <v/>
      </c>
      <c r="E342" s="9">
        <f>INDEX(매칭테이블!C:C,MATCH(RD!G342,매칭테이블!D:D,0))</f>
        <v/>
      </c>
      <c r="F342" s="9" t="inlineStr">
        <is>
          <t>카페24</t>
        </is>
      </c>
      <c r="G342" s="9" t="inlineStr">
        <is>
          <t>(플친전용)HAIR RÉ:COVERY 15 Hairpack Treatment [헤어 리커버리 15 헤어팩 트리트먼트]제품선택=헤어팩 트리트먼트 1개 + 뉴트리셔스 밤 1개 세트</t>
        </is>
      </c>
      <c r="H342" s="9" t="n">
        <v>1</v>
      </c>
      <c r="I342" s="9">
        <f>VLOOKUP(G342,매칭테이블!D:E,2,0)</f>
        <v/>
      </c>
      <c r="J342" s="9" t="n">
        <v>201210</v>
      </c>
      <c r="L342" s="9">
        <f>VLOOKUP($O342,매칭테이블!$G:$J,2,0)*H342</f>
        <v/>
      </c>
      <c r="M342" s="9">
        <f>L342-L342*VLOOKUP($O342,매칭테이블!$G:$J,3,0)</f>
        <v/>
      </c>
      <c r="N342" s="9">
        <f>VLOOKUP($O342,매칭테이블!$G:$J,4,0)*H342</f>
        <v/>
      </c>
      <c r="O342" s="9">
        <f>F342&amp;E342&amp;G342&amp;J342</f>
        <v/>
      </c>
    </row>
    <row r="343">
      <c r="B343" s="10" t="n">
        <v>44175</v>
      </c>
      <c r="C343" s="9">
        <f>TEXT(B343,"aaa")</f>
        <v/>
      </c>
      <c r="E343" s="9">
        <f>INDEX(매칭테이블!C:C,MATCH(RD!G343,매칭테이블!D:D,0))</f>
        <v/>
      </c>
      <c r="F343" s="9" t="inlineStr">
        <is>
          <t>카페24</t>
        </is>
      </c>
      <c r="G343" s="9" t="inlineStr">
        <is>
          <t>(플친전용)HAIR RÉ:COVERY 15 Nutritious Balm [헤어 리커버리 15 뉴트리셔스 밤]제품선택=헤어 리커버리 15 뉴트리셔스 밤</t>
        </is>
      </c>
      <c r="H343" s="9" t="n">
        <v>1</v>
      </c>
      <c r="I343" s="9">
        <f>VLOOKUP(G343,매칭테이블!D:E,2,0)</f>
        <v/>
      </c>
      <c r="J343" s="9" t="n">
        <v>201210</v>
      </c>
      <c r="L343" s="9">
        <f>VLOOKUP($O343,매칭테이블!$G:$J,2,0)*H343</f>
        <v/>
      </c>
      <c r="M343" s="9">
        <f>L343-L343*VLOOKUP($O343,매칭테이블!$G:$J,3,0)</f>
        <v/>
      </c>
      <c r="N343" s="9">
        <f>VLOOKUP($O343,매칭테이블!$G:$J,4,0)*H343</f>
        <v/>
      </c>
      <c r="O343" s="9">
        <f>F343&amp;E343&amp;G343&amp;J343</f>
        <v/>
      </c>
    </row>
    <row r="344">
      <c r="B344" s="10" t="n">
        <v>44175</v>
      </c>
      <c r="C344" s="9">
        <f>TEXT(B344,"aaa")</f>
        <v/>
      </c>
      <c r="E344" s="9">
        <f>INDEX(매칭테이블!C:C,MATCH(RD!G344,매칭테이블!D:D,0))</f>
        <v/>
      </c>
      <c r="F344" s="9" t="inlineStr">
        <is>
          <t>카페24</t>
        </is>
      </c>
      <c r="G344" s="9" t="inlineStr">
        <is>
          <t>HAIR RÉ:COVERY 15 Hairpack Treatment [헤어 리커버리 15 헤어팩 트리트먼트]제품선택=헤어 리커버리 15 헤어팩 트리트먼트</t>
        </is>
      </c>
      <c r="H344" s="9" t="n">
        <v>4</v>
      </c>
      <c r="I344" s="9">
        <f>VLOOKUP(G344,매칭테이블!D:E,2,0)</f>
        <v/>
      </c>
      <c r="J344" s="9" t="n">
        <v>201210</v>
      </c>
      <c r="L344" s="9">
        <f>VLOOKUP($O344,매칭테이블!$G:$J,2,0)*H344</f>
        <v/>
      </c>
      <c r="M344" s="9">
        <f>L344-L344*VLOOKUP($O344,매칭테이블!$G:$J,3,0)</f>
        <v/>
      </c>
      <c r="N344" s="9">
        <f>VLOOKUP($O344,매칭테이블!$G:$J,4,0)*H344</f>
        <v/>
      </c>
      <c r="O344" s="9">
        <f>F344&amp;E344&amp;G344&amp;J344</f>
        <v/>
      </c>
    </row>
    <row r="345">
      <c r="B345" s="10" t="n">
        <v>44175</v>
      </c>
      <c r="C345" s="9">
        <f>TEXT(B345,"aaa")</f>
        <v/>
      </c>
      <c r="E345" s="9">
        <f>INDEX(매칭테이블!C:C,MATCH(RD!G345,매칭테이블!D:D,0))</f>
        <v/>
      </c>
      <c r="F345" s="9" t="inlineStr">
        <is>
          <t>카페24</t>
        </is>
      </c>
      <c r="G345" s="9" t="inlineStr">
        <is>
          <t>HAIR RÉ:COVERY 15 Nutritious Balm [헤어 리커버리 15 뉴트리셔스 밤]제품선택=헤어 리커버리 15 뉴트리셔스 밤</t>
        </is>
      </c>
      <c r="H345" s="9" t="n">
        <v>4</v>
      </c>
      <c r="I345" s="9">
        <f>VLOOKUP(G345,매칭테이블!D:E,2,0)</f>
        <v/>
      </c>
      <c r="J345" s="9" t="n">
        <v>201210</v>
      </c>
      <c r="L345" s="9">
        <f>VLOOKUP($O345,매칭테이블!$G:$J,2,0)*H345</f>
        <v/>
      </c>
      <c r="M345" s="9">
        <f>L345-L345*VLOOKUP($O345,매칭테이블!$G:$J,3,0)</f>
        <v/>
      </c>
      <c r="N345" s="9">
        <f>VLOOKUP($O345,매칭테이블!$G:$J,4,0)*H345</f>
        <v/>
      </c>
      <c r="O345" s="9">
        <f>F345&amp;E345&amp;G345&amp;J345</f>
        <v/>
      </c>
    </row>
    <row r="346">
      <c r="B346" s="10" t="n">
        <v>44175</v>
      </c>
      <c r="C346" s="9">
        <f>TEXT(B346,"aaa")</f>
        <v/>
      </c>
      <c r="E346" s="9">
        <f>INDEX(매칭테이블!C:C,MATCH(RD!G346,매칭테이블!D:D,0))</f>
        <v/>
      </c>
      <c r="F346" s="9" t="inlineStr">
        <is>
          <t>카페24</t>
        </is>
      </c>
      <c r="G346" s="9" t="inlineStr">
        <is>
          <t>HAIR RÉ:COVERY 15 Nutritious Balm [헤어 리커버리 15 뉴트리셔스 밤]제품선택=뉴트리셔스밤 1개 + 헤어팩 트리트먼트 1개 세트 5%추가할인</t>
        </is>
      </c>
      <c r="H346" s="9" t="n">
        <v>1</v>
      </c>
      <c r="I346" s="9">
        <f>VLOOKUP(G346,매칭테이블!D:E,2,0)</f>
        <v/>
      </c>
      <c r="J346" s="9" t="n">
        <v>201210</v>
      </c>
      <c r="L346" s="9">
        <f>VLOOKUP($O346,매칭테이블!$G:$J,2,0)*H346</f>
        <v/>
      </c>
      <c r="M346" s="9">
        <f>L346-L346*VLOOKUP($O346,매칭테이블!$G:$J,3,0)</f>
        <v/>
      </c>
      <c r="N346" s="9">
        <f>VLOOKUP($O346,매칭테이블!$G:$J,4,0)*H346</f>
        <v/>
      </c>
      <c r="O346" s="9">
        <f>F346&amp;E346&amp;G346&amp;J346</f>
        <v/>
      </c>
    </row>
    <row r="347">
      <c r="B347" s="10" t="n">
        <v>44175</v>
      </c>
      <c r="C347" s="9">
        <f>TEXT(B347,"aaa")</f>
        <v/>
      </c>
      <c r="E347" s="9">
        <f>INDEX(매칭테이블!C:C,MATCH(RD!G347,매칭테이블!D:D,0))</f>
        <v/>
      </c>
      <c r="F347" s="9" t="inlineStr">
        <is>
          <t>카페24</t>
        </is>
      </c>
      <c r="G347" s="9" t="inlineStr">
        <is>
          <t>HAIR RÉ:COVERY 15 Revital Shampoo [라베나 리커버리 15 리바이탈 샴푸]제품선택=헤어 리커버리 15 리바이탈 샴푸 - 500ml</t>
        </is>
      </c>
      <c r="H347" s="9" t="n">
        <v>20</v>
      </c>
      <c r="I347" s="9">
        <f>VLOOKUP(G347,매칭테이블!D:E,2,0)</f>
        <v/>
      </c>
      <c r="J347" s="9" t="n">
        <v>201210</v>
      </c>
      <c r="L347" s="9">
        <f>VLOOKUP($O347,매칭테이블!$G:$J,2,0)*H347</f>
        <v/>
      </c>
      <c r="M347" s="9">
        <f>L347-L347*VLOOKUP($O347,매칭테이블!$G:$J,3,0)</f>
        <v/>
      </c>
      <c r="N347" s="9">
        <f>VLOOKUP($O347,매칭테이블!$G:$J,4,0)*H347</f>
        <v/>
      </c>
      <c r="O347" s="9">
        <f>F347&amp;E347&amp;G347&amp;J347</f>
        <v/>
      </c>
    </row>
    <row r="348">
      <c r="B348" s="10" t="n">
        <v>44175</v>
      </c>
      <c r="C348" s="9">
        <f>TEXT(B348,"aaa")</f>
        <v/>
      </c>
      <c r="E348" s="9">
        <f>INDEX(매칭테이블!C:C,MATCH(RD!G348,매칭테이블!D:D,0))</f>
        <v/>
      </c>
      <c r="F348" s="9" t="inlineStr">
        <is>
          <t>카페24</t>
        </is>
      </c>
      <c r="G348" s="9" t="inlineStr">
        <is>
          <t>HAIR RÉ:COVERY 15 Revital Shampoo [라베나 리커버리 15 리바이탈 샴푸]제품선택=리바이탈 샴푸 2개 세트 5%추가할인</t>
        </is>
      </c>
      <c r="H348" s="9" t="n">
        <v>7</v>
      </c>
      <c r="I348" s="9">
        <f>VLOOKUP(G348,매칭테이블!D:E,2,0)</f>
        <v/>
      </c>
      <c r="J348" s="9" t="n">
        <v>201210</v>
      </c>
      <c r="L348" s="9">
        <f>VLOOKUP($O348,매칭테이블!$G:$J,2,0)*H348</f>
        <v/>
      </c>
      <c r="M348" s="9">
        <f>L348-L348*VLOOKUP($O348,매칭테이블!$G:$J,3,0)</f>
        <v/>
      </c>
      <c r="N348" s="9">
        <f>VLOOKUP($O348,매칭테이블!$G:$J,4,0)*H348</f>
        <v/>
      </c>
      <c r="O348" s="9">
        <f>F348&amp;E348&amp;G348&amp;J348</f>
        <v/>
      </c>
    </row>
    <row r="349">
      <c r="B349" s="10" t="n">
        <v>44175</v>
      </c>
      <c r="C349" s="9">
        <f>TEXT(B349,"aaa")</f>
        <v/>
      </c>
      <c r="E349" s="9">
        <f>INDEX(매칭테이블!C:C,MATCH(RD!G349,매칭테이블!D:D,0))</f>
        <v/>
      </c>
      <c r="F349" s="9" t="inlineStr">
        <is>
          <t>카페24</t>
        </is>
      </c>
      <c r="G349" s="9" t="inlineStr">
        <is>
          <t>HAIR RÉ:COVERY 15 Revital Shampoo [라베나 리커버리 15 리바이탈 샴푸]제품선택=리바이탈 샴푸 3개 세트 10% 추가할인</t>
        </is>
      </c>
      <c r="H349" s="9" t="n">
        <v>11</v>
      </c>
      <c r="I349" s="9">
        <f>VLOOKUP(G349,매칭테이블!D:E,2,0)</f>
        <v/>
      </c>
      <c r="J349" s="9" t="n">
        <v>201210</v>
      </c>
      <c r="L349" s="9">
        <f>VLOOKUP($O349,매칭테이블!$G:$J,2,0)*H349</f>
        <v/>
      </c>
      <c r="M349" s="9">
        <f>L349-L349*VLOOKUP($O349,매칭테이블!$G:$J,3,0)</f>
        <v/>
      </c>
      <c r="N349" s="9">
        <f>VLOOKUP($O349,매칭테이블!$G:$J,4,0)*H349</f>
        <v/>
      </c>
      <c r="O349" s="9">
        <f>F349&amp;E349&amp;G349&amp;J349</f>
        <v/>
      </c>
    </row>
    <row r="350">
      <c r="B350" s="10" t="n">
        <v>44176</v>
      </c>
      <c r="C350" s="9">
        <f>TEXT(B350,"aaa")</f>
        <v/>
      </c>
      <c r="E350" s="9">
        <f>INDEX(매칭테이블!C:C,MATCH(RD!G350,매칭테이블!D:D,0))</f>
        <v/>
      </c>
      <c r="F350" s="9" t="inlineStr">
        <is>
          <t>카페24</t>
        </is>
      </c>
      <c r="G350" s="9" t="inlineStr">
        <is>
          <t>(플친전용)HAIR RÉ:COVERY 15 Hairpack Treatment [헤어 리커버리 15 헤어팩 트리트먼트]제품선택=헤어 리커버리 15 헤어팩 트리트먼트</t>
        </is>
      </c>
      <c r="H350" s="9" t="n">
        <v>2</v>
      </c>
      <c r="I350" s="9">
        <f>VLOOKUP(G350,매칭테이블!D:E,2,0)</f>
        <v/>
      </c>
      <c r="J350" s="9" t="n">
        <v>201210</v>
      </c>
      <c r="L350" s="9">
        <f>VLOOKUP($O350,매칭테이블!$G:$J,2,0)*H350</f>
        <v/>
      </c>
      <c r="M350" s="9">
        <f>L350-L350*VLOOKUP($O350,매칭테이블!$G:$J,3,0)</f>
        <v/>
      </c>
      <c r="N350" s="9">
        <f>VLOOKUP($O350,매칭테이블!$G:$J,4,0)*H350</f>
        <v/>
      </c>
      <c r="O350" s="9">
        <f>F350&amp;E350&amp;G350&amp;J350</f>
        <v/>
      </c>
    </row>
    <row r="351">
      <c r="B351" s="10" t="n">
        <v>44176</v>
      </c>
      <c r="C351" s="9">
        <f>TEXT(B351,"aaa")</f>
        <v/>
      </c>
      <c r="E351" s="9">
        <f>INDEX(매칭테이블!C:C,MATCH(RD!G351,매칭테이블!D:D,0))</f>
        <v/>
      </c>
      <c r="F351" s="9" t="inlineStr">
        <is>
          <t>카페24</t>
        </is>
      </c>
      <c r="G351" s="9" t="inlineStr">
        <is>
          <t>(플친전용)HAIR RÉ:COVERY 15 Hairpack Treatment [헤어 리커버리 15 헤어팩 트리트먼트]제품선택=헤어팩 트리트먼트 1개 + 뉴트리셔스 밤 1개 세트</t>
        </is>
      </c>
      <c r="H351" s="9" t="n">
        <v>1</v>
      </c>
      <c r="I351" s="9">
        <f>VLOOKUP(G351,매칭테이블!D:E,2,0)</f>
        <v/>
      </c>
      <c r="J351" s="9" t="n">
        <v>201210</v>
      </c>
      <c r="L351" s="9">
        <f>VLOOKUP($O351,매칭테이블!$G:$J,2,0)*H351</f>
        <v/>
      </c>
      <c r="M351" s="9">
        <f>L351-L351*VLOOKUP($O351,매칭테이블!$G:$J,3,0)</f>
        <v/>
      </c>
      <c r="N351" s="9">
        <f>VLOOKUP($O351,매칭테이블!$G:$J,4,0)*H351</f>
        <v/>
      </c>
      <c r="O351" s="9">
        <f>F351&amp;E351&amp;G351&amp;J351</f>
        <v/>
      </c>
    </row>
    <row r="352">
      <c r="B352" s="10" t="n">
        <v>44176</v>
      </c>
      <c r="C352" s="9">
        <f>TEXT(B352,"aaa")</f>
        <v/>
      </c>
      <c r="E352" s="9">
        <f>INDEX(매칭테이블!C:C,MATCH(RD!G352,매칭테이블!D:D,0))</f>
        <v/>
      </c>
      <c r="F352" s="9" t="inlineStr">
        <is>
          <t>카페24</t>
        </is>
      </c>
      <c r="G352" s="9" t="inlineStr">
        <is>
          <t>(플친전용)HAIR RÉ:COVERY 15 Nutritious Balm [헤어 리커버리 15 뉴트리셔스 밤]제품선택=헤어 리커버리 15 뉴트리셔스 밤</t>
        </is>
      </c>
      <c r="H352" s="9" t="n">
        <v>2</v>
      </c>
      <c r="I352" s="9">
        <f>VLOOKUP(G352,매칭테이블!D:E,2,0)</f>
        <v/>
      </c>
      <c r="J352" s="9" t="n">
        <v>201210</v>
      </c>
      <c r="L352" s="9">
        <f>VLOOKUP($O352,매칭테이블!$G:$J,2,0)*H352</f>
        <v/>
      </c>
      <c r="M352" s="9">
        <f>L352-L352*VLOOKUP($O352,매칭테이블!$G:$J,3,0)</f>
        <v/>
      </c>
      <c r="N352" s="9">
        <f>VLOOKUP($O352,매칭테이블!$G:$J,4,0)*H352</f>
        <v/>
      </c>
      <c r="O352" s="9">
        <f>F352&amp;E352&amp;G352&amp;J352</f>
        <v/>
      </c>
    </row>
    <row r="353">
      <c r="B353" s="10" t="n">
        <v>44176</v>
      </c>
      <c r="C353" s="9">
        <f>TEXT(B353,"aaa")</f>
        <v/>
      </c>
      <c r="E353" s="9">
        <f>INDEX(매칭테이블!C:C,MATCH(RD!G353,매칭테이블!D:D,0))</f>
        <v/>
      </c>
      <c r="F353" s="9" t="inlineStr">
        <is>
          <t>카페24</t>
        </is>
      </c>
      <c r="G353" s="9" t="inlineStr">
        <is>
          <t>(플친전용)HAIR RÉ:COVERY 15 Nutritious Balm [헤어 리커버리 15 뉴트리셔스 밤]제품선택=뉴트리셔스밤 1개 + 헤어팩 트리트먼트 1개 세트</t>
        </is>
      </c>
      <c r="H353" s="9" t="n">
        <v>1</v>
      </c>
      <c r="I353" s="9">
        <f>VLOOKUP(G353,매칭테이블!D:E,2,0)</f>
        <v/>
      </c>
      <c r="J353" s="9" t="n">
        <v>201210</v>
      </c>
      <c r="L353" s="9">
        <f>VLOOKUP($O353,매칭테이블!$G:$J,2,0)*H353</f>
        <v/>
      </c>
      <c r="M353" s="9">
        <f>L353-L353*VLOOKUP($O353,매칭테이블!$G:$J,3,0)</f>
        <v/>
      </c>
      <c r="N353" s="9">
        <f>VLOOKUP($O353,매칭테이블!$G:$J,4,0)*H353</f>
        <v/>
      </c>
      <c r="O353" s="9">
        <f>F353&amp;E353&amp;G353&amp;J353</f>
        <v/>
      </c>
    </row>
    <row r="354">
      <c r="B354" s="10" t="n">
        <v>44176</v>
      </c>
      <c r="C354" s="9">
        <f>TEXT(B354,"aaa")</f>
        <v/>
      </c>
      <c r="E354" s="9">
        <f>INDEX(매칭테이블!C:C,MATCH(RD!G354,매칭테이블!D:D,0))</f>
        <v/>
      </c>
      <c r="F354" s="9" t="inlineStr">
        <is>
          <t>카페24</t>
        </is>
      </c>
      <c r="G354" s="9" t="inlineStr">
        <is>
          <t>HAIR RÉ:COVERY 15 Hairpack Treatment [헤어 리커버리 15 헤어팩 트리트먼트]제품선택=헤어 리커버리 15 헤어팩 트리트먼트</t>
        </is>
      </c>
      <c r="H354" s="9" t="n">
        <v>7</v>
      </c>
      <c r="I354" s="9">
        <f>VLOOKUP(G354,매칭테이블!D:E,2,0)</f>
        <v/>
      </c>
      <c r="J354" s="9" t="n">
        <v>201210</v>
      </c>
      <c r="L354" s="9">
        <f>VLOOKUP($O354,매칭테이블!$G:$J,2,0)*H354</f>
        <v/>
      </c>
      <c r="M354" s="9">
        <f>L354-L354*VLOOKUP($O354,매칭테이블!$G:$J,3,0)</f>
        <v/>
      </c>
      <c r="N354" s="9">
        <f>VLOOKUP($O354,매칭테이블!$G:$J,4,0)*H354</f>
        <v/>
      </c>
      <c r="O354" s="9">
        <f>F354&amp;E354&amp;G354&amp;J354</f>
        <v/>
      </c>
    </row>
    <row r="355">
      <c r="B355" s="10" t="n">
        <v>44176</v>
      </c>
      <c r="C355" s="9">
        <f>TEXT(B355,"aaa")</f>
        <v/>
      </c>
      <c r="E355" s="9">
        <f>INDEX(매칭테이블!C:C,MATCH(RD!G355,매칭테이블!D:D,0))</f>
        <v/>
      </c>
      <c r="F355" s="9" t="inlineStr">
        <is>
          <t>카페24</t>
        </is>
      </c>
      <c r="G355" s="9" t="inlineStr">
        <is>
          <t>HAIR RÉ:COVERY 15 Hairpack Treatment [헤어 리커버리 15 헤어팩 트리트먼트]제품선택=헤어팩 트리트먼트 3개 세트 10% 추가할인</t>
        </is>
      </c>
      <c r="H355" s="9" t="n">
        <v>2</v>
      </c>
      <c r="I355" s="9">
        <f>VLOOKUP(G355,매칭테이블!D:E,2,0)</f>
        <v/>
      </c>
      <c r="J355" s="9" t="n">
        <v>201210</v>
      </c>
      <c r="L355" s="9">
        <f>VLOOKUP($O355,매칭테이블!$G:$J,2,0)*H355</f>
        <v/>
      </c>
      <c r="M355" s="9">
        <f>L355-L355*VLOOKUP($O355,매칭테이블!$G:$J,3,0)</f>
        <v/>
      </c>
      <c r="N355" s="9">
        <f>VLOOKUP($O355,매칭테이블!$G:$J,4,0)*H355</f>
        <v/>
      </c>
      <c r="O355" s="9">
        <f>F355&amp;E355&amp;G355&amp;J355</f>
        <v/>
      </c>
    </row>
    <row r="356">
      <c r="B356" s="10" t="n">
        <v>44176</v>
      </c>
      <c r="C356" s="9">
        <f>TEXT(B356,"aaa")</f>
        <v/>
      </c>
      <c r="E356" s="9">
        <f>INDEX(매칭테이블!C:C,MATCH(RD!G356,매칭테이블!D:D,0))</f>
        <v/>
      </c>
      <c r="F356" s="9" t="inlineStr">
        <is>
          <t>카페24</t>
        </is>
      </c>
      <c r="G356" s="9" t="inlineStr">
        <is>
          <t>HAIR RÉ:COVERY 15 Nutritious Balm [헤어 리커버리 15 뉴트리셔스 밤]제품선택=헤어 리커버리 15 뉴트리셔스 밤</t>
        </is>
      </c>
      <c r="H356" s="9" t="n">
        <v>2</v>
      </c>
      <c r="I356" s="9">
        <f>VLOOKUP(G356,매칭테이블!D:E,2,0)</f>
        <v/>
      </c>
      <c r="J356" s="9" t="n">
        <v>201210</v>
      </c>
      <c r="L356" s="9">
        <f>VLOOKUP($O356,매칭테이블!$G:$J,2,0)*H356</f>
        <v/>
      </c>
      <c r="M356" s="9">
        <f>L356-L356*VLOOKUP($O356,매칭테이블!$G:$J,3,0)</f>
        <v/>
      </c>
      <c r="N356" s="9">
        <f>VLOOKUP($O356,매칭테이블!$G:$J,4,0)*H356</f>
        <v/>
      </c>
      <c r="O356" s="9">
        <f>F356&amp;E356&amp;G356&amp;J356</f>
        <v/>
      </c>
    </row>
    <row r="357">
      <c r="B357" s="10" t="n">
        <v>44176</v>
      </c>
      <c r="C357" s="9">
        <f>TEXT(B357,"aaa")</f>
        <v/>
      </c>
      <c r="E357" s="9">
        <f>INDEX(매칭테이블!C:C,MATCH(RD!G357,매칭테이블!D:D,0))</f>
        <v/>
      </c>
      <c r="F357" s="9" t="inlineStr">
        <is>
          <t>카페24</t>
        </is>
      </c>
      <c r="G357" s="9" t="inlineStr">
        <is>
          <t>HAIR RÉ:COVERY 15 Nutritious Balm [헤어 리커버리 15 뉴트리셔스 밤]제품선택=뉴트리셔스 밤 3개 세트 10% 추가할인</t>
        </is>
      </c>
      <c r="H357" s="9" t="n">
        <v>2</v>
      </c>
      <c r="I357" s="9">
        <f>VLOOKUP(G357,매칭테이블!D:E,2,0)</f>
        <v/>
      </c>
      <c r="J357" s="9" t="n">
        <v>201210</v>
      </c>
      <c r="L357" s="9">
        <f>VLOOKUP($O357,매칭테이블!$G:$J,2,0)*H357</f>
        <v/>
      </c>
      <c r="M357" s="9">
        <f>L357-L357*VLOOKUP($O357,매칭테이블!$G:$J,3,0)</f>
        <v/>
      </c>
      <c r="N357" s="9">
        <f>VLOOKUP($O357,매칭테이블!$G:$J,4,0)*H357</f>
        <v/>
      </c>
      <c r="O357" s="9">
        <f>F357&amp;E357&amp;G357&amp;J357</f>
        <v/>
      </c>
    </row>
    <row r="358">
      <c r="B358" s="10" t="n">
        <v>44176</v>
      </c>
      <c r="C358" s="9">
        <f>TEXT(B358,"aaa")</f>
        <v/>
      </c>
      <c r="E358" s="9">
        <f>INDEX(매칭테이블!C:C,MATCH(RD!G358,매칭테이블!D:D,0))</f>
        <v/>
      </c>
      <c r="F358" s="9" t="inlineStr">
        <is>
          <t>카페24</t>
        </is>
      </c>
      <c r="G358" s="9" t="inlineStr">
        <is>
          <t>HAIR RÉ:COVERY 15 Nutritious Balm [헤어 리커버리 15 뉴트리셔스 밤]제품선택=뉴트리셔스밤 1개 + 헤어팩 트리트먼트 1개 세트 5%추가할인</t>
        </is>
      </c>
      <c r="H358" s="9" t="n">
        <v>1</v>
      </c>
      <c r="I358" s="9">
        <f>VLOOKUP(G358,매칭테이블!D:E,2,0)</f>
        <v/>
      </c>
      <c r="J358" s="9" t="n">
        <v>201210</v>
      </c>
      <c r="L358" s="9">
        <f>VLOOKUP($O358,매칭테이블!$G:$J,2,0)*H358</f>
        <v/>
      </c>
      <c r="M358" s="9">
        <f>L358-L358*VLOOKUP($O358,매칭테이블!$G:$J,3,0)</f>
        <v/>
      </c>
      <c r="N358" s="9">
        <f>VLOOKUP($O358,매칭테이블!$G:$J,4,0)*H358</f>
        <v/>
      </c>
      <c r="O358" s="9">
        <f>F358&amp;E358&amp;G358&amp;J358</f>
        <v/>
      </c>
    </row>
    <row r="359">
      <c r="B359" s="10" t="n">
        <v>44176</v>
      </c>
      <c r="C359" s="9">
        <f>TEXT(B359,"aaa")</f>
        <v/>
      </c>
      <c r="E359" s="9">
        <f>INDEX(매칭테이블!C:C,MATCH(RD!G359,매칭테이블!D:D,0))</f>
        <v/>
      </c>
      <c r="F359" s="9" t="inlineStr">
        <is>
          <t>카페24</t>
        </is>
      </c>
      <c r="G359" s="9" t="inlineStr">
        <is>
          <t>HAIR RÉ:COVERY 15 Revital Shampoo [라베나 리커버리 15 리바이탈 샴푸]제품선택=헤어 리커버리 15 리바이탈 샴푸 - 500ml</t>
        </is>
      </c>
      <c r="H359" s="9" t="n">
        <v>21</v>
      </c>
      <c r="I359" s="9">
        <f>VLOOKUP(G359,매칭테이블!D:E,2,0)</f>
        <v/>
      </c>
      <c r="J359" s="9" t="n">
        <v>201210</v>
      </c>
      <c r="L359" s="9">
        <f>VLOOKUP($O359,매칭테이블!$G:$J,2,0)*H359</f>
        <v/>
      </c>
      <c r="M359" s="9">
        <f>L359-L359*VLOOKUP($O359,매칭테이블!$G:$J,3,0)</f>
        <v/>
      </c>
      <c r="N359" s="9">
        <f>VLOOKUP($O359,매칭테이블!$G:$J,4,0)*H359</f>
        <v/>
      </c>
      <c r="O359" s="9">
        <f>F359&amp;E359&amp;G359&amp;J359</f>
        <v/>
      </c>
    </row>
    <row r="360">
      <c r="B360" s="10" t="n">
        <v>44176</v>
      </c>
      <c r="C360" s="9">
        <f>TEXT(B360,"aaa")</f>
        <v/>
      </c>
      <c r="E360" s="9">
        <f>INDEX(매칭테이블!C:C,MATCH(RD!G360,매칭테이블!D:D,0))</f>
        <v/>
      </c>
      <c r="F360" s="9" t="inlineStr">
        <is>
          <t>카페24</t>
        </is>
      </c>
      <c r="G360" s="9" t="inlineStr">
        <is>
          <t>HAIR RÉ:COVERY 15 Revital Shampoo [라베나 리커버리 15 리바이탈 샴푸]제품선택=리바이탈 샴푸 2개 세트 5%추가할인</t>
        </is>
      </c>
      <c r="H360" s="9" t="n">
        <v>7</v>
      </c>
      <c r="I360" s="9">
        <f>VLOOKUP(G360,매칭테이블!D:E,2,0)</f>
        <v/>
      </c>
      <c r="J360" s="9" t="n">
        <v>201210</v>
      </c>
      <c r="L360" s="9">
        <f>VLOOKUP($O360,매칭테이블!$G:$J,2,0)*H360</f>
        <v/>
      </c>
      <c r="M360" s="9">
        <f>L360-L360*VLOOKUP($O360,매칭테이블!$G:$J,3,0)</f>
        <v/>
      </c>
      <c r="N360" s="9">
        <f>VLOOKUP($O360,매칭테이블!$G:$J,4,0)*H360</f>
        <v/>
      </c>
      <c r="O360" s="9">
        <f>F360&amp;E360&amp;G360&amp;J360</f>
        <v/>
      </c>
    </row>
    <row r="361">
      <c r="B361" s="10" t="n">
        <v>44176</v>
      </c>
      <c r="C361" s="9">
        <f>TEXT(B361,"aaa")</f>
        <v/>
      </c>
      <c r="E361" s="9">
        <f>INDEX(매칭테이블!C:C,MATCH(RD!G361,매칭테이블!D:D,0))</f>
        <v/>
      </c>
      <c r="F361" s="9" t="inlineStr">
        <is>
          <t>카페24</t>
        </is>
      </c>
      <c r="G361" s="9" t="inlineStr">
        <is>
          <t>HAIR RÉ:COVERY 15 Revital Shampoo [라베나 리커버리 15 리바이탈 샴푸]제품선택=리바이탈 샴푸 3개 세트 10% 추가할인</t>
        </is>
      </c>
      <c r="H361" s="9" t="n">
        <v>12</v>
      </c>
      <c r="I361" s="9">
        <f>VLOOKUP(G361,매칭테이블!D:E,2,0)</f>
        <v/>
      </c>
      <c r="J361" s="9" t="n">
        <v>201210</v>
      </c>
      <c r="L361" s="9">
        <f>VLOOKUP($O361,매칭테이블!$G:$J,2,0)*H361</f>
        <v/>
      </c>
      <c r="M361" s="9">
        <f>L361-L361*VLOOKUP($O361,매칭테이블!$G:$J,3,0)</f>
        <v/>
      </c>
      <c r="N361" s="9">
        <f>VLOOKUP($O361,매칭테이블!$G:$J,4,0)*H361</f>
        <v/>
      </c>
      <c r="O361" s="9">
        <f>F361&amp;E361&amp;G361&amp;J361</f>
        <v/>
      </c>
    </row>
    <row r="362">
      <c r="B362" s="10" t="n">
        <v>44177</v>
      </c>
      <c r="C362" s="9">
        <f>TEXT(B362,"aaa")</f>
        <v/>
      </c>
      <c r="E362" s="9">
        <f>INDEX(매칭테이블!C:C,MATCH(RD!G362,매칭테이블!D:D,0))</f>
        <v/>
      </c>
      <c r="F362" s="9" t="inlineStr">
        <is>
          <t>카페24</t>
        </is>
      </c>
      <c r="G362" s="9" t="inlineStr">
        <is>
          <t>HAIR RÉ:COVERY 15 Hairpack Treatment [헤어 리커버리 15 헤어팩 트리트먼트]제품선택=헤어 리커버리 15 헤어팩 트리트먼트</t>
        </is>
      </c>
      <c r="H362" s="9" t="n">
        <v>7</v>
      </c>
      <c r="I362" s="9">
        <f>VLOOKUP(G362,매칭테이블!D:E,2,0)</f>
        <v/>
      </c>
      <c r="J362" s="9" t="n">
        <v>201210</v>
      </c>
      <c r="L362" s="9">
        <f>VLOOKUP($O362,매칭테이블!$G:$J,2,0)*H362</f>
        <v/>
      </c>
      <c r="M362" s="9">
        <f>L362-L362*VLOOKUP($O362,매칭테이블!$G:$J,3,0)</f>
        <v/>
      </c>
      <c r="N362" s="9">
        <f>VLOOKUP($O362,매칭테이블!$G:$J,4,0)*H362</f>
        <v/>
      </c>
      <c r="O362" s="9">
        <f>F362&amp;E362&amp;G362&amp;J362</f>
        <v/>
      </c>
    </row>
    <row r="363">
      <c r="B363" s="10" t="n">
        <v>44177</v>
      </c>
      <c r="C363" s="9">
        <f>TEXT(B363,"aaa")</f>
        <v/>
      </c>
      <c r="E363" s="9">
        <f>INDEX(매칭테이블!C:C,MATCH(RD!G363,매칭테이블!D:D,0))</f>
        <v/>
      </c>
      <c r="F363" s="9" t="inlineStr">
        <is>
          <t>카페24</t>
        </is>
      </c>
      <c r="G363" s="9" t="inlineStr">
        <is>
          <t>HAIR RÉ:COVERY 15 Hairpack Treatment [헤어 리커버리 15 헤어팩 트리트먼트]제품선택=헤어팩 트리트먼트 2개 세트 5% 추가할인</t>
        </is>
      </c>
      <c r="H363" s="9" t="n">
        <v>1</v>
      </c>
      <c r="I363" s="9">
        <f>VLOOKUP(G363,매칭테이블!D:E,2,0)</f>
        <v/>
      </c>
      <c r="J363" s="9" t="n">
        <v>201210</v>
      </c>
      <c r="L363" s="9">
        <f>VLOOKUP($O363,매칭테이블!$G:$J,2,0)*H363</f>
        <v/>
      </c>
      <c r="M363" s="9">
        <f>L363-L363*VLOOKUP($O363,매칭테이블!$G:$J,3,0)</f>
        <v/>
      </c>
      <c r="N363" s="9">
        <f>VLOOKUP($O363,매칭테이블!$G:$J,4,0)*H363</f>
        <v/>
      </c>
      <c r="O363" s="9">
        <f>F363&amp;E363&amp;G363&amp;J363</f>
        <v/>
      </c>
    </row>
    <row r="364">
      <c r="B364" s="10" t="n">
        <v>44177</v>
      </c>
      <c r="C364" s="9">
        <f>TEXT(B364,"aaa")</f>
        <v/>
      </c>
      <c r="E364" s="9">
        <f>INDEX(매칭테이블!C:C,MATCH(RD!G364,매칭테이블!D:D,0))</f>
        <v/>
      </c>
      <c r="F364" s="9" t="inlineStr">
        <is>
          <t>카페24</t>
        </is>
      </c>
      <c r="G364" s="9" t="inlineStr">
        <is>
          <t>HAIR RÉ:COVERY 15 Hairpack Treatment [헤어 리커버리 15 헤어팩 트리트먼트]제품선택=헤어팩 트리트먼트 3개 세트 10% 추가할인</t>
        </is>
      </c>
      <c r="H364" s="9" t="n">
        <v>1</v>
      </c>
      <c r="I364" s="9">
        <f>VLOOKUP(G364,매칭테이블!D:E,2,0)</f>
        <v/>
      </c>
      <c r="J364" s="9" t="n">
        <v>201210</v>
      </c>
      <c r="L364" s="9">
        <f>VLOOKUP($O364,매칭테이블!$G:$J,2,0)*H364</f>
        <v/>
      </c>
      <c r="M364" s="9">
        <f>L364-L364*VLOOKUP($O364,매칭테이블!$G:$J,3,0)</f>
        <v/>
      </c>
      <c r="N364" s="9">
        <f>VLOOKUP($O364,매칭테이블!$G:$J,4,0)*H364</f>
        <v/>
      </c>
      <c r="O364" s="9">
        <f>F364&amp;E364&amp;G364&amp;J364</f>
        <v/>
      </c>
    </row>
    <row r="365">
      <c r="B365" s="10" t="n">
        <v>44177</v>
      </c>
      <c r="C365" s="9">
        <f>TEXT(B365,"aaa")</f>
        <v/>
      </c>
      <c r="E365" s="9">
        <f>INDEX(매칭테이블!C:C,MATCH(RD!G365,매칭테이블!D:D,0))</f>
        <v/>
      </c>
      <c r="F365" s="9" t="inlineStr">
        <is>
          <t>카페24</t>
        </is>
      </c>
      <c r="G365" s="9" t="inlineStr">
        <is>
          <t>HAIR RÉ:COVERY 15 Hairpack Treatment [헤어 리커버리 15 헤어팩 트리트먼트]제품선택=헤어팩 트리트먼트 1개 + 뉴트리셔스밤 1개 세트 5% 추가할인</t>
        </is>
      </c>
      <c r="H365" s="9" t="n">
        <v>2</v>
      </c>
      <c r="I365" s="9">
        <f>VLOOKUP(G365,매칭테이블!D:E,2,0)</f>
        <v/>
      </c>
      <c r="J365" s="9" t="n">
        <v>201210</v>
      </c>
      <c r="L365" s="9">
        <f>VLOOKUP($O365,매칭테이블!$G:$J,2,0)*H365</f>
        <v/>
      </c>
      <c r="M365" s="9">
        <f>L365-L365*VLOOKUP($O365,매칭테이블!$G:$J,3,0)</f>
        <v/>
      </c>
      <c r="N365" s="9">
        <f>VLOOKUP($O365,매칭테이블!$G:$J,4,0)*H365</f>
        <v/>
      </c>
      <c r="O365" s="9">
        <f>F365&amp;E365&amp;G365&amp;J365</f>
        <v/>
      </c>
    </row>
    <row r="366">
      <c r="B366" s="10" t="n">
        <v>44177</v>
      </c>
      <c r="C366" s="9">
        <f>TEXT(B366,"aaa")</f>
        <v/>
      </c>
      <c r="E366" s="9">
        <f>INDEX(매칭테이블!C:C,MATCH(RD!G366,매칭테이블!D:D,0))</f>
        <v/>
      </c>
      <c r="F366" s="9" t="inlineStr">
        <is>
          <t>카페24</t>
        </is>
      </c>
      <c r="G366" s="9" t="inlineStr">
        <is>
          <t>HAIR RÉ:COVERY 15 Nutritious Balm [헤어 리커버리 15 뉴트리셔스 밤]제품선택=헤어 리커버리 15 뉴트리셔스 밤</t>
        </is>
      </c>
      <c r="H366" s="9" t="n">
        <v>4</v>
      </c>
      <c r="I366" s="9">
        <f>VLOOKUP(G366,매칭테이블!D:E,2,0)</f>
        <v/>
      </c>
      <c r="J366" s="9" t="n">
        <v>201210</v>
      </c>
      <c r="L366" s="9">
        <f>VLOOKUP($O366,매칭테이블!$G:$J,2,0)*H366</f>
        <v/>
      </c>
      <c r="M366" s="9">
        <f>L366-L366*VLOOKUP($O366,매칭테이블!$G:$J,3,0)</f>
        <v/>
      </c>
      <c r="N366" s="9">
        <f>VLOOKUP($O366,매칭테이블!$G:$J,4,0)*H366</f>
        <v/>
      </c>
      <c r="O366" s="9">
        <f>F366&amp;E366&amp;G366&amp;J366</f>
        <v/>
      </c>
    </row>
    <row r="367">
      <c r="B367" s="10" t="n">
        <v>44177</v>
      </c>
      <c r="C367" s="9">
        <f>TEXT(B367,"aaa")</f>
        <v/>
      </c>
      <c r="E367" s="9">
        <f>INDEX(매칭테이블!C:C,MATCH(RD!G367,매칭테이블!D:D,0))</f>
        <v/>
      </c>
      <c r="F367" s="9" t="inlineStr">
        <is>
          <t>카페24</t>
        </is>
      </c>
      <c r="G367" s="9" t="inlineStr">
        <is>
          <t>HAIR RÉ:COVERY 15 Nutritious Balm [헤어 리커버리 15 뉴트리셔스 밤]제품선택=뉴트리셔스밤 1개 + 헤어팩 트리트먼트 1개 세트 5%추가할인</t>
        </is>
      </c>
      <c r="H367" s="9" t="n">
        <v>1</v>
      </c>
      <c r="I367" s="9">
        <f>VLOOKUP(G367,매칭테이블!D:E,2,0)</f>
        <v/>
      </c>
      <c r="J367" s="9" t="n">
        <v>201210</v>
      </c>
      <c r="L367" s="9">
        <f>VLOOKUP($O367,매칭테이블!$G:$J,2,0)*H367</f>
        <v/>
      </c>
      <c r="M367" s="9">
        <f>L367-L367*VLOOKUP($O367,매칭테이블!$G:$J,3,0)</f>
        <v/>
      </c>
      <c r="N367" s="9">
        <f>VLOOKUP($O367,매칭테이블!$G:$J,4,0)*H367</f>
        <v/>
      </c>
      <c r="O367" s="9">
        <f>F367&amp;E367&amp;G367&amp;J367</f>
        <v/>
      </c>
    </row>
    <row r="368">
      <c r="B368" s="10" t="n">
        <v>44177</v>
      </c>
      <c r="C368" s="9">
        <f>TEXT(B368,"aaa")</f>
        <v/>
      </c>
      <c r="E368" s="9">
        <f>INDEX(매칭테이블!C:C,MATCH(RD!G368,매칭테이블!D:D,0))</f>
        <v/>
      </c>
      <c r="F368" s="9" t="inlineStr">
        <is>
          <t>카페24</t>
        </is>
      </c>
      <c r="G368" s="9" t="inlineStr">
        <is>
          <t>HAIR RÉ:COVERY 15 Revital Shampoo [라베나 리커버리 15 리바이탈 샴푸]제품선택=헤어 리커버리 15 리바이탈 샴푸 - 500ml</t>
        </is>
      </c>
      <c r="H368" s="9" t="n">
        <v>15</v>
      </c>
      <c r="I368" s="9">
        <f>VLOOKUP(G368,매칭테이블!D:E,2,0)</f>
        <v/>
      </c>
      <c r="J368" s="9" t="n">
        <v>201210</v>
      </c>
      <c r="L368" s="9">
        <f>VLOOKUP($O368,매칭테이블!$G:$J,2,0)*H368</f>
        <v/>
      </c>
      <c r="M368" s="9">
        <f>L368-L368*VLOOKUP($O368,매칭테이블!$G:$J,3,0)</f>
        <v/>
      </c>
      <c r="N368" s="9">
        <f>VLOOKUP($O368,매칭테이블!$G:$J,4,0)*H368</f>
        <v/>
      </c>
      <c r="O368" s="9">
        <f>F368&amp;E368&amp;G368&amp;J368</f>
        <v/>
      </c>
    </row>
    <row r="369">
      <c r="B369" s="10" t="n">
        <v>44177</v>
      </c>
      <c r="C369" s="9">
        <f>TEXT(B369,"aaa")</f>
        <v/>
      </c>
      <c r="E369" s="9">
        <f>INDEX(매칭테이블!C:C,MATCH(RD!G369,매칭테이블!D:D,0))</f>
        <v/>
      </c>
      <c r="F369" s="9" t="inlineStr">
        <is>
          <t>카페24</t>
        </is>
      </c>
      <c r="G369" s="9" t="inlineStr">
        <is>
          <t>HAIR RÉ:COVERY 15 Revital Shampoo [라베나 리커버리 15 리바이탈 샴푸]제품선택=리바이탈 샴푸 2개 세트 5%추가할인</t>
        </is>
      </c>
      <c r="H369" s="9" t="n">
        <v>10</v>
      </c>
      <c r="I369" s="9">
        <f>VLOOKUP(G369,매칭테이블!D:E,2,0)</f>
        <v/>
      </c>
      <c r="J369" s="9" t="n">
        <v>201210</v>
      </c>
      <c r="L369" s="9">
        <f>VLOOKUP($O369,매칭테이블!$G:$J,2,0)*H369</f>
        <v/>
      </c>
      <c r="M369" s="9">
        <f>L369-L369*VLOOKUP($O369,매칭테이블!$G:$J,3,0)</f>
        <v/>
      </c>
      <c r="N369" s="9">
        <f>VLOOKUP($O369,매칭테이블!$G:$J,4,0)*H369</f>
        <v/>
      </c>
      <c r="O369" s="9">
        <f>F369&amp;E369&amp;G369&amp;J369</f>
        <v/>
      </c>
    </row>
    <row r="370">
      <c r="B370" s="10" t="n">
        <v>44177</v>
      </c>
      <c r="C370" s="9">
        <f>TEXT(B370,"aaa")</f>
        <v/>
      </c>
      <c r="E370" s="9">
        <f>INDEX(매칭테이블!C:C,MATCH(RD!G370,매칭테이블!D:D,0))</f>
        <v/>
      </c>
      <c r="F370" s="9" t="inlineStr">
        <is>
          <t>카페24</t>
        </is>
      </c>
      <c r="G370" s="9" t="inlineStr">
        <is>
          <t>HAIR RÉ:COVERY 15 Revital Shampoo [라베나 리커버리 15 리바이탈 샴푸]제품선택=리바이탈 샴푸 3개 세트 10% 추가할인</t>
        </is>
      </c>
      <c r="H370" s="9" t="n">
        <v>2</v>
      </c>
      <c r="I370" s="9">
        <f>VLOOKUP(G370,매칭테이블!D:E,2,0)</f>
        <v/>
      </c>
      <c r="J370" s="9" t="n">
        <v>201210</v>
      </c>
      <c r="L370" s="9">
        <f>VLOOKUP($O370,매칭테이블!$G:$J,2,0)*H370</f>
        <v/>
      </c>
      <c r="M370" s="9">
        <f>L370-L370*VLOOKUP($O370,매칭테이블!$G:$J,3,0)</f>
        <v/>
      </c>
      <c r="N370" s="9">
        <f>VLOOKUP($O370,매칭테이블!$G:$J,4,0)*H370</f>
        <v/>
      </c>
      <c r="O370" s="9">
        <f>F370&amp;E370&amp;G370&amp;J370</f>
        <v/>
      </c>
    </row>
    <row r="371">
      <c r="B371" s="10" t="n">
        <v>44178</v>
      </c>
      <c r="C371" s="9">
        <f>TEXT(B371,"aaa")</f>
        <v/>
      </c>
      <c r="E371" s="9">
        <f>INDEX(매칭테이블!C:C,MATCH(RD!G371,매칭테이블!D:D,0))</f>
        <v/>
      </c>
      <c r="F371" s="9" t="inlineStr">
        <is>
          <t>카페24</t>
        </is>
      </c>
      <c r="G371" s="9" t="inlineStr">
        <is>
          <t>HAIR RÉ:COVERY 15 Hairpack Treatment [헤어 리커버리 15 헤어팩 트리트먼트]제품선택=헤어 리커버리 15 헤어팩 트리트먼트</t>
        </is>
      </c>
      <c r="H371" s="9" t="n">
        <v>3</v>
      </c>
      <c r="I371" s="9">
        <f>VLOOKUP(G371,매칭테이블!D:E,2,0)</f>
        <v/>
      </c>
      <c r="J371" s="9" t="n">
        <v>201210</v>
      </c>
      <c r="L371" s="9">
        <f>VLOOKUP($O371,매칭테이블!$G:$J,2,0)*H371</f>
        <v/>
      </c>
      <c r="M371" s="9">
        <f>L371-L371*VLOOKUP($O371,매칭테이블!$G:$J,3,0)</f>
        <v/>
      </c>
      <c r="N371" s="9">
        <f>VLOOKUP($O371,매칭테이블!$G:$J,4,0)*H371</f>
        <v/>
      </c>
      <c r="O371" s="9">
        <f>F371&amp;E371&amp;G371&amp;J371</f>
        <v/>
      </c>
    </row>
    <row r="372">
      <c r="B372" s="10" t="n">
        <v>44178</v>
      </c>
      <c r="C372" s="9">
        <f>TEXT(B372,"aaa")</f>
        <v/>
      </c>
      <c r="E372" s="9">
        <f>INDEX(매칭테이블!C:C,MATCH(RD!G372,매칭테이블!D:D,0))</f>
        <v/>
      </c>
      <c r="F372" s="9" t="inlineStr">
        <is>
          <t>카페24</t>
        </is>
      </c>
      <c r="G372" s="9" t="inlineStr">
        <is>
          <t>HAIR RÉ:COVERY 15 Hairpack Treatment [헤어 리커버리 15 헤어팩 트리트먼트]제품선택=헤어팩 트리트먼트 3개 세트 10% 추가할인</t>
        </is>
      </c>
      <c r="H372" s="9" t="n">
        <v>1</v>
      </c>
      <c r="I372" s="9">
        <f>VLOOKUP(G372,매칭테이블!D:E,2,0)</f>
        <v/>
      </c>
      <c r="J372" s="9" t="n">
        <v>201210</v>
      </c>
      <c r="L372" s="9">
        <f>VLOOKUP($O372,매칭테이블!$G:$J,2,0)*H372</f>
        <v/>
      </c>
      <c r="M372" s="9">
        <f>L372-L372*VLOOKUP($O372,매칭테이블!$G:$J,3,0)</f>
        <v/>
      </c>
      <c r="N372" s="9">
        <f>VLOOKUP($O372,매칭테이블!$G:$J,4,0)*H372</f>
        <v/>
      </c>
      <c r="O372" s="9">
        <f>F372&amp;E372&amp;G372&amp;J372</f>
        <v/>
      </c>
    </row>
    <row r="373">
      <c r="B373" s="10" t="n">
        <v>44178</v>
      </c>
      <c r="C373" s="9">
        <f>TEXT(B373,"aaa")</f>
        <v/>
      </c>
      <c r="E373" s="9">
        <f>INDEX(매칭테이블!C:C,MATCH(RD!G373,매칭테이블!D:D,0))</f>
        <v/>
      </c>
      <c r="F373" s="9" t="inlineStr">
        <is>
          <t>카페24</t>
        </is>
      </c>
      <c r="G373" s="9" t="inlineStr">
        <is>
          <t>HAIR RÉ:COVERY 15 Nutritious Balm [헤어 리커버리 15 뉴트리셔스 밤]제품선택=헤어 리커버리 15 뉴트리셔스 밤</t>
        </is>
      </c>
      <c r="H373" s="9" t="n">
        <v>4</v>
      </c>
      <c r="I373" s="9">
        <f>VLOOKUP(G373,매칭테이블!D:E,2,0)</f>
        <v/>
      </c>
      <c r="J373" s="9" t="n">
        <v>201210</v>
      </c>
      <c r="L373" s="9">
        <f>VLOOKUP($O373,매칭테이블!$G:$J,2,0)*H373</f>
        <v/>
      </c>
      <c r="M373" s="9">
        <f>L373-L373*VLOOKUP($O373,매칭테이블!$G:$J,3,0)</f>
        <v/>
      </c>
      <c r="N373" s="9">
        <f>VLOOKUP($O373,매칭테이블!$G:$J,4,0)*H373</f>
        <v/>
      </c>
      <c r="O373" s="9">
        <f>F373&amp;E373&amp;G373&amp;J373</f>
        <v/>
      </c>
    </row>
    <row r="374">
      <c r="B374" s="10" t="n">
        <v>44178</v>
      </c>
      <c r="C374" s="9">
        <f>TEXT(B374,"aaa")</f>
        <v/>
      </c>
      <c r="E374" s="9">
        <f>INDEX(매칭테이블!C:C,MATCH(RD!G374,매칭테이블!D:D,0))</f>
        <v/>
      </c>
      <c r="F374" s="9" t="inlineStr">
        <is>
          <t>카페24</t>
        </is>
      </c>
      <c r="G374" s="9" t="inlineStr">
        <is>
          <t>HAIR RÉ:COVERY 15 Nutritious Balm [헤어 리커버리 15 뉴트리셔스 밤]제품선택=뉴트리셔스밤 1개 + 헤어팩 트리트먼트 1개 세트 5%추가할인</t>
        </is>
      </c>
      <c r="H374" s="9" t="n">
        <v>1</v>
      </c>
      <c r="I374" s="9">
        <f>VLOOKUP(G374,매칭테이블!D:E,2,0)</f>
        <v/>
      </c>
      <c r="J374" s="9" t="n">
        <v>201210</v>
      </c>
      <c r="L374" s="9">
        <f>VLOOKUP($O374,매칭테이블!$G:$J,2,0)*H374</f>
        <v/>
      </c>
      <c r="M374" s="9">
        <f>L374-L374*VLOOKUP($O374,매칭테이블!$G:$J,3,0)</f>
        <v/>
      </c>
      <c r="N374" s="9">
        <f>VLOOKUP($O374,매칭테이블!$G:$J,4,0)*H374</f>
        <v/>
      </c>
      <c r="O374" s="9">
        <f>F374&amp;E374&amp;G374&amp;J374</f>
        <v/>
      </c>
    </row>
    <row r="375">
      <c r="B375" s="10" t="n">
        <v>44178</v>
      </c>
      <c r="C375" s="9">
        <f>TEXT(B375,"aaa")</f>
        <v/>
      </c>
      <c r="E375" s="9">
        <f>INDEX(매칭테이블!C:C,MATCH(RD!G375,매칭테이블!D:D,0))</f>
        <v/>
      </c>
      <c r="F375" s="9" t="inlineStr">
        <is>
          <t>카페24</t>
        </is>
      </c>
      <c r="G375" s="9" t="inlineStr">
        <is>
          <t>HAIR RÉ:COVERY 15 Revital Shampoo [라베나 리커버리 15 리바이탈 샴푸]제품선택=헤어 리커버리 15 리바이탈 샴푸 - 500ml</t>
        </is>
      </c>
      <c r="H375" s="9" t="n">
        <v>20</v>
      </c>
      <c r="I375" s="9">
        <f>VLOOKUP(G375,매칭테이블!D:E,2,0)</f>
        <v/>
      </c>
      <c r="J375" s="9" t="n">
        <v>201210</v>
      </c>
      <c r="L375" s="9">
        <f>VLOOKUP($O375,매칭테이블!$G:$J,2,0)*H375</f>
        <v/>
      </c>
      <c r="M375" s="9">
        <f>L375-L375*VLOOKUP($O375,매칭테이블!$G:$J,3,0)</f>
        <v/>
      </c>
      <c r="N375" s="9">
        <f>VLOOKUP($O375,매칭테이블!$G:$J,4,0)*H375</f>
        <v/>
      </c>
      <c r="O375" s="9">
        <f>F375&amp;E375&amp;G375&amp;J375</f>
        <v/>
      </c>
    </row>
    <row r="376">
      <c r="B376" s="10" t="n">
        <v>44178</v>
      </c>
      <c r="C376" s="9">
        <f>TEXT(B376,"aaa")</f>
        <v/>
      </c>
      <c r="E376" s="9">
        <f>INDEX(매칭테이블!C:C,MATCH(RD!G376,매칭테이블!D:D,0))</f>
        <v/>
      </c>
      <c r="F376" s="9" t="inlineStr">
        <is>
          <t>카페24</t>
        </is>
      </c>
      <c r="G376" s="9" t="inlineStr">
        <is>
          <t>HAIR RÉ:COVERY 15 Revital Shampoo [라베나 리커버리 15 리바이탈 샴푸]제품선택=리바이탈 샴푸 2개 세트 5%추가할인</t>
        </is>
      </c>
      <c r="H376" s="9" t="n">
        <v>3</v>
      </c>
      <c r="I376" s="9">
        <f>VLOOKUP(G376,매칭테이블!D:E,2,0)</f>
        <v/>
      </c>
      <c r="J376" s="9" t="n">
        <v>201210</v>
      </c>
      <c r="L376" s="9">
        <f>VLOOKUP($O376,매칭테이블!$G:$J,2,0)*H376</f>
        <v/>
      </c>
      <c r="M376" s="9">
        <f>L376-L376*VLOOKUP($O376,매칭테이블!$G:$J,3,0)</f>
        <v/>
      </c>
      <c r="N376" s="9">
        <f>VLOOKUP($O376,매칭테이블!$G:$J,4,0)*H376</f>
        <v/>
      </c>
      <c r="O376" s="9">
        <f>F376&amp;E376&amp;G376&amp;J376</f>
        <v/>
      </c>
    </row>
    <row r="377">
      <c r="B377" s="10" t="n">
        <v>44178</v>
      </c>
      <c r="C377" s="9">
        <f>TEXT(B377,"aaa")</f>
        <v/>
      </c>
      <c r="E377" s="9">
        <f>INDEX(매칭테이블!C:C,MATCH(RD!G377,매칭테이블!D:D,0))</f>
        <v/>
      </c>
      <c r="F377" s="9" t="inlineStr">
        <is>
          <t>카페24</t>
        </is>
      </c>
      <c r="G377" s="9" t="inlineStr">
        <is>
          <t>HAIR RÉ:COVERY 15 Revital Shampoo [라베나 리커버리 15 리바이탈 샴푸]제품선택=리바이탈 샴푸 3개 세트 10% 추가할인</t>
        </is>
      </c>
      <c r="H377" s="9" t="n">
        <v>2</v>
      </c>
      <c r="I377" s="9">
        <f>VLOOKUP(G377,매칭테이블!D:E,2,0)</f>
        <v/>
      </c>
      <c r="J377" s="9" t="n">
        <v>201210</v>
      </c>
      <c r="L377" s="9">
        <f>VLOOKUP($O377,매칭테이블!$G:$J,2,0)*H377</f>
        <v/>
      </c>
      <c r="M377" s="9">
        <f>L377-L377*VLOOKUP($O377,매칭테이블!$G:$J,3,0)</f>
        <v/>
      </c>
      <c r="N377" s="9">
        <f>VLOOKUP($O377,매칭테이블!$G:$J,4,0)*H377</f>
        <v/>
      </c>
      <c r="O377" s="9">
        <f>F377&amp;E377&amp;G377&amp;J377</f>
        <v/>
      </c>
    </row>
    <row r="378">
      <c r="B378" s="10" t="n">
        <v>44179</v>
      </c>
      <c r="C378" s="9">
        <f>TEXT(B378,"aaa")</f>
        <v/>
      </c>
      <c r="E378" s="9">
        <f>INDEX(매칭테이블!C:C,MATCH(RD!G378,매칭테이블!D:D,0))</f>
        <v/>
      </c>
      <c r="F378" s="9" t="inlineStr">
        <is>
          <t>라베나 CS</t>
        </is>
      </c>
      <c r="G378" s="9" t="inlineStr">
        <is>
          <t>헤어 리커버리 15 뉴트리셔스 밤</t>
        </is>
      </c>
      <c r="H378" s="9" t="n">
        <v>5</v>
      </c>
      <c r="I378" s="9">
        <f>VLOOKUP(G378,매칭테이블!D:E,2,0)</f>
        <v/>
      </c>
      <c r="J378" s="9" t="n">
        <v>201210</v>
      </c>
      <c r="L378" s="9">
        <f>VLOOKUP($O378,매칭테이블!$G:$J,2,0)*H378</f>
        <v/>
      </c>
      <c r="M378" s="9">
        <f>L378-L378*VLOOKUP($O378,매칭테이블!$G:$J,3,0)</f>
        <v/>
      </c>
      <c r="N378" s="9">
        <f>VLOOKUP($O378,매칭테이블!$G:$J,4,0)*H378</f>
        <v/>
      </c>
      <c r="O378" s="9">
        <f>F378&amp;E378&amp;G378&amp;J378</f>
        <v/>
      </c>
    </row>
    <row r="379">
      <c r="B379" s="10" t="n">
        <v>44179</v>
      </c>
      <c r="C379" s="9">
        <f>TEXT(B379,"aaa")</f>
        <v/>
      </c>
      <c r="E379" s="9">
        <f>INDEX(매칭테이블!C:C,MATCH(RD!G379,매칭테이블!D:D,0))</f>
        <v/>
      </c>
      <c r="F379" s="9" t="inlineStr">
        <is>
          <t>카페24</t>
        </is>
      </c>
      <c r="G379" s="9" t="inlineStr">
        <is>
          <t>HAIR RÉ:COVERY 15 Hairpack Treatment [라베나 리커버리 15 헤어팩 트리트먼트]제품선택=헤어 리커버리 15 헤어팩 트리트먼트</t>
        </is>
      </c>
      <c r="H379" s="9" t="n">
        <v>2</v>
      </c>
      <c r="I379" s="9">
        <f>VLOOKUP(G379,매칭테이블!D:E,2,0)</f>
        <v/>
      </c>
      <c r="J379" s="9" t="n">
        <v>201210</v>
      </c>
      <c r="L379" s="9">
        <f>VLOOKUP($O379,매칭테이블!$G:$J,2,0)*H379</f>
        <v/>
      </c>
      <c r="M379" s="9">
        <f>L379-L379*VLOOKUP($O379,매칭테이블!$G:$J,3,0)</f>
        <v/>
      </c>
      <c r="N379" s="9">
        <f>VLOOKUP($O379,매칭테이블!$G:$J,4,0)*H379</f>
        <v/>
      </c>
      <c r="O379" s="9">
        <f>F379&amp;E379&amp;G379&amp;J379</f>
        <v/>
      </c>
    </row>
    <row r="380">
      <c r="B380" s="10" t="n">
        <v>44179</v>
      </c>
      <c r="C380" s="9">
        <f>TEXT(B380,"aaa")</f>
        <v/>
      </c>
      <c r="E380" s="9">
        <f>INDEX(매칭테이블!C:C,MATCH(RD!G380,매칭테이블!D:D,0))</f>
        <v/>
      </c>
      <c r="F380" s="9" t="inlineStr">
        <is>
          <t>카페24</t>
        </is>
      </c>
      <c r="G380" s="9" t="inlineStr">
        <is>
          <t>HAIR RÉ:COVERY 15 Hairpack Treatment [라베나 리커버리 15 헤어팩 트리트먼트]제품선택=헤어팩 트리트먼트 2개 세트 5% 추가할인</t>
        </is>
      </c>
      <c r="H380" s="9" t="n">
        <v>1</v>
      </c>
      <c r="I380" s="9">
        <f>VLOOKUP(G380,매칭테이블!D:E,2,0)</f>
        <v/>
      </c>
      <c r="J380" s="9" t="n">
        <v>201210</v>
      </c>
      <c r="L380" s="9">
        <f>VLOOKUP($O380,매칭테이블!$G:$J,2,0)*H380</f>
        <v/>
      </c>
      <c r="M380" s="9">
        <f>L380-L380*VLOOKUP($O380,매칭테이블!$G:$J,3,0)</f>
        <v/>
      </c>
      <c r="N380" s="9">
        <f>VLOOKUP($O380,매칭테이블!$G:$J,4,0)*H380</f>
        <v/>
      </c>
      <c r="O380" s="9">
        <f>F380&amp;E380&amp;G380&amp;J380</f>
        <v/>
      </c>
    </row>
    <row r="381">
      <c r="B381" s="10" t="n">
        <v>44179</v>
      </c>
      <c r="C381" s="9">
        <f>TEXT(B381,"aaa")</f>
        <v/>
      </c>
      <c r="E381" s="9">
        <f>INDEX(매칭테이블!C:C,MATCH(RD!G381,매칭테이블!D:D,0))</f>
        <v/>
      </c>
      <c r="F381" s="9" t="inlineStr">
        <is>
          <t>카페24</t>
        </is>
      </c>
      <c r="G381" s="9" t="inlineStr">
        <is>
          <t>HAIR RÉ:COVERY 15 Hairpack Treatment [라베나 리커버리 15 헤어팩 트리트먼트]제품선택=헤어팩 트리트먼트 1개 + 뉴트리셔스밤 1개 세트 5% 추가할인</t>
        </is>
      </c>
      <c r="H381" s="9" t="n">
        <v>1</v>
      </c>
      <c r="I381" s="9">
        <f>VLOOKUP(G381,매칭테이블!D:E,2,0)</f>
        <v/>
      </c>
      <c r="J381" s="9" t="n">
        <v>201210</v>
      </c>
      <c r="L381" s="9">
        <f>VLOOKUP($O381,매칭테이블!$G:$J,2,0)*H381</f>
        <v/>
      </c>
      <c r="M381" s="9">
        <f>L381-L381*VLOOKUP($O381,매칭테이블!$G:$J,3,0)</f>
        <v/>
      </c>
      <c r="N381" s="9">
        <f>VLOOKUP($O381,매칭테이블!$G:$J,4,0)*H381</f>
        <v/>
      </c>
      <c r="O381" s="9">
        <f>F381&amp;E381&amp;G381&amp;J381</f>
        <v/>
      </c>
    </row>
    <row r="382">
      <c r="B382" s="10" t="n">
        <v>44179</v>
      </c>
      <c r="C382" s="9">
        <f>TEXT(B382,"aaa")</f>
        <v/>
      </c>
      <c r="E382" s="9">
        <f>INDEX(매칭테이블!C:C,MATCH(RD!G382,매칭테이블!D:D,0))</f>
        <v/>
      </c>
      <c r="F382" s="9" t="inlineStr">
        <is>
          <t>카페24</t>
        </is>
      </c>
      <c r="G382" s="9" t="inlineStr">
        <is>
          <t>HAIR RÉ:COVERY 15 Nutritious Balm [라베나 리커버리 15 뉴트리셔스 밤]제품선택=헤어 리커버리 15 뉴트리셔스 밤</t>
        </is>
      </c>
      <c r="H382" s="9" t="n">
        <v>2</v>
      </c>
      <c r="I382" s="9">
        <f>VLOOKUP(G382,매칭테이블!D:E,2,0)</f>
        <v/>
      </c>
      <c r="J382" s="9" t="n">
        <v>201210</v>
      </c>
      <c r="L382" s="9">
        <f>VLOOKUP($O382,매칭테이블!$G:$J,2,0)*H382</f>
        <v/>
      </c>
      <c r="M382" s="9">
        <f>L382-L382*VLOOKUP($O382,매칭테이블!$G:$J,3,0)</f>
        <v/>
      </c>
      <c r="N382" s="9">
        <f>VLOOKUP($O382,매칭테이블!$G:$J,4,0)*H382</f>
        <v/>
      </c>
      <c r="O382" s="9">
        <f>F382&amp;E382&amp;G382&amp;J382</f>
        <v/>
      </c>
    </row>
    <row r="383">
      <c r="B383" s="10" t="n">
        <v>44179</v>
      </c>
      <c r="C383" s="9">
        <f>TEXT(B383,"aaa")</f>
        <v/>
      </c>
      <c r="E383" s="9">
        <f>INDEX(매칭테이블!C:C,MATCH(RD!G383,매칭테이블!D:D,0))</f>
        <v/>
      </c>
      <c r="F383" s="9" t="inlineStr">
        <is>
          <t>카페24</t>
        </is>
      </c>
      <c r="G383" s="9" t="inlineStr">
        <is>
          <t>HAIR RÉ:COVERY 15 Hairpack Treatment [헤어 리커버리 15 헤어팩 트리트먼트]제품선택=헤어 리커버리 15 헤어팩 트리트먼트</t>
        </is>
      </c>
      <c r="H383" s="9" t="n">
        <v>1</v>
      </c>
      <c r="I383" s="9">
        <f>VLOOKUP(G383,매칭테이블!D:E,2,0)</f>
        <v/>
      </c>
      <c r="J383" s="9" t="n">
        <v>201210</v>
      </c>
      <c r="L383" s="9">
        <f>VLOOKUP($O383,매칭테이블!$G:$J,2,0)*H383</f>
        <v/>
      </c>
      <c r="M383" s="9">
        <f>L383-L383*VLOOKUP($O383,매칭테이블!$G:$J,3,0)</f>
        <v/>
      </c>
      <c r="N383" s="9">
        <f>VLOOKUP($O383,매칭테이블!$G:$J,4,0)*H383</f>
        <v/>
      </c>
      <c r="O383" s="9">
        <f>F383&amp;E383&amp;G383&amp;J383</f>
        <v/>
      </c>
    </row>
    <row r="384">
      <c r="B384" s="10" t="n">
        <v>44179</v>
      </c>
      <c r="C384" s="9">
        <f>TEXT(B384,"aaa")</f>
        <v/>
      </c>
      <c r="E384" s="9">
        <f>INDEX(매칭테이블!C:C,MATCH(RD!G384,매칭테이블!D:D,0))</f>
        <v/>
      </c>
      <c r="F384" s="9" t="inlineStr">
        <is>
          <t>카페24</t>
        </is>
      </c>
      <c r="G384" s="9" t="inlineStr">
        <is>
          <t>HAIR RÉ:COVERY 15 Hairpack Treatment [헤어 리커버리 15 헤어팩 트리트먼트]제품선택=헤어팩 트리트먼트 2개 세트 5% 추가할인</t>
        </is>
      </c>
      <c r="H384" s="9" t="n">
        <v>3</v>
      </c>
      <c r="I384" s="9">
        <f>VLOOKUP(G384,매칭테이블!D:E,2,0)</f>
        <v/>
      </c>
      <c r="J384" s="9" t="n">
        <v>201210</v>
      </c>
      <c r="L384" s="9">
        <f>VLOOKUP($O384,매칭테이블!$G:$J,2,0)*H384</f>
        <v/>
      </c>
      <c r="M384" s="9">
        <f>L384-L384*VLOOKUP($O384,매칭테이블!$G:$J,3,0)</f>
        <v/>
      </c>
      <c r="N384" s="9">
        <f>VLOOKUP($O384,매칭테이블!$G:$J,4,0)*H384</f>
        <v/>
      </c>
      <c r="O384" s="9">
        <f>F384&amp;E384&amp;G384&amp;J384</f>
        <v/>
      </c>
    </row>
    <row r="385">
      <c r="B385" s="10" t="n">
        <v>44179</v>
      </c>
      <c r="C385" s="9">
        <f>TEXT(B385,"aaa")</f>
        <v/>
      </c>
      <c r="E385" s="9">
        <f>INDEX(매칭테이블!C:C,MATCH(RD!G385,매칭테이블!D:D,0))</f>
        <v/>
      </c>
      <c r="F385" s="9" t="inlineStr">
        <is>
          <t>카페24</t>
        </is>
      </c>
      <c r="G385" s="9" t="inlineStr">
        <is>
          <t>HAIR RÉ:COVERY 15 Hairpack Treatment [헤어 리커버리 15 헤어팩 트리트먼트]제품선택=헤어팩 트리트먼트 1개 + 뉴트리셔스밤 1개 세트 5% 추가할인</t>
        </is>
      </c>
      <c r="H385" s="9" t="n">
        <v>1</v>
      </c>
      <c r="I385" s="9">
        <f>VLOOKUP(G385,매칭테이블!D:E,2,0)</f>
        <v/>
      </c>
      <c r="J385" s="9" t="n">
        <v>201210</v>
      </c>
      <c r="L385" s="9">
        <f>VLOOKUP($O385,매칭테이블!$G:$J,2,0)*H385</f>
        <v/>
      </c>
      <c r="M385" s="9">
        <f>L385-L385*VLOOKUP($O385,매칭테이블!$G:$J,3,0)</f>
        <v/>
      </c>
      <c r="N385" s="9">
        <f>VLOOKUP($O385,매칭테이블!$G:$J,4,0)*H385</f>
        <v/>
      </c>
      <c r="O385" s="9">
        <f>F385&amp;E385&amp;G385&amp;J385</f>
        <v/>
      </c>
    </row>
    <row r="386">
      <c r="B386" s="10" t="n">
        <v>44179</v>
      </c>
      <c r="C386" s="9">
        <f>TEXT(B386,"aaa")</f>
        <v/>
      </c>
      <c r="E386" s="9">
        <f>INDEX(매칭테이블!C:C,MATCH(RD!G386,매칭테이블!D:D,0))</f>
        <v/>
      </c>
      <c r="F386" s="9" t="inlineStr">
        <is>
          <t>카페24</t>
        </is>
      </c>
      <c r="G386" s="9" t="inlineStr">
        <is>
          <t>HAIR RÉ:COVERY 15 Nutritious Balm [헤어 리커버리 15 뉴트리셔스 밤]제품선택=헤어 리커버리 15 뉴트리셔스 밤</t>
        </is>
      </c>
      <c r="H386" s="9" t="n">
        <v>3</v>
      </c>
      <c r="I386" s="9">
        <f>VLOOKUP(G386,매칭테이블!D:E,2,0)</f>
        <v/>
      </c>
      <c r="J386" s="9" t="n">
        <v>201210</v>
      </c>
      <c r="L386" s="9">
        <f>VLOOKUP($O386,매칭테이블!$G:$J,2,0)*H386</f>
        <v/>
      </c>
      <c r="M386" s="9">
        <f>L386-L386*VLOOKUP($O386,매칭테이블!$G:$J,3,0)</f>
        <v/>
      </c>
      <c r="N386" s="9">
        <f>VLOOKUP($O386,매칭테이블!$G:$J,4,0)*H386</f>
        <v/>
      </c>
      <c r="O386" s="9">
        <f>F386&amp;E386&amp;G386&amp;J386</f>
        <v/>
      </c>
    </row>
    <row r="387">
      <c r="B387" s="10" t="n">
        <v>44179</v>
      </c>
      <c r="C387" s="9">
        <f>TEXT(B387,"aaa")</f>
        <v/>
      </c>
      <c r="E387" s="9">
        <f>INDEX(매칭테이블!C:C,MATCH(RD!G387,매칭테이블!D:D,0))</f>
        <v/>
      </c>
      <c r="F387" s="9" t="inlineStr">
        <is>
          <t>카페24</t>
        </is>
      </c>
      <c r="G387" s="9" t="inlineStr">
        <is>
          <t>HAIR RÉ:COVERY 15 Nutritious Balm [헤어 리커버리 15 뉴트리셔스 밤]제품선택=뉴트리셔스 밤 3개 세트 10% 추가할인</t>
        </is>
      </c>
      <c r="H387" s="9" t="n">
        <v>1</v>
      </c>
      <c r="I387" s="9">
        <f>VLOOKUP(G387,매칭테이블!D:E,2,0)</f>
        <v/>
      </c>
      <c r="J387" s="9" t="n">
        <v>201210</v>
      </c>
      <c r="L387" s="9">
        <f>VLOOKUP($O387,매칭테이블!$G:$J,2,0)*H387</f>
        <v/>
      </c>
      <c r="M387" s="9">
        <f>L387-L387*VLOOKUP($O387,매칭테이블!$G:$J,3,0)</f>
        <v/>
      </c>
      <c r="N387" s="9">
        <f>VLOOKUP($O387,매칭테이블!$G:$J,4,0)*H387</f>
        <v/>
      </c>
      <c r="O387" s="9">
        <f>F387&amp;E387&amp;G387&amp;J387</f>
        <v/>
      </c>
    </row>
    <row r="388">
      <c r="B388" s="10" t="n">
        <v>44179</v>
      </c>
      <c r="C388" s="9">
        <f>TEXT(B388,"aaa")</f>
        <v/>
      </c>
      <c r="E388" s="9">
        <f>INDEX(매칭테이블!C:C,MATCH(RD!G388,매칭테이블!D:D,0))</f>
        <v/>
      </c>
      <c r="F388" s="9" t="inlineStr">
        <is>
          <t>카페24</t>
        </is>
      </c>
      <c r="G388" s="9" t="inlineStr">
        <is>
          <t>HAIR RÉ:COVERY 15 Nutritious Balm [헤어 리커버리 15 뉴트리셔스 밤]제품선택=뉴트리셔스밤 1개 + 헤어팩 트리트먼트 1개 세트 5%추가할인</t>
        </is>
      </c>
      <c r="H388" s="9" t="n">
        <v>2</v>
      </c>
      <c r="I388" s="9">
        <f>VLOOKUP(G388,매칭테이블!D:E,2,0)</f>
        <v/>
      </c>
      <c r="J388" s="9" t="n">
        <v>201210</v>
      </c>
      <c r="L388" s="9">
        <f>VLOOKUP($O388,매칭테이블!$G:$J,2,0)*H388</f>
        <v/>
      </c>
      <c r="M388" s="9">
        <f>L388-L388*VLOOKUP($O388,매칭테이블!$G:$J,3,0)</f>
        <v/>
      </c>
      <c r="N388" s="9">
        <f>VLOOKUP($O388,매칭테이블!$G:$J,4,0)*H388</f>
        <v/>
      </c>
      <c r="O388" s="9">
        <f>F388&amp;E388&amp;G388&amp;J388</f>
        <v/>
      </c>
    </row>
    <row r="389">
      <c r="B389" s="10" t="n">
        <v>44179</v>
      </c>
      <c r="C389" s="9">
        <f>TEXT(B389,"aaa")</f>
        <v/>
      </c>
      <c r="E389" s="9">
        <f>INDEX(매칭테이블!C:C,MATCH(RD!G389,매칭테이블!D:D,0))</f>
        <v/>
      </c>
      <c r="F389" s="9" t="inlineStr">
        <is>
          <t>카페24</t>
        </is>
      </c>
      <c r="G389" s="9" t="inlineStr">
        <is>
          <t>HAIR RÉ:COVERY 15 Revital Shampoo [라베나 리커버리 15 리바이탈 샴푸]제품선택=헤어 리커버리 15 리바이탈 샴푸 - 500ml</t>
        </is>
      </c>
      <c r="H389" s="9" t="n">
        <v>23</v>
      </c>
      <c r="I389" s="9">
        <f>VLOOKUP(G389,매칭테이블!D:E,2,0)</f>
        <v/>
      </c>
      <c r="J389" s="9" t="n">
        <v>201210</v>
      </c>
      <c r="L389" s="9">
        <f>VLOOKUP($O389,매칭테이블!$G:$J,2,0)*H389</f>
        <v/>
      </c>
      <c r="M389" s="9">
        <f>L389-L389*VLOOKUP($O389,매칭테이블!$G:$J,3,0)</f>
        <v/>
      </c>
      <c r="N389" s="9">
        <f>VLOOKUP($O389,매칭테이블!$G:$J,4,0)*H389</f>
        <v/>
      </c>
      <c r="O389" s="9">
        <f>F389&amp;E389&amp;G389&amp;J389</f>
        <v/>
      </c>
    </row>
    <row r="390">
      <c r="B390" s="10" t="n">
        <v>44179</v>
      </c>
      <c r="C390" s="9">
        <f>TEXT(B390,"aaa")</f>
        <v/>
      </c>
      <c r="E390" s="9">
        <f>INDEX(매칭테이블!C:C,MATCH(RD!G390,매칭테이블!D:D,0))</f>
        <v/>
      </c>
      <c r="F390" s="9" t="inlineStr">
        <is>
          <t>카페24</t>
        </is>
      </c>
      <c r="G390" s="9" t="inlineStr">
        <is>
          <t>HAIR RÉ:COVERY 15 Revital Shampoo [라베나 리커버리 15 리바이탈 샴푸]제품선택=리바이탈 샴푸 2개 세트 5%추가할인</t>
        </is>
      </c>
      <c r="H390" s="9" t="n">
        <v>6</v>
      </c>
      <c r="I390" s="9">
        <f>VLOOKUP(G390,매칭테이블!D:E,2,0)</f>
        <v/>
      </c>
      <c r="J390" s="9" t="n">
        <v>201210</v>
      </c>
      <c r="L390" s="9">
        <f>VLOOKUP($O390,매칭테이블!$G:$J,2,0)*H390</f>
        <v/>
      </c>
      <c r="M390" s="9">
        <f>L390-L390*VLOOKUP($O390,매칭테이블!$G:$J,3,0)</f>
        <v/>
      </c>
      <c r="N390" s="9">
        <f>VLOOKUP($O390,매칭테이블!$G:$J,4,0)*H390</f>
        <v/>
      </c>
      <c r="O390" s="9">
        <f>F390&amp;E390&amp;G390&amp;J390</f>
        <v/>
      </c>
    </row>
    <row r="391">
      <c r="B391" s="10" t="n">
        <v>44179</v>
      </c>
      <c r="C391" s="9">
        <f>TEXT(B391,"aaa")</f>
        <v/>
      </c>
      <c r="E391" s="9">
        <f>INDEX(매칭테이블!C:C,MATCH(RD!G391,매칭테이블!D:D,0))</f>
        <v/>
      </c>
      <c r="F391" s="9" t="inlineStr">
        <is>
          <t>카페24</t>
        </is>
      </c>
      <c r="G391" s="9" t="inlineStr">
        <is>
          <t>HAIR RÉ:COVERY 15 Revital Shampoo [라베나 리커버리 15 리바이탈 샴푸]제품선택=리바이탈 샴푸 3개 세트 10% 추가할인</t>
        </is>
      </c>
      <c r="H391" s="9" t="n">
        <v>4</v>
      </c>
      <c r="I391" s="9">
        <f>VLOOKUP(G391,매칭테이블!D:E,2,0)</f>
        <v/>
      </c>
      <c r="J391" s="9" t="n">
        <v>201210</v>
      </c>
      <c r="L391" s="9">
        <f>VLOOKUP($O391,매칭테이블!$G:$J,2,0)*H391</f>
        <v/>
      </c>
      <c r="M391" s="9">
        <f>L391-L391*VLOOKUP($O391,매칭테이블!$G:$J,3,0)</f>
        <v/>
      </c>
      <c r="N391" s="9">
        <f>VLOOKUP($O391,매칭테이블!$G:$J,4,0)*H391</f>
        <v/>
      </c>
      <c r="O391" s="9">
        <f>F391&amp;E391&amp;G391&amp;J391</f>
        <v/>
      </c>
    </row>
    <row r="392">
      <c r="B392" s="10" t="n">
        <v>44180</v>
      </c>
      <c r="C392" s="9">
        <f>TEXT(B392,"aaa")</f>
        <v/>
      </c>
      <c r="E392" s="9">
        <f>INDEX(매칭테이블!C:C,MATCH(RD!G392,매칭테이블!D:D,0))</f>
        <v/>
      </c>
      <c r="F392" s="9" t="inlineStr">
        <is>
          <t>카페24</t>
        </is>
      </c>
      <c r="G392" s="9" t="inlineStr">
        <is>
          <t>HAIR RÉ:COVERY 15 Hairpack Treatment [라베나 리커버리 15 헤어팩 트리트먼트]제품선택=헤어 리커버리 15 헤어팩 트리트먼트</t>
        </is>
      </c>
      <c r="H392" s="9" t="n">
        <v>5</v>
      </c>
      <c r="I392" s="9">
        <f>VLOOKUP(G392,매칭테이블!D:E,2,0)</f>
        <v/>
      </c>
      <c r="J392" s="9" t="n">
        <v>201210</v>
      </c>
      <c r="L392" s="9">
        <f>VLOOKUP($O392,매칭테이블!$G:$J,2,0)*H392</f>
        <v/>
      </c>
      <c r="M392" s="9">
        <f>L392-L392*VLOOKUP($O392,매칭테이블!$G:$J,3,0)</f>
        <v/>
      </c>
      <c r="N392" s="9">
        <f>VLOOKUP($O392,매칭테이블!$G:$J,4,0)*H392</f>
        <v/>
      </c>
      <c r="O392" s="9">
        <f>F392&amp;E392&amp;G392&amp;J392</f>
        <v/>
      </c>
    </row>
    <row r="393">
      <c r="B393" s="10" t="n">
        <v>44180</v>
      </c>
      <c r="C393" s="9">
        <f>TEXT(B393,"aaa")</f>
        <v/>
      </c>
      <c r="E393" s="9">
        <f>INDEX(매칭테이블!C:C,MATCH(RD!G393,매칭테이블!D:D,0))</f>
        <v/>
      </c>
      <c r="F393" s="9" t="inlineStr">
        <is>
          <t>카페24</t>
        </is>
      </c>
      <c r="G393" s="9" t="inlineStr">
        <is>
          <t>HAIR RÉ:COVERY 15 Hairpack Treatment [라베나 리커버리 15 헤어팩 트리트먼트]제품선택=헤어팩 트리트먼트 2개 세트 5% 추가할인</t>
        </is>
      </c>
      <c r="H393" s="9" t="n">
        <v>3</v>
      </c>
      <c r="I393" s="9">
        <f>VLOOKUP(G393,매칭테이블!D:E,2,0)</f>
        <v/>
      </c>
      <c r="J393" s="9" t="n">
        <v>201210</v>
      </c>
      <c r="L393" s="9">
        <f>VLOOKUP($O393,매칭테이블!$G:$J,2,0)*H393</f>
        <v/>
      </c>
      <c r="M393" s="9">
        <f>L393-L393*VLOOKUP($O393,매칭테이블!$G:$J,3,0)</f>
        <v/>
      </c>
      <c r="N393" s="9">
        <f>VLOOKUP($O393,매칭테이블!$G:$J,4,0)*H393</f>
        <v/>
      </c>
      <c r="O393" s="9">
        <f>F393&amp;E393&amp;G393&amp;J393</f>
        <v/>
      </c>
    </row>
    <row r="394">
      <c r="B394" s="10" t="n">
        <v>44180</v>
      </c>
      <c r="C394" s="9">
        <f>TEXT(B394,"aaa")</f>
        <v/>
      </c>
      <c r="E394" s="9">
        <f>INDEX(매칭테이블!C:C,MATCH(RD!G394,매칭테이블!D:D,0))</f>
        <v/>
      </c>
      <c r="F394" s="9" t="inlineStr">
        <is>
          <t>카페24</t>
        </is>
      </c>
      <c r="G394" s="9" t="inlineStr">
        <is>
          <t>HAIR RÉ:COVERY 15 Hairpack Treatment [라베나 리커버리 15 헤어팩 트리트먼트]제품선택=헤어팩 트리트먼트 1개 + 뉴트리셔스밤 1개 세트 5% 추가할인</t>
        </is>
      </c>
      <c r="H394" s="9" t="n">
        <v>2</v>
      </c>
      <c r="I394" s="9">
        <f>VLOOKUP(G394,매칭테이블!D:E,2,0)</f>
        <v/>
      </c>
      <c r="J394" s="9" t="n">
        <v>201210</v>
      </c>
      <c r="L394" s="9">
        <f>VLOOKUP($O394,매칭테이블!$G:$J,2,0)*H394</f>
        <v/>
      </c>
      <c r="M394" s="9">
        <f>L394-L394*VLOOKUP($O394,매칭테이블!$G:$J,3,0)</f>
        <v/>
      </c>
      <c r="N394" s="9">
        <f>VLOOKUP($O394,매칭테이블!$G:$J,4,0)*H394</f>
        <v/>
      </c>
      <c r="O394" s="9">
        <f>F394&amp;E394&amp;G394&amp;J394</f>
        <v/>
      </c>
    </row>
    <row r="395">
      <c r="B395" s="10" t="n">
        <v>44180</v>
      </c>
      <c r="C395" s="9">
        <f>TEXT(B395,"aaa")</f>
        <v/>
      </c>
      <c r="E395" s="9">
        <f>INDEX(매칭테이블!C:C,MATCH(RD!G395,매칭테이블!D:D,0))</f>
        <v/>
      </c>
      <c r="F395" s="9" t="inlineStr">
        <is>
          <t>카페24</t>
        </is>
      </c>
      <c r="G395" s="9" t="inlineStr">
        <is>
          <t>HAIR RÉ:COVERY 15 Nutritious Balm [라베나 리커버리 15 뉴트리셔스 밤]제품선택=헤어 리커버리 15 뉴트리셔스 밤</t>
        </is>
      </c>
      <c r="H395" s="9" t="n">
        <v>2</v>
      </c>
      <c r="I395" s="9">
        <f>VLOOKUP(G395,매칭테이블!D:E,2,0)</f>
        <v/>
      </c>
      <c r="J395" s="9" t="n">
        <v>201210</v>
      </c>
      <c r="L395" s="9">
        <f>VLOOKUP($O395,매칭테이블!$G:$J,2,0)*H395</f>
        <v/>
      </c>
      <c r="M395" s="9">
        <f>L395-L395*VLOOKUP($O395,매칭테이블!$G:$J,3,0)</f>
        <v/>
      </c>
      <c r="N395" s="9">
        <f>VLOOKUP($O395,매칭테이블!$G:$J,4,0)*H395</f>
        <v/>
      </c>
      <c r="O395" s="9">
        <f>F395&amp;E395&amp;G395&amp;J395</f>
        <v/>
      </c>
    </row>
    <row r="396">
      <c r="B396" s="10" t="n">
        <v>44180</v>
      </c>
      <c r="C396" s="9">
        <f>TEXT(B396,"aaa")</f>
        <v/>
      </c>
      <c r="E396" s="9">
        <f>INDEX(매칭테이블!C:C,MATCH(RD!G396,매칭테이블!D:D,0))</f>
        <v/>
      </c>
      <c r="F396" s="9" t="inlineStr">
        <is>
          <t>카페24</t>
        </is>
      </c>
      <c r="G396" s="9" t="inlineStr">
        <is>
          <t>HAIR RÉ:COVERY 15 Nutritious Balm [라베나 리커버리 15 뉴트리셔스 밤]제품선택=뉴트리셔스 밤 3개 세트 10% 추가할인</t>
        </is>
      </c>
      <c r="H396" s="9" t="n">
        <v>1</v>
      </c>
      <c r="I396" s="9">
        <f>VLOOKUP(G396,매칭테이블!D:E,2,0)</f>
        <v/>
      </c>
      <c r="J396" s="9" t="n">
        <v>201210</v>
      </c>
      <c r="L396" s="9">
        <f>VLOOKUP($O396,매칭테이블!$G:$J,2,0)*H396</f>
        <v/>
      </c>
      <c r="M396" s="9">
        <f>L396-L396*VLOOKUP($O396,매칭테이블!$G:$J,3,0)</f>
        <v/>
      </c>
      <c r="N396" s="9">
        <f>VLOOKUP($O396,매칭테이블!$G:$J,4,0)*H396</f>
        <v/>
      </c>
      <c r="O396" s="9">
        <f>F396&amp;E396&amp;G396&amp;J396</f>
        <v/>
      </c>
    </row>
    <row r="397">
      <c r="B397" s="10" t="n">
        <v>44180</v>
      </c>
      <c r="C397" s="9">
        <f>TEXT(B397,"aaa")</f>
        <v/>
      </c>
      <c r="E397" s="9">
        <f>INDEX(매칭테이블!C:C,MATCH(RD!G397,매칭테이블!D:D,0))</f>
        <v/>
      </c>
      <c r="F397" s="9" t="inlineStr">
        <is>
          <t>카페24</t>
        </is>
      </c>
      <c r="G397" s="9" t="inlineStr">
        <is>
          <t>HAIR RÉ:COVERY 15 Revital Shampoo [라베나 리커버리 15 리바이탈 샴푸]제품선택=헤어 리커버리 15 리바이탈 샴푸 - 500ml</t>
        </is>
      </c>
      <c r="H397" s="9" t="n">
        <v>14</v>
      </c>
      <c r="I397" s="9">
        <f>VLOOKUP(G397,매칭테이블!D:E,2,0)</f>
        <v/>
      </c>
      <c r="J397" s="9" t="n">
        <v>201210</v>
      </c>
      <c r="L397" s="9">
        <f>VLOOKUP($O397,매칭테이블!$G:$J,2,0)*H397</f>
        <v/>
      </c>
      <c r="M397" s="9">
        <f>L397-L397*VLOOKUP($O397,매칭테이블!$G:$J,3,0)</f>
        <v/>
      </c>
      <c r="N397" s="9">
        <f>VLOOKUP($O397,매칭테이블!$G:$J,4,0)*H397</f>
        <v/>
      </c>
      <c r="O397" s="9">
        <f>F397&amp;E397&amp;G397&amp;J397</f>
        <v/>
      </c>
    </row>
    <row r="398">
      <c r="B398" s="10" t="n">
        <v>44180</v>
      </c>
      <c r="C398" s="9">
        <f>TEXT(B398,"aaa")</f>
        <v/>
      </c>
      <c r="E398" s="9">
        <f>INDEX(매칭테이블!C:C,MATCH(RD!G398,매칭테이블!D:D,0))</f>
        <v/>
      </c>
      <c r="F398" s="9" t="inlineStr">
        <is>
          <t>카페24</t>
        </is>
      </c>
      <c r="G398" s="9" t="inlineStr">
        <is>
          <t>HAIR RÉ:COVERY 15 Revital Shampoo [라베나 리커버리 15 리바이탈 샴푸]제품선택=리바이탈 샴푸 2개 세트 5%추가할인</t>
        </is>
      </c>
      <c r="H398" s="9" t="n">
        <v>6</v>
      </c>
      <c r="I398" s="9">
        <f>VLOOKUP(G398,매칭테이블!D:E,2,0)</f>
        <v/>
      </c>
      <c r="J398" s="9" t="n">
        <v>201210</v>
      </c>
      <c r="L398" s="9">
        <f>VLOOKUP($O398,매칭테이블!$G:$J,2,0)*H398</f>
        <v/>
      </c>
      <c r="M398" s="9">
        <f>L398-L398*VLOOKUP($O398,매칭테이블!$G:$J,3,0)</f>
        <v/>
      </c>
      <c r="N398" s="9">
        <f>VLOOKUP($O398,매칭테이블!$G:$J,4,0)*H398</f>
        <v/>
      </c>
      <c r="O398" s="9">
        <f>F398&amp;E398&amp;G398&amp;J398</f>
        <v/>
      </c>
    </row>
    <row r="399">
      <c r="B399" s="10" t="n">
        <v>44180</v>
      </c>
      <c r="C399" s="9">
        <f>TEXT(B399,"aaa")</f>
        <v/>
      </c>
      <c r="E399" s="9">
        <f>INDEX(매칭테이블!C:C,MATCH(RD!G399,매칭테이블!D:D,0))</f>
        <v/>
      </c>
      <c r="F399" s="9" t="inlineStr">
        <is>
          <t>카페24</t>
        </is>
      </c>
      <c r="G399" s="9" t="inlineStr">
        <is>
          <t>HAIR RÉ:COVERY 15 Revital Shampoo [라베나 리커버리 15 리바이탈 샴푸]제품선택=리바이탈 샴푸 3개 세트 10% 추가할인</t>
        </is>
      </c>
      <c r="H399" s="9" t="n">
        <v>1</v>
      </c>
      <c r="I399" s="9">
        <f>VLOOKUP(G399,매칭테이블!D:E,2,0)</f>
        <v/>
      </c>
      <c r="J399" s="9" t="n">
        <v>201210</v>
      </c>
      <c r="L399" s="9">
        <f>VLOOKUP($O399,매칭테이블!$G:$J,2,0)*H399</f>
        <v/>
      </c>
      <c r="M399" s="9">
        <f>L399-L399*VLOOKUP($O399,매칭테이블!$G:$J,3,0)</f>
        <v/>
      </c>
      <c r="N399" s="9">
        <f>VLOOKUP($O399,매칭테이블!$G:$J,4,0)*H399</f>
        <v/>
      </c>
      <c r="O399" s="9">
        <f>F399&amp;E399&amp;G399&amp;J399</f>
        <v/>
      </c>
    </row>
    <row r="400">
      <c r="B400" s="10" t="n">
        <v>44181</v>
      </c>
      <c r="C400" s="9">
        <f>TEXT(B400,"aaa")</f>
        <v/>
      </c>
      <c r="E400" s="9">
        <f>INDEX(매칭테이블!C:C,MATCH(RD!G400,매칭테이블!D:D,0))</f>
        <v/>
      </c>
      <c r="F400" s="9" t="inlineStr">
        <is>
          <t>카페24</t>
        </is>
      </c>
      <c r="G400" s="9" t="inlineStr">
        <is>
          <t>HAIR RÉ:COVERY 15 Hairpack Treatment [라베나 리커버리 15 헤어팩 트리트먼트]제품선택=헤어 리커버리 15 헤어팩 트리트먼트</t>
        </is>
      </c>
      <c r="H400" s="9" t="n">
        <v>13</v>
      </c>
      <c r="I400" s="9">
        <f>VLOOKUP(G400,매칭테이블!D:E,2,0)</f>
        <v/>
      </c>
      <c r="J400" s="9" t="n">
        <v>201210</v>
      </c>
      <c r="L400" s="9">
        <f>VLOOKUP($O400,매칭테이블!$G:$J,2,0)*H400</f>
        <v/>
      </c>
      <c r="M400" s="9">
        <f>L400-L400*VLOOKUP($O400,매칭테이블!$G:$J,3,0)</f>
        <v/>
      </c>
      <c r="N400" s="9">
        <f>VLOOKUP($O400,매칭테이블!$G:$J,4,0)*H400</f>
        <v/>
      </c>
      <c r="O400" s="9">
        <f>F400&amp;E400&amp;G400&amp;J400</f>
        <v/>
      </c>
    </row>
    <row r="401">
      <c r="B401" s="10" t="n">
        <v>44181</v>
      </c>
      <c r="C401" s="9">
        <f>TEXT(B401,"aaa")</f>
        <v/>
      </c>
      <c r="E401" s="9">
        <f>INDEX(매칭테이블!C:C,MATCH(RD!G401,매칭테이블!D:D,0))</f>
        <v/>
      </c>
      <c r="F401" s="9" t="inlineStr">
        <is>
          <t>카페24</t>
        </is>
      </c>
      <c r="G401" s="9" t="inlineStr">
        <is>
          <t>HAIR RÉ:COVERY 15 Hairpack Treatment [라베나 리커버리 15 헤어팩 트리트먼트]제품선택=헤어팩 트리트먼트 2개 세트 5% 추가할인</t>
        </is>
      </c>
      <c r="H401" s="9" t="n">
        <v>3</v>
      </c>
      <c r="I401" s="9">
        <f>VLOOKUP(G401,매칭테이블!D:E,2,0)</f>
        <v/>
      </c>
      <c r="J401" s="9" t="n">
        <v>201210</v>
      </c>
      <c r="L401" s="9">
        <f>VLOOKUP($O401,매칭테이블!$G:$J,2,0)*H401</f>
        <v/>
      </c>
      <c r="M401" s="9">
        <f>L401-L401*VLOOKUP($O401,매칭테이블!$G:$J,3,0)</f>
        <v/>
      </c>
      <c r="N401" s="9">
        <f>VLOOKUP($O401,매칭테이블!$G:$J,4,0)*H401</f>
        <v/>
      </c>
      <c r="O401" s="9">
        <f>F401&amp;E401&amp;G401&amp;J401</f>
        <v/>
      </c>
    </row>
    <row r="402">
      <c r="B402" s="10" t="n">
        <v>44181</v>
      </c>
      <c r="C402" s="9">
        <f>TEXT(B402,"aaa")</f>
        <v/>
      </c>
      <c r="E402" s="9">
        <f>INDEX(매칭테이블!C:C,MATCH(RD!G402,매칭테이블!D:D,0))</f>
        <v/>
      </c>
      <c r="F402" s="9" t="inlineStr">
        <is>
          <t>카페24</t>
        </is>
      </c>
      <c r="G402" s="9" t="inlineStr">
        <is>
          <t>HAIR RÉ:COVERY 15 Hairpack Treatment [라베나 리커버리 15 헤어팩 트리트먼트]제품선택=헤어팩 트리트먼트 1개 + 뉴트리셔스밤 1개 세트 5% 추가할인</t>
        </is>
      </c>
      <c r="H402" s="9" t="n">
        <v>4</v>
      </c>
      <c r="I402" s="9">
        <f>VLOOKUP(G402,매칭테이블!D:E,2,0)</f>
        <v/>
      </c>
      <c r="J402" s="9" t="n">
        <v>201210</v>
      </c>
      <c r="L402" s="9">
        <f>VLOOKUP($O402,매칭테이블!$G:$J,2,0)*H402</f>
        <v/>
      </c>
      <c r="M402" s="9">
        <f>L402-L402*VLOOKUP($O402,매칭테이블!$G:$J,3,0)</f>
        <v/>
      </c>
      <c r="N402" s="9">
        <f>VLOOKUP($O402,매칭테이블!$G:$J,4,0)*H402</f>
        <v/>
      </c>
      <c r="O402" s="9">
        <f>F402&amp;E402&amp;G402&amp;J402</f>
        <v/>
      </c>
    </row>
    <row r="403">
      <c r="B403" s="10" t="n">
        <v>44181</v>
      </c>
      <c r="C403" s="9">
        <f>TEXT(B403,"aaa")</f>
        <v/>
      </c>
      <c r="E403" s="9">
        <f>INDEX(매칭테이블!C:C,MATCH(RD!G403,매칭테이블!D:D,0))</f>
        <v/>
      </c>
      <c r="F403" s="9" t="inlineStr">
        <is>
          <t>카페24</t>
        </is>
      </c>
      <c r="G403" s="9" t="inlineStr">
        <is>
          <t>HAIR RÉ:COVERY 15 Nutritious Balm [라베나 리커버리 15 뉴트리셔스 밤]제품선택=헤어 리커버리 15 뉴트리셔스 밤</t>
        </is>
      </c>
      <c r="H403" s="9" t="n">
        <v>1</v>
      </c>
      <c r="I403" s="9">
        <f>VLOOKUP(G403,매칭테이블!D:E,2,0)</f>
        <v/>
      </c>
      <c r="J403" s="9" t="n">
        <v>201210</v>
      </c>
      <c r="L403" s="9">
        <f>VLOOKUP($O403,매칭테이블!$G:$J,2,0)*H403</f>
        <v/>
      </c>
      <c r="M403" s="9">
        <f>L403-L403*VLOOKUP($O403,매칭테이블!$G:$J,3,0)</f>
        <v/>
      </c>
      <c r="N403" s="9">
        <f>VLOOKUP($O403,매칭테이블!$G:$J,4,0)*H403</f>
        <v/>
      </c>
      <c r="O403" s="9">
        <f>F403&amp;E403&amp;G403&amp;J403</f>
        <v/>
      </c>
    </row>
    <row r="404">
      <c r="B404" s="10" t="n">
        <v>44181</v>
      </c>
      <c r="C404" s="9">
        <f>TEXT(B404,"aaa")</f>
        <v/>
      </c>
      <c r="E404" s="9">
        <f>INDEX(매칭테이블!C:C,MATCH(RD!G404,매칭테이블!D:D,0))</f>
        <v/>
      </c>
      <c r="F404" s="9" t="inlineStr">
        <is>
          <t>카페24</t>
        </is>
      </c>
      <c r="G404" s="9" t="inlineStr">
        <is>
          <t>HAIR RÉ:COVERY 15 Revital Shampoo [라베나 리커버리 15 리바이탈 샴푸]제품선택=헤어 리커버리 15 리바이탈 샴푸 - 500ml</t>
        </is>
      </c>
      <c r="H404" s="9" t="n">
        <v>9</v>
      </c>
      <c r="I404" s="9">
        <f>VLOOKUP(G404,매칭테이블!D:E,2,0)</f>
        <v/>
      </c>
      <c r="J404" s="9" t="n">
        <v>201210</v>
      </c>
      <c r="L404" s="9">
        <f>VLOOKUP($O404,매칭테이블!$G:$J,2,0)*H404</f>
        <v/>
      </c>
      <c r="M404" s="9">
        <f>L404-L404*VLOOKUP($O404,매칭테이블!$G:$J,3,0)</f>
        <v/>
      </c>
      <c r="N404" s="9">
        <f>VLOOKUP($O404,매칭테이블!$G:$J,4,0)*H404</f>
        <v/>
      </c>
      <c r="O404" s="9">
        <f>F404&amp;E404&amp;G404&amp;J404</f>
        <v/>
      </c>
    </row>
    <row r="405">
      <c r="B405" s="10" t="n">
        <v>44181</v>
      </c>
      <c r="C405" s="9">
        <f>TEXT(B405,"aaa")</f>
        <v/>
      </c>
      <c r="E405" s="9">
        <f>INDEX(매칭테이블!C:C,MATCH(RD!G405,매칭테이블!D:D,0))</f>
        <v/>
      </c>
      <c r="F405" s="9" t="inlineStr">
        <is>
          <t>카페24</t>
        </is>
      </c>
      <c r="G405" s="9" t="inlineStr">
        <is>
          <t>HAIR RÉ:COVERY 15 Revital Shampoo [라베나 리커버리 15 리바이탈 샴푸]제품선택=리바이탈 샴푸 2개 세트 5%추가할인</t>
        </is>
      </c>
      <c r="H405" s="9" t="n">
        <v>7</v>
      </c>
      <c r="I405" s="9">
        <f>VLOOKUP(G405,매칭테이블!D:E,2,0)</f>
        <v/>
      </c>
      <c r="J405" s="9" t="n">
        <v>201210</v>
      </c>
      <c r="L405" s="9">
        <f>VLOOKUP($O405,매칭테이블!$G:$J,2,0)*H405</f>
        <v/>
      </c>
      <c r="M405" s="9">
        <f>L405-L405*VLOOKUP($O405,매칭테이블!$G:$J,3,0)</f>
        <v/>
      </c>
      <c r="N405" s="9">
        <f>VLOOKUP($O405,매칭테이블!$G:$J,4,0)*H405</f>
        <v/>
      </c>
      <c r="O405" s="9">
        <f>F405&amp;E405&amp;G405&amp;J405</f>
        <v/>
      </c>
    </row>
    <row r="406">
      <c r="B406" s="10" t="n">
        <v>44181</v>
      </c>
      <c r="C406" s="9">
        <f>TEXT(B406,"aaa")</f>
        <v/>
      </c>
      <c r="E406" s="9">
        <f>INDEX(매칭테이블!C:C,MATCH(RD!G406,매칭테이블!D:D,0))</f>
        <v/>
      </c>
      <c r="F406" s="9" t="inlineStr">
        <is>
          <t>카페24</t>
        </is>
      </c>
      <c r="G406" s="9" t="inlineStr">
        <is>
          <t>HAIR RÉ:COVERY 15 Hairpack Treatment [라베나 리커버리 15 헤어팩 트리트먼트]제품선택=헤어팩 트리트먼트 3개 세트 10% 추가할인</t>
        </is>
      </c>
      <c r="H406" s="9" t="n">
        <v>3</v>
      </c>
      <c r="I406" s="9">
        <f>VLOOKUP(G406,매칭테이블!D:E,2,0)</f>
        <v/>
      </c>
      <c r="J406" s="9" t="n">
        <v>201210</v>
      </c>
      <c r="L406" s="9">
        <f>VLOOKUP($O406,매칭테이블!$G:$J,2,0)*H406</f>
        <v/>
      </c>
      <c r="M406" s="9">
        <f>L406-L406*VLOOKUP($O406,매칭테이블!$G:$J,3,0)</f>
        <v/>
      </c>
      <c r="N406" s="9">
        <f>VLOOKUP($O406,매칭테이블!$G:$J,4,0)*H406</f>
        <v/>
      </c>
      <c r="O406" s="9">
        <f>F406&amp;E406&amp;G406&amp;J406</f>
        <v/>
      </c>
    </row>
    <row r="407">
      <c r="B407" s="10" t="n">
        <v>44181</v>
      </c>
      <c r="C407" s="9">
        <f>TEXT(B407,"aaa")</f>
        <v/>
      </c>
      <c r="E407" s="9">
        <f>INDEX(매칭테이블!C:C,MATCH(RD!G407,매칭테이블!D:D,0))</f>
        <v/>
      </c>
      <c r="F407" s="9" t="inlineStr">
        <is>
          <t>카페24</t>
        </is>
      </c>
      <c r="G407" s="9" t="inlineStr">
        <is>
          <t>HAIR RÉ:COVERY 15 Nutritious Balm [라베나 리커버리 15 뉴트리셔스 밤]제품선택=뉴트리셔스 밤 2개 세트 5% 추가할인</t>
        </is>
      </c>
      <c r="H407" s="9" t="n">
        <v>1</v>
      </c>
      <c r="I407" s="9">
        <f>VLOOKUP(G407,매칭테이블!D:E,2,0)</f>
        <v/>
      </c>
      <c r="J407" s="9" t="n">
        <v>201210</v>
      </c>
      <c r="L407" s="9">
        <f>VLOOKUP($O407,매칭테이블!$G:$J,2,0)*H407</f>
        <v/>
      </c>
      <c r="M407" s="9">
        <f>L407-L407*VLOOKUP($O407,매칭테이블!$G:$J,3,0)</f>
        <v/>
      </c>
      <c r="N407" s="9">
        <f>VLOOKUP($O407,매칭테이블!$G:$J,4,0)*H407</f>
        <v/>
      </c>
      <c r="O407" s="9">
        <f>F407&amp;E407&amp;G407&amp;J407</f>
        <v/>
      </c>
    </row>
    <row r="408">
      <c r="B408" s="10" t="n">
        <v>44182</v>
      </c>
      <c r="C408" s="9">
        <f>TEXT(B408,"aaa")</f>
        <v/>
      </c>
      <c r="E408" s="9">
        <f>INDEX(매칭테이블!C:C,MATCH(RD!G408,매칭테이블!D:D,0))</f>
        <v/>
      </c>
      <c r="F408" s="9" t="inlineStr">
        <is>
          <t>카페24</t>
        </is>
      </c>
      <c r="G408" s="9" t="inlineStr">
        <is>
          <t>HAIR RÉ:COVERY 15 Hairpack Treatment [라베나 리커버리 15 헤어팩 트리트먼트]제품선택=헤어 리커버리 15 헤어팩 트리트먼트</t>
        </is>
      </c>
      <c r="H408" s="9" t="n">
        <v>45</v>
      </c>
      <c r="I408" s="9">
        <f>VLOOKUP(G408,매칭테이블!D:E,2,0)</f>
        <v/>
      </c>
      <c r="J408" s="9" t="n">
        <v>201210</v>
      </c>
      <c r="L408" s="9">
        <f>VLOOKUP($O408,매칭테이블!$G:$J,2,0)*H408</f>
        <v/>
      </c>
      <c r="M408" s="9">
        <f>L408-L408*VLOOKUP($O408,매칭테이블!$G:$J,3,0)</f>
        <v/>
      </c>
      <c r="N408" s="9">
        <f>VLOOKUP($O408,매칭테이블!$G:$J,4,0)*H408</f>
        <v/>
      </c>
      <c r="O408" s="9">
        <f>F408&amp;E408&amp;G408&amp;J408</f>
        <v/>
      </c>
    </row>
    <row r="409">
      <c r="B409" s="10" t="n">
        <v>44182</v>
      </c>
      <c r="C409" s="9">
        <f>TEXT(B409,"aaa")</f>
        <v/>
      </c>
      <c r="E409" s="9">
        <f>INDEX(매칭테이블!C:C,MATCH(RD!G409,매칭테이블!D:D,0))</f>
        <v/>
      </c>
      <c r="F409" s="9" t="inlineStr">
        <is>
          <t>카페24</t>
        </is>
      </c>
      <c r="G409" s="9" t="inlineStr">
        <is>
          <t>HAIR RÉ:COVERY 15 Hairpack Treatment [라베나 리커버리 15 헤어팩 트리트먼트]제품선택=헤어팩 트리트먼트 2개 세트 5% 추가할인</t>
        </is>
      </c>
      <c r="H409" s="9" t="n">
        <v>8</v>
      </c>
      <c r="I409" s="9">
        <f>VLOOKUP(G409,매칭테이블!D:E,2,0)</f>
        <v/>
      </c>
      <c r="J409" s="9" t="n">
        <v>201210</v>
      </c>
      <c r="L409" s="9">
        <f>VLOOKUP($O409,매칭테이블!$G:$J,2,0)*H409</f>
        <v/>
      </c>
      <c r="M409" s="9">
        <f>L409-L409*VLOOKUP($O409,매칭테이블!$G:$J,3,0)</f>
        <v/>
      </c>
      <c r="N409" s="9">
        <f>VLOOKUP($O409,매칭테이블!$G:$J,4,0)*H409</f>
        <v/>
      </c>
      <c r="O409" s="9">
        <f>F409&amp;E409&amp;G409&amp;J409</f>
        <v/>
      </c>
    </row>
    <row r="410">
      <c r="B410" s="10" t="n">
        <v>44182</v>
      </c>
      <c r="C410" s="9">
        <f>TEXT(B410,"aaa")</f>
        <v/>
      </c>
      <c r="E410" s="9">
        <f>INDEX(매칭테이블!C:C,MATCH(RD!G410,매칭테이블!D:D,0))</f>
        <v/>
      </c>
      <c r="F410" s="9" t="inlineStr">
        <is>
          <t>카페24</t>
        </is>
      </c>
      <c r="G410" s="9" t="inlineStr">
        <is>
          <t>HAIR RÉ:COVERY 15 Hairpack Treatment [라베나 리커버리 15 헤어팩 트리트먼트]제품선택=헤어팩 트리트먼트 3개 세트 10% 추가할인</t>
        </is>
      </c>
      <c r="H410" s="9" t="n">
        <v>5</v>
      </c>
      <c r="I410" s="9">
        <f>VLOOKUP(G410,매칭테이블!D:E,2,0)</f>
        <v/>
      </c>
      <c r="J410" s="9" t="n">
        <v>201210</v>
      </c>
      <c r="L410" s="9">
        <f>VLOOKUP($O410,매칭테이블!$G:$J,2,0)*H410</f>
        <v/>
      </c>
      <c r="M410" s="9">
        <f>L410-L410*VLOOKUP($O410,매칭테이블!$G:$J,3,0)</f>
        <v/>
      </c>
      <c r="N410" s="9">
        <f>VLOOKUP($O410,매칭테이블!$G:$J,4,0)*H410</f>
        <v/>
      </c>
      <c r="O410" s="9">
        <f>F410&amp;E410&amp;G410&amp;J410</f>
        <v/>
      </c>
    </row>
    <row r="411">
      <c r="B411" s="10" t="n">
        <v>44182</v>
      </c>
      <c r="C411" s="9">
        <f>TEXT(B411,"aaa")</f>
        <v/>
      </c>
      <c r="E411" s="9">
        <f>INDEX(매칭테이블!C:C,MATCH(RD!G411,매칭테이블!D:D,0))</f>
        <v/>
      </c>
      <c r="F411" s="9" t="inlineStr">
        <is>
          <t>카페24</t>
        </is>
      </c>
      <c r="G411" s="9" t="inlineStr">
        <is>
          <t>HAIR RÉ:COVERY 15 Hairpack Treatment [라베나 리커버리 15 헤어팩 트리트먼트]제품선택=헤어팩 트리트먼트 1개 + 뉴트리셔스밤 1개 세트 5% 추가할인</t>
        </is>
      </c>
      <c r="H411" s="9" t="n">
        <v>2</v>
      </c>
      <c r="I411" s="9">
        <f>VLOOKUP(G411,매칭테이블!D:E,2,0)</f>
        <v/>
      </c>
      <c r="J411" s="9" t="n">
        <v>201210</v>
      </c>
      <c r="L411" s="9">
        <f>VLOOKUP($O411,매칭테이블!$G:$J,2,0)*H411</f>
        <v/>
      </c>
      <c r="M411" s="9">
        <f>L411-L411*VLOOKUP($O411,매칭테이블!$G:$J,3,0)</f>
        <v/>
      </c>
      <c r="N411" s="9">
        <f>VLOOKUP($O411,매칭테이블!$G:$J,4,0)*H411</f>
        <v/>
      </c>
      <c r="O411" s="9">
        <f>F411&amp;E411&amp;G411&amp;J411</f>
        <v/>
      </c>
    </row>
    <row r="412">
      <c r="B412" s="10" t="n">
        <v>44182</v>
      </c>
      <c r="C412" s="9">
        <f>TEXT(B412,"aaa")</f>
        <v/>
      </c>
      <c r="E412" s="9">
        <f>INDEX(매칭테이블!C:C,MATCH(RD!G412,매칭테이블!D:D,0))</f>
        <v/>
      </c>
      <c r="F412" s="9" t="inlineStr">
        <is>
          <t>카페24</t>
        </is>
      </c>
      <c r="G412" s="9" t="inlineStr">
        <is>
          <t>HAIR RÉ:COVERY 15 Nutritious Balm [라베나 리커버리 15 뉴트리셔스 밤]제품선택=헤어 리커버리 15 뉴트리셔스 밤</t>
        </is>
      </c>
      <c r="H412" s="9" t="n">
        <v>7</v>
      </c>
      <c r="I412" s="9">
        <f>VLOOKUP(G412,매칭테이블!D:E,2,0)</f>
        <v/>
      </c>
      <c r="J412" s="9" t="n">
        <v>201210</v>
      </c>
      <c r="L412" s="9">
        <f>VLOOKUP($O412,매칭테이블!$G:$J,2,0)*H412</f>
        <v/>
      </c>
      <c r="M412" s="9">
        <f>L412-L412*VLOOKUP($O412,매칭테이블!$G:$J,3,0)</f>
        <v/>
      </c>
      <c r="N412" s="9">
        <f>VLOOKUP($O412,매칭테이블!$G:$J,4,0)*H412</f>
        <v/>
      </c>
      <c r="O412" s="9">
        <f>F412&amp;E412&amp;G412&amp;J412</f>
        <v/>
      </c>
    </row>
    <row r="413">
      <c r="B413" s="10" t="n">
        <v>44182</v>
      </c>
      <c r="C413" s="9">
        <f>TEXT(B413,"aaa")</f>
        <v/>
      </c>
      <c r="E413" s="9">
        <f>INDEX(매칭테이블!C:C,MATCH(RD!G413,매칭테이블!D:D,0))</f>
        <v/>
      </c>
      <c r="F413" s="9" t="inlineStr">
        <is>
          <t>카페24</t>
        </is>
      </c>
      <c r="G413" s="9" t="inlineStr">
        <is>
          <t>HAIR RÉ:COVERY 15 Nutritious Balm [라베나 리커버리 15 뉴트리셔스 밤]제품선택=뉴트리셔스 밤 2개 세트 5% 추가할인</t>
        </is>
      </c>
      <c r="H413" s="9" t="n">
        <v>1</v>
      </c>
      <c r="I413" s="9">
        <f>VLOOKUP(G413,매칭테이블!D:E,2,0)</f>
        <v/>
      </c>
      <c r="J413" s="9" t="n">
        <v>201210</v>
      </c>
      <c r="L413" s="9">
        <f>VLOOKUP($O413,매칭테이블!$G:$J,2,0)*H413</f>
        <v/>
      </c>
      <c r="M413" s="9">
        <f>L413-L413*VLOOKUP($O413,매칭테이블!$G:$J,3,0)</f>
        <v/>
      </c>
      <c r="N413" s="9">
        <f>VLOOKUP($O413,매칭테이블!$G:$J,4,0)*H413</f>
        <v/>
      </c>
      <c r="O413" s="9">
        <f>F413&amp;E413&amp;G413&amp;J413</f>
        <v/>
      </c>
    </row>
    <row r="414">
      <c r="B414" s="10" t="n">
        <v>44182</v>
      </c>
      <c r="C414" s="9">
        <f>TEXT(B414,"aaa")</f>
        <v/>
      </c>
      <c r="E414" s="9">
        <f>INDEX(매칭테이블!C:C,MATCH(RD!G414,매칭테이블!D:D,0))</f>
        <v/>
      </c>
      <c r="F414" s="9" t="inlineStr">
        <is>
          <t>카페24</t>
        </is>
      </c>
      <c r="G414" s="9" t="inlineStr">
        <is>
          <t>HAIR RÉ:COVERY 15 Nutritious Balm [라베나 리커버리 15 뉴트리셔스 밤]제품선택=뉴트리셔스밤 1개 + 헤어팩 트리트먼트 1개 세트 5%추가할인</t>
        </is>
      </c>
      <c r="H414" s="9" t="n">
        <v>6</v>
      </c>
      <c r="I414" s="9">
        <f>VLOOKUP(G414,매칭테이블!D:E,2,0)</f>
        <v/>
      </c>
      <c r="J414" s="9" t="n">
        <v>201210</v>
      </c>
      <c r="L414" s="9">
        <f>VLOOKUP($O414,매칭테이블!$G:$J,2,0)*H414</f>
        <v/>
      </c>
      <c r="M414" s="9">
        <f>L414-L414*VLOOKUP($O414,매칭테이블!$G:$J,3,0)</f>
        <v/>
      </c>
      <c r="N414" s="9">
        <f>VLOOKUP($O414,매칭테이블!$G:$J,4,0)*H414</f>
        <v/>
      </c>
      <c r="O414" s="9">
        <f>F414&amp;E414&amp;G414&amp;J414</f>
        <v/>
      </c>
    </row>
    <row r="415">
      <c r="B415" s="10" t="n">
        <v>44182</v>
      </c>
      <c r="C415" s="9">
        <f>TEXT(B415,"aaa")</f>
        <v/>
      </c>
      <c r="E415" s="9">
        <f>INDEX(매칭테이블!C:C,MATCH(RD!G415,매칭테이블!D:D,0))</f>
        <v/>
      </c>
      <c r="F415" s="9" t="inlineStr">
        <is>
          <t>카페24</t>
        </is>
      </c>
      <c r="G415" s="9" t="inlineStr">
        <is>
          <t>HAIR RÉ:COVERY 15 Revital Shampoo [라베나 리커버리 15 리바이탈 샴푸]제품선택=헤어 리커버리 15 리바이탈 샴푸 - 500ml</t>
        </is>
      </c>
      <c r="H415" s="9" t="n">
        <v>24</v>
      </c>
      <c r="I415" s="9">
        <f>VLOOKUP(G415,매칭테이블!D:E,2,0)</f>
        <v/>
      </c>
      <c r="J415" s="9" t="n">
        <v>201210</v>
      </c>
      <c r="L415" s="9">
        <f>VLOOKUP($O415,매칭테이블!$G:$J,2,0)*H415</f>
        <v/>
      </c>
      <c r="M415" s="9">
        <f>L415-L415*VLOOKUP($O415,매칭테이블!$G:$J,3,0)</f>
        <v/>
      </c>
      <c r="N415" s="9">
        <f>VLOOKUP($O415,매칭테이블!$G:$J,4,0)*H415</f>
        <v/>
      </c>
      <c r="O415" s="9">
        <f>F415&amp;E415&amp;G415&amp;J415</f>
        <v/>
      </c>
    </row>
    <row r="416">
      <c r="B416" s="10" t="n">
        <v>44182</v>
      </c>
      <c r="C416" s="9">
        <f>TEXT(B416,"aaa")</f>
        <v/>
      </c>
      <c r="E416" s="9">
        <f>INDEX(매칭테이블!C:C,MATCH(RD!G416,매칭테이블!D:D,0))</f>
        <v/>
      </c>
      <c r="F416" s="9" t="inlineStr">
        <is>
          <t>카페24</t>
        </is>
      </c>
      <c r="G416" s="9" t="inlineStr">
        <is>
          <t>HAIR RÉ:COVERY 15 Revital Shampoo [라베나 리커버리 15 리바이탈 샴푸]제품선택=리바이탈 샴푸 2개 세트 5%추가할인</t>
        </is>
      </c>
      <c r="H416" s="9" t="n">
        <v>1</v>
      </c>
      <c r="I416" s="9">
        <f>VLOOKUP(G416,매칭테이블!D:E,2,0)</f>
        <v/>
      </c>
      <c r="J416" s="9" t="n">
        <v>201210</v>
      </c>
      <c r="L416" s="9">
        <f>VLOOKUP($O416,매칭테이블!$G:$J,2,0)*H416</f>
        <v/>
      </c>
      <c r="M416" s="9">
        <f>L416-L416*VLOOKUP($O416,매칭테이블!$G:$J,3,0)</f>
        <v/>
      </c>
      <c r="N416" s="9">
        <f>VLOOKUP($O416,매칭테이블!$G:$J,4,0)*H416</f>
        <v/>
      </c>
      <c r="O416" s="9">
        <f>F416&amp;E416&amp;G416&amp;J416</f>
        <v/>
      </c>
    </row>
    <row r="417">
      <c r="B417" s="10" t="n">
        <v>44182</v>
      </c>
      <c r="C417" s="9">
        <f>TEXT(B417,"aaa")</f>
        <v/>
      </c>
      <c r="E417" s="9">
        <f>INDEX(매칭테이블!C:C,MATCH(RD!G417,매칭테이블!D:D,0))</f>
        <v/>
      </c>
      <c r="F417" s="9" t="inlineStr">
        <is>
          <t>카페24</t>
        </is>
      </c>
      <c r="G417" s="9" t="inlineStr">
        <is>
          <t>HAIR RÉ:COVERY 15 Revital Shampoo [라베나 리커버리 15 리바이탈 샴푸]제품선택=리바이탈 샴푸 3개 세트 10% 추가할인</t>
        </is>
      </c>
      <c r="H417" s="9" t="n">
        <v>1</v>
      </c>
      <c r="I417" s="9">
        <f>VLOOKUP(G417,매칭테이블!D:E,2,0)</f>
        <v/>
      </c>
      <c r="J417" s="9" t="n">
        <v>201210</v>
      </c>
      <c r="L417" s="9">
        <f>VLOOKUP($O417,매칭테이블!$G:$J,2,0)*H417</f>
        <v/>
      </c>
      <c r="M417" s="9">
        <f>L417-L417*VLOOKUP($O417,매칭테이블!$G:$J,3,0)</f>
        <v/>
      </c>
      <c r="N417" s="9">
        <f>VLOOKUP($O417,매칭테이블!$G:$J,4,0)*H417</f>
        <v/>
      </c>
      <c r="O417" s="9">
        <f>F417&amp;E417&amp;G417&amp;J417</f>
        <v/>
      </c>
    </row>
    <row r="418">
      <c r="B418" s="10" t="n">
        <v>44185</v>
      </c>
      <c r="C418" s="9">
        <f>TEXT(B418,"aaa")</f>
        <v/>
      </c>
      <c r="E418" s="9">
        <f>INDEX(매칭테이블!C:C,MATCH(RD!G418,매칭테이블!D:D,0))</f>
        <v/>
      </c>
      <c r="F418" s="9" t="inlineStr">
        <is>
          <t>카페24</t>
        </is>
      </c>
      <c r="G418" s="9" t="inlineStr">
        <is>
          <t>HAIR RÉ:COVERY 15 Hairpack Treatment [라베나 리커버리 15 헤어팩 트리트먼트]제품선택=헤어 리커버리 15 헤어팩 트리트먼트</t>
        </is>
      </c>
      <c r="H418" s="9" t="n">
        <v>81</v>
      </c>
      <c r="I418" s="9">
        <f>VLOOKUP(G418,매칭테이블!D:E,2,0)</f>
        <v/>
      </c>
      <c r="J418" s="9" t="n">
        <v>201210</v>
      </c>
      <c r="L418" s="9">
        <f>VLOOKUP($O418,매칭테이블!$G:$J,2,0)*H418</f>
        <v/>
      </c>
      <c r="M418" s="9">
        <f>L418-L418*VLOOKUP($O418,매칭테이블!$G:$J,3,0)</f>
        <v/>
      </c>
      <c r="N418" s="9">
        <f>VLOOKUP($O418,매칭테이블!$G:$J,4,0)*H418</f>
        <v/>
      </c>
      <c r="O418" s="9">
        <f>F418&amp;E418&amp;G418&amp;J418</f>
        <v/>
      </c>
    </row>
    <row r="419">
      <c r="B419" s="10" t="n">
        <v>44185</v>
      </c>
      <c r="C419" s="9">
        <f>TEXT(B419,"aaa")</f>
        <v/>
      </c>
      <c r="E419" s="9">
        <f>INDEX(매칭테이블!C:C,MATCH(RD!G419,매칭테이블!D:D,0))</f>
        <v/>
      </c>
      <c r="F419" s="9" t="inlineStr">
        <is>
          <t>카페24</t>
        </is>
      </c>
      <c r="G419" s="9" t="inlineStr">
        <is>
          <t>HAIR RÉ:COVERY 15 Hairpack Treatment [라베나 리커버리 15 헤어팩 트리트먼트]제품선택=헤어팩 트리트먼트 2개 세트 5% 추가할인</t>
        </is>
      </c>
      <c r="H419" s="9" t="n">
        <v>14</v>
      </c>
      <c r="I419" s="9">
        <f>VLOOKUP(G419,매칭테이블!D:E,2,0)</f>
        <v/>
      </c>
      <c r="J419" s="9" t="n">
        <v>201210</v>
      </c>
      <c r="L419" s="9">
        <f>VLOOKUP($O419,매칭테이블!$G:$J,2,0)*H419</f>
        <v/>
      </c>
      <c r="M419" s="9">
        <f>L419-L419*VLOOKUP($O419,매칭테이블!$G:$J,3,0)</f>
        <v/>
      </c>
      <c r="N419" s="9">
        <f>VLOOKUP($O419,매칭테이블!$G:$J,4,0)*H419</f>
        <v/>
      </c>
      <c r="O419" s="9">
        <f>F419&amp;E419&amp;G419&amp;J419</f>
        <v/>
      </c>
    </row>
    <row r="420">
      <c r="B420" s="10" t="n">
        <v>44185</v>
      </c>
      <c r="C420" s="9">
        <f>TEXT(B420,"aaa")</f>
        <v/>
      </c>
      <c r="E420" s="9">
        <f>INDEX(매칭테이블!C:C,MATCH(RD!G420,매칭테이블!D:D,0))</f>
        <v/>
      </c>
      <c r="F420" s="9" t="inlineStr">
        <is>
          <t>카페24</t>
        </is>
      </c>
      <c r="G420" s="9" t="inlineStr">
        <is>
          <t>HAIR RÉ:COVERY 15 Hairpack Treatment [라베나 리커버리 15 헤어팩 트리트먼트]제품선택=헤어팩 트리트먼트 3개 세트 10% 추가할인</t>
        </is>
      </c>
      <c r="H420" s="9" t="n">
        <v>10</v>
      </c>
      <c r="I420" s="9">
        <f>VLOOKUP(G420,매칭테이블!D:E,2,0)</f>
        <v/>
      </c>
      <c r="J420" s="9" t="n">
        <v>201210</v>
      </c>
      <c r="L420" s="9">
        <f>VLOOKUP($O420,매칭테이블!$G:$J,2,0)*H420</f>
        <v/>
      </c>
      <c r="M420" s="9">
        <f>L420-L420*VLOOKUP($O420,매칭테이블!$G:$J,3,0)</f>
        <v/>
      </c>
      <c r="N420" s="9">
        <f>VLOOKUP($O420,매칭테이블!$G:$J,4,0)*H420</f>
        <v/>
      </c>
      <c r="O420" s="9">
        <f>F420&amp;E420&amp;G420&amp;J420</f>
        <v/>
      </c>
    </row>
    <row r="421">
      <c r="B421" s="10" t="n">
        <v>44185</v>
      </c>
      <c r="C421" s="9">
        <f>TEXT(B421,"aaa")</f>
        <v/>
      </c>
      <c r="E421" s="9">
        <f>INDEX(매칭테이블!C:C,MATCH(RD!G421,매칭테이블!D:D,0))</f>
        <v/>
      </c>
      <c r="F421" s="9" t="inlineStr">
        <is>
          <t>카페24</t>
        </is>
      </c>
      <c r="G421" s="9" t="inlineStr">
        <is>
          <t>HAIR RÉ:COVERY 15 Hairpack Treatment [라베나 리커버리 15 헤어팩 트리트먼트]제품선택=헤어팩 트리트먼트 1개 + 뉴트리셔스밤 1개 세트 5% 추가할인</t>
        </is>
      </c>
      <c r="H421" s="9" t="n">
        <v>10</v>
      </c>
      <c r="I421" s="9">
        <f>VLOOKUP(G421,매칭테이블!D:E,2,0)</f>
        <v/>
      </c>
      <c r="J421" s="9" t="n">
        <v>201210</v>
      </c>
      <c r="L421" s="9">
        <f>VLOOKUP($O421,매칭테이블!$G:$J,2,0)*H421</f>
        <v/>
      </c>
      <c r="M421" s="9">
        <f>L421-L421*VLOOKUP($O421,매칭테이블!$G:$J,3,0)</f>
        <v/>
      </c>
      <c r="N421" s="9">
        <f>VLOOKUP($O421,매칭테이블!$G:$J,4,0)*H421</f>
        <v/>
      </c>
      <c r="O421" s="9">
        <f>F421&amp;E421&amp;G421&amp;J421</f>
        <v/>
      </c>
    </row>
    <row r="422">
      <c r="B422" s="10" t="n">
        <v>44185</v>
      </c>
      <c r="C422" s="9">
        <f>TEXT(B422,"aaa")</f>
        <v/>
      </c>
      <c r="E422" s="9">
        <f>INDEX(매칭테이블!C:C,MATCH(RD!G422,매칭테이블!D:D,0))</f>
        <v/>
      </c>
      <c r="F422" s="9" t="inlineStr">
        <is>
          <t>카페24</t>
        </is>
      </c>
      <c r="G422" s="9" t="inlineStr">
        <is>
          <t>HAIR RÉ:COVERY 15 Nutritious Balm [라베나 리커버리 15 뉴트리셔스 밤]제품선택=헤어 리커버리 15 뉴트리셔스 밤</t>
        </is>
      </c>
      <c r="H422" s="9" t="n">
        <v>9</v>
      </c>
      <c r="I422" s="9">
        <f>VLOOKUP(G422,매칭테이블!D:E,2,0)</f>
        <v/>
      </c>
      <c r="J422" s="9" t="n">
        <v>201210</v>
      </c>
      <c r="L422" s="9">
        <f>VLOOKUP($O422,매칭테이블!$G:$J,2,0)*H422</f>
        <v/>
      </c>
      <c r="M422" s="9">
        <f>L422-L422*VLOOKUP($O422,매칭테이블!$G:$J,3,0)</f>
        <v/>
      </c>
      <c r="N422" s="9">
        <f>VLOOKUP($O422,매칭테이블!$G:$J,4,0)*H422</f>
        <v/>
      </c>
      <c r="O422" s="9">
        <f>F422&amp;E422&amp;G422&amp;J422</f>
        <v/>
      </c>
    </row>
    <row r="423">
      <c r="B423" s="10" t="n">
        <v>44185</v>
      </c>
      <c r="C423" s="9">
        <f>TEXT(B423,"aaa")</f>
        <v/>
      </c>
      <c r="E423" s="9">
        <f>INDEX(매칭테이블!C:C,MATCH(RD!G423,매칭테이블!D:D,0))</f>
        <v/>
      </c>
      <c r="F423" s="9" t="inlineStr">
        <is>
          <t>카페24</t>
        </is>
      </c>
      <c r="G423" s="9" t="inlineStr">
        <is>
          <t>HAIR RÉ:COVERY 15 Nutritious Balm [라베나 리커버리 15 뉴트리셔스 밤]제품선택=뉴트리셔스 밤 2개 세트 5% 추가할인</t>
        </is>
      </c>
      <c r="H423" s="9" t="n">
        <v>1</v>
      </c>
      <c r="I423" s="9">
        <f>VLOOKUP(G423,매칭테이블!D:E,2,0)</f>
        <v/>
      </c>
      <c r="J423" s="9" t="n">
        <v>201210</v>
      </c>
      <c r="L423" s="9">
        <f>VLOOKUP($O423,매칭테이블!$G:$J,2,0)*H423</f>
        <v/>
      </c>
      <c r="M423" s="9">
        <f>L423-L423*VLOOKUP($O423,매칭테이블!$G:$J,3,0)</f>
        <v/>
      </c>
      <c r="N423" s="9">
        <f>VLOOKUP($O423,매칭테이블!$G:$J,4,0)*H423</f>
        <v/>
      </c>
      <c r="O423" s="9">
        <f>F423&amp;E423&amp;G423&amp;J423</f>
        <v/>
      </c>
    </row>
    <row r="424">
      <c r="B424" s="10" t="n">
        <v>44185</v>
      </c>
      <c r="C424" s="9">
        <f>TEXT(B424,"aaa")</f>
        <v/>
      </c>
      <c r="E424" s="9">
        <f>INDEX(매칭테이블!C:C,MATCH(RD!G424,매칭테이블!D:D,0))</f>
        <v/>
      </c>
      <c r="F424" s="9" t="inlineStr">
        <is>
          <t>카페24</t>
        </is>
      </c>
      <c r="G424" s="9" t="inlineStr">
        <is>
          <t>HAIR RÉ:COVERY 15 Nutritious Balm [라베나 리커버리 15 뉴트리셔스 밤]제품선택=뉴트리셔스 밤 3개 세트 10% 추가할인</t>
        </is>
      </c>
      <c r="H424" s="9" t="n">
        <v>1</v>
      </c>
      <c r="I424" s="9">
        <f>VLOOKUP(G424,매칭테이블!D:E,2,0)</f>
        <v/>
      </c>
      <c r="J424" s="9" t="n">
        <v>201210</v>
      </c>
      <c r="L424" s="9">
        <f>VLOOKUP($O424,매칭테이블!$G:$J,2,0)*H424</f>
        <v/>
      </c>
      <c r="M424" s="9">
        <f>L424-L424*VLOOKUP($O424,매칭테이블!$G:$J,3,0)</f>
        <v/>
      </c>
      <c r="N424" s="9">
        <f>VLOOKUP($O424,매칭테이블!$G:$J,4,0)*H424</f>
        <v/>
      </c>
      <c r="O424" s="9">
        <f>F424&amp;E424&amp;G424&amp;J424</f>
        <v/>
      </c>
    </row>
    <row r="425">
      <c r="B425" s="10" t="n">
        <v>44185</v>
      </c>
      <c r="C425" s="9">
        <f>TEXT(B425,"aaa")</f>
        <v/>
      </c>
      <c r="E425" s="9">
        <f>INDEX(매칭테이블!C:C,MATCH(RD!G425,매칭테이블!D:D,0))</f>
        <v/>
      </c>
      <c r="F425" s="9" t="inlineStr">
        <is>
          <t>카페24</t>
        </is>
      </c>
      <c r="G425" s="9" t="inlineStr">
        <is>
          <t>HAIR RÉ:COVERY 15 Nutritious Balm [라베나 리커버리 15 뉴트리셔스 밤]제품선택=뉴트리셔스밤 1개 + 헤어팩 트리트먼트 1개 세트 5%추가할인</t>
        </is>
      </c>
      <c r="H425" s="9" t="n">
        <v>4</v>
      </c>
      <c r="I425" s="9">
        <f>VLOOKUP(G425,매칭테이블!D:E,2,0)</f>
        <v/>
      </c>
      <c r="J425" s="9" t="n">
        <v>201210</v>
      </c>
      <c r="L425" s="9">
        <f>VLOOKUP($O425,매칭테이블!$G:$J,2,0)*H425</f>
        <v/>
      </c>
      <c r="M425" s="9">
        <f>L425-L425*VLOOKUP($O425,매칭테이블!$G:$J,3,0)</f>
        <v/>
      </c>
      <c r="N425" s="9">
        <f>VLOOKUP($O425,매칭테이블!$G:$J,4,0)*H425</f>
        <v/>
      </c>
      <c r="O425" s="9">
        <f>F425&amp;E425&amp;G425&amp;J425</f>
        <v/>
      </c>
    </row>
    <row r="426">
      <c r="B426" s="10" t="n">
        <v>44185</v>
      </c>
      <c r="C426" s="9">
        <f>TEXT(B426,"aaa")</f>
        <v/>
      </c>
      <c r="E426" s="9">
        <f>INDEX(매칭테이블!C:C,MATCH(RD!G426,매칭테이블!D:D,0))</f>
        <v/>
      </c>
      <c r="F426" s="9" t="inlineStr">
        <is>
          <t>카페24</t>
        </is>
      </c>
      <c r="G426" s="9" t="inlineStr">
        <is>
          <t>HAIR RÉ:COVERY 15 Revital Shampoo [라베나 리커버리 15 리바이탈 샴푸]제품선택=헤어 리커버리 15 리바이탈 샴푸 - 500ml</t>
        </is>
      </c>
      <c r="H426" s="9" t="n">
        <v>41</v>
      </c>
      <c r="I426" s="9">
        <f>VLOOKUP(G426,매칭테이블!D:E,2,0)</f>
        <v/>
      </c>
      <c r="J426" s="9" t="n">
        <v>201210</v>
      </c>
      <c r="L426" s="9">
        <f>VLOOKUP($O426,매칭테이블!$G:$J,2,0)*H426</f>
        <v/>
      </c>
      <c r="M426" s="9">
        <f>L426-L426*VLOOKUP($O426,매칭테이블!$G:$J,3,0)</f>
        <v/>
      </c>
      <c r="N426" s="9">
        <f>VLOOKUP($O426,매칭테이블!$G:$J,4,0)*H426</f>
        <v/>
      </c>
      <c r="O426" s="9">
        <f>F426&amp;E426&amp;G426&amp;J426</f>
        <v/>
      </c>
    </row>
    <row r="427">
      <c r="B427" s="10" t="n">
        <v>44185</v>
      </c>
      <c r="C427" s="9">
        <f>TEXT(B427,"aaa")</f>
        <v/>
      </c>
      <c r="E427" s="9">
        <f>INDEX(매칭테이블!C:C,MATCH(RD!G427,매칭테이블!D:D,0))</f>
        <v/>
      </c>
      <c r="F427" s="9" t="inlineStr">
        <is>
          <t>카페24</t>
        </is>
      </c>
      <c r="G427" s="9" t="inlineStr">
        <is>
          <t>HAIR RÉ:COVERY 15 Revital Shampoo [라베나 리커버리 15 리바이탈 샴푸]제품선택=리바이탈 샴푸 2개 세트 5%추가할인</t>
        </is>
      </c>
      <c r="H427" s="9" t="n">
        <v>6</v>
      </c>
      <c r="I427" s="9">
        <f>VLOOKUP(G427,매칭테이블!D:E,2,0)</f>
        <v/>
      </c>
      <c r="J427" s="9" t="n">
        <v>201210</v>
      </c>
      <c r="L427" s="9">
        <f>VLOOKUP($O427,매칭테이블!$G:$J,2,0)*H427</f>
        <v/>
      </c>
      <c r="M427" s="9">
        <f>L427-L427*VLOOKUP($O427,매칭테이블!$G:$J,3,0)</f>
        <v/>
      </c>
      <c r="N427" s="9">
        <f>VLOOKUP($O427,매칭테이블!$G:$J,4,0)*H427</f>
        <v/>
      </c>
      <c r="O427" s="9">
        <f>F427&amp;E427&amp;G427&amp;J427</f>
        <v/>
      </c>
    </row>
    <row r="428">
      <c r="B428" s="10" t="n">
        <v>44185</v>
      </c>
      <c r="C428" s="9">
        <f>TEXT(B428,"aaa")</f>
        <v/>
      </c>
      <c r="E428" s="9">
        <f>INDEX(매칭테이블!C:C,MATCH(RD!G428,매칭테이블!D:D,0))</f>
        <v/>
      </c>
      <c r="F428" s="9" t="inlineStr">
        <is>
          <t>카페24</t>
        </is>
      </c>
      <c r="G428" s="9" t="inlineStr">
        <is>
          <t>HAIR RÉ:COVERY 15 Revital Shampoo [라베나 리커버리 15 리바이탈 샴푸]제품선택=리바이탈 샴푸 3개 세트 10% 추가할인</t>
        </is>
      </c>
      <c r="H428" s="9" t="n">
        <v>4</v>
      </c>
      <c r="I428" s="9">
        <f>VLOOKUP(G428,매칭테이블!D:E,2,0)</f>
        <v/>
      </c>
      <c r="J428" s="9" t="n">
        <v>201210</v>
      </c>
      <c r="L428" s="9">
        <f>VLOOKUP($O428,매칭테이블!$G:$J,2,0)*H428</f>
        <v/>
      </c>
      <c r="M428" s="9">
        <f>L428-L428*VLOOKUP($O428,매칭테이블!$G:$J,3,0)</f>
        <v/>
      </c>
      <c r="N428" s="9">
        <f>VLOOKUP($O428,매칭테이블!$G:$J,4,0)*H428</f>
        <v/>
      </c>
      <c r="O428" s="9">
        <f>F428&amp;E428&amp;G428&amp;J428</f>
        <v/>
      </c>
    </row>
    <row r="429">
      <c r="B429" s="10" t="n">
        <v>44184</v>
      </c>
      <c r="C429" s="9">
        <f>TEXT(B429,"aaa")</f>
        <v/>
      </c>
      <c r="E429" s="9">
        <f>INDEX(매칭테이블!C:C,MATCH(RD!G429,매칭테이블!D:D,0))</f>
        <v/>
      </c>
      <c r="F429" s="9" t="inlineStr">
        <is>
          <t>카페24</t>
        </is>
      </c>
      <c r="G429" s="9" t="inlineStr">
        <is>
          <t>HAIR RÉ:COVERY 15 Hairpack Treatment [라베나 리커버리 15 헤어팩 트리트먼트]제품선택=헤어 리커버리 15 헤어팩 트리트먼트</t>
        </is>
      </c>
      <c r="H429" s="9" t="n">
        <v>34</v>
      </c>
      <c r="I429" s="9">
        <f>VLOOKUP(G429,매칭테이블!D:E,2,0)</f>
        <v/>
      </c>
      <c r="J429" s="9" t="n">
        <v>201210</v>
      </c>
      <c r="L429" s="9">
        <f>VLOOKUP($O429,매칭테이블!$G:$J,2,0)*H429</f>
        <v/>
      </c>
      <c r="M429" s="9">
        <f>L429-L429*VLOOKUP($O429,매칭테이블!$G:$J,3,0)</f>
        <v/>
      </c>
      <c r="N429" s="9">
        <f>VLOOKUP($O429,매칭테이블!$G:$J,4,0)*H429</f>
        <v/>
      </c>
      <c r="O429" s="9">
        <f>F429&amp;E429&amp;G429&amp;J429</f>
        <v/>
      </c>
    </row>
    <row r="430">
      <c r="B430" s="10" t="n">
        <v>44184</v>
      </c>
      <c r="C430" s="9">
        <f>TEXT(B430,"aaa")</f>
        <v/>
      </c>
      <c r="E430" s="9">
        <f>INDEX(매칭테이블!C:C,MATCH(RD!G430,매칭테이블!D:D,0))</f>
        <v/>
      </c>
      <c r="F430" s="9" t="inlineStr">
        <is>
          <t>카페24</t>
        </is>
      </c>
      <c r="G430" s="9" t="inlineStr">
        <is>
          <t>HAIR RÉ:COVERY 15 Hairpack Treatment [라베나 리커버리 15 헤어팩 트리트먼트]제품선택=헤어팩 트리트먼트 2개 세트 5% 추가할인</t>
        </is>
      </c>
      <c r="H430" s="9" t="n">
        <v>15</v>
      </c>
      <c r="I430" s="9">
        <f>VLOOKUP(G430,매칭테이블!D:E,2,0)</f>
        <v/>
      </c>
      <c r="J430" s="9" t="n">
        <v>201210</v>
      </c>
      <c r="L430" s="9">
        <f>VLOOKUP($O430,매칭테이블!$G:$J,2,0)*H430</f>
        <v/>
      </c>
      <c r="M430" s="9">
        <f>L430-L430*VLOOKUP($O430,매칭테이블!$G:$J,3,0)</f>
        <v/>
      </c>
      <c r="N430" s="9">
        <f>VLOOKUP($O430,매칭테이블!$G:$J,4,0)*H430</f>
        <v/>
      </c>
      <c r="O430" s="9">
        <f>F430&amp;E430&amp;G430&amp;J430</f>
        <v/>
      </c>
    </row>
    <row r="431">
      <c r="B431" s="10" t="n">
        <v>44184</v>
      </c>
      <c r="C431" s="9">
        <f>TEXT(B431,"aaa")</f>
        <v/>
      </c>
      <c r="E431" s="9">
        <f>INDEX(매칭테이블!C:C,MATCH(RD!G431,매칭테이블!D:D,0))</f>
        <v/>
      </c>
      <c r="F431" s="9" t="inlineStr">
        <is>
          <t>카페24</t>
        </is>
      </c>
      <c r="G431" s="9" t="inlineStr">
        <is>
          <t>HAIR RÉ:COVERY 15 Hairpack Treatment [라베나 리커버리 15 헤어팩 트리트먼트]제품선택=헤어팩 트리트먼트 3개 세트 10% 추가할인</t>
        </is>
      </c>
      <c r="H431" s="9" t="n">
        <v>4</v>
      </c>
      <c r="I431" s="9">
        <f>VLOOKUP(G431,매칭테이블!D:E,2,0)</f>
        <v/>
      </c>
      <c r="J431" s="9" t="n">
        <v>201210</v>
      </c>
      <c r="L431" s="9">
        <f>VLOOKUP($O431,매칭테이블!$G:$J,2,0)*H431</f>
        <v/>
      </c>
      <c r="M431" s="9">
        <f>L431-L431*VLOOKUP($O431,매칭테이블!$G:$J,3,0)</f>
        <v/>
      </c>
      <c r="N431" s="9">
        <f>VLOOKUP($O431,매칭테이블!$G:$J,4,0)*H431</f>
        <v/>
      </c>
      <c r="O431" s="9">
        <f>F431&amp;E431&amp;G431&amp;J431</f>
        <v/>
      </c>
    </row>
    <row r="432">
      <c r="B432" s="10" t="n">
        <v>44184</v>
      </c>
      <c r="C432" s="9">
        <f>TEXT(B432,"aaa")</f>
        <v/>
      </c>
      <c r="E432" s="9">
        <f>INDEX(매칭테이블!C:C,MATCH(RD!G432,매칭테이블!D:D,0))</f>
        <v/>
      </c>
      <c r="F432" s="9" t="inlineStr">
        <is>
          <t>카페24</t>
        </is>
      </c>
      <c r="G432" s="9" t="inlineStr">
        <is>
          <t>HAIR RÉ:COVERY 15 Hairpack Treatment [라베나 리커버리 15 헤어팩 트리트먼트]제품선택=헤어팩 트리트먼트 1개 + 뉴트리셔스밤 1개 세트 5% 추가할인</t>
        </is>
      </c>
      <c r="H432" s="9" t="n">
        <v>5</v>
      </c>
      <c r="I432" s="9">
        <f>VLOOKUP(G432,매칭테이블!D:E,2,0)</f>
        <v/>
      </c>
      <c r="J432" s="9" t="n">
        <v>201210</v>
      </c>
      <c r="L432" s="9">
        <f>VLOOKUP($O432,매칭테이블!$G:$J,2,0)*H432</f>
        <v/>
      </c>
      <c r="M432" s="9">
        <f>L432-L432*VLOOKUP($O432,매칭테이블!$G:$J,3,0)</f>
        <v/>
      </c>
      <c r="N432" s="9">
        <f>VLOOKUP($O432,매칭테이블!$G:$J,4,0)*H432</f>
        <v/>
      </c>
      <c r="O432" s="9">
        <f>F432&amp;E432&amp;G432&amp;J432</f>
        <v/>
      </c>
    </row>
    <row r="433">
      <c r="B433" s="10" t="n">
        <v>44184</v>
      </c>
      <c r="C433" s="9">
        <f>TEXT(B433,"aaa")</f>
        <v/>
      </c>
      <c r="E433" s="9">
        <f>INDEX(매칭테이블!C:C,MATCH(RD!G433,매칭테이블!D:D,0))</f>
        <v/>
      </c>
      <c r="F433" s="9" t="inlineStr">
        <is>
          <t>카페24</t>
        </is>
      </c>
      <c r="G433" s="9" t="inlineStr">
        <is>
          <t>HAIR RÉ:COVERY 15 Nutritious Balm [라베나 리커버리 15 뉴트리셔스 밤]제품선택=헤어 리커버리 15 뉴트리셔스 밤</t>
        </is>
      </c>
      <c r="H433" s="9" t="n">
        <v>8</v>
      </c>
      <c r="I433" s="9">
        <f>VLOOKUP(G433,매칭테이블!D:E,2,0)</f>
        <v/>
      </c>
      <c r="J433" s="9" t="n">
        <v>201210</v>
      </c>
      <c r="L433" s="9">
        <f>VLOOKUP($O433,매칭테이블!$G:$J,2,0)*H433</f>
        <v/>
      </c>
      <c r="M433" s="9">
        <f>L433-L433*VLOOKUP($O433,매칭테이블!$G:$J,3,0)</f>
        <v/>
      </c>
      <c r="N433" s="9">
        <f>VLOOKUP($O433,매칭테이블!$G:$J,4,0)*H433</f>
        <v/>
      </c>
      <c r="O433" s="9">
        <f>F433&amp;E433&amp;G433&amp;J433</f>
        <v/>
      </c>
    </row>
    <row r="434">
      <c r="B434" s="10" t="n">
        <v>44184</v>
      </c>
      <c r="C434" s="9">
        <f>TEXT(B434,"aaa")</f>
        <v/>
      </c>
      <c r="E434" s="9">
        <f>INDEX(매칭테이블!C:C,MATCH(RD!G434,매칭테이블!D:D,0))</f>
        <v/>
      </c>
      <c r="F434" s="9" t="inlineStr">
        <is>
          <t>카페24</t>
        </is>
      </c>
      <c r="G434" s="9" t="inlineStr">
        <is>
          <t>HAIR RÉ:COVERY 15 Nutritious Balm [라베나 리커버리 15 뉴트리셔스 밤]제품선택=뉴트리셔스 밤 2개 세트 5% 추가할인</t>
        </is>
      </c>
      <c r="H434" s="9" t="n">
        <v>3</v>
      </c>
      <c r="I434" s="9">
        <f>VLOOKUP(G434,매칭테이블!D:E,2,0)</f>
        <v/>
      </c>
      <c r="J434" s="9" t="n">
        <v>201210</v>
      </c>
      <c r="L434" s="9">
        <f>VLOOKUP($O434,매칭테이블!$G:$J,2,0)*H434</f>
        <v/>
      </c>
      <c r="M434" s="9">
        <f>L434-L434*VLOOKUP($O434,매칭테이블!$G:$J,3,0)</f>
        <v/>
      </c>
      <c r="N434" s="9">
        <f>VLOOKUP($O434,매칭테이블!$G:$J,4,0)*H434</f>
        <v/>
      </c>
      <c r="O434" s="9">
        <f>F434&amp;E434&amp;G434&amp;J434</f>
        <v/>
      </c>
    </row>
    <row r="435">
      <c r="B435" s="10" t="n">
        <v>44184</v>
      </c>
      <c r="C435" s="9">
        <f>TEXT(B435,"aaa")</f>
        <v/>
      </c>
      <c r="E435" s="9">
        <f>INDEX(매칭테이블!C:C,MATCH(RD!G435,매칭테이블!D:D,0))</f>
        <v/>
      </c>
      <c r="F435" s="9" t="inlineStr">
        <is>
          <t>카페24</t>
        </is>
      </c>
      <c r="G435" s="9" t="inlineStr">
        <is>
          <t>HAIR RÉ:COVERY 15 Nutritious Balm [라베나 리커버리 15 뉴트리셔스 밤]제품선택=뉴트리셔스밤 1개 + 헤어팩 트리트먼트 1개 세트 5%추가할인</t>
        </is>
      </c>
      <c r="H435" s="9" t="n">
        <v>2</v>
      </c>
      <c r="I435" s="9">
        <f>VLOOKUP(G435,매칭테이블!D:E,2,0)</f>
        <v/>
      </c>
      <c r="J435" s="9" t="n">
        <v>201210</v>
      </c>
      <c r="L435" s="9">
        <f>VLOOKUP($O435,매칭테이블!$G:$J,2,0)*H435</f>
        <v/>
      </c>
      <c r="M435" s="9">
        <f>L435-L435*VLOOKUP($O435,매칭테이블!$G:$J,3,0)</f>
        <v/>
      </c>
      <c r="N435" s="9">
        <f>VLOOKUP($O435,매칭테이블!$G:$J,4,0)*H435</f>
        <v/>
      </c>
      <c r="O435" s="9">
        <f>F435&amp;E435&amp;G435&amp;J435</f>
        <v/>
      </c>
    </row>
    <row r="436">
      <c r="B436" s="10" t="n">
        <v>44184</v>
      </c>
      <c r="C436" s="9">
        <f>TEXT(B436,"aaa")</f>
        <v/>
      </c>
      <c r="E436" s="9">
        <f>INDEX(매칭테이블!C:C,MATCH(RD!G436,매칭테이블!D:D,0))</f>
        <v/>
      </c>
      <c r="F436" s="9" t="inlineStr">
        <is>
          <t>카페24</t>
        </is>
      </c>
      <c r="G436" s="9" t="inlineStr">
        <is>
          <t>HAIR RÉ:COVERY 15 Revital Shampoo [라베나 리커버리 15 리바이탈 샴푸]제품선택=헤어 리커버리 15 리바이탈 샴푸 - 500ml</t>
        </is>
      </c>
      <c r="H436" s="9" t="n">
        <v>21</v>
      </c>
      <c r="I436" s="9">
        <f>VLOOKUP(G436,매칭테이블!D:E,2,0)</f>
        <v/>
      </c>
      <c r="J436" s="9" t="n">
        <v>201210</v>
      </c>
      <c r="L436" s="9">
        <f>VLOOKUP($O436,매칭테이블!$G:$J,2,0)*H436</f>
        <v/>
      </c>
      <c r="M436" s="9">
        <f>L436-L436*VLOOKUP($O436,매칭테이블!$G:$J,3,0)</f>
        <v/>
      </c>
      <c r="N436" s="9">
        <f>VLOOKUP($O436,매칭테이블!$G:$J,4,0)*H436</f>
        <v/>
      </c>
      <c r="O436" s="9">
        <f>F436&amp;E436&amp;G436&amp;J436</f>
        <v/>
      </c>
    </row>
    <row r="437">
      <c r="B437" s="10" t="n">
        <v>44184</v>
      </c>
      <c r="C437" s="9">
        <f>TEXT(B437,"aaa")</f>
        <v/>
      </c>
      <c r="E437" s="9">
        <f>INDEX(매칭테이블!C:C,MATCH(RD!G437,매칭테이블!D:D,0))</f>
        <v/>
      </c>
      <c r="F437" s="9" t="inlineStr">
        <is>
          <t>카페24</t>
        </is>
      </c>
      <c r="G437" s="9" t="inlineStr">
        <is>
          <t>HAIR RÉ:COVERY 15 Revital Shampoo [라베나 리커버리 15 리바이탈 샴푸]제품선택=리바이탈 샴푸 2개 세트 5%추가할인</t>
        </is>
      </c>
      <c r="H437" s="9" t="n">
        <v>1</v>
      </c>
      <c r="I437" s="9">
        <f>VLOOKUP(G437,매칭테이블!D:E,2,0)</f>
        <v/>
      </c>
      <c r="J437" s="9" t="n">
        <v>201210</v>
      </c>
      <c r="L437" s="9">
        <f>VLOOKUP($O437,매칭테이블!$G:$J,2,0)*H437</f>
        <v/>
      </c>
      <c r="M437" s="9">
        <f>L437-L437*VLOOKUP($O437,매칭테이블!$G:$J,3,0)</f>
        <v/>
      </c>
      <c r="N437" s="9">
        <f>VLOOKUP($O437,매칭테이블!$G:$J,4,0)*H437</f>
        <v/>
      </c>
      <c r="O437" s="9">
        <f>F437&amp;E437&amp;G437&amp;J437</f>
        <v/>
      </c>
    </row>
    <row r="438">
      <c r="B438" s="10" t="n">
        <v>44184</v>
      </c>
      <c r="C438" s="9">
        <f>TEXT(B438,"aaa")</f>
        <v/>
      </c>
      <c r="E438" s="9">
        <f>INDEX(매칭테이블!C:C,MATCH(RD!G438,매칭테이블!D:D,0))</f>
        <v/>
      </c>
      <c r="F438" s="9" t="inlineStr">
        <is>
          <t>카페24</t>
        </is>
      </c>
      <c r="G438" s="9" t="inlineStr">
        <is>
          <t>HAIR RÉ:COVERY 15 Revital Shampoo [라베나 리커버리 15 리바이탈 샴푸]제품선택=리바이탈 샴푸 3개 세트 10% 추가할인</t>
        </is>
      </c>
      <c r="H438" s="9" t="n">
        <v>3</v>
      </c>
      <c r="I438" s="9">
        <f>VLOOKUP(G438,매칭테이블!D:E,2,0)</f>
        <v/>
      </c>
      <c r="J438" s="9" t="n">
        <v>201210</v>
      </c>
      <c r="L438" s="9">
        <f>VLOOKUP($O438,매칭테이블!$G:$J,2,0)*H438</f>
        <v/>
      </c>
      <c r="M438" s="9">
        <f>L438-L438*VLOOKUP($O438,매칭테이블!$G:$J,3,0)</f>
        <v/>
      </c>
      <c r="N438" s="9">
        <f>VLOOKUP($O438,매칭테이블!$G:$J,4,0)*H438</f>
        <v/>
      </c>
      <c r="O438" s="9">
        <f>F438&amp;E438&amp;G438&amp;J438</f>
        <v/>
      </c>
    </row>
    <row r="439">
      <c r="B439" s="10" t="n">
        <v>44183</v>
      </c>
      <c r="C439" s="9">
        <f>TEXT(B439,"aaa")</f>
        <v/>
      </c>
      <c r="E439" s="9">
        <f>INDEX(매칭테이블!C:C,MATCH(RD!G439,매칭테이블!D:D,0))</f>
        <v/>
      </c>
      <c r="F439" s="9" t="inlineStr">
        <is>
          <t>카페24</t>
        </is>
      </c>
      <c r="G439" s="9" t="inlineStr">
        <is>
          <t>HAIR RÉ:COVERY 15 Hairpack Treatment [라베나 리커버리 15 헤어팩 트리트먼트]제품선택=헤어 리커버리 15 헤어팩 트리트먼트</t>
        </is>
      </c>
      <c r="H439" s="9" t="n">
        <v>73</v>
      </c>
      <c r="I439" s="9">
        <f>VLOOKUP(G439,매칭테이블!D:E,2,0)</f>
        <v/>
      </c>
      <c r="J439" s="9" t="n">
        <v>201210</v>
      </c>
      <c r="L439" s="9">
        <f>VLOOKUP($O439,매칭테이블!$G:$J,2,0)*H439</f>
        <v/>
      </c>
      <c r="M439" s="9">
        <f>L439-L439*VLOOKUP($O439,매칭테이블!$G:$J,3,0)</f>
        <v/>
      </c>
      <c r="N439" s="9">
        <f>VLOOKUP($O439,매칭테이블!$G:$J,4,0)*H439</f>
        <v/>
      </c>
      <c r="O439" s="9">
        <f>F439&amp;E439&amp;G439&amp;J439</f>
        <v/>
      </c>
    </row>
    <row r="440">
      <c r="B440" s="10" t="n">
        <v>44183</v>
      </c>
      <c r="C440" s="9">
        <f>TEXT(B440,"aaa")</f>
        <v/>
      </c>
      <c r="E440" s="9">
        <f>INDEX(매칭테이블!C:C,MATCH(RD!G440,매칭테이블!D:D,0))</f>
        <v/>
      </c>
      <c r="F440" s="9" t="inlineStr">
        <is>
          <t>카페24</t>
        </is>
      </c>
      <c r="G440" s="9" t="inlineStr">
        <is>
          <t>HAIR RÉ:COVERY 15 Hairpack Treatment [라베나 리커버리 15 헤어팩 트리트먼트]제품선택=헤어팩 트리트먼트 2개 세트 5% 추가할인</t>
        </is>
      </c>
      <c r="H440" s="9" t="n">
        <v>13</v>
      </c>
      <c r="I440" s="9">
        <f>VLOOKUP(G440,매칭테이블!D:E,2,0)</f>
        <v/>
      </c>
      <c r="J440" s="9" t="n">
        <v>201210</v>
      </c>
      <c r="L440" s="9">
        <f>VLOOKUP($O440,매칭테이블!$G:$J,2,0)*H440</f>
        <v/>
      </c>
      <c r="M440" s="9">
        <f>L440-L440*VLOOKUP($O440,매칭테이블!$G:$J,3,0)</f>
        <v/>
      </c>
      <c r="N440" s="9">
        <f>VLOOKUP($O440,매칭테이블!$G:$J,4,0)*H440</f>
        <v/>
      </c>
      <c r="O440" s="9">
        <f>F440&amp;E440&amp;G440&amp;J440</f>
        <v/>
      </c>
    </row>
    <row r="441">
      <c r="B441" s="10" t="n">
        <v>44183</v>
      </c>
      <c r="C441" s="9">
        <f>TEXT(B441,"aaa")</f>
        <v/>
      </c>
      <c r="E441" s="9">
        <f>INDEX(매칭테이블!C:C,MATCH(RD!G441,매칭테이블!D:D,0))</f>
        <v/>
      </c>
      <c r="F441" s="9" t="inlineStr">
        <is>
          <t>카페24</t>
        </is>
      </c>
      <c r="G441" s="9" t="inlineStr">
        <is>
          <t>HAIR RÉ:COVERY 15 Hairpack Treatment [라베나 리커버리 15 헤어팩 트리트먼트]제품선택=헤어팩 트리트먼트 3개 세트 10% 추가할인</t>
        </is>
      </c>
      <c r="H441" s="9" t="n">
        <v>11</v>
      </c>
      <c r="I441" s="9">
        <f>VLOOKUP(G441,매칭테이블!D:E,2,0)</f>
        <v/>
      </c>
      <c r="J441" s="9" t="n">
        <v>201210</v>
      </c>
      <c r="L441" s="9">
        <f>VLOOKUP($O441,매칭테이블!$G:$J,2,0)*H441</f>
        <v/>
      </c>
      <c r="M441" s="9">
        <f>L441-L441*VLOOKUP($O441,매칭테이블!$G:$J,3,0)</f>
        <v/>
      </c>
      <c r="N441" s="9">
        <f>VLOOKUP($O441,매칭테이블!$G:$J,4,0)*H441</f>
        <v/>
      </c>
      <c r="O441" s="9">
        <f>F441&amp;E441&amp;G441&amp;J441</f>
        <v/>
      </c>
    </row>
    <row r="442">
      <c r="B442" s="10" t="n">
        <v>44183</v>
      </c>
      <c r="C442" s="9">
        <f>TEXT(B442,"aaa")</f>
        <v/>
      </c>
      <c r="E442" s="9">
        <f>INDEX(매칭테이블!C:C,MATCH(RD!G442,매칭테이블!D:D,0))</f>
        <v/>
      </c>
      <c r="F442" s="9" t="inlineStr">
        <is>
          <t>카페24</t>
        </is>
      </c>
      <c r="G442" s="9" t="inlineStr">
        <is>
          <t>HAIR RÉ:COVERY 15 Hairpack Treatment [라베나 리커버리 15 헤어팩 트리트먼트]제품선택=헤어팩 트리트먼트 1개 + 뉴트리셔스밤 1개 세트 5% 추가할인</t>
        </is>
      </c>
      <c r="H442" s="9" t="n">
        <v>12</v>
      </c>
      <c r="I442" s="9">
        <f>VLOOKUP(G442,매칭테이블!D:E,2,0)</f>
        <v/>
      </c>
      <c r="J442" s="9" t="n">
        <v>201210</v>
      </c>
      <c r="L442" s="9">
        <f>VLOOKUP($O442,매칭테이블!$G:$J,2,0)*H442</f>
        <v/>
      </c>
      <c r="M442" s="9">
        <f>L442-L442*VLOOKUP($O442,매칭테이블!$G:$J,3,0)</f>
        <v/>
      </c>
      <c r="N442" s="9">
        <f>VLOOKUP($O442,매칭테이블!$G:$J,4,0)*H442</f>
        <v/>
      </c>
      <c r="O442" s="9">
        <f>F442&amp;E442&amp;G442&amp;J442</f>
        <v/>
      </c>
    </row>
    <row r="443">
      <c r="B443" s="10" t="n">
        <v>44183</v>
      </c>
      <c r="C443" s="9">
        <f>TEXT(B443,"aaa")</f>
        <v/>
      </c>
      <c r="E443" s="9">
        <f>INDEX(매칭테이블!C:C,MATCH(RD!G443,매칭테이블!D:D,0))</f>
        <v/>
      </c>
      <c r="F443" s="9" t="inlineStr">
        <is>
          <t>카페24</t>
        </is>
      </c>
      <c r="G443" s="9" t="inlineStr">
        <is>
          <t>HAIR RÉ:COVERY 15 Nutritious Balm [라베나 리커버리 15 뉴트리셔스 밤]제품선택=헤어 리커버리 15 뉴트리셔스 밤</t>
        </is>
      </c>
      <c r="H443" s="9" t="n">
        <v>13</v>
      </c>
      <c r="I443" s="9">
        <f>VLOOKUP(G443,매칭테이블!D:E,2,0)</f>
        <v/>
      </c>
      <c r="J443" s="9" t="n">
        <v>201210</v>
      </c>
      <c r="L443" s="9">
        <f>VLOOKUP($O443,매칭테이블!$G:$J,2,0)*H443</f>
        <v/>
      </c>
      <c r="M443" s="9">
        <f>L443-L443*VLOOKUP($O443,매칭테이블!$G:$J,3,0)</f>
        <v/>
      </c>
      <c r="N443" s="9">
        <f>VLOOKUP($O443,매칭테이블!$G:$J,4,0)*H443</f>
        <v/>
      </c>
      <c r="O443" s="9">
        <f>F443&amp;E443&amp;G443&amp;J443</f>
        <v/>
      </c>
    </row>
    <row r="444">
      <c r="B444" s="10" t="n">
        <v>44183</v>
      </c>
      <c r="C444" s="9">
        <f>TEXT(B444,"aaa")</f>
        <v/>
      </c>
      <c r="E444" s="9">
        <f>INDEX(매칭테이블!C:C,MATCH(RD!G444,매칭테이블!D:D,0))</f>
        <v/>
      </c>
      <c r="F444" s="9" t="inlineStr">
        <is>
          <t>카페24</t>
        </is>
      </c>
      <c r="G444" s="9" t="inlineStr">
        <is>
          <t>HAIR RÉ:COVERY 15 Nutritious Balm [라베나 리커버리 15 뉴트리셔스 밤]제품선택=뉴트리셔스 밤 2개 세트 5% 추가할인</t>
        </is>
      </c>
      <c r="H444" s="9" t="n">
        <v>1</v>
      </c>
      <c r="I444" s="9">
        <f>VLOOKUP(G444,매칭테이블!D:E,2,0)</f>
        <v/>
      </c>
      <c r="J444" s="9" t="n">
        <v>201210</v>
      </c>
      <c r="L444" s="9">
        <f>VLOOKUP($O444,매칭테이블!$G:$J,2,0)*H444</f>
        <v/>
      </c>
      <c r="M444" s="9">
        <f>L444-L444*VLOOKUP($O444,매칭테이블!$G:$J,3,0)</f>
        <v/>
      </c>
      <c r="N444" s="9">
        <f>VLOOKUP($O444,매칭테이블!$G:$J,4,0)*H444</f>
        <v/>
      </c>
      <c r="O444" s="9">
        <f>F444&amp;E444&amp;G444&amp;J444</f>
        <v/>
      </c>
    </row>
    <row r="445">
      <c r="B445" s="10" t="n">
        <v>44183</v>
      </c>
      <c r="C445" s="9">
        <f>TEXT(B445,"aaa")</f>
        <v/>
      </c>
      <c r="E445" s="9">
        <f>INDEX(매칭테이블!C:C,MATCH(RD!G445,매칭테이블!D:D,0))</f>
        <v/>
      </c>
      <c r="F445" s="9" t="inlineStr">
        <is>
          <t>카페24</t>
        </is>
      </c>
      <c r="G445" s="9" t="inlineStr">
        <is>
          <t>HAIR RÉ:COVERY 15 Nutritious Balm [라베나 리커버리 15 뉴트리셔스 밤]제품선택=뉴트리셔스밤 1개 + 헤어팩 트리트먼트 1개 세트 5%추가할인</t>
        </is>
      </c>
      <c r="H445" s="9" t="n">
        <v>4</v>
      </c>
      <c r="I445" s="9">
        <f>VLOOKUP(G445,매칭테이블!D:E,2,0)</f>
        <v/>
      </c>
      <c r="J445" s="9" t="n">
        <v>201210</v>
      </c>
      <c r="L445" s="9">
        <f>VLOOKUP($O445,매칭테이블!$G:$J,2,0)*H445</f>
        <v/>
      </c>
      <c r="M445" s="9">
        <f>L445-L445*VLOOKUP($O445,매칭테이블!$G:$J,3,0)</f>
        <v/>
      </c>
      <c r="N445" s="9">
        <f>VLOOKUP($O445,매칭테이블!$G:$J,4,0)*H445</f>
        <v/>
      </c>
      <c r="O445" s="9">
        <f>F445&amp;E445&amp;G445&amp;J445</f>
        <v/>
      </c>
    </row>
    <row r="446">
      <c r="B446" s="10" t="n">
        <v>44183</v>
      </c>
      <c r="C446" s="9">
        <f>TEXT(B446,"aaa")</f>
        <v/>
      </c>
      <c r="E446" s="9">
        <f>INDEX(매칭테이블!C:C,MATCH(RD!G446,매칭테이블!D:D,0))</f>
        <v/>
      </c>
      <c r="F446" s="9" t="inlineStr">
        <is>
          <t>카페24</t>
        </is>
      </c>
      <c r="G446" s="9" t="inlineStr">
        <is>
          <t>HAIR RÉ:COVERY 15 Revital Shampoo [라베나 리커버리 15 리바이탈 샴푸]제품선택=헤어 리커버리 15 리바이탈 샴푸 - 500ml</t>
        </is>
      </c>
      <c r="H446" s="9" t="n">
        <v>23</v>
      </c>
      <c r="I446" s="9">
        <f>VLOOKUP(G446,매칭테이블!D:E,2,0)</f>
        <v/>
      </c>
      <c r="J446" s="9" t="n">
        <v>201210</v>
      </c>
      <c r="L446" s="9">
        <f>VLOOKUP($O446,매칭테이블!$G:$J,2,0)*H446</f>
        <v/>
      </c>
      <c r="M446" s="9">
        <f>L446-L446*VLOOKUP($O446,매칭테이블!$G:$J,3,0)</f>
        <v/>
      </c>
      <c r="N446" s="9">
        <f>VLOOKUP($O446,매칭테이블!$G:$J,4,0)*H446</f>
        <v/>
      </c>
      <c r="O446" s="9">
        <f>F446&amp;E446&amp;G446&amp;J446</f>
        <v/>
      </c>
    </row>
    <row r="447">
      <c r="B447" s="10" t="n">
        <v>44183</v>
      </c>
      <c r="C447" s="9">
        <f>TEXT(B447,"aaa")</f>
        <v/>
      </c>
      <c r="E447" s="9">
        <f>INDEX(매칭테이블!C:C,MATCH(RD!G447,매칭테이블!D:D,0))</f>
        <v/>
      </c>
      <c r="F447" s="9" t="inlineStr">
        <is>
          <t>카페24</t>
        </is>
      </c>
      <c r="G447" s="9" t="inlineStr">
        <is>
          <t>HAIR RÉ:COVERY 15 Revital Shampoo [라베나 리커버리 15 리바이탈 샴푸]제품선택=리바이탈 샴푸 2개 세트 5%추가할인</t>
        </is>
      </c>
      <c r="H447" s="9" t="n">
        <v>6</v>
      </c>
      <c r="I447" s="9">
        <f>VLOOKUP(G447,매칭테이블!D:E,2,0)</f>
        <v/>
      </c>
      <c r="J447" s="9" t="n">
        <v>201210</v>
      </c>
      <c r="L447" s="9">
        <f>VLOOKUP($O447,매칭테이블!$G:$J,2,0)*H447</f>
        <v/>
      </c>
      <c r="M447" s="9">
        <f>L447-L447*VLOOKUP($O447,매칭테이블!$G:$J,3,0)</f>
        <v/>
      </c>
      <c r="N447" s="9">
        <f>VLOOKUP($O447,매칭테이블!$G:$J,4,0)*H447</f>
        <v/>
      </c>
      <c r="O447" s="9">
        <f>F447&amp;E447&amp;G447&amp;J447</f>
        <v/>
      </c>
    </row>
    <row r="448">
      <c r="B448" s="10" t="n">
        <v>44186</v>
      </c>
      <c r="C448" s="9">
        <f>TEXT(B448,"aaa")</f>
        <v/>
      </c>
      <c r="E448" s="9">
        <f>INDEX(매칭테이블!C:C,MATCH(RD!G448,매칭테이블!D:D,0))</f>
        <v/>
      </c>
      <c r="F448" s="9" t="inlineStr">
        <is>
          <t>카페24</t>
        </is>
      </c>
      <c r="G448" s="9" t="inlineStr">
        <is>
          <t>HAIR RÉ:COVERY 15 Hairpack Treatment [라베나 리커버리 15 헤어팩 트리트먼트]제품선택=헤어 리커버리 15 헤어팩 트리트먼트</t>
        </is>
      </c>
      <c r="H448" s="9" t="n">
        <v>50</v>
      </c>
      <c r="I448" s="9">
        <f>VLOOKUP(G448,매칭테이블!D:E,2,0)</f>
        <v/>
      </c>
      <c r="J448" s="9" t="n">
        <v>201210</v>
      </c>
      <c r="L448" s="9">
        <f>VLOOKUP($O448,매칭테이블!$G:$J,2,0)*H448</f>
        <v/>
      </c>
      <c r="M448" s="9">
        <f>L448-L448*VLOOKUP($O448,매칭테이블!$G:$J,3,0)</f>
        <v/>
      </c>
      <c r="N448" s="9">
        <f>VLOOKUP($O448,매칭테이블!$G:$J,4,0)*H448</f>
        <v/>
      </c>
      <c r="O448" s="9">
        <f>F448&amp;E448&amp;G448&amp;J448</f>
        <v/>
      </c>
    </row>
    <row r="449">
      <c r="B449" s="10" t="n">
        <v>44186</v>
      </c>
      <c r="C449" s="9">
        <f>TEXT(B449,"aaa")</f>
        <v/>
      </c>
      <c r="E449" s="9">
        <f>INDEX(매칭테이블!C:C,MATCH(RD!G449,매칭테이블!D:D,0))</f>
        <v/>
      </c>
      <c r="F449" s="9" t="inlineStr">
        <is>
          <t>카페24</t>
        </is>
      </c>
      <c r="G449" s="9" t="inlineStr">
        <is>
          <t>HAIR RÉ:COVERY 15 Hairpack Treatment [라베나 리커버리 15 헤어팩 트리트먼트]제품선택=헤어팩 트리트먼트 2개 세트 5% 추가할인</t>
        </is>
      </c>
      <c r="H449" s="9" t="n">
        <v>13</v>
      </c>
      <c r="I449" s="9">
        <f>VLOOKUP(G449,매칭테이블!D:E,2,0)</f>
        <v/>
      </c>
      <c r="J449" s="9" t="n">
        <v>201210</v>
      </c>
      <c r="L449" s="9">
        <f>VLOOKUP($O449,매칭테이블!$G:$J,2,0)*H449</f>
        <v/>
      </c>
      <c r="M449" s="9">
        <f>L449-L449*VLOOKUP($O449,매칭테이블!$G:$J,3,0)</f>
        <v/>
      </c>
      <c r="N449" s="9">
        <f>VLOOKUP($O449,매칭테이블!$G:$J,4,0)*H449</f>
        <v/>
      </c>
      <c r="O449" s="9">
        <f>F449&amp;E449&amp;G449&amp;J449</f>
        <v/>
      </c>
    </row>
    <row r="450">
      <c r="B450" s="10" t="n">
        <v>44186</v>
      </c>
      <c r="C450" s="9">
        <f>TEXT(B450,"aaa")</f>
        <v/>
      </c>
      <c r="E450" s="9">
        <f>INDEX(매칭테이블!C:C,MATCH(RD!G450,매칭테이블!D:D,0))</f>
        <v/>
      </c>
      <c r="F450" s="9" t="inlineStr">
        <is>
          <t>카페24</t>
        </is>
      </c>
      <c r="G450" s="9" t="inlineStr">
        <is>
          <t>HAIR RÉ:COVERY 15 Hairpack Treatment [라베나 리커버리 15 헤어팩 트리트먼트]제품선택=헤어팩 트리트먼트 3개 세트 10% 추가할인</t>
        </is>
      </c>
      <c r="H450" s="9" t="n">
        <v>13</v>
      </c>
      <c r="I450" s="9">
        <f>VLOOKUP(G450,매칭테이블!D:E,2,0)</f>
        <v/>
      </c>
      <c r="J450" s="9" t="n">
        <v>201210</v>
      </c>
      <c r="L450" s="9">
        <f>VLOOKUP($O450,매칭테이블!$G:$J,2,0)*H450</f>
        <v/>
      </c>
      <c r="M450" s="9">
        <f>L450-L450*VLOOKUP($O450,매칭테이블!$G:$J,3,0)</f>
        <v/>
      </c>
      <c r="N450" s="9">
        <f>VLOOKUP($O450,매칭테이블!$G:$J,4,0)*H450</f>
        <v/>
      </c>
      <c r="O450" s="9">
        <f>F450&amp;E450&amp;G450&amp;J450</f>
        <v/>
      </c>
    </row>
    <row r="451">
      <c r="B451" s="10" t="n">
        <v>44186</v>
      </c>
      <c r="C451" s="9">
        <f>TEXT(B451,"aaa")</f>
        <v/>
      </c>
      <c r="E451" s="9">
        <f>INDEX(매칭테이블!C:C,MATCH(RD!G451,매칭테이블!D:D,0))</f>
        <v/>
      </c>
      <c r="F451" s="9" t="inlineStr">
        <is>
          <t>카페24</t>
        </is>
      </c>
      <c r="G451" s="9" t="inlineStr">
        <is>
          <t>HAIR RÉ:COVERY 15 Hairpack Treatment [라베나 리커버리 15 헤어팩 트리트먼트]제품선택=헤어팩 트리트먼트 1개 + 뉴트리셔스밤 1개 세트 5% 추가할인</t>
        </is>
      </c>
      <c r="H451" s="9" t="n">
        <v>9</v>
      </c>
      <c r="I451" s="9">
        <f>VLOOKUP(G451,매칭테이블!D:E,2,0)</f>
        <v/>
      </c>
      <c r="J451" s="9" t="n">
        <v>201210</v>
      </c>
      <c r="L451" s="9">
        <f>VLOOKUP($O451,매칭테이블!$G:$J,2,0)*H451</f>
        <v/>
      </c>
      <c r="M451" s="9">
        <f>L451-L451*VLOOKUP($O451,매칭테이블!$G:$J,3,0)</f>
        <v/>
      </c>
      <c r="N451" s="9">
        <f>VLOOKUP($O451,매칭테이블!$G:$J,4,0)*H451</f>
        <v/>
      </c>
      <c r="O451" s="9">
        <f>F451&amp;E451&amp;G451&amp;J451</f>
        <v/>
      </c>
    </row>
    <row r="452">
      <c r="B452" s="10" t="n">
        <v>44186</v>
      </c>
      <c r="C452" s="9">
        <f>TEXT(B452,"aaa")</f>
        <v/>
      </c>
      <c r="E452" s="9">
        <f>INDEX(매칭테이블!C:C,MATCH(RD!G452,매칭테이블!D:D,0))</f>
        <v/>
      </c>
      <c r="F452" s="9" t="inlineStr">
        <is>
          <t>카페24</t>
        </is>
      </c>
      <c r="G452" s="9" t="inlineStr">
        <is>
          <t>HAIR RÉ:COVERY 15 Nutritious Balm [라베나 리커버리 15 뉴트리셔스 밤]제품선택=헤어 리커버리 15 뉴트리셔스 밤</t>
        </is>
      </c>
      <c r="H452" s="9" t="n">
        <v>10</v>
      </c>
      <c r="I452" s="9">
        <f>VLOOKUP(G452,매칭테이블!D:E,2,0)</f>
        <v/>
      </c>
      <c r="J452" s="9" t="n">
        <v>201210</v>
      </c>
      <c r="L452" s="9">
        <f>VLOOKUP($O452,매칭테이블!$G:$J,2,0)*H452</f>
        <v/>
      </c>
      <c r="M452" s="9">
        <f>L452-L452*VLOOKUP($O452,매칭테이블!$G:$J,3,0)</f>
        <v/>
      </c>
      <c r="N452" s="9">
        <f>VLOOKUP($O452,매칭테이블!$G:$J,4,0)*H452</f>
        <v/>
      </c>
      <c r="O452" s="9">
        <f>F452&amp;E452&amp;G452&amp;J452</f>
        <v/>
      </c>
    </row>
    <row r="453">
      <c r="B453" s="10" t="n">
        <v>44186</v>
      </c>
      <c r="C453" s="9">
        <f>TEXT(B453,"aaa")</f>
        <v/>
      </c>
      <c r="E453" s="9">
        <f>INDEX(매칭테이블!C:C,MATCH(RD!G453,매칭테이블!D:D,0))</f>
        <v/>
      </c>
      <c r="F453" s="9" t="inlineStr">
        <is>
          <t>카페24</t>
        </is>
      </c>
      <c r="G453" s="9" t="inlineStr">
        <is>
          <t>HAIR RÉ:COVERY 15 Nutritious Balm [라베나 리커버리 15 뉴트리셔스 밤]제품선택=뉴트리셔스 밤 2개 세트 5% 추가할인</t>
        </is>
      </c>
      <c r="H453" s="9" t="n">
        <v>1</v>
      </c>
      <c r="I453" s="9">
        <f>VLOOKUP(G453,매칭테이블!D:E,2,0)</f>
        <v/>
      </c>
      <c r="J453" s="9" t="n">
        <v>201210</v>
      </c>
      <c r="L453" s="9">
        <f>VLOOKUP($O453,매칭테이블!$G:$J,2,0)*H453</f>
        <v/>
      </c>
      <c r="M453" s="9">
        <f>L453-L453*VLOOKUP($O453,매칭테이블!$G:$J,3,0)</f>
        <v/>
      </c>
      <c r="N453" s="9">
        <f>VLOOKUP($O453,매칭테이블!$G:$J,4,0)*H453</f>
        <v/>
      </c>
      <c r="O453" s="9">
        <f>F453&amp;E453&amp;G453&amp;J453</f>
        <v/>
      </c>
    </row>
    <row r="454">
      <c r="B454" s="10" t="n">
        <v>44186</v>
      </c>
      <c r="C454" s="9">
        <f>TEXT(B454,"aaa")</f>
        <v/>
      </c>
      <c r="E454" s="9">
        <f>INDEX(매칭테이블!C:C,MATCH(RD!G454,매칭테이블!D:D,0))</f>
        <v/>
      </c>
      <c r="F454" s="9" t="inlineStr">
        <is>
          <t>카페24</t>
        </is>
      </c>
      <c r="G454" s="9" t="inlineStr">
        <is>
          <t>HAIR RÉ:COVERY 15 Nutritious Balm [라베나 리커버리 15 뉴트리셔스 밤]제품선택=뉴트리셔스 밤 3개 세트 10% 추가할인</t>
        </is>
      </c>
      <c r="H454" s="9" t="n">
        <v>1</v>
      </c>
      <c r="I454" s="9">
        <f>VLOOKUP(G454,매칭테이블!D:E,2,0)</f>
        <v/>
      </c>
      <c r="J454" s="9" t="n">
        <v>201210</v>
      </c>
      <c r="L454" s="9">
        <f>VLOOKUP($O454,매칭테이블!$G:$J,2,0)*H454</f>
        <v/>
      </c>
      <c r="M454" s="9">
        <f>L454-L454*VLOOKUP($O454,매칭테이블!$G:$J,3,0)</f>
        <v/>
      </c>
      <c r="N454" s="9">
        <f>VLOOKUP($O454,매칭테이블!$G:$J,4,0)*H454</f>
        <v/>
      </c>
      <c r="O454" s="9">
        <f>F454&amp;E454&amp;G454&amp;J454</f>
        <v/>
      </c>
    </row>
    <row r="455">
      <c r="B455" s="10" t="n">
        <v>44186</v>
      </c>
      <c r="C455" s="9">
        <f>TEXT(B455,"aaa")</f>
        <v/>
      </c>
      <c r="E455" s="9">
        <f>INDEX(매칭테이블!C:C,MATCH(RD!G455,매칭테이블!D:D,0))</f>
        <v/>
      </c>
      <c r="F455" s="9" t="inlineStr">
        <is>
          <t>카페24</t>
        </is>
      </c>
      <c r="G455" s="9" t="inlineStr">
        <is>
          <t>HAIR RÉ:COVERY 15 Nutritious Balm [라베나 리커버리 15 뉴트리셔스 밤]제품선택=뉴트리셔스밤 1개 + 헤어팩 트리트먼트 1개 세트 5%추가할인</t>
        </is>
      </c>
      <c r="H455" s="9" t="n">
        <v>2</v>
      </c>
      <c r="I455" s="9">
        <f>VLOOKUP(G455,매칭테이블!D:E,2,0)</f>
        <v/>
      </c>
      <c r="J455" s="9" t="n">
        <v>201210</v>
      </c>
      <c r="L455" s="9">
        <f>VLOOKUP($O455,매칭테이블!$G:$J,2,0)*H455</f>
        <v/>
      </c>
      <c r="M455" s="9">
        <f>L455-L455*VLOOKUP($O455,매칭테이블!$G:$J,3,0)</f>
        <v/>
      </c>
      <c r="N455" s="9">
        <f>VLOOKUP($O455,매칭테이블!$G:$J,4,0)*H455</f>
        <v/>
      </c>
      <c r="O455" s="9">
        <f>F455&amp;E455&amp;G455&amp;J455</f>
        <v/>
      </c>
    </row>
    <row r="456">
      <c r="B456" s="10" t="n">
        <v>44186</v>
      </c>
      <c r="C456" s="9">
        <f>TEXT(B456,"aaa")</f>
        <v/>
      </c>
      <c r="E456" s="9">
        <f>INDEX(매칭테이블!C:C,MATCH(RD!G456,매칭테이블!D:D,0))</f>
        <v/>
      </c>
      <c r="F456" s="9" t="inlineStr">
        <is>
          <t>카페24</t>
        </is>
      </c>
      <c r="G456" s="9" t="inlineStr">
        <is>
          <t>HAIR RÉ:COVERY 15 Revital Shampoo [라베나 리커버리 15 리바이탈 샴푸]제품선택=헤어 리커버리 15 리바이탈 샴푸 - 500ml</t>
        </is>
      </c>
      <c r="H456" s="9" t="n">
        <v>28</v>
      </c>
      <c r="I456" s="9">
        <f>VLOOKUP(G456,매칭테이블!D:E,2,0)</f>
        <v/>
      </c>
      <c r="J456" s="9" t="n">
        <v>201210</v>
      </c>
      <c r="L456" s="9">
        <f>VLOOKUP($O456,매칭테이블!$G:$J,2,0)*H456</f>
        <v/>
      </c>
      <c r="M456" s="9">
        <f>L456-L456*VLOOKUP($O456,매칭테이블!$G:$J,3,0)</f>
        <v/>
      </c>
      <c r="N456" s="9">
        <f>VLOOKUP($O456,매칭테이블!$G:$J,4,0)*H456</f>
        <v/>
      </c>
      <c r="O456" s="9">
        <f>F456&amp;E456&amp;G456&amp;J456</f>
        <v/>
      </c>
    </row>
    <row r="457">
      <c r="B457" s="10" t="n">
        <v>44186</v>
      </c>
      <c r="C457" s="9">
        <f>TEXT(B457,"aaa")</f>
        <v/>
      </c>
      <c r="E457" s="9">
        <f>INDEX(매칭테이블!C:C,MATCH(RD!G457,매칭테이블!D:D,0))</f>
        <v/>
      </c>
      <c r="F457" s="9" t="inlineStr">
        <is>
          <t>카페24</t>
        </is>
      </c>
      <c r="G457" s="9" t="inlineStr">
        <is>
          <t>HAIR RÉ:COVERY 15 Revital Shampoo [라베나 리커버리 15 리바이탈 샴푸]제품선택=리바이탈 샴푸 2개 세트 5%추가할인</t>
        </is>
      </c>
      <c r="H457" s="9" t="n">
        <v>10</v>
      </c>
      <c r="I457" s="9">
        <f>VLOOKUP(G457,매칭테이블!D:E,2,0)</f>
        <v/>
      </c>
      <c r="J457" s="9" t="n">
        <v>201210</v>
      </c>
      <c r="L457" s="9">
        <f>VLOOKUP($O457,매칭테이블!$G:$J,2,0)*H457</f>
        <v/>
      </c>
      <c r="M457" s="9">
        <f>L457-L457*VLOOKUP($O457,매칭테이블!$G:$J,3,0)</f>
        <v/>
      </c>
      <c r="N457" s="9">
        <f>VLOOKUP($O457,매칭테이블!$G:$J,4,0)*H457</f>
        <v/>
      </c>
      <c r="O457" s="9">
        <f>F457&amp;E457&amp;G457&amp;J457</f>
        <v/>
      </c>
    </row>
    <row r="458">
      <c r="B458" s="10" t="n">
        <v>44186</v>
      </c>
      <c r="C458" s="9">
        <f>TEXT(B458,"aaa")</f>
        <v/>
      </c>
      <c r="E458" s="9">
        <f>INDEX(매칭테이블!C:C,MATCH(RD!G458,매칭테이블!D:D,0))</f>
        <v/>
      </c>
      <c r="F458" s="9" t="inlineStr">
        <is>
          <t>카페24</t>
        </is>
      </c>
      <c r="G458" s="9" t="inlineStr">
        <is>
          <t>HAIR RÉ:COVERY 15 Revital Shampoo [라베나 리커버리 15 리바이탈 샴푸]제품선택=리바이탈 샴푸 3개 세트 10% 추가할인</t>
        </is>
      </c>
      <c r="H458" s="9" t="n">
        <v>6</v>
      </c>
      <c r="I458" s="9">
        <f>VLOOKUP(G458,매칭테이블!D:E,2,0)</f>
        <v/>
      </c>
      <c r="J458" s="9" t="n">
        <v>201210</v>
      </c>
      <c r="L458" s="9">
        <f>VLOOKUP($O458,매칭테이블!$G:$J,2,0)*H458</f>
        <v/>
      </c>
      <c r="M458" s="9">
        <f>L458-L458*VLOOKUP($O458,매칭테이블!$G:$J,3,0)</f>
        <v/>
      </c>
      <c r="N458" s="9">
        <f>VLOOKUP($O458,매칭테이블!$G:$J,4,0)*H458</f>
        <v/>
      </c>
      <c r="O458" s="9">
        <f>F458&amp;E458&amp;G458&amp;J458</f>
        <v/>
      </c>
    </row>
    <row r="459">
      <c r="B459" s="10" t="n">
        <v>44187</v>
      </c>
      <c r="C459" s="9">
        <f>TEXT(B459,"aaa")</f>
        <v/>
      </c>
      <c r="E459" s="9">
        <f>INDEX(매칭테이블!C:C,MATCH(RD!G459,매칭테이블!D:D,0))</f>
        <v/>
      </c>
      <c r="F459" s="9" t="inlineStr">
        <is>
          <t>카페24</t>
        </is>
      </c>
      <c r="G459" s="9" t="inlineStr">
        <is>
          <t>HAIR RÉ:COVERY 15 Hairpack Treatment [라베나 리커버리 15 헤어팩 트리트먼트]제품선택=헤어 리커버리 15 헤어팩 트리트먼트</t>
        </is>
      </c>
      <c r="H459" s="9" t="n">
        <v>12</v>
      </c>
      <c r="I459" s="9">
        <f>VLOOKUP(G459,매칭테이블!D:E,2,0)</f>
        <v/>
      </c>
      <c r="J459" s="9" t="n">
        <v>201210</v>
      </c>
      <c r="L459" s="9">
        <f>VLOOKUP($O459,매칭테이블!$G:$J,2,0)*H459</f>
        <v/>
      </c>
      <c r="M459" s="9">
        <f>L459-L459*VLOOKUP($O459,매칭테이블!$G:$J,3,0)</f>
        <v/>
      </c>
      <c r="N459" s="9">
        <f>VLOOKUP($O459,매칭테이블!$G:$J,4,0)*H459</f>
        <v/>
      </c>
      <c r="O459" s="9">
        <f>F459&amp;E459&amp;G459&amp;J459</f>
        <v/>
      </c>
    </row>
    <row r="460">
      <c r="B460" s="10" t="n">
        <v>44187</v>
      </c>
      <c r="C460" s="9">
        <f>TEXT(B460,"aaa")</f>
        <v/>
      </c>
      <c r="E460" s="9">
        <f>INDEX(매칭테이블!C:C,MATCH(RD!G460,매칭테이블!D:D,0))</f>
        <v/>
      </c>
      <c r="F460" s="9" t="inlineStr">
        <is>
          <t>카페24</t>
        </is>
      </c>
      <c r="G460" s="9" t="inlineStr">
        <is>
          <t>HAIR RÉ:COVERY 15 Hairpack Treatment [라베나 리커버리 15 헤어팩 트리트먼트]제품선택=헤어팩 트리트먼트 2개 세트 5% 추가할인</t>
        </is>
      </c>
      <c r="H460" s="9" t="n">
        <v>4</v>
      </c>
      <c r="I460" s="9">
        <f>VLOOKUP(G460,매칭테이블!D:E,2,0)</f>
        <v/>
      </c>
      <c r="J460" s="9" t="n">
        <v>201210</v>
      </c>
      <c r="L460" s="9">
        <f>VLOOKUP($O460,매칭테이블!$G:$J,2,0)*H460</f>
        <v/>
      </c>
      <c r="M460" s="9">
        <f>L460-L460*VLOOKUP($O460,매칭테이블!$G:$J,3,0)</f>
        <v/>
      </c>
      <c r="N460" s="9">
        <f>VLOOKUP($O460,매칭테이블!$G:$J,4,0)*H460</f>
        <v/>
      </c>
      <c r="O460" s="9">
        <f>F460&amp;E460&amp;G460&amp;J460</f>
        <v/>
      </c>
    </row>
    <row r="461">
      <c r="B461" s="10" t="n">
        <v>44187</v>
      </c>
      <c r="C461" s="9">
        <f>TEXT(B461,"aaa")</f>
        <v/>
      </c>
      <c r="E461" s="9">
        <f>INDEX(매칭테이블!C:C,MATCH(RD!G461,매칭테이블!D:D,0))</f>
        <v/>
      </c>
      <c r="F461" s="9" t="inlineStr">
        <is>
          <t>카페24</t>
        </is>
      </c>
      <c r="G461" s="9" t="inlineStr">
        <is>
          <t>HAIR RÉ:COVERY 15 Hairpack Treatment [라베나 리커버리 15 헤어팩 트리트먼트]제품선택=헤어팩 트리트먼트 3개 세트 10% 추가할인</t>
        </is>
      </c>
      <c r="H461" s="9" t="n">
        <v>2</v>
      </c>
      <c r="I461" s="9">
        <f>VLOOKUP(G461,매칭테이블!D:E,2,0)</f>
        <v/>
      </c>
      <c r="J461" s="9" t="n">
        <v>201210</v>
      </c>
      <c r="L461" s="9">
        <f>VLOOKUP($O461,매칭테이블!$G:$J,2,0)*H461</f>
        <v/>
      </c>
      <c r="M461" s="9">
        <f>L461-L461*VLOOKUP($O461,매칭테이블!$G:$J,3,0)</f>
        <v/>
      </c>
      <c r="N461" s="9">
        <f>VLOOKUP($O461,매칭테이블!$G:$J,4,0)*H461</f>
        <v/>
      </c>
      <c r="O461" s="9">
        <f>F461&amp;E461&amp;G461&amp;J461</f>
        <v/>
      </c>
    </row>
    <row r="462">
      <c r="B462" s="10" t="n">
        <v>44187</v>
      </c>
      <c r="C462" s="9">
        <f>TEXT(B462,"aaa")</f>
        <v/>
      </c>
      <c r="E462" s="9">
        <f>INDEX(매칭테이블!C:C,MATCH(RD!G462,매칭테이블!D:D,0))</f>
        <v/>
      </c>
      <c r="F462" s="9" t="inlineStr">
        <is>
          <t>카페24</t>
        </is>
      </c>
      <c r="G462" s="9" t="inlineStr">
        <is>
          <t>HAIR RÉ:COVERY 15 Hairpack Treatment [라베나 리커버리 15 헤어팩 트리트먼트]제품선택=헤어팩 트리트먼트 1개 + 뉴트리셔스밤 1개 세트 5% 추가할인</t>
        </is>
      </c>
      <c r="H462" s="9" t="n">
        <v>4</v>
      </c>
      <c r="I462" s="9">
        <f>VLOOKUP(G462,매칭테이블!D:E,2,0)</f>
        <v/>
      </c>
      <c r="J462" s="9" t="n">
        <v>201210</v>
      </c>
      <c r="L462" s="9">
        <f>VLOOKUP($O462,매칭테이블!$G:$J,2,0)*H462</f>
        <v/>
      </c>
      <c r="M462" s="9">
        <f>L462-L462*VLOOKUP($O462,매칭테이블!$G:$J,3,0)</f>
        <v/>
      </c>
      <c r="N462" s="9">
        <f>VLOOKUP($O462,매칭테이블!$G:$J,4,0)*H462</f>
        <v/>
      </c>
      <c r="O462" s="9">
        <f>F462&amp;E462&amp;G462&amp;J462</f>
        <v/>
      </c>
    </row>
    <row r="463">
      <c r="B463" s="10" t="n">
        <v>44187</v>
      </c>
      <c r="C463" s="9">
        <f>TEXT(B463,"aaa")</f>
        <v/>
      </c>
      <c r="E463" s="9">
        <f>INDEX(매칭테이블!C:C,MATCH(RD!G463,매칭테이블!D:D,0))</f>
        <v/>
      </c>
      <c r="F463" s="9" t="inlineStr">
        <is>
          <t>카페24</t>
        </is>
      </c>
      <c r="G463" s="9" t="inlineStr">
        <is>
          <t>HAIR RÉ:COVERY 15 Nutritious Balm [라베나 리커버리 15 뉴트리셔스 밤]제품선택=헤어 리커버리 15 뉴트리셔스 밤</t>
        </is>
      </c>
      <c r="H463" s="9" t="n">
        <v>6</v>
      </c>
      <c r="I463" s="9">
        <f>VLOOKUP(G463,매칭테이블!D:E,2,0)</f>
        <v/>
      </c>
      <c r="J463" s="9" t="n">
        <v>201210</v>
      </c>
      <c r="L463" s="9">
        <f>VLOOKUP($O463,매칭테이블!$G:$J,2,0)*H463</f>
        <v/>
      </c>
      <c r="M463" s="9">
        <f>L463-L463*VLOOKUP($O463,매칭테이블!$G:$J,3,0)</f>
        <v/>
      </c>
      <c r="N463" s="9">
        <f>VLOOKUP($O463,매칭테이블!$G:$J,4,0)*H463</f>
        <v/>
      </c>
      <c r="O463" s="9">
        <f>F463&amp;E463&amp;G463&amp;J463</f>
        <v/>
      </c>
    </row>
    <row r="464">
      <c r="B464" s="10" t="n">
        <v>44187</v>
      </c>
      <c r="C464" s="9">
        <f>TEXT(B464,"aaa")</f>
        <v/>
      </c>
      <c r="E464" s="9">
        <f>INDEX(매칭테이블!C:C,MATCH(RD!G464,매칭테이블!D:D,0))</f>
        <v/>
      </c>
      <c r="F464" s="9" t="inlineStr">
        <is>
          <t>카페24</t>
        </is>
      </c>
      <c r="G464" s="9" t="inlineStr">
        <is>
          <t>HAIR RÉ:COVERY 15 Nutritious Balm [라베나 리커버리 15 뉴트리셔스 밤]제품선택=뉴트리셔스 밤 2개 세트 5% 추가할인</t>
        </is>
      </c>
      <c r="H464" s="9" t="n">
        <v>2</v>
      </c>
      <c r="I464" s="9">
        <f>VLOOKUP(G464,매칭테이블!D:E,2,0)</f>
        <v/>
      </c>
      <c r="J464" s="9" t="n">
        <v>201210</v>
      </c>
      <c r="L464" s="9">
        <f>VLOOKUP($O464,매칭테이블!$G:$J,2,0)*H464</f>
        <v/>
      </c>
      <c r="M464" s="9">
        <f>L464-L464*VLOOKUP($O464,매칭테이블!$G:$J,3,0)</f>
        <v/>
      </c>
      <c r="N464" s="9">
        <f>VLOOKUP($O464,매칭테이블!$G:$J,4,0)*H464</f>
        <v/>
      </c>
      <c r="O464" s="9">
        <f>F464&amp;E464&amp;G464&amp;J464</f>
        <v/>
      </c>
    </row>
    <row r="465">
      <c r="B465" s="10" t="n">
        <v>44187</v>
      </c>
      <c r="C465" s="9">
        <f>TEXT(B465,"aaa")</f>
        <v/>
      </c>
      <c r="E465" s="9">
        <f>INDEX(매칭테이블!C:C,MATCH(RD!G465,매칭테이블!D:D,0))</f>
        <v/>
      </c>
      <c r="F465" s="9" t="inlineStr">
        <is>
          <t>카페24</t>
        </is>
      </c>
      <c r="G465" s="9" t="inlineStr">
        <is>
          <t>HAIR RÉ:COVERY 15 Nutritious Balm [라베나 리커버리 15 뉴트리셔스 밤]제품선택=뉴트리셔스 밤 3개 세트 10% 추가할인</t>
        </is>
      </c>
      <c r="H465" s="9" t="n">
        <v>1</v>
      </c>
      <c r="I465" s="9">
        <f>VLOOKUP(G465,매칭테이블!D:E,2,0)</f>
        <v/>
      </c>
      <c r="J465" s="9" t="n">
        <v>201210</v>
      </c>
      <c r="L465" s="9">
        <f>VLOOKUP($O465,매칭테이블!$G:$J,2,0)*H465</f>
        <v/>
      </c>
      <c r="M465" s="9">
        <f>L465-L465*VLOOKUP($O465,매칭테이블!$G:$J,3,0)</f>
        <v/>
      </c>
      <c r="N465" s="9">
        <f>VLOOKUP($O465,매칭테이블!$G:$J,4,0)*H465</f>
        <v/>
      </c>
      <c r="O465" s="9">
        <f>F465&amp;E465&amp;G465&amp;J465</f>
        <v/>
      </c>
    </row>
    <row r="466">
      <c r="B466" s="10" t="n">
        <v>44187</v>
      </c>
      <c r="C466" s="9">
        <f>TEXT(B466,"aaa")</f>
        <v/>
      </c>
      <c r="E466" s="9">
        <f>INDEX(매칭테이블!C:C,MATCH(RD!G466,매칭테이블!D:D,0))</f>
        <v/>
      </c>
      <c r="F466" s="9" t="inlineStr">
        <is>
          <t>카페24</t>
        </is>
      </c>
      <c r="G466" s="9" t="inlineStr">
        <is>
          <t>HAIR RÉ:COVERY 15 Nutritious Balm [라베나 리커버리 15 뉴트리셔스 밤]제품선택=뉴트리셔스밤 1개 + 헤어팩 트리트먼트 1개 세트 5%추가할인</t>
        </is>
      </c>
      <c r="H466" s="9" t="n">
        <v>5</v>
      </c>
      <c r="I466" s="9">
        <f>VLOOKUP(G466,매칭테이블!D:E,2,0)</f>
        <v/>
      </c>
      <c r="J466" s="9" t="n">
        <v>201210</v>
      </c>
      <c r="L466" s="9">
        <f>VLOOKUP($O466,매칭테이블!$G:$J,2,0)*H466</f>
        <v/>
      </c>
      <c r="M466" s="9">
        <f>L466-L466*VLOOKUP($O466,매칭테이블!$G:$J,3,0)</f>
        <v/>
      </c>
      <c r="N466" s="9">
        <f>VLOOKUP($O466,매칭테이블!$G:$J,4,0)*H466</f>
        <v/>
      </c>
      <c r="O466" s="9">
        <f>F466&amp;E466&amp;G466&amp;J466</f>
        <v/>
      </c>
    </row>
    <row r="467">
      <c r="B467" s="10" t="n">
        <v>44187</v>
      </c>
      <c r="C467" s="9">
        <f>TEXT(B467,"aaa")</f>
        <v/>
      </c>
      <c r="E467" s="9">
        <f>INDEX(매칭테이블!C:C,MATCH(RD!G467,매칭테이블!D:D,0))</f>
        <v/>
      </c>
      <c r="F467" s="9" t="inlineStr">
        <is>
          <t>카페24</t>
        </is>
      </c>
      <c r="G467" s="9" t="inlineStr">
        <is>
          <t>HAIR RÉ:COVERY 15 Revital Shampoo [라베나 리커버리 15 리바이탈 샴푸]제품선택=헤어 리커버리 15 리바이탈 샴푸 - 500ml</t>
        </is>
      </c>
      <c r="H467" s="9" t="n">
        <v>9</v>
      </c>
      <c r="I467" s="9">
        <f>VLOOKUP(G467,매칭테이블!D:E,2,0)</f>
        <v/>
      </c>
      <c r="J467" s="9" t="n">
        <v>201210</v>
      </c>
      <c r="L467" s="9">
        <f>VLOOKUP($O467,매칭테이블!$G:$J,2,0)*H467</f>
        <v/>
      </c>
      <c r="M467" s="9">
        <f>L467-L467*VLOOKUP($O467,매칭테이블!$G:$J,3,0)</f>
        <v/>
      </c>
      <c r="N467" s="9">
        <f>VLOOKUP($O467,매칭테이블!$G:$J,4,0)*H467</f>
        <v/>
      </c>
      <c r="O467" s="9">
        <f>F467&amp;E467&amp;G467&amp;J467</f>
        <v/>
      </c>
    </row>
    <row r="468">
      <c r="B468" s="10" t="n">
        <v>44187</v>
      </c>
      <c r="C468" s="9">
        <f>TEXT(B468,"aaa")</f>
        <v/>
      </c>
      <c r="E468" s="9">
        <f>INDEX(매칭테이블!C:C,MATCH(RD!G468,매칭테이블!D:D,0))</f>
        <v/>
      </c>
      <c r="F468" s="9" t="inlineStr">
        <is>
          <t>카페24</t>
        </is>
      </c>
      <c r="G468" s="9" t="inlineStr">
        <is>
          <t>HAIR RÉ:COVERY 15 Revital Shampoo [라베나 리커버리 15 리바이탈 샴푸]제품선택=리바이탈 샴푸 2개 세트 5%추가할인</t>
        </is>
      </c>
      <c r="H468" s="9" t="n">
        <v>7</v>
      </c>
      <c r="I468" s="9">
        <f>VLOOKUP(G468,매칭테이블!D:E,2,0)</f>
        <v/>
      </c>
      <c r="J468" s="9" t="n">
        <v>201210</v>
      </c>
      <c r="L468" s="9">
        <f>VLOOKUP($O468,매칭테이블!$G:$J,2,0)*H468</f>
        <v/>
      </c>
      <c r="M468" s="9">
        <f>L468-L468*VLOOKUP($O468,매칭테이블!$G:$J,3,0)</f>
        <v/>
      </c>
      <c r="N468" s="9">
        <f>VLOOKUP($O468,매칭테이블!$G:$J,4,0)*H468</f>
        <v/>
      </c>
      <c r="O468" s="9">
        <f>F468&amp;E468&amp;G468&amp;J468</f>
        <v/>
      </c>
    </row>
    <row r="469">
      <c r="B469" s="10" t="n">
        <v>44187</v>
      </c>
      <c r="C469" s="9">
        <f>TEXT(B469,"aaa")</f>
        <v/>
      </c>
      <c r="E469" s="9">
        <f>INDEX(매칭테이블!C:C,MATCH(RD!G469,매칭테이블!D:D,0))</f>
        <v/>
      </c>
      <c r="F469" s="9" t="inlineStr">
        <is>
          <t>카페24</t>
        </is>
      </c>
      <c r="G469" s="9" t="inlineStr">
        <is>
          <t>HAIR RÉ:COVERY 15 Revital Shampoo [라베나 리커버리 15 리바이탈 샴푸]제품선택=리바이탈 샴푸 3개 세트 10% 추가할인</t>
        </is>
      </c>
      <c r="H469" s="9" t="n">
        <v>10</v>
      </c>
      <c r="I469" s="9">
        <f>VLOOKUP(G469,매칭테이블!D:E,2,0)</f>
        <v/>
      </c>
      <c r="J469" s="9" t="n">
        <v>201210</v>
      </c>
      <c r="L469" s="9">
        <f>VLOOKUP($O469,매칭테이블!$G:$J,2,0)*H469</f>
        <v/>
      </c>
      <c r="M469" s="9">
        <f>L469-L469*VLOOKUP($O469,매칭테이블!$G:$J,3,0)</f>
        <v/>
      </c>
      <c r="N469" s="9">
        <f>VLOOKUP($O469,매칭테이블!$G:$J,4,0)*H469</f>
        <v/>
      </c>
      <c r="O469" s="9">
        <f>F469&amp;E469&amp;G469&amp;J469</f>
        <v/>
      </c>
    </row>
    <row r="470">
      <c r="B470" s="10" t="n">
        <v>44188</v>
      </c>
      <c r="C470" s="9">
        <f>TEXT(B470,"aaa")</f>
        <v/>
      </c>
      <c r="E470" s="9">
        <f>INDEX(매칭테이블!C:C,MATCH(RD!G470,매칭테이블!D:D,0))</f>
        <v/>
      </c>
      <c r="F470" s="9" t="inlineStr">
        <is>
          <t>카페24</t>
        </is>
      </c>
      <c r="G470" s="9" t="inlineStr">
        <is>
          <t>HAIR RÉ:COVERY 15 Hairpack Treatment [라베나 리커버리 15 헤어팩 트리트먼트]제품선택=헤어 리커버리 15 헤어팩 트리트먼트</t>
        </is>
      </c>
      <c r="H470" s="9" t="n">
        <v>26</v>
      </c>
      <c r="I470" s="9">
        <f>VLOOKUP(G470,매칭테이블!D:E,2,0)</f>
        <v/>
      </c>
      <c r="J470" s="9" t="n">
        <v>201210</v>
      </c>
      <c r="L470" s="9">
        <f>VLOOKUP($O470,매칭테이블!$G:$J,2,0)*H470</f>
        <v/>
      </c>
      <c r="M470" s="9">
        <f>L470-L470*VLOOKUP($O470,매칭테이블!$G:$J,3,0)</f>
        <v/>
      </c>
      <c r="N470" s="9">
        <f>VLOOKUP($O470,매칭테이블!$G:$J,4,0)*H470</f>
        <v/>
      </c>
      <c r="O470" s="9">
        <f>F470&amp;E470&amp;G470&amp;J470</f>
        <v/>
      </c>
    </row>
    <row r="471">
      <c r="B471" s="10" t="n">
        <v>44188</v>
      </c>
      <c r="C471" s="9">
        <f>TEXT(B471,"aaa")</f>
        <v/>
      </c>
      <c r="E471" s="9">
        <f>INDEX(매칭테이블!C:C,MATCH(RD!G471,매칭테이블!D:D,0))</f>
        <v/>
      </c>
      <c r="F471" s="9" t="inlineStr">
        <is>
          <t>카페24</t>
        </is>
      </c>
      <c r="G471" s="9" t="inlineStr">
        <is>
          <t>HAIR RÉ:COVERY 15 Hairpack Treatment [라베나 리커버리 15 헤어팩 트리트먼트]제품선택=헤어팩 트리트먼트 2개 세트 5% 추가할인</t>
        </is>
      </c>
      <c r="H471" s="9" t="n">
        <v>4</v>
      </c>
      <c r="I471" s="9">
        <f>VLOOKUP(G471,매칭테이블!D:E,2,0)</f>
        <v/>
      </c>
      <c r="J471" s="9" t="n">
        <v>201210</v>
      </c>
      <c r="L471" s="9">
        <f>VLOOKUP($O471,매칭테이블!$G:$J,2,0)*H471</f>
        <v/>
      </c>
      <c r="M471" s="9">
        <f>L471-L471*VLOOKUP($O471,매칭테이블!$G:$J,3,0)</f>
        <v/>
      </c>
      <c r="N471" s="9">
        <f>VLOOKUP($O471,매칭테이블!$G:$J,4,0)*H471</f>
        <v/>
      </c>
      <c r="O471" s="9">
        <f>F471&amp;E471&amp;G471&amp;J471</f>
        <v/>
      </c>
    </row>
    <row r="472">
      <c r="B472" s="10" t="n">
        <v>44188</v>
      </c>
      <c r="C472" s="9">
        <f>TEXT(B472,"aaa")</f>
        <v/>
      </c>
      <c r="E472" s="9">
        <f>INDEX(매칭테이블!C:C,MATCH(RD!G472,매칭테이블!D:D,0))</f>
        <v/>
      </c>
      <c r="F472" s="9" t="inlineStr">
        <is>
          <t>카페24</t>
        </is>
      </c>
      <c r="G472" s="9" t="inlineStr">
        <is>
          <t>HAIR RÉ:COVERY 15 Hairpack Treatment [라베나 리커버리 15 헤어팩 트리트먼트]제품선택=헤어팩 트리트먼트 1개 + 뉴트리셔스밤 1개 세트 5% 추가할인</t>
        </is>
      </c>
      <c r="H472" s="9" t="n">
        <v>5</v>
      </c>
      <c r="I472" s="9">
        <f>VLOOKUP(G472,매칭테이블!D:E,2,0)</f>
        <v/>
      </c>
      <c r="J472" s="9" t="n">
        <v>201210</v>
      </c>
      <c r="L472" s="9">
        <f>VLOOKUP($O472,매칭테이블!$G:$J,2,0)*H472</f>
        <v/>
      </c>
      <c r="M472" s="9">
        <f>L472-L472*VLOOKUP($O472,매칭테이블!$G:$J,3,0)</f>
        <v/>
      </c>
      <c r="N472" s="9">
        <f>VLOOKUP($O472,매칭테이블!$G:$J,4,0)*H472</f>
        <v/>
      </c>
      <c r="O472" s="9">
        <f>F472&amp;E472&amp;G472&amp;J472</f>
        <v/>
      </c>
    </row>
    <row r="473">
      <c r="B473" s="10" t="n">
        <v>44188</v>
      </c>
      <c r="C473" s="9">
        <f>TEXT(B473,"aaa")</f>
        <v/>
      </c>
      <c r="E473" s="9">
        <f>INDEX(매칭테이블!C:C,MATCH(RD!G473,매칭테이블!D:D,0))</f>
        <v/>
      </c>
      <c r="F473" s="9" t="inlineStr">
        <is>
          <t>카페24</t>
        </is>
      </c>
      <c r="G473" s="9" t="inlineStr">
        <is>
          <t>HAIR RÉ:COVERY 15 Nutritious Balm [라베나 리커버리 15 뉴트리셔스 밤]제품선택=헤어 리커버리 15 뉴트리셔스 밤</t>
        </is>
      </c>
      <c r="H473" s="9" t="n">
        <v>29</v>
      </c>
      <c r="I473" s="9">
        <f>VLOOKUP(G473,매칭테이블!D:E,2,0)</f>
        <v/>
      </c>
      <c r="J473" s="9" t="n">
        <v>201210</v>
      </c>
      <c r="L473" s="9">
        <f>VLOOKUP($O473,매칭테이블!$G:$J,2,0)*H473</f>
        <v/>
      </c>
      <c r="M473" s="9">
        <f>L473-L473*VLOOKUP($O473,매칭테이블!$G:$J,3,0)</f>
        <v/>
      </c>
      <c r="N473" s="9">
        <f>VLOOKUP($O473,매칭테이블!$G:$J,4,0)*H473</f>
        <v/>
      </c>
      <c r="O473" s="9">
        <f>F473&amp;E473&amp;G473&amp;J473</f>
        <v/>
      </c>
    </row>
    <row r="474">
      <c r="B474" s="10" t="n">
        <v>44188</v>
      </c>
      <c r="C474" s="9">
        <f>TEXT(B474,"aaa")</f>
        <v/>
      </c>
      <c r="E474" s="9">
        <f>INDEX(매칭테이블!C:C,MATCH(RD!G474,매칭테이블!D:D,0))</f>
        <v/>
      </c>
      <c r="F474" s="9" t="inlineStr">
        <is>
          <t>카페24</t>
        </is>
      </c>
      <c r="G474" s="9" t="inlineStr">
        <is>
          <t>HAIR RÉ:COVERY 15 Nutritious Balm [라베나 리커버리 15 뉴트리셔스 밤]제품선택=뉴트리셔스 밤 2개 세트 5% 추가할인</t>
        </is>
      </c>
      <c r="H474" s="9" t="n">
        <v>9</v>
      </c>
      <c r="I474" s="9">
        <f>VLOOKUP(G474,매칭테이블!D:E,2,0)</f>
        <v/>
      </c>
      <c r="J474" s="9" t="n">
        <v>201210</v>
      </c>
      <c r="L474" s="9">
        <f>VLOOKUP($O474,매칭테이블!$G:$J,2,0)*H474</f>
        <v/>
      </c>
      <c r="M474" s="9">
        <f>L474-L474*VLOOKUP($O474,매칭테이블!$G:$J,3,0)</f>
        <v/>
      </c>
      <c r="N474" s="9">
        <f>VLOOKUP($O474,매칭테이블!$G:$J,4,0)*H474</f>
        <v/>
      </c>
      <c r="O474" s="9">
        <f>F474&amp;E474&amp;G474&amp;J474</f>
        <v/>
      </c>
    </row>
    <row r="475">
      <c r="B475" s="10" t="n">
        <v>44188</v>
      </c>
      <c r="C475" s="9">
        <f>TEXT(B475,"aaa")</f>
        <v/>
      </c>
      <c r="E475" s="9">
        <f>INDEX(매칭테이블!C:C,MATCH(RD!G475,매칭테이블!D:D,0))</f>
        <v/>
      </c>
      <c r="F475" s="9" t="inlineStr">
        <is>
          <t>카페24</t>
        </is>
      </c>
      <c r="G475" s="9" t="inlineStr">
        <is>
          <t>HAIR RÉ:COVERY 15 Nutritious Balm [라베나 리커버리 15 뉴트리셔스 밤]제품선택=뉴트리셔스 밤 3개 세트 10% 추가할인</t>
        </is>
      </c>
      <c r="H475" s="9" t="n">
        <v>1</v>
      </c>
      <c r="I475" s="9">
        <f>VLOOKUP(G475,매칭테이블!D:E,2,0)</f>
        <v/>
      </c>
      <c r="J475" s="9" t="n">
        <v>201210</v>
      </c>
      <c r="L475" s="9">
        <f>VLOOKUP($O475,매칭테이블!$G:$J,2,0)*H475</f>
        <v/>
      </c>
      <c r="M475" s="9">
        <f>L475-L475*VLOOKUP($O475,매칭테이블!$G:$J,3,0)</f>
        <v/>
      </c>
      <c r="N475" s="9">
        <f>VLOOKUP($O475,매칭테이블!$G:$J,4,0)*H475</f>
        <v/>
      </c>
      <c r="O475" s="9">
        <f>F475&amp;E475&amp;G475&amp;J475</f>
        <v/>
      </c>
    </row>
    <row r="476">
      <c r="B476" s="10" t="n">
        <v>44188</v>
      </c>
      <c r="C476" s="9">
        <f>TEXT(B476,"aaa")</f>
        <v/>
      </c>
      <c r="E476" s="9">
        <f>INDEX(매칭테이블!C:C,MATCH(RD!G476,매칭테이블!D:D,0))</f>
        <v/>
      </c>
      <c r="F476" s="9" t="inlineStr">
        <is>
          <t>카페24</t>
        </is>
      </c>
      <c r="G476" s="9" t="inlineStr">
        <is>
          <t>HAIR RÉ:COVERY 15 Nutritious Balm [라베나 리커버리 15 뉴트리셔스 밤]제품선택=뉴트리셔스밤 1개 + 헤어팩 트리트먼트 1개 세트 5%추가할인</t>
        </is>
      </c>
      <c r="H476" s="9" t="n">
        <v>6</v>
      </c>
      <c r="I476" s="9">
        <f>VLOOKUP(G476,매칭테이블!D:E,2,0)</f>
        <v/>
      </c>
      <c r="J476" s="9" t="n">
        <v>201210</v>
      </c>
      <c r="L476" s="9">
        <f>VLOOKUP($O476,매칭테이블!$G:$J,2,0)*H476</f>
        <v/>
      </c>
      <c r="M476" s="9">
        <f>L476-L476*VLOOKUP($O476,매칭테이블!$G:$J,3,0)</f>
        <v/>
      </c>
      <c r="N476" s="9">
        <f>VLOOKUP($O476,매칭테이블!$G:$J,4,0)*H476</f>
        <v/>
      </c>
      <c r="O476" s="9">
        <f>F476&amp;E476&amp;G476&amp;J476</f>
        <v/>
      </c>
    </row>
    <row r="477">
      <c r="B477" s="10" t="n">
        <v>44188</v>
      </c>
      <c r="C477" s="9">
        <f>TEXT(B477,"aaa")</f>
        <v/>
      </c>
      <c r="E477" s="9">
        <f>INDEX(매칭테이블!C:C,MATCH(RD!G477,매칭테이블!D:D,0))</f>
        <v/>
      </c>
      <c r="F477" s="9" t="inlineStr">
        <is>
          <t>카페24</t>
        </is>
      </c>
      <c r="G477" s="9" t="inlineStr">
        <is>
          <t>HAIR RÉ:COVERY 15 Revital Shampoo [라베나 리커버리 15 리바이탈 샴푸]제품선택=헤어 리커버리 15 리바이탈 샴푸 - 500ml</t>
        </is>
      </c>
      <c r="H477" s="9" t="n">
        <v>20</v>
      </c>
      <c r="I477" s="9">
        <f>VLOOKUP(G477,매칭테이블!D:E,2,0)</f>
        <v/>
      </c>
      <c r="J477" s="9" t="n">
        <v>201210</v>
      </c>
      <c r="L477" s="9">
        <f>VLOOKUP($O477,매칭테이블!$G:$J,2,0)*H477</f>
        <v/>
      </c>
      <c r="M477" s="9">
        <f>L477-L477*VLOOKUP($O477,매칭테이블!$G:$J,3,0)</f>
        <v/>
      </c>
      <c r="N477" s="9">
        <f>VLOOKUP($O477,매칭테이블!$G:$J,4,0)*H477</f>
        <v/>
      </c>
      <c r="O477" s="9">
        <f>F477&amp;E477&amp;G477&amp;J477</f>
        <v/>
      </c>
    </row>
    <row r="478">
      <c r="B478" s="10" t="n">
        <v>44188</v>
      </c>
      <c r="C478" s="9">
        <f>TEXT(B478,"aaa")</f>
        <v/>
      </c>
      <c r="E478" s="9">
        <f>INDEX(매칭테이블!C:C,MATCH(RD!G478,매칭테이블!D:D,0))</f>
        <v/>
      </c>
      <c r="F478" s="9" t="inlineStr">
        <is>
          <t>카페24</t>
        </is>
      </c>
      <c r="G478" s="9" t="inlineStr">
        <is>
          <t>HAIR RÉ:COVERY 15 Revital Shampoo [라베나 리커버리 15 리바이탈 샴푸]제품선택=리바이탈 샴푸 2개 세트 5%추가할인</t>
        </is>
      </c>
      <c r="H478" s="9" t="n">
        <v>1</v>
      </c>
      <c r="I478" s="9">
        <f>VLOOKUP(G478,매칭테이블!D:E,2,0)</f>
        <v/>
      </c>
      <c r="J478" s="9" t="n">
        <v>201210</v>
      </c>
      <c r="L478" s="9">
        <f>VLOOKUP($O478,매칭테이블!$G:$J,2,0)*H478</f>
        <v/>
      </c>
      <c r="M478" s="9">
        <f>L478-L478*VLOOKUP($O478,매칭테이블!$G:$J,3,0)</f>
        <v/>
      </c>
      <c r="N478" s="9">
        <f>VLOOKUP($O478,매칭테이블!$G:$J,4,0)*H478</f>
        <v/>
      </c>
      <c r="O478" s="9">
        <f>F478&amp;E478&amp;G478&amp;J478</f>
        <v/>
      </c>
    </row>
    <row r="479">
      <c r="B479" s="10" t="n">
        <v>44188</v>
      </c>
      <c r="C479" s="9">
        <f>TEXT(B479,"aaa")</f>
        <v/>
      </c>
      <c r="E479" s="9">
        <f>INDEX(매칭테이블!C:C,MATCH(RD!G479,매칭테이블!D:D,0))</f>
        <v/>
      </c>
      <c r="F479" s="9" t="inlineStr">
        <is>
          <t>카페24</t>
        </is>
      </c>
      <c r="G479" s="9" t="inlineStr">
        <is>
          <t>HAIR RÉ:COVERY 15 Revital Shampoo [라베나 리커버리 15 리바이탈 샴푸]제품선택=리바이탈 샴푸 3개 세트 10% 추가할인</t>
        </is>
      </c>
      <c r="H479" s="9" t="n">
        <v>3</v>
      </c>
      <c r="I479" s="9">
        <f>VLOOKUP(G479,매칭테이블!D:E,2,0)</f>
        <v/>
      </c>
      <c r="J479" s="9" t="n">
        <v>201210</v>
      </c>
      <c r="L479" s="9">
        <f>VLOOKUP($O479,매칭테이블!$G:$J,2,0)*H479</f>
        <v/>
      </c>
      <c r="M479" s="9">
        <f>L479-L479*VLOOKUP($O479,매칭테이블!$G:$J,3,0)</f>
        <v/>
      </c>
      <c r="N479" s="9">
        <f>VLOOKUP($O479,매칭테이블!$G:$J,4,0)*H479</f>
        <v/>
      </c>
      <c r="O479" s="9">
        <f>F479&amp;E479&amp;G479&amp;J479</f>
        <v/>
      </c>
    </row>
    <row r="480">
      <c r="B480" s="10" t="n">
        <v>44189</v>
      </c>
      <c r="C480" s="9">
        <f>TEXT(B480,"aaa")</f>
        <v/>
      </c>
      <c r="E480" s="9">
        <f>INDEX(매칭테이블!C:C,MATCH(RD!G480,매칭테이블!D:D,0))</f>
        <v/>
      </c>
      <c r="F480" s="9" t="inlineStr">
        <is>
          <t>라베나 CS</t>
        </is>
      </c>
      <c r="G480" s="9" t="inlineStr">
        <is>
          <t>헤어 리커버리 15 리바이탈 샴푸</t>
        </is>
      </c>
      <c r="H480" s="9" t="n">
        <v>30</v>
      </c>
      <c r="I480" s="9">
        <f>VLOOKUP(G480,매칭테이블!D:E,2,0)</f>
        <v/>
      </c>
      <c r="J480" s="9" t="n">
        <v>201210</v>
      </c>
      <c r="L480" s="9">
        <f>VLOOKUP($O480,매칭테이블!$G:$J,2,0)*H480</f>
        <v/>
      </c>
      <c r="M480" s="9">
        <f>L480-L480*VLOOKUP($O480,매칭테이블!$G:$J,3,0)</f>
        <v/>
      </c>
      <c r="N480" s="9">
        <f>VLOOKUP($O480,매칭테이블!$G:$J,4,0)*H480</f>
        <v/>
      </c>
      <c r="O480" s="9">
        <f>F480&amp;E480&amp;G480&amp;J480</f>
        <v/>
      </c>
    </row>
    <row r="481">
      <c r="B481" s="10" t="n">
        <v>44189</v>
      </c>
      <c r="C481" s="9">
        <f>TEXT(B481,"aaa")</f>
        <v/>
      </c>
      <c r="E481" s="9">
        <f>INDEX(매칭테이블!C:C,MATCH(RD!G481,매칭테이블!D:D,0))</f>
        <v/>
      </c>
      <c r="F481" s="9" t="inlineStr">
        <is>
          <t>카페24</t>
        </is>
      </c>
      <c r="G481" s="9" t="inlineStr">
        <is>
          <t>HAIR RÉ:COVERY 15 Hairpack Treatment [라베나 리커버리 15 헤어팩 트리트먼트]제품선택=헤어 리커버리 15 헤어팩 트리트먼트</t>
        </is>
      </c>
      <c r="H481" s="9" t="n">
        <v>18</v>
      </c>
      <c r="I481" s="9">
        <f>VLOOKUP(G481,매칭테이블!D:E,2,0)</f>
        <v/>
      </c>
      <c r="J481" s="9" t="n">
        <v>201210</v>
      </c>
      <c r="L481" s="9">
        <f>VLOOKUP($O481,매칭테이블!$G:$J,2,0)*H481</f>
        <v/>
      </c>
      <c r="M481" s="9">
        <f>L481-L481*VLOOKUP($O481,매칭테이블!$G:$J,3,0)</f>
        <v/>
      </c>
      <c r="N481" s="9">
        <f>VLOOKUP($O481,매칭테이블!$G:$J,4,0)*H481</f>
        <v/>
      </c>
      <c r="O481" s="9">
        <f>F481&amp;E481&amp;G481&amp;J481</f>
        <v/>
      </c>
    </row>
    <row r="482">
      <c r="B482" s="10" t="n">
        <v>44189</v>
      </c>
      <c r="C482" s="9">
        <f>TEXT(B482,"aaa")</f>
        <v/>
      </c>
      <c r="E482" s="9">
        <f>INDEX(매칭테이블!C:C,MATCH(RD!G482,매칭테이블!D:D,0))</f>
        <v/>
      </c>
      <c r="F482" s="9" t="inlineStr">
        <is>
          <t>카페24</t>
        </is>
      </c>
      <c r="G482" s="9" t="inlineStr">
        <is>
          <t>HAIR RÉ:COVERY 15 Hairpack Treatment [라베나 리커버리 15 헤어팩 트리트먼트]제품선택=헤어팩 트리트먼트 2개 세트 5% 추가할인</t>
        </is>
      </c>
      <c r="H482" s="9" t="n">
        <v>4</v>
      </c>
      <c r="I482" s="9">
        <f>VLOOKUP(G482,매칭테이블!D:E,2,0)</f>
        <v/>
      </c>
      <c r="J482" s="9" t="n">
        <v>201210</v>
      </c>
      <c r="L482" s="9">
        <f>VLOOKUP($O482,매칭테이블!$G:$J,2,0)*H482</f>
        <v/>
      </c>
      <c r="M482" s="9">
        <f>L482-L482*VLOOKUP($O482,매칭테이블!$G:$J,3,0)</f>
        <v/>
      </c>
      <c r="N482" s="9">
        <f>VLOOKUP($O482,매칭테이블!$G:$J,4,0)*H482</f>
        <v/>
      </c>
      <c r="O482" s="9">
        <f>F482&amp;E482&amp;G482&amp;J482</f>
        <v/>
      </c>
    </row>
    <row r="483">
      <c r="B483" s="10" t="n">
        <v>44189</v>
      </c>
      <c r="C483" s="9">
        <f>TEXT(B483,"aaa")</f>
        <v/>
      </c>
      <c r="E483" s="9">
        <f>INDEX(매칭테이블!C:C,MATCH(RD!G483,매칭테이블!D:D,0))</f>
        <v/>
      </c>
      <c r="F483" s="9" t="inlineStr">
        <is>
          <t>카페24</t>
        </is>
      </c>
      <c r="G483" s="9" t="inlineStr">
        <is>
          <t>HAIR RÉ:COVERY 15 Hairpack Treatment [라베나 리커버리 15 헤어팩 트리트먼트]제품선택=헤어팩 트리트먼트 3개 세트 10% 추가할인</t>
        </is>
      </c>
      <c r="H483" s="9" t="n">
        <v>2</v>
      </c>
      <c r="I483" s="9">
        <f>VLOOKUP(G483,매칭테이블!D:E,2,0)</f>
        <v/>
      </c>
      <c r="J483" s="9" t="n">
        <v>201210</v>
      </c>
      <c r="L483" s="9">
        <f>VLOOKUP($O483,매칭테이블!$G:$J,2,0)*H483</f>
        <v/>
      </c>
      <c r="M483" s="9">
        <f>L483-L483*VLOOKUP($O483,매칭테이블!$G:$J,3,0)</f>
        <v/>
      </c>
      <c r="N483" s="9">
        <f>VLOOKUP($O483,매칭테이블!$G:$J,4,0)*H483</f>
        <v/>
      </c>
      <c r="O483" s="9">
        <f>F483&amp;E483&amp;G483&amp;J483</f>
        <v/>
      </c>
    </row>
    <row r="484">
      <c r="B484" s="10" t="n">
        <v>44189</v>
      </c>
      <c r="C484" s="9">
        <f>TEXT(B484,"aaa")</f>
        <v/>
      </c>
      <c r="E484" s="9">
        <f>INDEX(매칭테이블!C:C,MATCH(RD!G484,매칭테이블!D:D,0))</f>
        <v/>
      </c>
      <c r="F484" s="9" t="inlineStr">
        <is>
          <t>카페24</t>
        </is>
      </c>
      <c r="G484" s="9" t="inlineStr">
        <is>
          <t>HAIR RÉ:COVERY 15 Hairpack Treatment [라베나 리커버리 15 헤어팩 트리트먼트]제품선택=헤어팩 트리트먼트 1개 + 뉴트리셔스밤 1개 세트 5% 추가할인</t>
        </is>
      </c>
      <c r="H484" s="9" t="n">
        <v>5</v>
      </c>
      <c r="I484" s="9">
        <f>VLOOKUP(G484,매칭테이블!D:E,2,0)</f>
        <v/>
      </c>
      <c r="J484" s="9" t="n">
        <v>201210</v>
      </c>
      <c r="L484" s="9">
        <f>VLOOKUP($O484,매칭테이블!$G:$J,2,0)*H484</f>
        <v/>
      </c>
      <c r="M484" s="9">
        <f>L484-L484*VLOOKUP($O484,매칭테이블!$G:$J,3,0)</f>
        <v/>
      </c>
      <c r="N484" s="9">
        <f>VLOOKUP($O484,매칭테이블!$G:$J,4,0)*H484</f>
        <v/>
      </c>
      <c r="O484" s="9">
        <f>F484&amp;E484&amp;G484&amp;J484</f>
        <v/>
      </c>
    </row>
    <row r="485">
      <c r="B485" s="10" t="n">
        <v>44189</v>
      </c>
      <c r="C485" s="9">
        <f>TEXT(B485,"aaa")</f>
        <v/>
      </c>
      <c r="E485" s="9">
        <f>INDEX(매칭테이블!C:C,MATCH(RD!G485,매칭테이블!D:D,0))</f>
        <v/>
      </c>
      <c r="F485" s="9" t="inlineStr">
        <is>
          <t>카페24</t>
        </is>
      </c>
      <c r="G485" s="9" t="inlineStr">
        <is>
          <t>HAIR RÉ:COVERY 15 Nutritious Balm [라베나 리커버리 15 뉴트리셔스 밤]제품선택=헤어 리커버리 15 뉴트리셔스 밤</t>
        </is>
      </c>
      <c r="H485" s="9" t="n">
        <v>5</v>
      </c>
      <c r="I485" s="9">
        <f>VLOOKUP(G485,매칭테이블!D:E,2,0)</f>
        <v/>
      </c>
      <c r="J485" s="9" t="n">
        <v>201210</v>
      </c>
      <c r="L485" s="9">
        <f>VLOOKUP($O485,매칭테이블!$G:$J,2,0)*H485</f>
        <v/>
      </c>
      <c r="M485" s="9">
        <f>L485-L485*VLOOKUP($O485,매칭테이블!$G:$J,3,0)</f>
        <v/>
      </c>
      <c r="N485" s="9">
        <f>VLOOKUP($O485,매칭테이블!$G:$J,4,0)*H485</f>
        <v/>
      </c>
      <c r="O485" s="9">
        <f>F485&amp;E485&amp;G485&amp;J485</f>
        <v/>
      </c>
    </row>
    <row r="486">
      <c r="B486" s="10" t="n">
        <v>44189</v>
      </c>
      <c r="C486" s="9">
        <f>TEXT(B486,"aaa")</f>
        <v/>
      </c>
      <c r="E486" s="9">
        <f>INDEX(매칭테이블!C:C,MATCH(RD!G486,매칭테이블!D:D,0))</f>
        <v/>
      </c>
      <c r="F486" s="9" t="inlineStr">
        <is>
          <t>카페24</t>
        </is>
      </c>
      <c r="G486" s="9" t="inlineStr">
        <is>
          <t>HAIR RÉ:COVERY 15 Nutritious Balm [라베나 리커버리 15 뉴트리셔스 밤]제품선택=뉴트리셔스 밤 2개 세트 5% 추가할인</t>
        </is>
      </c>
      <c r="H486" s="9" t="n">
        <v>1</v>
      </c>
      <c r="I486" s="9">
        <f>VLOOKUP(G486,매칭테이블!D:E,2,0)</f>
        <v/>
      </c>
      <c r="J486" s="9" t="n">
        <v>201210</v>
      </c>
      <c r="L486" s="9">
        <f>VLOOKUP($O486,매칭테이블!$G:$J,2,0)*H486</f>
        <v/>
      </c>
      <c r="M486" s="9">
        <f>L486-L486*VLOOKUP($O486,매칭테이블!$G:$J,3,0)</f>
        <v/>
      </c>
      <c r="N486" s="9">
        <f>VLOOKUP($O486,매칭테이블!$G:$J,4,0)*H486</f>
        <v/>
      </c>
      <c r="O486" s="9">
        <f>F486&amp;E486&amp;G486&amp;J486</f>
        <v/>
      </c>
    </row>
    <row r="487">
      <c r="B487" s="10" t="n">
        <v>44189</v>
      </c>
      <c r="C487" s="9">
        <f>TEXT(B487,"aaa")</f>
        <v/>
      </c>
      <c r="E487" s="9">
        <f>INDEX(매칭테이블!C:C,MATCH(RD!G487,매칭테이블!D:D,0))</f>
        <v/>
      </c>
      <c r="F487" s="9" t="inlineStr">
        <is>
          <t>카페24</t>
        </is>
      </c>
      <c r="G487" s="9" t="inlineStr">
        <is>
          <t>HAIR RÉ:COVERY 15 Nutritious Balm [라베나 리커버리 15 뉴트리셔스 밤]제품선택=뉴트리셔스 밤 3개 세트 10% 추가할인</t>
        </is>
      </c>
      <c r="H487" s="9" t="n">
        <v>2</v>
      </c>
      <c r="I487" s="9">
        <f>VLOOKUP(G487,매칭테이블!D:E,2,0)</f>
        <v/>
      </c>
      <c r="J487" s="9" t="n">
        <v>201210</v>
      </c>
      <c r="L487" s="9">
        <f>VLOOKUP($O487,매칭테이블!$G:$J,2,0)*H487</f>
        <v/>
      </c>
      <c r="M487" s="9">
        <f>L487-L487*VLOOKUP($O487,매칭테이블!$G:$J,3,0)</f>
        <v/>
      </c>
      <c r="N487" s="9">
        <f>VLOOKUP($O487,매칭테이블!$G:$J,4,0)*H487</f>
        <v/>
      </c>
      <c r="O487" s="9">
        <f>F487&amp;E487&amp;G487&amp;J487</f>
        <v/>
      </c>
    </row>
    <row r="488">
      <c r="B488" s="10" t="n">
        <v>44189</v>
      </c>
      <c r="C488" s="9">
        <f>TEXT(B488,"aaa")</f>
        <v/>
      </c>
      <c r="E488" s="9">
        <f>INDEX(매칭테이블!C:C,MATCH(RD!G488,매칭테이블!D:D,0))</f>
        <v/>
      </c>
      <c r="F488" s="9" t="inlineStr">
        <is>
          <t>카페24</t>
        </is>
      </c>
      <c r="G488" s="9" t="inlineStr">
        <is>
          <t>HAIR RÉ:COVERY 15 Nutritious Balm [라베나 리커버리 15 뉴트리셔스 밤]제품선택=뉴트리셔스밤 1개 + 헤어팩 트리트먼트 1개 세트 5%추가할인</t>
        </is>
      </c>
      <c r="H488" s="9" t="n">
        <v>4</v>
      </c>
      <c r="I488" s="9">
        <f>VLOOKUP(G488,매칭테이블!D:E,2,0)</f>
        <v/>
      </c>
      <c r="J488" s="9" t="n">
        <v>201210</v>
      </c>
      <c r="L488" s="9">
        <f>VLOOKUP($O488,매칭테이블!$G:$J,2,0)*H488</f>
        <v/>
      </c>
      <c r="M488" s="9">
        <f>L488-L488*VLOOKUP($O488,매칭테이블!$G:$J,3,0)</f>
        <v/>
      </c>
      <c r="N488" s="9">
        <f>VLOOKUP($O488,매칭테이블!$G:$J,4,0)*H488</f>
        <v/>
      </c>
      <c r="O488" s="9">
        <f>F488&amp;E488&amp;G488&amp;J488</f>
        <v/>
      </c>
    </row>
    <row r="489">
      <c r="B489" s="10" t="n">
        <v>44189</v>
      </c>
      <c r="C489" s="9">
        <f>TEXT(B489,"aaa")</f>
        <v/>
      </c>
      <c r="E489" s="9">
        <f>INDEX(매칭테이블!C:C,MATCH(RD!G489,매칭테이블!D:D,0))</f>
        <v/>
      </c>
      <c r="F489" s="9" t="inlineStr">
        <is>
          <t>카페24</t>
        </is>
      </c>
      <c r="G489" s="9" t="inlineStr">
        <is>
          <t>HAIR RÉ:COVERY 15 Revital Shampoo [라베나 리커버리 15 리바이탈 샴푸]제품선택=헤어 리커버리 15 리바이탈 샴푸 - 500ml</t>
        </is>
      </c>
      <c r="H489" s="9" t="n">
        <v>13</v>
      </c>
      <c r="I489" s="9">
        <f>VLOOKUP(G489,매칭테이블!D:E,2,0)</f>
        <v/>
      </c>
      <c r="J489" s="9" t="n">
        <v>201210</v>
      </c>
      <c r="L489" s="9">
        <f>VLOOKUP($O489,매칭테이블!$G:$J,2,0)*H489</f>
        <v/>
      </c>
      <c r="M489" s="9">
        <f>L489-L489*VLOOKUP($O489,매칭테이블!$G:$J,3,0)</f>
        <v/>
      </c>
      <c r="N489" s="9">
        <f>VLOOKUP($O489,매칭테이블!$G:$J,4,0)*H489</f>
        <v/>
      </c>
      <c r="O489" s="9">
        <f>F489&amp;E489&amp;G489&amp;J489</f>
        <v/>
      </c>
    </row>
    <row r="490">
      <c r="B490" s="10" t="n">
        <v>44189</v>
      </c>
      <c r="C490" s="9">
        <f>TEXT(B490,"aaa")</f>
        <v/>
      </c>
      <c r="E490" s="9">
        <f>INDEX(매칭테이블!C:C,MATCH(RD!G490,매칭테이블!D:D,0))</f>
        <v/>
      </c>
      <c r="F490" s="9" t="inlineStr">
        <is>
          <t>카페24</t>
        </is>
      </c>
      <c r="G490" s="9" t="inlineStr">
        <is>
          <t>HAIR RÉ:COVERY 15 Revital Shampoo [라베나 리커버리 15 리바이탈 샴푸]제품선택=리바이탈 샴푸 2개 세트 5%추가할인</t>
        </is>
      </c>
      <c r="H490" s="9" t="n">
        <v>6</v>
      </c>
      <c r="I490" s="9">
        <f>VLOOKUP(G490,매칭테이블!D:E,2,0)</f>
        <v/>
      </c>
      <c r="J490" s="9" t="n">
        <v>201210</v>
      </c>
      <c r="L490" s="9">
        <f>VLOOKUP($O490,매칭테이블!$G:$J,2,0)*H490</f>
        <v/>
      </c>
      <c r="M490" s="9">
        <f>L490-L490*VLOOKUP($O490,매칭테이블!$G:$J,3,0)</f>
        <v/>
      </c>
      <c r="N490" s="9">
        <f>VLOOKUP($O490,매칭테이블!$G:$J,4,0)*H490</f>
        <v/>
      </c>
      <c r="O490" s="9">
        <f>F490&amp;E490&amp;G490&amp;J490</f>
        <v/>
      </c>
    </row>
    <row r="491">
      <c r="B491" s="10" t="n">
        <v>44189</v>
      </c>
      <c r="C491" s="9">
        <f>TEXT(B491,"aaa")</f>
        <v/>
      </c>
      <c r="E491" s="9">
        <f>INDEX(매칭테이블!C:C,MATCH(RD!G491,매칭테이블!D:D,0))</f>
        <v/>
      </c>
      <c r="F491" s="9" t="inlineStr">
        <is>
          <t>카페24</t>
        </is>
      </c>
      <c r="G491" s="9" t="inlineStr">
        <is>
          <t>HAIR RÉ:COVERY 15 Revital Shampoo [라베나 리커버리 15 리바이탈 샴푸]제품선택=리바이탈 샴푸 3개 세트 10% 추가할인</t>
        </is>
      </c>
      <c r="H491" s="9" t="n">
        <v>4</v>
      </c>
      <c r="I491" s="9">
        <f>VLOOKUP(G491,매칭테이블!D:E,2,0)</f>
        <v/>
      </c>
      <c r="J491" s="9" t="n">
        <v>201210</v>
      </c>
      <c r="L491" s="9">
        <f>VLOOKUP($O491,매칭테이블!$G:$J,2,0)*H491</f>
        <v/>
      </c>
      <c r="M491" s="9">
        <f>L491-L491*VLOOKUP($O491,매칭테이블!$G:$J,3,0)</f>
        <v/>
      </c>
      <c r="N491" s="9">
        <f>VLOOKUP($O491,매칭테이블!$G:$J,4,0)*H491</f>
        <v/>
      </c>
      <c r="O491" s="9">
        <f>F491&amp;E491&amp;G491&amp;J491</f>
        <v/>
      </c>
    </row>
    <row r="492">
      <c r="B492" s="10" t="n">
        <v>44190</v>
      </c>
      <c r="C492" s="9">
        <f>TEXT(B492,"aaa")</f>
        <v/>
      </c>
      <c r="E492" s="9">
        <f>INDEX(매칭테이블!C:C,MATCH(RD!G492,매칭테이블!D:D,0))</f>
        <v/>
      </c>
      <c r="F492" s="9" t="inlineStr">
        <is>
          <t>카페24</t>
        </is>
      </c>
      <c r="G492" s="9" t="inlineStr">
        <is>
          <t>HAIR RÉ:COVERY 15 Hairpack Treatment [라베나 리커버리 15 헤어팩 트리트먼트]제품선택=헤어 리커버리 15 헤어팩 트리트먼트</t>
        </is>
      </c>
      <c r="H492" s="9" t="n">
        <v>11</v>
      </c>
      <c r="I492" s="9">
        <f>VLOOKUP(G492,매칭테이블!D:E,2,0)</f>
        <v/>
      </c>
      <c r="J492" s="9" t="n">
        <v>201210</v>
      </c>
      <c r="L492" s="9">
        <f>VLOOKUP($O492,매칭테이블!$G:$J,2,0)*H492</f>
        <v/>
      </c>
      <c r="M492" s="9">
        <f>L492-L492*VLOOKUP($O492,매칭테이블!$G:$J,3,0)</f>
        <v/>
      </c>
      <c r="N492" s="9">
        <f>VLOOKUP($O492,매칭테이블!$G:$J,4,0)*H492</f>
        <v/>
      </c>
      <c r="O492" s="9">
        <f>F492&amp;E492&amp;G492&amp;J492</f>
        <v/>
      </c>
    </row>
    <row r="493">
      <c r="B493" s="10" t="n">
        <v>44190</v>
      </c>
      <c r="C493" s="9">
        <f>TEXT(B493,"aaa")</f>
        <v/>
      </c>
      <c r="E493" s="9">
        <f>INDEX(매칭테이블!C:C,MATCH(RD!G493,매칭테이블!D:D,0))</f>
        <v/>
      </c>
      <c r="F493" s="9" t="inlineStr">
        <is>
          <t>카페24</t>
        </is>
      </c>
      <c r="G493" s="9" t="inlineStr">
        <is>
          <t>HAIR RÉ:COVERY 15 Hairpack Treatment [라베나 리커버리 15 헤어팩 트리트먼트]제품선택=헤어팩 트리트먼트 2개 세트 5% 추가할인</t>
        </is>
      </c>
      <c r="H493" s="9" t="n">
        <v>6</v>
      </c>
      <c r="I493" s="9">
        <f>VLOOKUP(G493,매칭테이블!D:E,2,0)</f>
        <v/>
      </c>
      <c r="J493" s="9" t="n">
        <v>201210</v>
      </c>
      <c r="L493" s="9">
        <f>VLOOKUP($O493,매칭테이블!$G:$J,2,0)*H493</f>
        <v/>
      </c>
      <c r="M493" s="9">
        <f>L493-L493*VLOOKUP($O493,매칭테이블!$G:$J,3,0)</f>
        <v/>
      </c>
      <c r="N493" s="9">
        <f>VLOOKUP($O493,매칭테이블!$G:$J,4,0)*H493</f>
        <v/>
      </c>
      <c r="O493" s="9">
        <f>F493&amp;E493&amp;G493&amp;J493</f>
        <v/>
      </c>
    </row>
    <row r="494">
      <c r="B494" s="10" t="n">
        <v>44190</v>
      </c>
      <c r="C494" s="9">
        <f>TEXT(B494,"aaa")</f>
        <v/>
      </c>
      <c r="E494" s="9">
        <f>INDEX(매칭테이블!C:C,MATCH(RD!G494,매칭테이블!D:D,0))</f>
        <v/>
      </c>
      <c r="F494" s="9" t="inlineStr">
        <is>
          <t>카페24</t>
        </is>
      </c>
      <c r="G494" s="9" t="inlineStr">
        <is>
          <t>HAIR RÉ:COVERY 15 Hairpack Treatment [라베나 리커버리 15 헤어팩 트리트먼트]제품선택=헤어팩 트리트먼트 1개 + 뉴트리셔스밤 1개 세트 5% 추가할인</t>
        </is>
      </c>
      <c r="H494" s="9" t="n">
        <v>1</v>
      </c>
      <c r="I494" s="9">
        <f>VLOOKUP(G494,매칭테이블!D:E,2,0)</f>
        <v/>
      </c>
      <c r="J494" s="9" t="n">
        <v>201210</v>
      </c>
      <c r="L494" s="9">
        <f>VLOOKUP($O494,매칭테이블!$G:$J,2,0)*H494</f>
        <v/>
      </c>
      <c r="M494" s="9">
        <f>L494-L494*VLOOKUP($O494,매칭테이블!$G:$J,3,0)</f>
        <v/>
      </c>
      <c r="N494" s="9">
        <f>VLOOKUP($O494,매칭테이블!$G:$J,4,0)*H494</f>
        <v/>
      </c>
      <c r="O494" s="9">
        <f>F494&amp;E494&amp;G494&amp;J494</f>
        <v/>
      </c>
    </row>
    <row r="495">
      <c r="B495" s="10" t="n">
        <v>44190</v>
      </c>
      <c r="C495" s="9">
        <f>TEXT(B495,"aaa")</f>
        <v/>
      </c>
      <c r="E495" s="9">
        <f>INDEX(매칭테이블!C:C,MATCH(RD!G495,매칭테이블!D:D,0))</f>
        <v/>
      </c>
      <c r="F495" s="9" t="inlineStr">
        <is>
          <t>카페24</t>
        </is>
      </c>
      <c r="G495" s="9" t="inlineStr">
        <is>
          <t>HAIR RÉ:COVERY 15 Nutritious Balm [라베나 리커버리 15 뉴트리셔스 밤]제품선택=헤어 리커버리 15 뉴트리셔스 밤</t>
        </is>
      </c>
      <c r="H495" s="9" t="n">
        <v>20</v>
      </c>
      <c r="I495" s="9">
        <f>VLOOKUP(G495,매칭테이블!D:E,2,0)</f>
        <v/>
      </c>
      <c r="J495" s="9" t="n">
        <v>201210</v>
      </c>
      <c r="L495" s="9">
        <f>VLOOKUP($O495,매칭테이블!$G:$J,2,0)*H495</f>
        <v/>
      </c>
      <c r="M495" s="9">
        <f>L495-L495*VLOOKUP($O495,매칭테이블!$G:$J,3,0)</f>
        <v/>
      </c>
      <c r="N495" s="9">
        <f>VLOOKUP($O495,매칭테이블!$G:$J,4,0)*H495</f>
        <v/>
      </c>
      <c r="O495" s="9">
        <f>F495&amp;E495&amp;G495&amp;J495</f>
        <v/>
      </c>
    </row>
    <row r="496">
      <c r="B496" s="10" t="n">
        <v>44190</v>
      </c>
      <c r="C496" s="9">
        <f>TEXT(B496,"aaa")</f>
        <v/>
      </c>
      <c r="E496" s="9">
        <f>INDEX(매칭테이블!C:C,MATCH(RD!G496,매칭테이블!D:D,0))</f>
        <v/>
      </c>
      <c r="F496" s="9" t="inlineStr">
        <is>
          <t>카페24</t>
        </is>
      </c>
      <c r="G496" s="9" t="inlineStr">
        <is>
          <t>HAIR RÉ:COVERY 15 Nutritious Balm [라베나 리커버리 15 뉴트리셔스 밤]제품선택=뉴트리셔스 밤 2개 세트 5% 추가할인</t>
        </is>
      </c>
      <c r="H496" s="9" t="n">
        <v>5</v>
      </c>
      <c r="I496" s="9">
        <f>VLOOKUP(G496,매칭테이블!D:E,2,0)</f>
        <v/>
      </c>
      <c r="J496" s="9" t="n">
        <v>201210</v>
      </c>
      <c r="L496" s="9">
        <f>VLOOKUP($O496,매칭테이블!$G:$J,2,0)*H496</f>
        <v/>
      </c>
      <c r="M496" s="9">
        <f>L496-L496*VLOOKUP($O496,매칭테이블!$G:$J,3,0)</f>
        <v/>
      </c>
      <c r="N496" s="9">
        <f>VLOOKUP($O496,매칭테이블!$G:$J,4,0)*H496</f>
        <v/>
      </c>
      <c r="O496" s="9">
        <f>F496&amp;E496&amp;G496&amp;J496</f>
        <v/>
      </c>
    </row>
    <row r="497">
      <c r="B497" s="10" t="n">
        <v>44190</v>
      </c>
      <c r="C497" s="9">
        <f>TEXT(B497,"aaa")</f>
        <v/>
      </c>
      <c r="E497" s="9">
        <f>INDEX(매칭테이블!C:C,MATCH(RD!G497,매칭테이블!D:D,0))</f>
        <v/>
      </c>
      <c r="F497" s="9" t="inlineStr">
        <is>
          <t>카페24</t>
        </is>
      </c>
      <c r="G497" s="9" t="inlineStr">
        <is>
          <t>HAIR RÉ:COVERY 15 Nutritious Balm [라베나 리커버리 15 뉴트리셔스 밤]제품선택=뉴트리셔스 밤 3개 세트 10% 추가할인</t>
        </is>
      </c>
      <c r="H497" s="9" t="n">
        <v>3</v>
      </c>
      <c r="I497" s="9">
        <f>VLOOKUP(G497,매칭테이블!D:E,2,0)</f>
        <v/>
      </c>
      <c r="J497" s="9" t="n">
        <v>201210</v>
      </c>
      <c r="L497" s="9">
        <f>VLOOKUP($O497,매칭테이블!$G:$J,2,0)*H497</f>
        <v/>
      </c>
      <c r="M497" s="9">
        <f>L497-L497*VLOOKUP($O497,매칭테이블!$G:$J,3,0)</f>
        <v/>
      </c>
      <c r="N497" s="9">
        <f>VLOOKUP($O497,매칭테이블!$G:$J,4,0)*H497</f>
        <v/>
      </c>
      <c r="O497" s="9">
        <f>F497&amp;E497&amp;G497&amp;J497</f>
        <v/>
      </c>
    </row>
    <row r="498">
      <c r="B498" s="10" t="n">
        <v>44190</v>
      </c>
      <c r="C498" s="9">
        <f>TEXT(B498,"aaa")</f>
        <v/>
      </c>
      <c r="E498" s="9">
        <f>INDEX(매칭테이블!C:C,MATCH(RD!G498,매칭테이블!D:D,0))</f>
        <v/>
      </c>
      <c r="F498" s="9" t="inlineStr">
        <is>
          <t>카페24</t>
        </is>
      </c>
      <c r="G498" s="9" t="inlineStr">
        <is>
          <t>HAIR RÉ:COVERY 15 Nutritious Balm [라베나 리커버리 15 뉴트리셔스 밤]제품선택=뉴트리셔스밤 1개 + 헤어팩 트리트먼트 1개 세트 5%추가할인</t>
        </is>
      </c>
      <c r="H498" s="9" t="n">
        <v>5</v>
      </c>
      <c r="I498" s="9">
        <f>VLOOKUP(G498,매칭테이블!D:E,2,0)</f>
        <v/>
      </c>
      <c r="J498" s="9" t="n">
        <v>201210</v>
      </c>
      <c r="L498" s="9">
        <f>VLOOKUP($O498,매칭테이블!$G:$J,2,0)*H498</f>
        <v/>
      </c>
      <c r="M498" s="9">
        <f>L498-L498*VLOOKUP($O498,매칭테이블!$G:$J,3,0)</f>
        <v/>
      </c>
      <c r="N498" s="9">
        <f>VLOOKUP($O498,매칭테이블!$G:$J,4,0)*H498</f>
        <v/>
      </c>
      <c r="O498" s="9">
        <f>F498&amp;E498&amp;G498&amp;J498</f>
        <v/>
      </c>
    </row>
    <row r="499">
      <c r="B499" s="10" t="n">
        <v>44190</v>
      </c>
      <c r="C499" s="9">
        <f>TEXT(B499,"aaa")</f>
        <v/>
      </c>
      <c r="E499" s="9">
        <f>INDEX(매칭테이블!C:C,MATCH(RD!G499,매칭테이블!D:D,0))</f>
        <v/>
      </c>
      <c r="F499" s="9" t="inlineStr">
        <is>
          <t>카페24</t>
        </is>
      </c>
      <c r="G499" s="9" t="inlineStr">
        <is>
          <t>HAIR RÉ:COVERY 15 Revital Shampoo [라베나 리커버리 15 리바이탈 샴푸]제품선택=헤어 리커버리 15 리바이탈 샴푸 - 500ml</t>
        </is>
      </c>
      <c r="H499" s="9" t="n">
        <v>13</v>
      </c>
      <c r="I499" s="9">
        <f>VLOOKUP(G499,매칭테이블!D:E,2,0)</f>
        <v/>
      </c>
      <c r="J499" s="9" t="n">
        <v>201210</v>
      </c>
      <c r="L499" s="9">
        <f>VLOOKUP($O499,매칭테이블!$G:$J,2,0)*H499</f>
        <v/>
      </c>
      <c r="M499" s="9">
        <f>L499-L499*VLOOKUP($O499,매칭테이블!$G:$J,3,0)</f>
        <v/>
      </c>
      <c r="N499" s="9">
        <f>VLOOKUP($O499,매칭테이블!$G:$J,4,0)*H499</f>
        <v/>
      </c>
      <c r="O499" s="9">
        <f>F499&amp;E499&amp;G499&amp;J499</f>
        <v/>
      </c>
    </row>
    <row r="500">
      <c r="B500" s="10" t="n">
        <v>44190</v>
      </c>
      <c r="C500" s="9">
        <f>TEXT(B500,"aaa")</f>
        <v/>
      </c>
      <c r="E500" s="9">
        <f>INDEX(매칭테이블!C:C,MATCH(RD!G500,매칭테이블!D:D,0))</f>
        <v/>
      </c>
      <c r="F500" s="9" t="inlineStr">
        <is>
          <t>카페24</t>
        </is>
      </c>
      <c r="G500" s="9" t="inlineStr">
        <is>
          <t>HAIR RÉ:COVERY 15 Revital Shampoo [라베나 리커버리 15 리바이탈 샴푸]제품선택=리바이탈 샴푸 2개 세트 5%추가할인</t>
        </is>
      </c>
      <c r="H500" s="9" t="n">
        <v>3</v>
      </c>
      <c r="I500" s="9">
        <f>VLOOKUP(G500,매칭테이블!D:E,2,0)</f>
        <v/>
      </c>
      <c r="J500" s="9" t="n">
        <v>201210</v>
      </c>
      <c r="L500" s="9">
        <f>VLOOKUP($O500,매칭테이블!$G:$J,2,0)*H500</f>
        <v/>
      </c>
      <c r="M500" s="9">
        <f>L500-L500*VLOOKUP($O500,매칭테이블!$G:$J,3,0)</f>
        <v/>
      </c>
      <c r="N500" s="9">
        <f>VLOOKUP($O500,매칭테이블!$G:$J,4,0)*H500</f>
        <v/>
      </c>
      <c r="O500" s="9">
        <f>F500&amp;E500&amp;G500&amp;J500</f>
        <v/>
      </c>
    </row>
    <row r="501">
      <c r="B501" s="10" t="n">
        <v>44190</v>
      </c>
      <c r="C501" s="9">
        <f>TEXT(B501,"aaa")</f>
        <v/>
      </c>
      <c r="E501" s="9">
        <f>INDEX(매칭테이블!C:C,MATCH(RD!G501,매칭테이블!D:D,0))</f>
        <v/>
      </c>
      <c r="F501" s="9" t="inlineStr">
        <is>
          <t>카페24</t>
        </is>
      </c>
      <c r="G501" s="9" t="inlineStr">
        <is>
          <t>HAIR RÉ:COVERY 15 Revital Shampoo [라베나 리커버리 15 리바이탈 샴푸]제품선택=리바이탈 샴푸 3개 세트 10% 추가할인</t>
        </is>
      </c>
      <c r="H501" s="9" t="n">
        <v>2</v>
      </c>
      <c r="I501" s="9">
        <f>VLOOKUP(G501,매칭테이블!D:E,2,0)</f>
        <v/>
      </c>
      <c r="J501" s="9" t="n">
        <v>201210</v>
      </c>
      <c r="L501" s="9">
        <f>VLOOKUP($O501,매칭테이블!$G:$J,2,0)*H501</f>
        <v/>
      </c>
      <c r="M501" s="9">
        <f>L501-L501*VLOOKUP($O501,매칭테이블!$G:$J,3,0)</f>
        <v/>
      </c>
      <c r="N501" s="9">
        <f>VLOOKUP($O501,매칭테이블!$G:$J,4,0)*H501</f>
        <v/>
      </c>
      <c r="O501" s="9">
        <f>F501&amp;E501&amp;G501&amp;J501</f>
        <v/>
      </c>
    </row>
    <row r="502">
      <c r="B502" s="10" t="n">
        <v>44191</v>
      </c>
      <c r="C502" s="9">
        <f>TEXT(B502,"aaa")</f>
        <v/>
      </c>
      <c r="E502" s="9">
        <f>INDEX(매칭테이블!C:C,MATCH(RD!G502,매칭테이블!D:D,0))</f>
        <v/>
      </c>
      <c r="F502" s="9" t="inlineStr">
        <is>
          <t>카페24</t>
        </is>
      </c>
      <c r="G502" s="9" t="inlineStr">
        <is>
          <t>HAIR RÉ:COVERY 15 Hairpack Treatment [라베나 리커버리 15 헤어팩 트리트먼트]제품선택=헤어 리커버리 15 헤어팩 트리트먼트</t>
        </is>
      </c>
      <c r="H502" s="9" t="n">
        <v>7</v>
      </c>
      <c r="I502" s="9">
        <f>VLOOKUP(G502,매칭테이블!D:E,2,0)</f>
        <v/>
      </c>
      <c r="J502" s="9" t="n">
        <v>201210</v>
      </c>
      <c r="L502" s="9">
        <f>VLOOKUP($O502,매칭테이블!$G:$J,2,0)*H502</f>
        <v/>
      </c>
      <c r="M502" s="9">
        <f>L502-L502*VLOOKUP($O502,매칭테이블!$G:$J,3,0)</f>
        <v/>
      </c>
      <c r="N502" s="9">
        <f>VLOOKUP($O502,매칭테이블!$G:$J,4,0)*H502</f>
        <v/>
      </c>
      <c r="O502" s="9">
        <f>F502&amp;E502&amp;G502&amp;J502</f>
        <v/>
      </c>
    </row>
    <row r="503">
      <c r="B503" s="10" t="n">
        <v>44191</v>
      </c>
      <c r="C503" s="9">
        <f>TEXT(B503,"aaa")</f>
        <v/>
      </c>
      <c r="E503" s="9">
        <f>INDEX(매칭테이블!C:C,MATCH(RD!G503,매칭테이블!D:D,0))</f>
        <v/>
      </c>
      <c r="F503" s="9" t="inlineStr">
        <is>
          <t>카페24</t>
        </is>
      </c>
      <c r="G503" s="9" t="inlineStr">
        <is>
          <t>HAIR RÉ:COVERY 15 Hairpack Treatment [라베나 리커버리 15 헤어팩 트리트먼트]제품선택=헤어팩 트리트먼트 2개 세트 5% 추가할인</t>
        </is>
      </c>
      <c r="H503" s="9" t="n">
        <v>2</v>
      </c>
      <c r="I503" s="9">
        <f>VLOOKUP(G503,매칭테이블!D:E,2,0)</f>
        <v/>
      </c>
      <c r="J503" s="9" t="n">
        <v>201210</v>
      </c>
      <c r="L503" s="9">
        <f>VLOOKUP($O503,매칭테이블!$G:$J,2,0)*H503</f>
        <v/>
      </c>
      <c r="M503" s="9">
        <f>L503-L503*VLOOKUP($O503,매칭테이블!$G:$J,3,0)</f>
        <v/>
      </c>
      <c r="N503" s="9">
        <f>VLOOKUP($O503,매칭테이블!$G:$J,4,0)*H503</f>
        <v/>
      </c>
      <c r="O503" s="9">
        <f>F503&amp;E503&amp;G503&amp;J503</f>
        <v/>
      </c>
    </row>
    <row r="504">
      <c r="B504" s="10" t="n">
        <v>44191</v>
      </c>
      <c r="C504" s="9">
        <f>TEXT(B504,"aaa")</f>
        <v/>
      </c>
      <c r="E504" s="9">
        <f>INDEX(매칭테이블!C:C,MATCH(RD!G504,매칭테이블!D:D,0))</f>
        <v/>
      </c>
      <c r="F504" s="9" t="inlineStr">
        <is>
          <t>카페24</t>
        </is>
      </c>
      <c r="G504" s="9" t="inlineStr">
        <is>
          <t>HAIR RÉ:COVERY 15 Nutritious Balm [라베나 리커버리 15 뉴트리셔스 밤]제품선택=헤어 리커버리 15 뉴트리셔스 밤</t>
        </is>
      </c>
      <c r="H504" s="9" t="n">
        <v>10</v>
      </c>
      <c r="I504" s="9">
        <f>VLOOKUP(G504,매칭테이블!D:E,2,0)</f>
        <v/>
      </c>
      <c r="J504" s="9" t="n">
        <v>201210</v>
      </c>
      <c r="L504" s="9">
        <f>VLOOKUP($O504,매칭테이블!$G:$J,2,0)*H504</f>
        <v/>
      </c>
      <c r="M504" s="9">
        <f>L504-L504*VLOOKUP($O504,매칭테이블!$G:$J,3,0)</f>
        <v/>
      </c>
      <c r="N504" s="9">
        <f>VLOOKUP($O504,매칭테이블!$G:$J,4,0)*H504</f>
        <v/>
      </c>
      <c r="O504" s="9">
        <f>F504&amp;E504&amp;G504&amp;J504</f>
        <v/>
      </c>
    </row>
    <row r="505">
      <c r="B505" s="10" t="n">
        <v>44191</v>
      </c>
      <c r="C505" s="9">
        <f>TEXT(B505,"aaa")</f>
        <v/>
      </c>
      <c r="E505" s="9">
        <f>INDEX(매칭테이블!C:C,MATCH(RD!G505,매칭테이블!D:D,0))</f>
        <v/>
      </c>
      <c r="F505" s="9" t="inlineStr">
        <is>
          <t>카페24</t>
        </is>
      </c>
      <c r="G505" s="9" t="inlineStr">
        <is>
          <t>HAIR RÉ:COVERY 15 Nutritious Balm [라베나 리커버리 15 뉴트리셔스 밤]제품선택=뉴트리셔스 밤 2개 세트 5% 추가할인</t>
        </is>
      </c>
      <c r="H505" s="9" t="n">
        <v>2</v>
      </c>
      <c r="I505" s="9">
        <f>VLOOKUP(G505,매칭테이블!D:E,2,0)</f>
        <v/>
      </c>
      <c r="J505" s="9" t="n">
        <v>201210</v>
      </c>
      <c r="L505" s="9">
        <f>VLOOKUP($O505,매칭테이블!$G:$J,2,0)*H505</f>
        <v/>
      </c>
      <c r="M505" s="9">
        <f>L505-L505*VLOOKUP($O505,매칭테이블!$G:$J,3,0)</f>
        <v/>
      </c>
      <c r="N505" s="9">
        <f>VLOOKUP($O505,매칭테이블!$G:$J,4,0)*H505</f>
        <v/>
      </c>
      <c r="O505" s="9">
        <f>F505&amp;E505&amp;G505&amp;J505</f>
        <v/>
      </c>
    </row>
    <row r="506">
      <c r="B506" s="10" t="n">
        <v>44191</v>
      </c>
      <c r="C506" s="9">
        <f>TEXT(B506,"aaa")</f>
        <v/>
      </c>
      <c r="E506" s="9">
        <f>INDEX(매칭테이블!C:C,MATCH(RD!G506,매칭테이블!D:D,0))</f>
        <v/>
      </c>
      <c r="F506" s="9" t="inlineStr">
        <is>
          <t>카페24</t>
        </is>
      </c>
      <c r="G506" s="9" t="inlineStr">
        <is>
          <t>HAIR RÉ:COVERY 15 Nutritious Balm [라베나 리커버리 15 뉴트리셔스 밤]제품선택=뉴트리셔스밤 1개 + 헤어팩 트리트먼트 1개 세트 5%추가할인</t>
        </is>
      </c>
      <c r="H506" s="9" t="n">
        <v>2</v>
      </c>
      <c r="I506" s="9">
        <f>VLOOKUP(G506,매칭테이블!D:E,2,0)</f>
        <v/>
      </c>
      <c r="J506" s="9" t="n">
        <v>201210</v>
      </c>
      <c r="L506" s="9">
        <f>VLOOKUP($O506,매칭테이블!$G:$J,2,0)*H506</f>
        <v/>
      </c>
      <c r="M506" s="9">
        <f>L506-L506*VLOOKUP($O506,매칭테이블!$G:$J,3,0)</f>
        <v/>
      </c>
      <c r="N506" s="9">
        <f>VLOOKUP($O506,매칭테이블!$G:$J,4,0)*H506</f>
        <v/>
      </c>
      <c r="O506" s="9">
        <f>F506&amp;E506&amp;G506&amp;J506</f>
        <v/>
      </c>
    </row>
    <row r="507">
      <c r="B507" s="10" t="n">
        <v>44191</v>
      </c>
      <c r="C507" s="9">
        <f>TEXT(B507,"aaa")</f>
        <v/>
      </c>
      <c r="E507" s="9">
        <f>INDEX(매칭테이블!C:C,MATCH(RD!G507,매칭테이블!D:D,0))</f>
        <v/>
      </c>
      <c r="F507" s="9" t="inlineStr">
        <is>
          <t>카페24</t>
        </is>
      </c>
      <c r="G507" s="9" t="inlineStr">
        <is>
          <t>HAIR RÉ:COVERY 15 Revital Shampoo [라베나 리커버리 15 리바이탈 샴푸]제품선택=헤어 리커버리 15 리바이탈 샴푸 - 500ml</t>
        </is>
      </c>
      <c r="H507" s="9" t="n">
        <v>7</v>
      </c>
      <c r="I507" s="9">
        <f>VLOOKUP(G507,매칭테이블!D:E,2,0)</f>
        <v/>
      </c>
      <c r="J507" s="9" t="n">
        <v>201210</v>
      </c>
      <c r="L507" s="9">
        <f>VLOOKUP($O507,매칭테이블!$G:$J,2,0)*H507</f>
        <v/>
      </c>
      <c r="M507" s="9">
        <f>L507-L507*VLOOKUP($O507,매칭테이블!$G:$J,3,0)</f>
        <v/>
      </c>
      <c r="N507" s="9">
        <f>VLOOKUP($O507,매칭테이블!$G:$J,4,0)*H507</f>
        <v/>
      </c>
      <c r="O507" s="9">
        <f>F507&amp;E507&amp;G507&amp;J507</f>
        <v/>
      </c>
    </row>
    <row r="508">
      <c r="B508" s="10" t="n">
        <v>44191</v>
      </c>
      <c r="C508" s="9">
        <f>TEXT(B508,"aaa")</f>
        <v/>
      </c>
      <c r="E508" s="9">
        <f>INDEX(매칭테이블!C:C,MATCH(RD!G508,매칭테이블!D:D,0))</f>
        <v/>
      </c>
      <c r="F508" s="9" t="inlineStr">
        <is>
          <t>카페24</t>
        </is>
      </c>
      <c r="G508" s="9" t="inlineStr">
        <is>
          <t>HAIR RÉ:COVERY 15 Revital Shampoo [라베나 리커버리 15 리바이탈 샴푸]제품선택=리바이탈 샴푸 2개 세트 5%추가할인</t>
        </is>
      </c>
      <c r="H508" s="9" t="n">
        <v>1</v>
      </c>
      <c r="I508" s="9">
        <f>VLOOKUP(G508,매칭테이블!D:E,2,0)</f>
        <v/>
      </c>
      <c r="J508" s="9" t="n">
        <v>201210</v>
      </c>
      <c r="L508" s="9">
        <f>VLOOKUP($O508,매칭테이블!$G:$J,2,0)*H508</f>
        <v/>
      </c>
      <c r="M508" s="9">
        <f>L508-L508*VLOOKUP($O508,매칭테이블!$G:$J,3,0)</f>
        <v/>
      </c>
      <c r="N508" s="9">
        <f>VLOOKUP($O508,매칭테이블!$G:$J,4,0)*H508</f>
        <v/>
      </c>
      <c r="O508" s="9">
        <f>F508&amp;E508&amp;G508&amp;J508</f>
        <v/>
      </c>
    </row>
    <row r="509">
      <c r="B509" s="10" t="n">
        <v>44191</v>
      </c>
      <c r="C509" s="9">
        <f>TEXT(B509,"aaa")</f>
        <v/>
      </c>
      <c r="E509" s="9">
        <f>INDEX(매칭테이블!C:C,MATCH(RD!G509,매칭테이블!D:D,0))</f>
        <v/>
      </c>
      <c r="F509" s="9" t="inlineStr">
        <is>
          <t>카페24</t>
        </is>
      </c>
      <c r="G509" s="9" t="inlineStr">
        <is>
          <t>HAIR RÉ:COVERY 15 Revital Shampoo [라베나 리커버리 15 리바이탈 샴푸]제품선택=리바이탈 샴푸 3개 세트 10% 추가할인</t>
        </is>
      </c>
      <c r="H509" s="9" t="n">
        <v>2</v>
      </c>
      <c r="I509" s="9">
        <f>VLOOKUP(G509,매칭테이블!D:E,2,0)</f>
        <v/>
      </c>
      <c r="J509" s="9" t="n">
        <v>201210</v>
      </c>
      <c r="L509" s="9">
        <f>VLOOKUP($O509,매칭테이블!$G:$J,2,0)*H509</f>
        <v/>
      </c>
      <c r="M509" s="9">
        <f>L509-L509*VLOOKUP($O509,매칭테이블!$G:$J,3,0)</f>
        <v/>
      </c>
      <c r="N509" s="9">
        <f>VLOOKUP($O509,매칭테이블!$G:$J,4,0)*H509</f>
        <v/>
      </c>
      <c r="O509" s="9">
        <f>F509&amp;E509&amp;G509&amp;J509</f>
        <v/>
      </c>
    </row>
    <row r="510">
      <c r="B510" s="10" t="n">
        <v>44192</v>
      </c>
      <c r="C510" s="9">
        <f>TEXT(B510,"aaa")</f>
        <v/>
      </c>
      <c r="E510" s="9">
        <f>INDEX(매칭테이블!C:C,MATCH(RD!G510,매칭테이블!D:D,0))</f>
        <v/>
      </c>
      <c r="F510" s="9" t="inlineStr">
        <is>
          <t>카페24</t>
        </is>
      </c>
      <c r="G510" s="9" t="inlineStr">
        <is>
          <t>HAIR RÉ:COVERY 15 Hairpack Treatment [라베나 리커버리 15 헤어팩 트리트먼트]제품선택=헤어 리커버리 15 헤어팩 트리트먼트</t>
        </is>
      </c>
      <c r="H510" s="9" t="n">
        <v>16</v>
      </c>
      <c r="I510" s="9">
        <f>VLOOKUP(G510,매칭테이블!D:E,2,0)</f>
        <v/>
      </c>
      <c r="J510" s="9" t="n">
        <v>201210</v>
      </c>
      <c r="L510" s="9">
        <f>VLOOKUP($O510,매칭테이블!$G:$J,2,0)*H510</f>
        <v/>
      </c>
      <c r="M510" s="9">
        <f>L510-L510*VLOOKUP($O510,매칭테이블!$G:$J,3,0)</f>
        <v/>
      </c>
      <c r="N510" s="9">
        <f>VLOOKUP($O510,매칭테이블!$G:$J,4,0)*H510</f>
        <v/>
      </c>
      <c r="O510" s="9">
        <f>F510&amp;E510&amp;G510&amp;J510</f>
        <v/>
      </c>
    </row>
    <row r="511">
      <c r="B511" s="10" t="n">
        <v>44192</v>
      </c>
      <c r="C511" s="9">
        <f>TEXT(B511,"aaa")</f>
        <v/>
      </c>
      <c r="E511" s="9">
        <f>INDEX(매칭테이블!C:C,MATCH(RD!G511,매칭테이블!D:D,0))</f>
        <v/>
      </c>
      <c r="F511" s="9" t="inlineStr">
        <is>
          <t>카페24</t>
        </is>
      </c>
      <c r="G511" s="9" t="inlineStr">
        <is>
          <t>HAIR RÉ:COVERY 15 Hairpack Treatment [라베나 리커버리 15 헤어팩 트리트먼트]제품선택=헤어팩 트리트먼트 2개 세트 5% 추가할인</t>
        </is>
      </c>
      <c r="H511" s="9" t="n">
        <v>7</v>
      </c>
      <c r="I511" s="9">
        <f>VLOOKUP(G511,매칭테이블!D:E,2,0)</f>
        <v/>
      </c>
      <c r="J511" s="9" t="n">
        <v>201210</v>
      </c>
      <c r="L511" s="9">
        <f>VLOOKUP($O511,매칭테이블!$G:$J,2,0)*H511</f>
        <v/>
      </c>
      <c r="M511" s="9">
        <f>L511-L511*VLOOKUP($O511,매칭테이블!$G:$J,3,0)</f>
        <v/>
      </c>
      <c r="N511" s="9">
        <f>VLOOKUP($O511,매칭테이블!$G:$J,4,0)*H511</f>
        <v/>
      </c>
      <c r="O511" s="9">
        <f>F511&amp;E511&amp;G511&amp;J511</f>
        <v/>
      </c>
    </row>
    <row r="512">
      <c r="B512" s="10" t="n">
        <v>44192</v>
      </c>
      <c r="C512" s="9">
        <f>TEXT(B512,"aaa")</f>
        <v/>
      </c>
      <c r="E512" s="9">
        <f>INDEX(매칭테이블!C:C,MATCH(RD!G512,매칭테이블!D:D,0))</f>
        <v/>
      </c>
      <c r="F512" s="9" t="inlineStr">
        <is>
          <t>카페24</t>
        </is>
      </c>
      <c r="G512" s="9" t="inlineStr">
        <is>
          <t>HAIR RÉ:COVERY 15 Hairpack Treatment [라베나 리커버리 15 헤어팩 트리트먼트]제품선택=헤어팩 트리트먼트 3개 세트 10% 추가할인</t>
        </is>
      </c>
      <c r="H512" s="9" t="n">
        <v>3</v>
      </c>
      <c r="I512" s="9">
        <f>VLOOKUP(G512,매칭테이블!D:E,2,0)</f>
        <v/>
      </c>
      <c r="J512" s="9" t="n">
        <v>201210</v>
      </c>
      <c r="L512" s="9">
        <f>VLOOKUP($O512,매칭테이블!$G:$J,2,0)*H512</f>
        <v/>
      </c>
      <c r="M512" s="9">
        <f>L512-L512*VLOOKUP($O512,매칭테이블!$G:$J,3,0)</f>
        <v/>
      </c>
      <c r="N512" s="9">
        <f>VLOOKUP($O512,매칭테이블!$G:$J,4,0)*H512</f>
        <v/>
      </c>
      <c r="O512" s="9">
        <f>F512&amp;E512&amp;G512&amp;J512</f>
        <v/>
      </c>
    </row>
    <row r="513">
      <c r="B513" s="10" t="n">
        <v>44192</v>
      </c>
      <c r="C513" s="9">
        <f>TEXT(B513,"aaa")</f>
        <v/>
      </c>
      <c r="E513" s="9">
        <f>INDEX(매칭테이블!C:C,MATCH(RD!G513,매칭테이블!D:D,0))</f>
        <v/>
      </c>
      <c r="F513" s="9" t="inlineStr">
        <is>
          <t>카페24</t>
        </is>
      </c>
      <c r="G513" s="9" t="inlineStr">
        <is>
          <t>HAIR RÉ:COVERY 15 Hairpack Treatment [라베나 리커버리 15 헤어팩 트리트먼트]제품선택=헤어팩 트리트먼트 1개 + 뉴트리셔스밤 1개 세트 5% 추가할인</t>
        </is>
      </c>
      <c r="H513" s="9" t="n">
        <v>1</v>
      </c>
      <c r="I513" s="9">
        <f>VLOOKUP(G513,매칭테이블!D:E,2,0)</f>
        <v/>
      </c>
      <c r="J513" s="9" t="n">
        <v>201210</v>
      </c>
      <c r="L513" s="9">
        <f>VLOOKUP($O513,매칭테이블!$G:$J,2,0)*H513</f>
        <v/>
      </c>
      <c r="M513" s="9">
        <f>L513-L513*VLOOKUP($O513,매칭테이블!$G:$J,3,0)</f>
        <v/>
      </c>
      <c r="N513" s="9">
        <f>VLOOKUP($O513,매칭테이블!$G:$J,4,0)*H513</f>
        <v/>
      </c>
      <c r="O513" s="9">
        <f>F513&amp;E513&amp;G513&amp;J513</f>
        <v/>
      </c>
    </row>
    <row r="514">
      <c r="B514" s="10" t="n">
        <v>44192</v>
      </c>
      <c r="C514" s="9">
        <f>TEXT(B514,"aaa")</f>
        <v/>
      </c>
      <c r="E514" s="9">
        <f>INDEX(매칭테이블!C:C,MATCH(RD!G514,매칭테이블!D:D,0))</f>
        <v/>
      </c>
      <c r="F514" s="9" t="inlineStr">
        <is>
          <t>카페24</t>
        </is>
      </c>
      <c r="G514" s="9" t="inlineStr">
        <is>
          <t>HAIR RÉ:COVERY 15 Nutritious Balm [라베나 리커버리 15 뉴트리셔스 밤]제품선택=헤어 리커버리 15 뉴트리셔스 밤</t>
        </is>
      </c>
      <c r="H514" s="9" t="n">
        <v>24</v>
      </c>
      <c r="I514" s="9">
        <f>VLOOKUP(G514,매칭테이블!D:E,2,0)</f>
        <v/>
      </c>
      <c r="J514" s="9" t="n">
        <v>201210</v>
      </c>
      <c r="L514" s="9">
        <f>VLOOKUP($O514,매칭테이블!$G:$J,2,0)*H514</f>
        <v/>
      </c>
      <c r="M514" s="9">
        <f>L514-L514*VLOOKUP($O514,매칭테이블!$G:$J,3,0)</f>
        <v/>
      </c>
      <c r="N514" s="9">
        <f>VLOOKUP($O514,매칭테이블!$G:$J,4,0)*H514</f>
        <v/>
      </c>
      <c r="O514" s="9">
        <f>F514&amp;E514&amp;G514&amp;J514</f>
        <v/>
      </c>
    </row>
    <row r="515">
      <c r="B515" s="10" t="n">
        <v>44192</v>
      </c>
      <c r="C515" s="9">
        <f>TEXT(B515,"aaa")</f>
        <v/>
      </c>
      <c r="E515" s="9">
        <f>INDEX(매칭테이블!C:C,MATCH(RD!G515,매칭테이블!D:D,0))</f>
        <v/>
      </c>
      <c r="F515" s="9" t="inlineStr">
        <is>
          <t>카페24</t>
        </is>
      </c>
      <c r="G515" s="9" t="inlineStr">
        <is>
          <t>HAIR RÉ:COVERY 15 Nutritious Balm [라베나 리커버리 15 뉴트리셔스 밤]제품선택=뉴트리셔스 밤 2개 세트 5% 추가할인</t>
        </is>
      </c>
      <c r="H515" s="9" t="n">
        <v>7</v>
      </c>
      <c r="I515" s="9">
        <f>VLOOKUP(G515,매칭테이블!D:E,2,0)</f>
        <v/>
      </c>
      <c r="J515" s="9" t="n">
        <v>201210</v>
      </c>
      <c r="L515" s="9">
        <f>VLOOKUP($O515,매칭테이블!$G:$J,2,0)*H515</f>
        <v/>
      </c>
      <c r="M515" s="9">
        <f>L515-L515*VLOOKUP($O515,매칭테이블!$G:$J,3,0)</f>
        <v/>
      </c>
      <c r="N515" s="9">
        <f>VLOOKUP($O515,매칭테이블!$G:$J,4,0)*H515</f>
        <v/>
      </c>
      <c r="O515" s="9">
        <f>F515&amp;E515&amp;G515&amp;J515</f>
        <v/>
      </c>
    </row>
    <row r="516">
      <c r="B516" s="10" t="n">
        <v>44192</v>
      </c>
      <c r="C516" s="9">
        <f>TEXT(B516,"aaa")</f>
        <v/>
      </c>
      <c r="E516" s="9">
        <f>INDEX(매칭테이블!C:C,MATCH(RD!G516,매칭테이블!D:D,0))</f>
        <v/>
      </c>
      <c r="F516" s="9" t="inlineStr">
        <is>
          <t>카페24</t>
        </is>
      </c>
      <c r="G516" s="9" t="inlineStr">
        <is>
          <t>HAIR RÉ:COVERY 15 Nutritious Balm [라베나 리커버리 15 뉴트리셔스 밤]제품선택=뉴트리셔스 밤 3개 세트 10% 추가할인</t>
        </is>
      </c>
      <c r="H516" s="9" t="n">
        <v>1</v>
      </c>
      <c r="I516" s="9">
        <f>VLOOKUP(G516,매칭테이블!D:E,2,0)</f>
        <v/>
      </c>
      <c r="J516" s="9" t="n">
        <v>201210</v>
      </c>
      <c r="L516" s="9">
        <f>VLOOKUP($O516,매칭테이블!$G:$J,2,0)*H516</f>
        <v/>
      </c>
      <c r="M516" s="9">
        <f>L516-L516*VLOOKUP($O516,매칭테이블!$G:$J,3,0)</f>
        <v/>
      </c>
      <c r="N516" s="9">
        <f>VLOOKUP($O516,매칭테이블!$G:$J,4,0)*H516</f>
        <v/>
      </c>
      <c r="O516" s="9">
        <f>F516&amp;E516&amp;G516&amp;J516</f>
        <v/>
      </c>
    </row>
    <row r="517">
      <c r="B517" s="10" t="n">
        <v>44192</v>
      </c>
      <c r="C517" s="9">
        <f>TEXT(B517,"aaa")</f>
        <v/>
      </c>
      <c r="E517" s="9">
        <f>INDEX(매칭테이블!C:C,MATCH(RD!G517,매칭테이블!D:D,0))</f>
        <v/>
      </c>
      <c r="F517" s="9" t="inlineStr">
        <is>
          <t>카페24</t>
        </is>
      </c>
      <c r="G517" s="9" t="inlineStr">
        <is>
          <t>HAIR RÉ:COVERY 15 Nutritious Balm [라베나 리커버리 15 뉴트리셔스 밤]제품선택=뉴트리셔스밤 1개 + 헤어팩 트리트먼트 1개 세트 5%추가할인</t>
        </is>
      </c>
      <c r="H517" s="9" t="n">
        <v>2</v>
      </c>
      <c r="I517" s="9">
        <f>VLOOKUP(G517,매칭테이블!D:E,2,0)</f>
        <v/>
      </c>
      <c r="J517" s="9" t="n">
        <v>201210</v>
      </c>
      <c r="L517" s="9">
        <f>VLOOKUP($O517,매칭테이블!$G:$J,2,0)*H517</f>
        <v/>
      </c>
      <c r="M517" s="9">
        <f>L517-L517*VLOOKUP($O517,매칭테이블!$G:$J,3,0)</f>
        <v/>
      </c>
      <c r="N517" s="9">
        <f>VLOOKUP($O517,매칭테이블!$G:$J,4,0)*H517</f>
        <v/>
      </c>
      <c r="O517" s="9">
        <f>F517&amp;E517&amp;G517&amp;J517</f>
        <v/>
      </c>
    </row>
    <row r="518">
      <c r="B518" s="10" t="n">
        <v>44192</v>
      </c>
      <c r="C518" s="9">
        <f>TEXT(B518,"aaa")</f>
        <v/>
      </c>
      <c r="E518" s="9">
        <f>INDEX(매칭테이블!C:C,MATCH(RD!G518,매칭테이블!D:D,0))</f>
        <v/>
      </c>
      <c r="F518" s="9" t="inlineStr">
        <is>
          <t>카페24</t>
        </is>
      </c>
      <c r="G518" s="9" t="inlineStr">
        <is>
          <t>HAIR RÉ:COVERY 15 Revital Shampoo [라베나 리커버리 15 리바이탈 샴푸]제품선택=헤어 리커버리 15 리바이탈 샴푸 - 500ml</t>
        </is>
      </c>
      <c r="H518" s="9" t="n">
        <v>11</v>
      </c>
      <c r="I518" s="9">
        <f>VLOOKUP(G518,매칭테이블!D:E,2,0)</f>
        <v/>
      </c>
      <c r="J518" s="9" t="n">
        <v>201210</v>
      </c>
      <c r="L518" s="9">
        <f>VLOOKUP($O518,매칭테이블!$G:$J,2,0)*H518</f>
        <v/>
      </c>
      <c r="M518" s="9">
        <f>L518-L518*VLOOKUP($O518,매칭테이블!$G:$J,3,0)</f>
        <v/>
      </c>
      <c r="N518" s="9">
        <f>VLOOKUP($O518,매칭테이블!$G:$J,4,0)*H518</f>
        <v/>
      </c>
      <c r="O518" s="9">
        <f>F518&amp;E518&amp;G518&amp;J518</f>
        <v/>
      </c>
    </row>
    <row r="519">
      <c r="B519" s="10" t="n">
        <v>44192</v>
      </c>
      <c r="C519" s="9">
        <f>TEXT(B519,"aaa")</f>
        <v/>
      </c>
      <c r="E519" s="9">
        <f>INDEX(매칭테이블!C:C,MATCH(RD!G519,매칭테이블!D:D,0))</f>
        <v/>
      </c>
      <c r="F519" s="9" t="inlineStr">
        <is>
          <t>카페24</t>
        </is>
      </c>
      <c r="G519" s="9" t="inlineStr">
        <is>
          <t>HAIR RÉ:COVERY 15 Revital Shampoo [라베나 리커버리 15 리바이탈 샴푸]제품선택=리바이탈 샴푸 2개 세트 5%추가할인</t>
        </is>
      </c>
      <c r="H519" s="9" t="n">
        <v>2</v>
      </c>
      <c r="I519" s="9">
        <f>VLOOKUP(G519,매칭테이블!D:E,2,0)</f>
        <v/>
      </c>
      <c r="J519" s="9" t="n">
        <v>201210</v>
      </c>
      <c r="L519" s="9">
        <f>VLOOKUP($O519,매칭테이블!$G:$J,2,0)*H519</f>
        <v/>
      </c>
      <c r="M519" s="9">
        <f>L519-L519*VLOOKUP($O519,매칭테이블!$G:$J,3,0)</f>
        <v/>
      </c>
      <c r="N519" s="9">
        <f>VLOOKUP($O519,매칭테이블!$G:$J,4,0)*H519</f>
        <v/>
      </c>
      <c r="O519" s="9">
        <f>F519&amp;E519&amp;G519&amp;J519</f>
        <v/>
      </c>
    </row>
    <row r="520">
      <c r="B520" s="10" t="n">
        <v>44192</v>
      </c>
      <c r="C520" s="9">
        <f>TEXT(B520,"aaa")</f>
        <v/>
      </c>
      <c r="E520" s="9">
        <f>INDEX(매칭테이블!C:C,MATCH(RD!G520,매칭테이블!D:D,0))</f>
        <v/>
      </c>
      <c r="F520" s="9" t="inlineStr">
        <is>
          <t>카페24</t>
        </is>
      </c>
      <c r="G520" s="9" t="inlineStr">
        <is>
          <t>HAIR RÉ:COVERY 15 Revital Shampoo [라베나 리커버리 15 리바이탈 샴푸]제품선택=리바이탈 샴푸 3개 세트 10% 추가할인</t>
        </is>
      </c>
      <c r="H520" s="9" t="n">
        <v>3</v>
      </c>
      <c r="I520" s="9">
        <f>VLOOKUP(G520,매칭테이블!D:E,2,0)</f>
        <v/>
      </c>
      <c r="J520" s="9" t="n">
        <v>201210</v>
      </c>
      <c r="L520" s="9">
        <f>VLOOKUP($O520,매칭테이블!$G:$J,2,0)*H520</f>
        <v/>
      </c>
      <c r="M520" s="9">
        <f>L520-L520*VLOOKUP($O520,매칭테이블!$G:$J,3,0)</f>
        <v/>
      </c>
      <c r="N520" s="9">
        <f>VLOOKUP($O520,매칭테이블!$G:$J,4,0)*H520</f>
        <v/>
      </c>
      <c r="O520" s="9">
        <f>F520&amp;E520&amp;G520&amp;J520</f>
        <v/>
      </c>
    </row>
    <row r="521">
      <c r="B521" s="10" t="n">
        <v>44193</v>
      </c>
      <c r="C521" s="9">
        <f>TEXT(B521,"aaa")</f>
        <v/>
      </c>
      <c r="E521" s="9">
        <f>INDEX(매칭테이블!C:C,MATCH(RD!G521,매칭테이블!D:D,0))</f>
        <v/>
      </c>
      <c r="F521" s="9" t="inlineStr">
        <is>
          <t>카페24</t>
        </is>
      </c>
      <c r="G521" s="9" t="inlineStr">
        <is>
          <t>HAIR RÉ:COVERY 15 Hairpack Treatment [라베나 리커버리 15 헤어팩 트리트먼트]제품선택=헤어 리커버리 15 헤어팩 트리트먼트</t>
        </is>
      </c>
      <c r="H521" s="9" t="n">
        <v>15</v>
      </c>
      <c r="I521" s="9">
        <f>VLOOKUP(G521,매칭테이블!D:E,2,0)</f>
        <v/>
      </c>
      <c r="J521" s="9" t="n">
        <v>201210</v>
      </c>
      <c r="L521" s="9">
        <f>VLOOKUP($O521,매칭테이블!$G:$J,2,0)*H521</f>
        <v/>
      </c>
      <c r="M521" s="9">
        <f>L521-L521*VLOOKUP($O521,매칭테이블!$G:$J,3,0)</f>
        <v/>
      </c>
      <c r="N521" s="9">
        <f>VLOOKUP($O521,매칭테이블!$G:$J,4,0)*H521</f>
        <v/>
      </c>
      <c r="O521" s="9">
        <f>F521&amp;E521&amp;G521&amp;J521</f>
        <v/>
      </c>
    </row>
    <row r="522">
      <c r="B522" s="10" t="n">
        <v>44193</v>
      </c>
      <c r="C522" s="9">
        <f>TEXT(B522,"aaa")</f>
        <v/>
      </c>
      <c r="E522" s="9">
        <f>INDEX(매칭테이블!C:C,MATCH(RD!G522,매칭테이블!D:D,0))</f>
        <v/>
      </c>
      <c r="F522" s="9" t="inlineStr">
        <is>
          <t>카페24</t>
        </is>
      </c>
      <c r="G522" s="9" t="inlineStr">
        <is>
          <t>HAIR RÉ:COVERY 15 Hairpack Treatment [라베나 리커버리 15 헤어팩 트리트먼트]제품선택=헤어팩 트리트먼트 2개 세트 5% 추가할인</t>
        </is>
      </c>
      <c r="H522" s="9" t="n">
        <v>4</v>
      </c>
      <c r="I522" s="9">
        <f>VLOOKUP(G522,매칭테이블!D:E,2,0)</f>
        <v/>
      </c>
      <c r="J522" s="9" t="n">
        <v>201210</v>
      </c>
      <c r="L522" s="9">
        <f>VLOOKUP($O522,매칭테이블!$G:$J,2,0)*H522</f>
        <v/>
      </c>
      <c r="M522" s="9">
        <f>L522-L522*VLOOKUP($O522,매칭테이블!$G:$J,3,0)</f>
        <v/>
      </c>
      <c r="N522" s="9">
        <f>VLOOKUP($O522,매칭테이블!$G:$J,4,0)*H522</f>
        <v/>
      </c>
      <c r="O522" s="9">
        <f>F522&amp;E522&amp;G522&amp;J522</f>
        <v/>
      </c>
    </row>
    <row r="523">
      <c r="B523" s="10" t="n">
        <v>44193</v>
      </c>
      <c r="C523" s="9">
        <f>TEXT(B523,"aaa")</f>
        <v/>
      </c>
      <c r="E523" s="9">
        <f>INDEX(매칭테이블!C:C,MATCH(RD!G523,매칭테이블!D:D,0))</f>
        <v/>
      </c>
      <c r="F523" s="9" t="inlineStr">
        <is>
          <t>카페24</t>
        </is>
      </c>
      <c r="G523" s="9" t="inlineStr">
        <is>
          <t>HAIR RÉ:COVERY 15 Hairpack Treatment [라베나 리커버리 15 헤어팩 트리트먼트]제품선택=헤어팩 트리트먼트 3개 세트 10% 추가할인</t>
        </is>
      </c>
      <c r="H523" s="9" t="n">
        <v>4</v>
      </c>
      <c r="I523" s="9">
        <f>VLOOKUP(G523,매칭테이블!D:E,2,0)</f>
        <v/>
      </c>
      <c r="J523" s="9" t="n">
        <v>201210</v>
      </c>
      <c r="L523" s="9">
        <f>VLOOKUP($O523,매칭테이블!$G:$J,2,0)*H523</f>
        <v/>
      </c>
      <c r="M523" s="9">
        <f>L523-L523*VLOOKUP($O523,매칭테이블!$G:$J,3,0)</f>
        <v/>
      </c>
      <c r="N523" s="9">
        <f>VLOOKUP($O523,매칭테이블!$G:$J,4,0)*H523</f>
        <v/>
      </c>
      <c r="O523" s="9">
        <f>F523&amp;E523&amp;G523&amp;J523</f>
        <v/>
      </c>
    </row>
    <row r="524">
      <c r="B524" s="10" t="n">
        <v>44193</v>
      </c>
      <c r="C524" s="9">
        <f>TEXT(B524,"aaa")</f>
        <v/>
      </c>
      <c r="E524" s="9">
        <f>INDEX(매칭테이블!C:C,MATCH(RD!G524,매칭테이블!D:D,0))</f>
        <v/>
      </c>
      <c r="F524" s="9" t="inlineStr">
        <is>
          <t>카페24</t>
        </is>
      </c>
      <c r="G524" s="9" t="inlineStr">
        <is>
          <t>HAIR RÉ:COVERY 15 Hairpack Treatment [라베나 리커버리 15 헤어팩 트리트먼트]제품선택=헤어팩 트리트먼트 1개 + 뉴트리셔스밤 1개 세트 5% 추가할인</t>
        </is>
      </c>
      <c r="H524" s="9" t="n">
        <v>6</v>
      </c>
      <c r="I524" s="9">
        <f>VLOOKUP(G524,매칭테이블!D:E,2,0)</f>
        <v/>
      </c>
      <c r="J524" s="9" t="n">
        <v>201210</v>
      </c>
      <c r="L524" s="9">
        <f>VLOOKUP($O524,매칭테이블!$G:$J,2,0)*H524</f>
        <v/>
      </c>
      <c r="M524" s="9">
        <f>L524-L524*VLOOKUP($O524,매칭테이블!$G:$J,3,0)</f>
        <v/>
      </c>
      <c r="N524" s="9">
        <f>VLOOKUP($O524,매칭테이블!$G:$J,4,0)*H524</f>
        <v/>
      </c>
      <c r="O524" s="9">
        <f>F524&amp;E524&amp;G524&amp;J524</f>
        <v/>
      </c>
    </row>
    <row r="525">
      <c r="B525" s="10" t="n">
        <v>44193</v>
      </c>
      <c r="C525" s="9">
        <f>TEXT(B525,"aaa")</f>
        <v/>
      </c>
      <c r="E525" s="9">
        <f>INDEX(매칭테이블!C:C,MATCH(RD!G525,매칭테이블!D:D,0))</f>
        <v/>
      </c>
      <c r="F525" s="9" t="inlineStr">
        <is>
          <t>카페24</t>
        </is>
      </c>
      <c r="G525" s="9" t="inlineStr">
        <is>
          <t>HAIR RÉ:COVERY 15 Nutritious Balm [라베나 리커버리 15 뉴트리셔스 밤]제품선택=헤어 리커버리 15 뉴트리셔스 밤</t>
        </is>
      </c>
      <c r="H525" s="9" t="n">
        <v>20</v>
      </c>
      <c r="I525" s="9">
        <f>VLOOKUP(G525,매칭테이블!D:E,2,0)</f>
        <v/>
      </c>
      <c r="J525" s="9" t="n">
        <v>201210</v>
      </c>
      <c r="L525" s="9">
        <f>VLOOKUP($O525,매칭테이블!$G:$J,2,0)*H525</f>
        <v/>
      </c>
      <c r="M525" s="9">
        <f>L525-L525*VLOOKUP($O525,매칭테이블!$G:$J,3,0)</f>
        <v/>
      </c>
      <c r="N525" s="9">
        <f>VLOOKUP($O525,매칭테이블!$G:$J,4,0)*H525</f>
        <v/>
      </c>
      <c r="O525" s="9">
        <f>F525&amp;E525&amp;G525&amp;J525</f>
        <v/>
      </c>
    </row>
    <row r="526">
      <c r="B526" s="10" t="n">
        <v>44193</v>
      </c>
      <c r="C526" s="9">
        <f>TEXT(B526,"aaa")</f>
        <v/>
      </c>
      <c r="E526" s="9">
        <f>INDEX(매칭테이블!C:C,MATCH(RD!G526,매칭테이블!D:D,0))</f>
        <v/>
      </c>
      <c r="F526" s="9" t="inlineStr">
        <is>
          <t>카페24</t>
        </is>
      </c>
      <c r="G526" s="9" t="inlineStr">
        <is>
          <t>HAIR RÉ:COVERY 15 Nutritious Balm [라베나 리커버리 15 뉴트리셔스 밤]제품선택=뉴트리셔스 밤 2개 세트 5% 추가할인</t>
        </is>
      </c>
      <c r="H526" s="9" t="n">
        <v>3</v>
      </c>
      <c r="I526" s="9">
        <f>VLOOKUP(G526,매칭테이블!D:E,2,0)</f>
        <v/>
      </c>
      <c r="J526" s="9" t="n">
        <v>201210</v>
      </c>
      <c r="L526" s="9">
        <f>VLOOKUP($O526,매칭테이블!$G:$J,2,0)*H526</f>
        <v/>
      </c>
      <c r="M526" s="9">
        <f>L526-L526*VLOOKUP($O526,매칭테이블!$G:$J,3,0)</f>
        <v/>
      </c>
      <c r="N526" s="9">
        <f>VLOOKUP($O526,매칭테이블!$G:$J,4,0)*H526</f>
        <v/>
      </c>
      <c r="O526" s="9">
        <f>F526&amp;E526&amp;G526&amp;J526</f>
        <v/>
      </c>
    </row>
    <row r="527">
      <c r="B527" s="10" t="n">
        <v>44193</v>
      </c>
      <c r="C527" s="9">
        <f>TEXT(B527,"aaa")</f>
        <v/>
      </c>
      <c r="E527" s="9">
        <f>INDEX(매칭테이블!C:C,MATCH(RD!G527,매칭테이블!D:D,0))</f>
        <v/>
      </c>
      <c r="F527" s="9" t="inlineStr">
        <is>
          <t>카페24</t>
        </is>
      </c>
      <c r="G527" s="9" t="inlineStr">
        <is>
          <t>HAIR RÉ:COVERY 15 Nutritious Balm [라베나 리커버리 15 뉴트리셔스 밤]제품선택=뉴트리셔스 밤 3개 세트 10% 추가할인</t>
        </is>
      </c>
      <c r="H527" s="9" t="n">
        <v>1</v>
      </c>
      <c r="I527" s="9">
        <f>VLOOKUP(G527,매칭테이블!D:E,2,0)</f>
        <v/>
      </c>
      <c r="J527" s="9" t="n">
        <v>201210</v>
      </c>
      <c r="L527" s="9">
        <f>VLOOKUP($O527,매칭테이블!$G:$J,2,0)*H527</f>
        <v/>
      </c>
      <c r="M527" s="9">
        <f>L527-L527*VLOOKUP($O527,매칭테이블!$G:$J,3,0)</f>
        <v/>
      </c>
      <c r="N527" s="9">
        <f>VLOOKUP($O527,매칭테이블!$G:$J,4,0)*H527</f>
        <v/>
      </c>
      <c r="O527" s="9">
        <f>F527&amp;E527&amp;G527&amp;J527</f>
        <v/>
      </c>
    </row>
    <row r="528">
      <c r="B528" s="10" t="n">
        <v>44193</v>
      </c>
      <c r="C528" s="9">
        <f>TEXT(B528,"aaa")</f>
        <v/>
      </c>
      <c r="E528" s="9">
        <f>INDEX(매칭테이블!C:C,MATCH(RD!G528,매칭테이블!D:D,0))</f>
        <v/>
      </c>
      <c r="F528" s="9" t="inlineStr">
        <is>
          <t>카페24</t>
        </is>
      </c>
      <c r="G528" s="9" t="inlineStr">
        <is>
          <t>HAIR RÉ:COVERY 15 Nutritious Balm [라베나 리커버리 15 뉴트리셔스 밤]제품선택=뉴트리셔스밤 1개 + 헤어팩 트리트먼트 1개 세트 5%추가할인</t>
        </is>
      </c>
      <c r="H528" s="9" t="n">
        <v>5</v>
      </c>
      <c r="I528" s="9">
        <f>VLOOKUP(G528,매칭테이블!D:E,2,0)</f>
        <v/>
      </c>
      <c r="J528" s="9" t="n">
        <v>201210</v>
      </c>
      <c r="L528" s="9">
        <f>VLOOKUP($O528,매칭테이블!$G:$J,2,0)*H528</f>
        <v/>
      </c>
      <c r="M528" s="9">
        <f>L528-L528*VLOOKUP($O528,매칭테이블!$G:$J,3,0)</f>
        <v/>
      </c>
      <c r="N528" s="9">
        <f>VLOOKUP($O528,매칭테이블!$G:$J,4,0)*H528</f>
        <v/>
      </c>
      <c r="O528" s="9">
        <f>F528&amp;E528&amp;G528&amp;J528</f>
        <v/>
      </c>
    </row>
    <row r="529">
      <c r="B529" s="10" t="n">
        <v>44193</v>
      </c>
      <c r="C529" s="9">
        <f>TEXT(B529,"aaa")</f>
        <v/>
      </c>
      <c r="E529" s="9">
        <f>INDEX(매칭테이블!C:C,MATCH(RD!G529,매칭테이블!D:D,0))</f>
        <v/>
      </c>
      <c r="F529" s="9" t="inlineStr">
        <is>
          <t>카페24</t>
        </is>
      </c>
      <c r="G529" s="9" t="inlineStr">
        <is>
          <t>HAIR RÉ:COVERY 15 Revital Shampoo [라베나 리커버리 15 리바이탈 샴푸]제품선택=헤어 리커버리 15 리바이탈 샴푸 - 500ml</t>
        </is>
      </c>
      <c r="H529" s="9" t="n">
        <v>15</v>
      </c>
      <c r="I529" s="9">
        <f>VLOOKUP(G529,매칭테이블!D:E,2,0)</f>
        <v/>
      </c>
      <c r="J529" s="9" t="n">
        <v>201210</v>
      </c>
      <c r="L529" s="9">
        <f>VLOOKUP($O529,매칭테이블!$G:$J,2,0)*H529</f>
        <v/>
      </c>
      <c r="M529" s="9">
        <f>L529-L529*VLOOKUP($O529,매칭테이블!$G:$J,3,0)</f>
        <v/>
      </c>
      <c r="N529" s="9">
        <f>VLOOKUP($O529,매칭테이블!$G:$J,4,0)*H529</f>
        <v/>
      </c>
      <c r="O529" s="9">
        <f>F529&amp;E529&amp;G529&amp;J529</f>
        <v/>
      </c>
    </row>
    <row r="530">
      <c r="B530" s="10" t="n">
        <v>44193</v>
      </c>
      <c r="C530" s="9">
        <f>TEXT(B530,"aaa")</f>
        <v/>
      </c>
      <c r="E530" s="9">
        <f>INDEX(매칭테이블!C:C,MATCH(RD!G530,매칭테이블!D:D,0))</f>
        <v/>
      </c>
      <c r="F530" s="9" t="inlineStr">
        <is>
          <t>카페24</t>
        </is>
      </c>
      <c r="G530" s="9" t="inlineStr">
        <is>
          <t>HAIR RÉ:COVERY 15 Revital Shampoo [라베나 리커버리 15 리바이탈 샴푸]제품선택=리바이탈 샴푸 2개 세트 5%추가할인</t>
        </is>
      </c>
      <c r="H530" s="9" t="n">
        <v>5</v>
      </c>
      <c r="I530" s="9">
        <f>VLOOKUP(G530,매칭테이블!D:E,2,0)</f>
        <v/>
      </c>
      <c r="J530" s="9" t="n">
        <v>201210</v>
      </c>
      <c r="L530" s="9">
        <f>VLOOKUP($O530,매칭테이블!$G:$J,2,0)*H530</f>
        <v/>
      </c>
      <c r="M530" s="9">
        <f>L530-L530*VLOOKUP($O530,매칭테이블!$G:$J,3,0)</f>
        <v/>
      </c>
      <c r="N530" s="9">
        <f>VLOOKUP($O530,매칭테이블!$G:$J,4,0)*H530</f>
        <v/>
      </c>
      <c r="O530" s="9">
        <f>F530&amp;E530&amp;G530&amp;J530</f>
        <v/>
      </c>
    </row>
    <row r="531">
      <c r="B531" s="10" t="n">
        <v>44193</v>
      </c>
      <c r="C531" s="9">
        <f>TEXT(B531,"aaa")</f>
        <v/>
      </c>
      <c r="E531" s="9">
        <f>INDEX(매칭테이블!C:C,MATCH(RD!G531,매칭테이블!D:D,0))</f>
        <v/>
      </c>
      <c r="F531" s="9" t="inlineStr">
        <is>
          <t>카페24</t>
        </is>
      </c>
      <c r="G531" s="9" t="inlineStr">
        <is>
          <t>HAIR RÉ:COVERY 15 Revital Shampoo [라베나 리커버리 15 리바이탈 샴푸]제품선택=리바이탈 샴푸 3개 세트 10% 추가할인</t>
        </is>
      </c>
      <c r="H531" s="9" t="n">
        <v>3</v>
      </c>
      <c r="I531" s="9">
        <f>VLOOKUP(G531,매칭테이블!D:E,2,0)</f>
        <v/>
      </c>
      <c r="J531" s="9" t="n">
        <v>201210</v>
      </c>
      <c r="L531" s="9">
        <f>VLOOKUP($O531,매칭테이블!$G:$J,2,0)*H531</f>
        <v/>
      </c>
      <c r="M531" s="9">
        <f>L531-L531*VLOOKUP($O531,매칭테이블!$G:$J,3,0)</f>
        <v/>
      </c>
      <c r="N531" s="9">
        <f>VLOOKUP($O531,매칭테이블!$G:$J,4,0)*H531</f>
        <v/>
      </c>
      <c r="O531" s="9">
        <f>F531&amp;E531&amp;G531&amp;J531</f>
        <v/>
      </c>
    </row>
    <row r="532">
      <c r="B532" s="10" t="n">
        <v>44194</v>
      </c>
      <c r="C532" s="9">
        <f>TEXT(B532,"aaa")</f>
        <v/>
      </c>
      <c r="E532" s="9">
        <f>INDEX(매칭테이블!C:C,MATCH(RD!G532,매칭테이블!D:D,0))</f>
        <v/>
      </c>
      <c r="F532" s="9" t="inlineStr">
        <is>
          <t>카페24</t>
        </is>
      </c>
      <c r="G532" s="9" t="inlineStr">
        <is>
          <t>HAIR RÉ:COVERY 15 Hairpack Treatment [라베나 리커버리 15 헤어팩 트리트먼트]제품선택=헤어 리커버리 15 헤어팩 트리트먼트</t>
        </is>
      </c>
      <c r="H532" s="9" t="n">
        <v>8</v>
      </c>
      <c r="I532" s="9">
        <f>VLOOKUP(G532,매칭테이블!D:E,2,0)</f>
        <v/>
      </c>
      <c r="J532" s="9" t="n">
        <v>201210</v>
      </c>
      <c r="L532" s="9">
        <f>VLOOKUP($O532,매칭테이블!$G:$J,2,0)*H532</f>
        <v/>
      </c>
      <c r="M532" s="9">
        <f>L532-L532*VLOOKUP($O532,매칭테이블!$G:$J,3,0)</f>
        <v/>
      </c>
      <c r="N532" s="9">
        <f>VLOOKUP($O532,매칭테이블!$G:$J,4,0)*H532</f>
        <v/>
      </c>
      <c r="O532" s="9">
        <f>F532&amp;E532&amp;G532&amp;J532</f>
        <v/>
      </c>
    </row>
    <row r="533">
      <c r="B533" s="10" t="n">
        <v>44194</v>
      </c>
      <c r="C533" s="9">
        <f>TEXT(B533,"aaa")</f>
        <v/>
      </c>
      <c r="E533" s="9">
        <f>INDEX(매칭테이블!C:C,MATCH(RD!G533,매칭테이블!D:D,0))</f>
        <v/>
      </c>
      <c r="F533" s="9" t="inlineStr">
        <is>
          <t>카페24</t>
        </is>
      </c>
      <c r="G533" s="9" t="inlineStr">
        <is>
          <t>HAIR RÉ:COVERY 15 Hairpack Treatment [라베나 리커버리 15 헤어팩 트리트먼트]제품선택=헤어팩 트리트먼트 2개 세트 5% 추가할인</t>
        </is>
      </c>
      <c r="H533" s="9" t="n">
        <v>4</v>
      </c>
      <c r="I533" s="9">
        <f>VLOOKUP(G533,매칭테이블!D:E,2,0)</f>
        <v/>
      </c>
      <c r="J533" s="9" t="n">
        <v>201210</v>
      </c>
      <c r="L533" s="9">
        <f>VLOOKUP($O533,매칭테이블!$G:$J,2,0)*H533</f>
        <v/>
      </c>
      <c r="M533" s="9">
        <f>L533-L533*VLOOKUP($O533,매칭테이블!$G:$J,3,0)</f>
        <v/>
      </c>
      <c r="N533" s="9">
        <f>VLOOKUP($O533,매칭테이블!$G:$J,4,0)*H533</f>
        <v/>
      </c>
      <c r="O533" s="9">
        <f>F533&amp;E533&amp;G533&amp;J533</f>
        <v/>
      </c>
    </row>
    <row r="534">
      <c r="B534" s="10" t="n">
        <v>44194</v>
      </c>
      <c r="C534" s="9">
        <f>TEXT(B534,"aaa")</f>
        <v/>
      </c>
      <c r="E534" s="9">
        <f>INDEX(매칭테이블!C:C,MATCH(RD!G534,매칭테이블!D:D,0))</f>
        <v/>
      </c>
      <c r="F534" s="9" t="inlineStr">
        <is>
          <t>카페24</t>
        </is>
      </c>
      <c r="G534" s="9" t="inlineStr">
        <is>
          <t>HAIR RÉ:COVERY 15 Hairpack Treatment [라베나 리커버리 15 헤어팩 트리트먼트]제품선택=헤어팩 트리트먼트 3개 세트 10% 추가할인</t>
        </is>
      </c>
      <c r="H534" s="9" t="n">
        <v>1</v>
      </c>
      <c r="I534" s="9">
        <f>VLOOKUP(G534,매칭테이블!D:E,2,0)</f>
        <v/>
      </c>
      <c r="J534" s="9" t="n">
        <v>201210</v>
      </c>
      <c r="L534" s="9">
        <f>VLOOKUP($O534,매칭테이블!$G:$J,2,0)*H534</f>
        <v/>
      </c>
      <c r="M534" s="9">
        <f>L534-L534*VLOOKUP($O534,매칭테이블!$G:$J,3,0)</f>
        <v/>
      </c>
      <c r="N534" s="9">
        <f>VLOOKUP($O534,매칭테이블!$G:$J,4,0)*H534</f>
        <v/>
      </c>
      <c r="O534" s="9">
        <f>F534&amp;E534&amp;G534&amp;J534</f>
        <v/>
      </c>
    </row>
    <row r="535">
      <c r="B535" s="10" t="n">
        <v>44194</v>
      </c>
      <c r="C535" s="9">
        <f>TEXT(B535,"aaa")</f>
        <v/>
      </c>
      <c r="E535" s="9">
        <f>INDEX(매칭테이블!C:C,MATCH(RD!G535,매칭테이블!D:D,0))</f>
        <v/>
      </c>
      <c r="F535" s="9" t="inlineStr">
        <is>
          <t>카페24</t>
        </is>
      </c>
      <c r="G535" s="9" t="inlineStr">
        <is>
          <t>HAIR RÉ:COVERY 15 Hairpack Treatment [라베나 리커버리 15 헤어팩 트리트먼트]제품선택=헤어팩 트리트먼트 1개 + 뉴트리셔스밤 1개 세트 5% 추가할인</t>
        </is>
      </c>
      <c r="H535" s="9" t="n">
        <v>1</v>
      </c>
      <c r="I535" s="9">
        <f>VLOOKUP(G535,매칭테이블!D:E,2,0)</f>
        <v/>
      </c>
      <c r="J535" s="9" t="n">
        <v>201210</v>
      </c>
      <c r="L535" s="9">
        <f>VLOOKUP($O535,매칭테이블!$G:$J,2,0)*H535</f>
        <v/>
      </c>
      <c r="M535" s="9">
        <f>L535-L535*VLOOKUP($O535,매칭테이블!$G:$J,3,0)</f>
        <v/>
      </c>
      <c r="N535" s="9">
        <f>VLOOKUP($O535,매칭테이블!$G:$J,4,0)*H535</f>
        <v/>
      </c>
      <c r="O535" s="9">
        <f>F535&amp;E535&amp;G535&amp;J535</f>
        <v/>
      </c>
    </row>
    <row r="536">
      <c r="B536" s="10" t="n">
        <v>44194</v>
      </c>
      <c r="C536" s="9">
        <f>TEXT(B536,"aaa")</f>
        <v/>
      </c>
      <c r="E536" s="9">
        <f>INDEX(매칭테이블!C:C,MATCH(RD!G536,매칭테이블!D:D,0))</f>
        <v/>
      </c>
      <c r="F536" s="9" t="inlineStr">
        <is>
          <t>카페24</t>
        </is>
      </c>
      <c r="G536" s="9" t="inlineStr">
        <is>
          <t>HAIR RÉ:COVERY 15 Nutritious Balm [라베나 리커버리 15 뉴트리셔스 밤]제품선택=헤어 리커버리 15 뉴트리셔스 밤</t>
        </is>
      </c>
      <c r="H536" s="9" t="n">
        <v>21</v>
      </c>
      <c r="I536" s="9">
        <f>VLOOKUP(G536,매칭테이블!D:E,2,0)</f>
        <v/>
      </c>
      <c r="J536" s="9" t="n">
        <v>201210</v>
      </c>
      <c r="L536" s="9">
        <f>VLOOKUP($O536,매칭테이블!$G:$J,2,0)*H536</f>
        <v/>
      </c>
      <c r="M536" s="9">
        <f>L536-L536*VLOOKUP($O536,매칭테이블!$G:$J,3,0)</f>
        <v/>
      </c>
      <c r="N536" s="9">
        <f>VLOOKUP($O536,매칭테이블!$G:$J,4,0)*H536</f>
        <v/>
      </c>
      <c r="O536" s="9">
        <f>F536&amp;E536&amp;G536&amp;J536</f>
        <v/>
      </c>
    </row>
    <row r="537">
      <c r="B537" s="10" t="n">
        <v>44194</v>
      </c>
      <c r="C537" s="9">
        <f>TEXT(B537,"aaa")</f>
        <v/>
      </c>
      <c r="E537" s="9">
        <f>INDEX(매칭테이블!C:C,MATCH(RD!G537,매칭테이블!D:D,0))</f>
        <v/>
      </c>
      <c r="F537" s="9" t="inlineStr">
        <is>
          <t>카페24</t>
        </is>
      </c>
      <c r="G537" s="9" t="inlineStr">
        <is>
          <t>HAIR RÉ:COVERY 15 Nutritious Balm [라베나 리커버리 15 뉴트리셔스 밤]제품선택=뉴트리셔스 밤 2개 세트 5% 추가할인</t>
        </is>
      </c>
      <c r="H537" s="9" t="n">
        <v>5</v>
      </c>
      <c r="I537" s="9">
        <f>VLOOKUP(G537,매칭테이블!D:E,2,0)</f>
        <v/>
      </c>
      <c r="J537" s="9" t="n">
        <v>201210</v>
      </c>
      <c r="L537" s="9">
        <f>VLOOKUP($O537,매칭테이블!$G:$J,2,0)*H537</f>
        <v/>
      </c>
      <c r="M537" s="9">
        <f>L537-L537*VLOOKUP($O537,매칭테이블!$G:$J,3,0)</f>
        <v/>
      </c>
      <c r="N537" s="9">
        <f>VLOOKUP($O537,매칭테이블!$G:$J,4,0)*H537</f>
        <v/>
      </c>
      <c r="O537" s="9">
        <f>F537&amp;E537&amp;G537&amp;J537</f>
        <v/>
      </c>
    </row>
    <row r="538">
      <c r="B538" s="10" t="n">
        <v>44194</v>
      </c>
      <c r="C538" s="9">
        <f>TEXT(B538,"aaa")</f>
        <v/>
      </c>
      <c r="E538" s="9">
        <f>INDEX(매칭테이블!C:C,MATCH(RD!G538,매칭테이블!D:D,0))</f>
        <v/>
      </c>
      <c r="F538" s="9" t="inlineStr">
        <is>
          <t>카페24</t>
        </is>
      </c>
      <c r="G538" s="9" t="inlineStr">
        <is>
          <t>HAIR RÉ:COVERY 15 Nutritious Balm [라베나 리커버리 15 뉴트리셔스 밤]제품선택=뉴트리셔스 밤 3개 세트 10% 추가할인</t>
        </is>
      </c>
      <c r="H538" s="9" t="n">
        <v>1</v>
      </c>
      <c r="I538" s="9">
        <f>VLOOKUP(G538,매칭테이블!D:E,2,0)</f>
        <v/>
      </c>
      <c r="J538" s="9" t="n">
        <v>201210</v>
      </c>
      <c r="L538" s="9">
        <f>VLOOKUP($O538,매칭테이블!$G:$J,2,0)*H538</f>
        <v/>
      </c>
      <c r="M538" s="9">
        <f>L538-L538*VLOOKUP($O538,매칭테이블!$G:$J,3,0)</f>
        <v/>
      </c>
      <c r="N538" s="9">
        <f>VLOOKUP($O538,매칭테이블!$G:$J,4,0)*H538</f>
        <v/>
      </c>
      <c r="O538" s="9">
        <f>F538&amp;E538&amp;G538&amp;J538</f>
        <v/>
      </c>
    </row>
    <row r="539">
      <c r="B539" s="10" t="n">
        <v>44194</v>
      </c>
      <c r="C539" s="9">
        <f>TEXT(B539,"aaa")</f>
        <v/>
      </c>
      <c r="E539" s="9">
        <f>INDEX(매칭테이블!C:C,MATCH(RD!G539,매칭테이블!D:D,0))</f>
        <v/>
      </c>
      <c r="F539" s="9" t="inlineStr">
        <is>
          <t>카페24</t>
        </is>
      </c>
      <c r="G539" s="9" t="inlineStr">
        <is>
          <t>HAIR RÉ:COVERY 15 Nutritious Balm [라베나 리커버리 15 뉴트리셔스 밤]제품선택=뉴트리셔스밤 1개 + 헤어팩 트리트먼트 1개 세트 5%추가할인</t>
        </is>
      </c>
      <c r="H539" s="9" t="n">
        <v>2</v>
      </c>
      <c r="I539" s="9">
        <f>VLOOKUP(G539,매칭테이블!D:E,2,0)</f>
        <v/>
      </c>
      <c r="J539" s="9" t="n">
        <v>201210</v>
      </c>
      <c r="L539" s="9">
        <f>VLOOKUP($O539,매칭테이블!$G:$J,2,0)*H539</f>
        <v/>
      </c>
      <c r="M539" s="9">
        <f>L539-L539*VLOOKUP($O539,매칭테이블!$G:$J,3,0)</f>
        <v/>
      </c>
      <c r="N539" s="9">
        <f>VLOOKUP($O539,매칭테이블!$G:$J,4,0)*H539</f>
        <v/>
      </c>
      <c r="O539" s="9">
        <f>F539&amp;E539&amp;G539&amp;J539</f>
        <v/>
      </c>
    </row>
    <row r="540">
      <c r="B540" s="10" t="n">
        <v>44194</v>
      </c>
      <c r="C540" s="9">
        <f>TEXT(B540,"aaa")</f>
        <v/>
      </c>
      <c r="E540" s="9">
        <f>INDEX(매칭테이블!C:C,MATCH(RD!G540,매칭테이블!D:D,0))</f>
        <v/>
      </c>
      <c r="F540" s="9" t="inlineStr">
        <is>
          <t>카페24</t>
        </is>
      </c>
      <c r="G540" s="9" t="inlineStr">
        <is>
          <t>HAIR RÉ:COVERY 15 Revital Shampoo [라베나 리커버리 15 리바이탈 샴푸]제품선택=헤어 리커버리 15 리바이탈 샴푸 - 500ml</t>
        </is>
      </c>
      <c r="H540" s="9" t="n">
        <v>7</v>
      </c>
      <c r="I540" s="9">
        <f>VLOOKUP(G540,매칭테이블!D:E,2,0)</f>
        <v/>
      </c>
      <c r="J540" s="9" t="n">
        <v>201210</v>
      </c>
      <c r="L540" s="9">
        <f>VLOOKUP($O540,매칭테이블!$G:$J,2,0)*H540</f>
        <v/>
      </c>
      <c r="M540" s="9">
        <f>L540-L540*VLOOKUP($O540,매칭테이블!$G:$J,3,0)</f>
        <v/>
      </c>
      <c r="N540" s="9">
        <f>VLOOKUP($O540,매칭테이블!$G:$J,4,0)*H540</f>
        <v/>
      </c>
      <c r="O540" s="9">
        <f>F540&amp;E540&amp;G540&amp;J540</f>
        <v/>
      </c>
    </row>
    <row r="541">
      <c r="B541" s="10" t="n">
        <v>44194</v>
      </c>
      <c r="C541" s="9">
        <f>TEXT(B541,"aaa")</f>
        <v/>
      </c>
      <c r="E541" s="9">
        <f>INDEX(매칭테이블!C:C,MATCH(RD!G541,매칭테이블!D:D,0))</f>
        <v/>
      </c>
      <c r="F541" s="9" t="inlineStr">
        <is>
          <t>카페24</t>
        </is>
      </c>
      <c r="G541" s="9" t="inlineStr">
        <is>
          <t>HAIR RÉ:COVERY 15 Revital Shampoo [라베나 리커버리 15 리바이탈 샴푸]제품선택=리바이탈 샴푸 2개 세트 5%추가할인</t>
        </is>
      </c>
      <c r="H541" s="9" t="n">
        <v>1</v>
      </c>
      <c r="I541" s="9">
        <f>VLOOKUP(G541,매칭테이블!D:E,2,0)</f>
        <v/>
      </c>
      <c r="J541" s="9" t="n">
        <v>201210</v>
      </c>
      <c r="L541" s="9">
        <f>VLOOKUP($O541,매칭테이블!$G:$J,2,0)*H541</f>
        <v/>
      </c>
      <c r="M541" s="9">
        <f>L541-L541*VLOOKUP($O541,매칭테이블!$G:$J,3,0)</f>
        <v/>
      </c>
      <c r="N541" s="9">
        <f>VLOOKUP($O541,매칭테이블!$G:$J,4,0)*H541</f>
        <v/>
      </c>
      <c r="O541" s="9">
        <f>F541&amp;E541&amp;G541&amp;J541</f>
        <v/>
      </c>
    </row>
    <row r="542">
      <c r="B542" s="10" t="n">
        <v>44194</v>
      </c>
      <c r="C542" s="9">
        <f>TEXT(B542,"aaa")</f>
        <v/>
      </c>
      <c r="E542" s="9">
        <f>INDEX(매칭테이블!C:C,MATCH(RD!G542,매칭테이블!D:D,0))</f>
        <v/>
      </c>
      <c r="F542" s="9" t="inlineStr">
        <is>
          <t>카페24</t>
        </is>
      </c>
      <c r="G542" s="9" t="inlineStr">
        <is>
          <t>HAIR RÉ:COVERY 15 Revital Shampoo [라베나 리커버리 15 리바이탈 샴푸]제품선택=리바이탈 샴푸 3개 세트 10% 추가할인</t>
        </is>
      </c>
      <c r="H542" s="9" t="n">
        <v>3</v>
      </c>
      <c r="I542" s="9">
        <f>VLOOKUP(G542,매칭테이블!D:E,2,0)</f>
        <v/>
      </c>
      <c r="J542" s="9" t="n">
        <v>201210</v>
      </c>
      <c r="L542" s="9">
        <f>VLOOKUP($O542,매칭테이블!$G:$J,2,0)*H542</f>
        <v/>
      </c>
      <c r="M542" s="9">
        <f>L542-L542*VLOOKUP($O542,매칭테이블!$G:$J,3,0)</f>
        <v/>
      </c>
      <c r="N542" s="9">
        <f>VLOOKUP($O542,매칭테이블!$G:$J,4,0)*H542</f>
        <v/>
      </c>
      <c r="O542" s="9">
        <f>F542&amp;E542&amp;G542&amp;J542</f>
        <v/>
      </c>
    </row>
    <row r="543">
      <c r="B543" s="10" t="n">
        <v>44195</v>
      </c>
      <c r="C543" s="9">
        <f>TEXT(B543,"aaa")</f>
        <v/>
      </c>
      <c r="E543" s="9">
        <f>INDEX(매칭테이블!C:C,MATCH(RD!G543,매칭테이블!D:D,0))</f>
        <v/>
      </c>
      <c r="F543" s="9" t="inlineStr">
        <is>
          <t>카페24</t>
        </is>
      </c>
      <c r="G543" s="9" t="inlineStr">
        <is>
          <t>HAIR RÉ:COVERY 15 Hairpack Treatment [라베나 리커버리 15 헤어팩 트리트먼트]제품선택=헤어 리커버리 15 헤어팩 트리트먼트</t>
        </is>
      </c>
      <c r="H543" s="9" t="n">
        <v>7</v>
      </c>
      <c r="I543" s="9">
        <f>VLOOKUP(G543,매칭테이블!D:E,2,0)</f>
        <v/>
      </c>
      <c r="J543" s="9" t="n">
        <v>201210</v>
      </c>
      <c r="L543" s="9">
        <f>VLOOKUP($O543,매칭테이블!$G:$J,2,0)*H543</f>
        <v/>
      </c>
      <c r="M543" s="9">
        <f>L543-L543*VLOOKUP($O543,매칭테이블!$G:$J,3,0)</f>
        <v/>
      </c>
      <c r="N543" s="9">
        <f>VLOOKUP($O543,매칭테이블!$G:$J,4,0)*H543</f>
        <v/>
      </c>
      <c r="O543" s="9">
        <f>F543&amp;E543&amp;G543&amp;J543</f>
        <v/>
      </c>
    </row>
    <row r="544">
      <c r="B544" s="10" t="n">
        <v>44195</v>
      </c>
      <c r="C544" s="9">
        <f>TEXT(B544,"aaa")</f>
        <v/>
      </c>
      <c r="E544" s="9">
        <f>INDEX(매칭테이블!C:C,MATCH(RD!G544,매칭테이블!D:D,0))</f>
        <v/>
      </c>
      <c r="F544" s="9" t="inlineStr">
        <is>
          <t>카페24</t>
        </is>
      </c>
      <c r="G544" s="9" t="inlineStr">
        <is>
          <t>HAIR RÉ:COVERY 15 Hairpack Treatment [라베나 리커버리 15 헤어팩 트리트먼트]제품선택=헤어팩 트리트먼트 2개 세트 5% 추가할인</t>
        </is>
      </c>
      <c r="H544" s="9" t="n">
        <v>3</v>
      </c>
      <c r="I544" s="9">
        <f>VLOOKUP(G544,매칭테이블!D:E,2,0)</f>
        <v/>
      </c>
      <c r="J544" s="9" t="n">
        <v>201210</v>
      </c>
      <c r="L544" s="9">
        <f>VLOOKUP($O544,매칭테이블!$G:$J,2,0)*H544</f>
        <v/>
      </c>
      <c r="M544" s="9">
        <f>L544-L544*VLOOKUP($O544,매칭테이블!$G:$J,3,0)</f>
        <v/>
      </c>
      <c r="N544" s="9">
        <f>VLOOKUP($O544,매칭테이블!$G:$J,4,0)*H544</f>
        <v/>
      </c>
      <c r="O544" s="9">
        <f>F544&amp;E544&amp;G544&amp;J544</f>
        <v/>
      </c>
    </row>
    <row r="545">
      <c r="B545" s="10" t="n">
        <v>44195</v>
      </c>
      <c r="C545" s="9">
        <f>TEXT(B545,"aaa")</f>
        <v/>
      </c>
      <c r="E545" s="9">
        <f>INDEX(매칭테이블!C:C,MATCH(RD!G545,매칭테이블!D:D,0))</f>
        <v/>
      </c>
      <c r="F545" s="9" t="inlineStr">
        <is>
          <t>카페24</t>
        </is>
      </c>
      <c r="G545" s="9" t="inlineStr">
        <is>
          <t>HAIR RÉ:COVERY 15 Hairpack Treatment [라베나 리커버리 15 헤어팩 트리트먼트]제품선택=헤어팩 트리트먼트 3개 세트 10% 추가할인</t>
        </is>
      </c>
      <c r="H545" s="9" t="n">
        <v>1</v>
      </c>
      <c r="I545" s="9">
        <f>VLOOKUP(G545,매칭테이블!D:E,2,0)</f>
        <v/>
      </c>
      <c r="J545" s="9" t="n">
        <v>201210</v>
      </c>
      <c r="L545" s="9">
        <f>VLOOKUP($O545,매칭테이블!$G:$J,2,0)*H545</f>
        <v/>
      </c>
      <c r="M545" s="9">
        <f>L545-L545*VLOOKUP($O545,매칭테이블!$G:$J,3,0)</f>
        <v/>
      </c>
      <c r="N545" s="9">
        <f>VLOOKUP($O545,매칭테이블!$G:$J,4,0)*H545</f>
        <v/>
      </c>
      <c r="O545" s="9">
        <f>F545&amp;E545&amp;G545&amp;J545</f>
        <v/>
      </c>
    </row>
    <row r="546">
      <c r="B546" s="10" t="n">
        <v>44195</v>
      </c>
      <c r="C546" s="9">
        <f>TEXT(B546,"aaa")</f>
        <v/>
      </c>
      <c r="E546" s="9">
        <f>INDEX(매칭테이블!C:C,MATCH(RD!G546,매칭테이블!D:D,0))</f>
        <v/>
      </c>
      <c r="F546" s="9" t="inlineStr">
        <is>
          <t>카페24</t>
        </is>
      </c>
      <c r="G546" s="9" t="inlineStr">
        <is>
          <t>HAIR RÉ:COVERY 15 Hairpack Treatment [라베나 리커버리 15 헤어팩 트리트먼트]제품선택=헤어팩 트리트먼트 1개 + 뉴트리셔스밤 1개 세트 5% 추가할인</t>
        </is>
      </c>
      <c r="H546" s="9" t="n">
        <v>1</v>
      </c>
      <c r="I546" s="9">
        <f>VLOOKUP(G546,매칭테이블!D:E,2,0)</f>
        <v/>
      </c>
      <c r="J546" s="9" t="n">
        <v>201210</v>
      </c>
      <c r="L546" s="9">
        <f>VLOOKUP($O546,매칭테이블!$G:$J,2,0)*H546</f>
        <v/>
      </c>
      <c r="M546" s="9">
        <f>L546-L546*VLOOKUP($O546,매칭테이블!$G:$J,3,0)</f>
        <v/>
      </c>
      <c r="N546" s="9">
        <f>VLOOKUP($O546,매칭테이블!$G:$J,4,0)*H546</f>
        <v/>
      </c>
      <c r="O546" s="9">
        <f>F546&amp;E546&amp;G546&amp;J546</f>
        <v/>
      </c>
    </row>
    <row r="547">
      <c r="B547" s="10" t="n">
        <v>44195</v>
      </c>
      <c r="C547" s="9">
        <f>TEXT(B547,"aaa")</f>
        <v/>
      </c>
      <c r="E547" s="9">
        <f>INDEX(매칭테이블!C:C,MATCH(RD!G547,매칭테이블!D:D,0))</f>
        <v/>
      </c>
      <c r="F547" s="9" t="inlineStr">
        <is>
          <t>카페24</t>
        </is>
      </c>
      <c r="G547" s="9" t="inlineStr">
        <is>
          <t>HAIR RÉ:COVERY 15 Nutritious Balm [라베나 리커버리 15 뉴트리셔스 밤]제품선택=헤어 리커버리 15 뉴트리셔스 밤</t>
        </is>
      </c>
      <c r="H547" s="9" t="n">
        <v>11</v>
      </c>
      <c r="I547" s="9">
        <f>VLOOKUP(G547,매칭테이블!D:E,2,0)</f>
        <v/>
      </c>
      <c r="J547" s="9" t="n">
        <v>201210</v>
      </c>
      <c r="L547" s="9">
        <f>VLOOKUP($O547,매칭테이블!$G:$J,2,0)*H547</f>
        <v/>
      </c>
      <c r="M547" s="9">
        <f>L547-L547*VLOOKUP($O547,매칭테이블!$G:$J,3,0)</f>
        <v/>
      </c>
      <c r="N547" s="9">
        <f>VLOOKUP($O547,매칭테이블!$G:$J,4,0)*H547</f>
        <v/>
      </c>
      <c r="O547" s="9">
        <f>F547&amp;E547&amp;G547&amp;J547</f>
        <v/>
      </c>
    </row>
    <row r="548">
      <c r="B548" s="10" t="n">
        <v>44195</v>
      </c>
      <c r="C548" s="9">
        <f>TEXT(B548,"aaa")</f>
        <v/>
      </c>
      <c r="E548" s="9">
        <f>INDEX(매칭테이블!C:C,MATCH(RD!G548,매칭테이블!D:D,0))</f>
        <v/>
      </c>
      <c r="F548" s="9" t="inlineStr">
        <is>
          <t>카페24</t>
        </is>
      </c>
      <c r="G548" s="9" t="inlineStr">
        <is>
          <t>HAIR RÉ:COVERY 15 Nutritious Balm [라베나 리커버리 15 뉴트리셔스 밤]제품선택=뉴트리셔스 밤 2개 세트 5% 추가할인</t>
        </is>
      </c>
      <c r="H548" s="9" t="n">
        <v>3</v>
      </c>
      <c r="I548" s="9">
        <f>VLOOKUP(G548,매칭테이블!D:E,2,0)</f>
        <v/>
      </c>
      <c r="J548" s="9" t="n">
        <v>201210</v>
      </c>
      <c r="L548" s="9">
        <f>VLOOKUP($O548,매칭테이블!$G:$J,2,0)*H548</f>
        <v/>
      </c>
      <c r="M548" s="9">
        <f>L548-L548*VLOOKUP($O548,매칭테이블!$G:$J,3,0)</f>
        <v/>
      </c>
      <c r="N548" s="9">
        <f>VLOOKUP($O548,매칭테이블!$G:$J,4,0)*H548</f>
        <v/>
      </c>
      <c r="O548" s="9">
        <f>F548&amp;E548&amp;G548&amp;J548</f>
        <v/>
      </c>
    </row>
    <row r="549">
      <c r="B549" s="10" t="n">
        <v>44195</v>
      </c>
      <c r="C549" s="9">
        <f>TEXT(B549,"aaa")</f>
        <v/>
      </c>
      <c r="E549" s="9">
        <f>INDEX(매칭테이블!C:C,MATCH(RD!G549,매칭테이블!D:D,0))</f>
        <v/>
      </c>
      <c r="F549" s="9" t="inlineStr">
        <is>
          <t>카페24</t>
        </is>
      </c>
      <c r="G549" s="9" t="inlineStr">
        <is>
          <t>HAIR RÉ:COVERY 15 Nutritious Balm [라베나 리커버리 15 뉴트리셔스 밤]제품선택=뉴트리셔스밤 1개 + 헤어팩 트리트먼트 1개 세트 5%추가할인</t>
        </is>
      </c>
      <c r="H549" s="9" t="n">
        <v>3</v>
      </c>
      <c r="I549" s="9">
        <f>VLOOKUP(G549,매칭테이블!D:E,2,0)</f>
        <v/>
      </c>
      <c r="J549" s="9" t="n">
        <v>201210</v>
      </c>
      <c r="L549" s="9">
        <f>VLOOKUP($O549,매칭테이블!$G:$J,2,0)*H549</f>
        <v/>
      </c>
      <c r="M549" s="9">
        <f>L549-L549*VLOOKUP($O549,매칭테이블!$G:$J,3,0)</f>
        <v/>
      </c>
      <c r="N549" s="9">
        <f>VLOOKUP($O549,매칭테이블!$G:$J,4,0)*H549</f>
        <v/>
      </c>
      <c r="O549" s="9">
        <f>F549&amp;E549&amp;G549&amp;J549</f>
        <v/>
      </c>
    </row>
    <row r="550">
      <c r="B550" s="10" t="n">
        <v>44195</v>
      </c>
      <c r="C550" s="9">
        <f>TEXT(B550,"aaa")</f>
        <v/>
      </c>
      <c r="E550" s="9">
        <f>INDEX(매칭테이블!C:C,MATCH(RD!G550,매칭테이블!D:D,0))</f>
        <v/>
      </c>
      <c r="F550" s="9" t="inlineStr">
        <is>
          <t>카페24</t>
        </is>
      </c>
      <c r="G550" s="9" t="inlineStr">
        <is>
          <t>HAIR RÉ:COVERY 15 Revital Shampoo [라베나 리커버리 15 리바이탈 샴푸]제품선택=헤어 리커버리 15 리바이탈 샴푸 - 500ml</t>
        </is>
      </c>
      <c r="H550" s="9" t="n">
        <v>12</v>
      </c>
      <c r="I550" s="9">
        <f>VLOOKUP(G550,매칭테이블!D:E,2,0)</f>
        <v/>
      </c>
      <c r="J550" s="9" t="n">
        <v>201210</v>
      </c>
      <c r="L550" s="9">
        <f>VLOOKUP($O550,매칭테이블!$G:$J,2,0)*H550</f>
        <v/>
      </c>
      <c r="M550" s="9">
        <f>L550-L550*VLOOKUP($O550,매칭테이블!$G:$J,3,0)</f>
        <v/>
      </c>
      <c r="N550" s="9">
        <f>VLOOKUP($O550,매칭테이블!$G:$J,4,0)*H550</f>
        <v/>
      </c>
      <c r="O550" s="9">
        <f>F550&amp;E550&amp;G550&amp;J550</f>
        <v/>
      </c>
    </row>
    <row r="551">
      <c r="B551" s="10" t="n">
        <v>44195</v>
      </c>
      <c r="C551" s="9">
        <f>TEXT(B551,"aaa")</f>
        <v/>
      </c>
      <c r="E551" s="9">
        <f>INDEX(매칭테이블!C:C,MATCH(RD!G551,매칭테이블!D:D,0))</f>
        <v/>
      </c>
      <c r="F551" s="9" t="inlineStr">
        <is>
          <t>카페24</t>
        </is>
      </c>
      <c r="G551" s="9" t="inlineStr">
        <is>
          <t>HAIR RÉ:COVERY 15 Revital Shampoo [라베나 리커버리 15 리바이탈 샴푸]제품선택=리바이탈 샴푸 2개 세트 5%추가할인</t>
        </is>
      </c>
      <c r="H551" s="9" t="n">
        <v>1</v>
      </c>
      <c r="I551" s="9">
        <f>VLOOKUP(G551,매칭테이블!D:E,2,0)</f>
        <v/>
      </c>
      <c r="J551" s="9" t="n">
        <v>201210</v>
      </c>
      <c r="L551" s="9">
        <f>VLOOKUP($O551,매칭테이블!$G:$J,2,0)*H551</f>
        <v/>
      </c>
      <c r="M551" s="9">
        <f>L551-L551*VLOOKUP($O551,매칭테이블!$G:$J,3,0)</f>
        <v/>
      </c>
      <c r="N551" s="9">
        <f>VLOOKUP($O551,매칭테이블!$G:$J,4,0)*H551</f>
        <v/>
      </c>
      <c r="O551" s="9">
        <f>F551&amp;E551&amp;G551&amp;J551</f>
        <v/>
      </c>
    </row>
    <row r="552">
      <c r="B552" s="10" t="n">
        <v>44195</v>
      </c>
      <c r="C552" s="9">
        <f>TEXT(B552,"aaa")</f>
        <v/>
      </c>
      <c r="E552" s="9">
        <f>INDEX(매칭테이블!C:C,MATCH(RD!G552,매칭테이블!D:D,0))</f>
        <v/>
      </c>
      <c r="F552" s="9" t="inlineStr">
        <is>
          <t>카페24</t>
        </is>
      </c>
      <c r="G552" s="9" t="inlineStr">
        <is>
          <t>HAIR RÉ:COVERY 15 Revital Shampoo [라베나 리커버리 15 리바이탈 샴푸]제품선택=리바이탈 샴푸 3개 세트 10% 추가할인</t>
        </is>
      </c>
      <c r="H552" s="9" t="n">
        <v>1</v>
      </c>
      <c r="I552" s="9">
        <f>VLOOKUP(G552,매칭테이블!D:E,2,0)</f>
        <v/>
      </c>
      <c r="J552" s="9" t="n">
        <v>201210</v>
      </c>
      <c r="L552" s="9">
        <f>VLOOKUP($O552,매칭테이블!$G:$J,2,0)*H552</f>
        <v/>
      </c>
      <c r="M552" s="9">
        <f>L552-L552*VLOOKUP($O552,매칭테이블!$G:$J,3,0)</f>
        <v/>
      </c>
      <c r="N552" s="9">
        <f>VLOOKUP($O552,매칭테이블!$G:$J,4,0)*H552</f>
        <v/>
      </c>
      <c r="O552" s="9">
        <f>F552&amp;E552&amp;G552&amp;J552</f>
        <v/>
      </c>
    </row>
    <row r="553">
      <c r="B553" s="10" t="n">
        <v>44196</v>
      </c>
      <c r="C553" s="9">
        <f>TEXT(B553,"aaa")</f>
        <v/>
      </c>
      <c r="E553" s="9">
        <f>INDEX(매칭테이블!C:C,MATCH(RD!G553,매칭테이블!D:D,0))</f>
        <v/>
      </c>
      <c r="F553" s="9" t="inlineStr">
        <is>
          <t>카페24</t>
        </is>
      </c>
      <c r="G553" s="9" t="inlineStr">
        <is>
          <t>HAIR RÉ:COVERY 15 Hairpack Treatment [라베나 리커버리 15 헤어팩 트리트먼트]제품선택=헤어 리커버리 15 헤어팩 트리트먼트</t>
        </is>
      </c>
      <c r="H553" s="9" t="n">
        <v>8</v>
      </c>
      <c r="I553" s="9">
        <f>VLOOKUP(G553,매칭테이블!D:E,2,0)</f>
        <v/>
      </c>
      <c r="J553" s="9" t="n">
        <v>201210</v>
      </c>
      <c r="L553" s="9">
        <f>VLOOKUP($O553,매칭테이블!$G:$J,2,0)*H553</f>
        <v/>
      </c>
      <c r="M553" s="9">
        <f>L553-L553*VLOOKUP($O553,매칭테이블!$G:$J,3,0)</f>
        <v/>
      </c>
      <c r="N553" s="9">
        <f>VLOOKUP($O553,매칭테이블!$G:$J,4,0)*H553</f>
        <v/>
      </c>
      <c r="O553" s="9">
        <f>F553&amp;E553&amp;G553&amp;J553</f>
        <v/>
      </c>
    </row>
    <row r="554">
      <c r="B554" s="10" t="n">
        <v>44196</v>
      </c>
      <c r="C554" s="9">
        <f>TEXT(B554,"aaa")</f>
        <v/>
      </c>
      <c r="E554" s="9">
        <f>INDEX(매칭테이블!C:C,MATCH(RD!G554,매칭테이블!D:D,0))</f>
        <v/>
      </c>
      <c r="F554" s="9" t="inlineStr">
        <is>
          <t>카페24</t>
        </is>
      </c>
      <c r="G554" s="9" t="inlineStr">
        <is>
          <t>HAIR RÉ:COVERY 15 Hairpack Treatment [라베나 리커버리 15 헤어팩 트리트먼트]제품선택=헤어팩 트리트먼트 2개 세트 5% 추가할인</t>
        </is>
      </c>
      <c r="H554" s="9" t="n">
        <v>2</v>
      </c>
      <c r="I554" s="9">
        <f>VLOOKUP(G554,매칭테이블!D:E,2,0)</f>
        <v/>
      </c>
      <c r="J554" s="9" t="n">
        <v>201210</v>
      </c>
      <c r="L554" s="9">
        <f>VLOOKUP($O554,매칭테이블!$G:$J,2,0)*H554</f>
        <v/>
      </c>
      <c r="M554" s="9">
        <f>L554-L554*VLOOKUP($O554,매칭테이블!$G:$J,3,0)</f>
        <v/>
      </c>
      <c r="N554" s="9">
        <f>VLOOKUP($O554,매칭테이블!$G:$J,4,0)*H554</f>
        <v/>
      </c>
      <c r="O554" s="9">
        <f>F554&amp;E554&amp;G554&amp;J554</f>
        <v/>
      </c>
    </row>
    <row r="555">
      <c r="B555" s="10" t="n">
        <v>44196</v>
      </c>
      <c r="C555" s="9">
        <f>TEXT(B555,"aaa")</f>
        <v/>
      </c>
      <c r="E555" s="9">
        <f>INDEX(매칭테이블!C:C,MATCH(RD!G555,매칭테이블!D:D,0))</f>
        <v/>
      </c>
      <c r="F555" s="9" t="inlineStr">
        <is>
          <t>카페24</t>
        </is>
      </c>
      <c r="G555" s="9" t="inlineStr">
        <is>
          <t>HAIR RÉ:COVERY 15 Hairpack Treatment [라베나 리커버리 15 헤어팩 트리트먼트]제품선택=헤어팩 트리트먼트 3개 세트 10% 추가할인</t>
        </is>
      </c>
      <c r="H555" s="9" t="n">
        <v>1</v>
      </c>
      <c r="I555" s="9">
        <f>VLOOKUP(G555,매칭테이블!D:E,2,0)</f>
        <v/>
      </c>
      <c r="J555" s="9" t="n">
        <v>201210</v>
      </c>
      <c r="L555" s="9">
        <f>VLOOKUP($O555,매칭테이블!$G:$J,2,0)*H555</f>
        <v/>
      </c>
      <c r="M555" s="9">
        <f>L555-L555*VLOOKUP($O555,매칭테이블!$G:$J,3,0)</f>
        <v/>
      </c>
      <c r="N555" s="9">
        <f>VLOOKUP($O555,매칭테이블!$G:$J,4,0)*H555</f>
        <v/>
      </c>
      <c r="O555" s="9">
        <f>F555&amp;E555&amp;G555&amp;J555</f>
        <v/>
      </c>
    </row>
    <row r="556">
      <c r="B556" s="10" t="n">
        <v>44196</v>
      </c>
      <c r="C556" s="9">
        <f>TEXT(B556,"aaa")</f>
        <v/>
      </c>
      <c r="E556" s="9">
        <f>INDEX(매칭테이블!C:C,MATCH(RD!G556,매칭테이블!D:D,0))</f>
        <v/>
      </c>
      <c r="F556" s="9" t="inlineStr">
        <is>
          <t>카페24</t>
        </is>
      </c>
      <c r="G556" s="9" t="inlineStr">
        <is>
          <t>HAIR RÉ:COVERY 15 Hairpack Treatment [라베나 리커버리 15 헤어팩 트리트먼트]제품선택=헤어팩 트리트먼트 1개 + 뉴트리셔스밤 1개 세트 5% 추가할인</t>
        </is>
      </c>
      <c r="H556" s="9" t="n">
        <v>2</v>
      </c>
      <c r="I556" s="9">
        <f>VLOOKUP(G556,매칭테이블!D:E,2,0)</f>
        <v/>
      </c>
      <c r="J556" s="9" t="n">
        <v>201210</v>
      </c>
      <c r="L556" s="9">
        <f>VLOOKUP($O556,매칭테이블!$G:$J,2,0)*H556</f>
        <v/>
      </c>
      <c r="M556" s="9">
        <f>L556-L556*VLOOKUP($O556,매칭테이블!$G:$J,3,0)</f>
        <v/>
      </c>
      <c r="N556" s="9">
        <f>VLOOKUP($O556,매칭테이블!$G:$J,4,0)*H556</f>
        <v/>
      </c>
      <c r="O556" s="9">
        <f>F556&amp;E556&amp;G556&amp;J556</f>
        <v/>
      </c>
    </row>
    <row r="557">
      <c r="B557" s="10" t="n">
        <v>44196</v>
      </c>
      <c r="C557" s="9">
        <f>TEXT(B557,"aaa")</f>
        <v/>
      </c>
      <c r="E557" s="9">
        <f>INDEX(매칭테이블!C:C,MATCH(RD!G557,매칭테이블!D:D,0))</f>
        <v/>
      </c>
      <c r="F557" s="9" t="inlineStr">
        <is>
          <t>카페24</t>
        </is>
      </c>
      <c r="G557" s="9" t="inlineStr">
        <is>
          <t>HAIR RÉ:COVERY 15 Nutritious Balm [라베나 리커버리 15 뉴트리셔스 밤]제품선택=헤어 리커버리 15 뉴트리셔스 밤</t>
        </is>
      </c>
      <c r="H557" s="9" t="n">
        <v>7</v>
      </c>
      <c r="I557" s="9">
        <f>VLOOKUP(G557,매칭테이블!D:E,2,0)</f>
        <v/>
      </c>
      <c r="J557" s="9" t="n">
        <v>201210</v>
      </c>
      <c r="L557" s="9">
        <f>VLOOKUP($O557,매칭테이블!$G:$J,2,0)*H557</f>
        <v/>
      </c>
      <c r="M557" s="9">
        <f>L557-L557*VLOOKUP($O557,매칭테이블!$G:$J,3,0)</f>
        <v/>
      </c>
      <c r="N557" s="9">
        <f>VLOOKUP($O557,매칭테이블!$G:$J,4,0)*H557</f>
        <v/>
      </c>
      <c r="O557" s="9">
        <f>F557&amp;E557&amp;G557&amp;J557</f>
        <v/>
      </c>
    </row>
    <row r="558">
      <c r="B558" s="10" t="n">
        <v>44196</v>
      </c>
      <c r="C558" s="9">
        <f>TEXT(B558,"aaa")</f>
        <v/>
      </c>
      <c r="E558" s="9">
        <f>INDEX(매칭테이블!C:C,MATCH(RD!G558,매칭테이블!D:D,0))</f>
        <v/>
      </c>
      <c r="F558" s="9" t="inlineStr">
        <is>
          <t>카페24</t>
        </is>
      </c>
      <c r="G558" s="9" t="inlineStr">
        <is>
          <t>HAIR RÉ:COVERY 15 Nutritious Balm [라베나 리커버리 15 뉴트리셔스 밤]제품선택=뉴트리셔스 밤 2개 세트 5% 추가할인</t>
        </is>
      </c>
      <c r="H558" s="9" t="n">
        <v>2</v>
      </c>
      <c r="I558" s="9">
        <f>VLOOKUP(G558,매칭테이블!D:E,2,0)</f>
        <v/>
      </c>
      <c r="J558" s="9" t="n">
        <v>201210</v>
      </c>
      <c r="L558" s="9">
        <f>VLOOKUP($O558,매칭테이블!$G:$J,2,0)*H558</f>
        <v/>
      </c>
      <c r="M558" s="9">
        <f>L558-L558*VLOOKUP($O558,매칭테이블!$G:$J,3,0)</f>
        <v/>
      </c>
      <c r="N558" s="9">
        <f>VLOOKUP($O558,매칭테이블!$G:$J,4,0)*H558</f>
        <v/>
      </c>
      <c r="O558" s="9">
        <f>F558&amp;E558&amp;G558&amp;J558</f>
        <v/>
      </c>
    </row>
    <row r="559">
      <c r="B559" s="10" t="n">
        <v>44196</v>
      </c>
      <c r="C559" s="9">
        <f>TEXT(B559,"aaa")</f>
        <v/>
      </c>
      <c r="E559" s="9">
        <f>INDEX(매칭테이블!C:C,MATCH(RD!G559,매칭테이블!D:D,0))</f>
        <v/>
      </c>
      <c r="F559" s="9" t="inlineStr">
        <is>
          <t>카페24</t>
        </is>
      </c>
      <c r="G559" s="9" t="inlineStr">
        <is>
          <t>HAIR RÉ:COVERY 15 Nutritious Balm [라베나 리커버리 15 뉴트리셔스 밤]제품선택=뉴트리셔스 밤 3개 세트 10% 추가할인</t>
        </is>
      </c>
      <c r="H559" s="9" t="n">
        <v>2</v>
      </c>
      <c r="I559" s="9">
        <f>VLOOKUP(G559,매칭테이블!D:E,2,0)</f>
        <v/>
      </c>
      <c r="J559" s="9" t="n">
        <v>201210</v>
      </c>
      <c r="L559" s="9">
        <f>VLOOKUP($O559,매칭테이블!$G:$J,2,0)*H559</f>
        <v/>
      </c>
      <c r="M559" s="9">
        <f>L559-L559*VLOOKUP($O559,매칭테이블!$G:$J,3,0)</f>
        <v/>
      </c>
      <c r="N559" s="9">
        <f>VLOOKUP($O559,매칭테이블!$G:$J,4,0)*H559</f>
        <v/>
      </c>
      <c r="O559" s="9">
        <f>F559&amp;E559&amp;G559&amp;J559</f>
        <v/>
      </c>
    </row>
    <row r="560">
      <c r="B560" s="10" t="n">
        <v>44196</v>
      </c>
      <c r="C560" s="9">
        <f>TEXT(B560,"aaa")</f>
        <v/>
      </c>
      <c r="E560" s="9">
        <f>INDEX(매칭테이블!C:C,MATCH(RD!G560,매칭테이블!D:D,0))</f>
        <v/>
      </c>
      <c r="F560" s="9" t="inlineStr">
        <is>
          <t>카페24</t>
        </is>
      </c>
      <c r="G560" s="9" t="inlineStr">
        <is>
          <t>HAIR RÉ:COVERY 15 Revital Shampoo [라베나 리커버리 15 리바이탈 샴푸]제품선택=헤어 리커버리 15 리바이탈 샴푸 - 500ml</t>
        </is>
      </c>
      <c r="H560" s="9" t="n">
        <v>6</v>
      </c>
      <c r="I560" s="9">
        <f>VLOOKUP(G560,매칭테이블!D:E,2,0)</f>
        <v/>
      </c>
      <c r="J560" s="9" t="n">
        <v>201210</v>
      </c>
      <c r="L560" s="9">
        <f>VLOOKUP($O560,매칭테이블!$G:$J,2,0)*H560</f>
        <v/>
      </c>
      <c r="M560" s="9">
        <f>L560-L560*VLOOKUP($O560,매칭테이블!$G:$J,3,0)</f>
        <v/>
      </c>
      <c r="N560" s="9">
        <f>VLOOKUP($O560,매칭테이블!$G:$J,4,0)*H560</f>
        <v/>
      </c>
      <c r="O560" s="9">
        <f>F560&amp;E560&amp;G560&amp;J560</f>
        <v/>
      </c>
    </row>
    <row r="561">
      <c r="B561" s="10" t="n">
        <v>44196</v>
      </c>
      <c r="C561" s="9">
        <f>TEXT(B561,"aaa")</f>
        <v/>
      </c>
      <c r="E561" s="9">
        <f>INDEX(매칭테이블!C:C,MATCH(RD!G561,매칭테이블!D:D,0))</f>
        <v/>
      </c>
      <c r="F561" s="9" t="inlineStr">
        <is>
          <t>카페24</t>
        </is>
      </c>
      <c r="G561" s="9" t="inlineStr">
        <is>
          <t>HAIR RÉ:COVERY 15 Revital Shampoo [라베나 리커버리 15 리바이탈 샴푸]제품선택=리바이탈 샴푸 2개 세트 5%추가할인</t>
        </is>
      </c>
      <c r="H561" s="9" t="n">
        <v>4</v>
      </c>
      <c r="I561" s="9">
        <f>VLOOKUP(G561,매칭테이블!D:E,2,0)</f>
        <v/>
      </c>
      <c r="J561" s="9" t="n">
        <v>201210</v>
      </c>
      <c r="L561" s="9">
        <f>VLOOKUP($O561,매칭테이블!$G:$J,2,0)*H561</f>
        <v/>
      </c>
      <c r="M561" s="9">
        <f>L561-L561*VLOOKUP($O561,매칭테이블!$G:$J,3,0)</f>
        <v/>
      </c>
      <c r="N561" s="9">
        <f>VLOOKUP($O561,매칭테이블!$G:$J,4,0)*H561</f>
        <v/>
      </c>
      <c r="O561" s="9">
        <f>F561&amp;E561&amp;G561&amp;J561</f>
        <v/>
      </c>
    </row>
    <row r="562">
      <c r="B562" s="10" t="n">
        <v>44197</v>
      </c>
      <c r="C562" s="9">
        <f>TEXT(B562,"aaa")</f>
        <v/>
      </c>
      <c r="E562" s="9">
        <f>INDEX(매칭테이블!C:C,MATCH(RD!G562,매칭테이블!D:D,0))</f>
        <v/>
      </c>
      <c r="F562" s="9" t="inlineStr">
        <is>
          <t>카페24</t>
        </is>
      </c>
      <c r="G562" s="9" t="inlineStr">
        <is>
          <t>HAIR RÉ:COVERY 15 Hairpack Treatment [라베나 리커버리 15 헤어팩 트리트먼트]제품선택=헤어 리커버리 15 헤어팩 트리트먼트</t>
        </is>
      </c>
      <c r="H562" s="9" t="n">
        <v>13</v>
      </c>
      <c r="I562" s="9">
        <f>VLOOKUP(G562,매칭테이블!D:E,2,0)</f>
        <v/>
      </c>
      <c r="J562" s="9" t="n">
        <v>201210</v>
      </c>
      <c r="L562" s="9">
        <f>VLOOKUP($O562,매칭테이블!$G:$J,2,0)*H562</f>
        <v/>
      </c>
      <c r="M562" s="9">
        <f>L562-L562*VLOOKUP($O562,매칭테이블!$G:$J,3,0)</f>
        <v/>
      </c>
      <c r="N562" s="9">
        <f>VLOOKUP($O562,매칭테이블!$G:$J,4,0)*H562</f>
        <v/>
      </c>
      <c r="O562" s="9">
        <f>F562&amp;E562&amp;G562&amp;J562</f>
        <v/>
      </c>
    </row>
    <row r="563">
      <c r="B563" s="10" t="n">
        <v>44197</v>
      </c>
      <c r="C563" s="9">
        <f>TEXT(B563,"aaa")</f>
        <v/>
      </c>
      <c r="E563" s="9">
        <f>INDEX(매칭테이블!C:C,MATCH(RD!G563,매칭테이블!D:D,0))</f>
        <v/>
      </c>
      <c r="F563" s="9" t="inlineStr">
        <is>
          <t>카페24</t>
        </is>
      </c>
      <c r="G563" s="9" t="inlineStr">
        <is>
          <t>HAIR RÉ:COVERY 15 Hairpack Treatment [라베나 리커버리 15 헤어팩 트리트먼트]제품선택=헤어팩 트리트먼트 2개 세트 5% 추가할인</t>
        </is>
      </c>
      <c r="H563" s="9" t="n">
        <v>3</v>
      </c>
      <c r="I563" s="9">
        <f>VLOOKUP(G563,매칭테이블!D:E,2,0)</f>
        <v/>
      </c>
      <c r="J563" s="9" t="n">
        <v>201210</v>
      </c>
      <c r="L563" s="9">
        <f>VLOOKUP($O563,매칭테이블!$G:$J,2,0)*H563</f>
        <v/>
      </c>
      <c r="M563" s="9">
        <f>L563-L563*VLOOKUP($O563,매칭테이블!$G:$J,3,0)</f>
        <v/>
      </c>
      <c r="N563" s="9">
        <f>VLOOKUP($O563,매칭테이블!$G:$J,4,0)*H563</f>
        <v/>
      </c>
      <c r="O563" s="9">
        <f>F563&amp;E563&amp;G563&amp;J563</f>
        <v/>
      </c>
    </row>
    <row r="564">
      <c r="B564" s="10" t="n">
        <v>44197</v>
      </c>
      <c r="C564" s="9">
        <f>TEXT(B564,"aaa")</f>
        <v/>
      </c>
      <c r="E564" s="9">
        <f>INDEX(매칭테이블!C:C,MATCH(RD!G564,매칭테이블!D:D,0))</f>
        <v/>
      </c>
      <c r="F564" s="9" t="inlineStr">
        <is>
          <t>카페24</t>
        </is>
      </c>
      <c r="G564" s="9" t="inlineStr">
        <is>
          <t>HAIR RÉ:COVERY 15 Hairpack Treatment [라베나 리커버리 15 헤어팩 트리트먼트]제품선택=헤어팩 트리트먼트 1개 + 뉴트리셔스밤 1개 세트 5% 추가할인</t>
        </is>
      </c>
      <c r="H564" s="9" t="n">
        <v>2</v>
      </c>
      <c r="I564" s="9">
        <f>VLOOKUP(G564,매칭테이블!D:E,2,0)</f>
        <v/>
      </c>
      <c r="J564" s="9" t="n">
        <v>201210</v>
      </c>
      <c r="L564" s="9">
        <f>VLOOKUP($O564,매칭테이블!$G:$J,2,0)*H564</f>
        <v/>
      </c>
      <c r="M564" s="9">
        <f>L564-L564*VLOOKUP($O564,매칭테이블!$G:$J,3,0)</f>
        <v/>
      </c>
      <c r="N564" s="9">
        <f>VLOOKUP($O564,매칭테이블!$G:$J,4,0)*H564</f>
        <v/>
      </c>
      <c r="O564" s="9">
        <f>F564&amp;E564&amp;G564&amp;J564</f>
        <v/>
      </c>
    </row>
    <row r="565">
      <c r="B565" s="10" t="n">
        <v>44197</v>
      </c>
      <c r="C565" s="9">
        <f>TEXT(B565,"aaa")</f>
        <v/>
      </c>
      <c r="E565" s="9">
        <f>INDEX(매칭테이블!C:C,MATCH(RD!G565,매칭테이블!D:D,0))</f>
        <v/>
      </c>
      <c r="F565" s="9" t="inlineStr">
        <is>
          <t>카페24</t>
        </is>
      </c>
      <c r="G565" s="9" t="inlineStr">
        <is>
          <t>HAIR RÉ:COVERY 15 Nutritious Balm [라베나 리커버리 15 뉴트리셔스 밤]제품선택=헤어 리커버리 15 뉴트리셔스 밤</t>
        </is>
      </c>
      <c r="H565" s="9" t="n">
        <v>7</v>
      </c>
      <c r="I565" s="9">
        <f>VLOOKUP(G565,매칭테이블!D:E,2,0)</f>
        <v/>
      </c>
      <c r="J565" s="9" t="n">
        <v>201210</v>
      </c>
      <c r="L565" s="9">
        <f>VLOOKUP($O565,매칭테이블!$G:$J,2,0)*H565</f>
        <v/>
      </c>
      <c r="M565" s="9">
        <f>L565-L565*VLOOKUP($O565,매칭테이블!$G:$J,3,0)</f>
        <v/>
      </c>
      <c r="N565" s="9">
        <f>VLOOKUP($O565,매칭테이블!$G:$J,4,0)*H565</f>
        <v/>
      </c>
      <c r="O565" s="9">
        <f>F565&amp;E565&amp;G565&amp;J565</f>
        <v/>
      </c>
    </row>
    <row r="566">
      <c r="B566" s="10" t="n">
        <v>44197</v>
      </c>
      <c r="C566" s="9">
        <f>TEXT(B566,"aaa")</f>
        <v/>
      </c>
      <c r="E566" s="9">
        <f>INDEX(매칭테이블!C:C,MATCH(RD!G566,매칭테이블!D:D,0))</f>
        <v/>
      </c>
      <c r="F566" s="9" t="inlineStr">
        <is>
          <t>카페24</t>
        </is>
      </c>
      <c r="G566" s="9" t="inlineStr">
        <is>
          <t>HAIR RÉ:COVERY 15 Nutritious Balm [라베나 리커버리 15 뉴트리셔스 밤]제품선택=뉴트리셔스 밤 2개 세트 5% 추가할인</t>
        </is>
      </c>
      <c r="H566" s="9" t="n">
        <v>1</v>
      </c>
      <c r="I566" s="9">
        <f>VLOOKUP(G566,매칭테이블!D:E,2,0)</f>
        <v/>
      </c>
      <c r="J566" s="9" t="n">
        <v>201210</v>
      </c>
      <c r="L566" s="9">
        <f>VLOOKUP($O566,매칭테이블!$G:$J,2,0)*H566</f>
        <v/>
      </c>
      <c r="M566" s="9">
        <f>L566-L566*VLOOKUP($O566,매칭테이블!$G:$J,3,0)</f>
        <v/>
      </c>
      <c r="N566" s="9">
        <f>VLOOKUP($O566,매칭테이블!$G:$J,4,0)*H566</f>
        <v/>
      </c>
      <c r="O566" s="9">
        <f>F566&amp;E566&amp;G566&amp;J566</f>
        <v/>
      </c>
    </row>
    <row r="567">
      <c r="B567" s="10" t="n">
        <v>44197</v>
      </c>
      <c r="C567" s="9">
        <f>TEXT(B567,"aaa")</f>
        <v/>
      </c>
      <c r="E567" s="9">
        <f>INDEX(매칭테이블!C:C,MATCH(RD!G567,매칭테이블!D:D,0))</f>
        <v/>
      </c>
      <c r="F567" s="9" t="inlineStr">
        <is>
          <t>카페24</t>
        </is>
      </c>
      <c r="G567" s="9" t="inlineStr">
        <is>
          <t>HAIR RÉ:COVERY 15 Nutritious Balm [라베나 리커버리 15 뉴트리셔스 밤]제품선택=뉴트리셔스 밤 3개 세트 10% 추가할인</t>
        </is>
      </c>
      <c r="H567" s="9" t="n">
        <v>1</v>
      </c>
      <c r="I567" s="9">
        <f>VLOOKUP(G567,매칭테이블!D:E,2,0)</f>
        <v/>
      </c>
      <c r="J567" s="9" t="n">
        <v>201210</v>
      </c>
      <c r="L567" s="9">
        <f>VLOOKUP($O567,매칭테이블!$G:$J,2,0)*H567</f>
        <v/>
      </c>
      <c r="M567" s="9">
        <f>L567-L567*VLOOKUP($O567,매칭테이블!$G:$J,3,0)</f>
        <v/>
      </c>
      <c r="N567" s="9">
        <f>VLOOKUP($O567,매칭테이블!$G:$J,4,0)*H567</f>
        <v/>
      </c>
      <c r="O567" s="9">
        <f>F567&amp;E567&amp;G567&amp;J567</f>
        <v/>
      </c>
    </row>
    <row r="568">
      <c r="B568" s="10" t="n">
        <v>44197</v>
      </c>
      <c r="C568" s="9">
        <f>TEXT(B568,"aaa")</f>
        <v/>
      </c>
      <c r="E568" s="9">
        <f>INDEX(매칭테이블!C:C,MATCH(RD!G568,매칭테이블!D:D,0))</f>
        <v/>
      </c>
      <c r="F568" s="9" t="inlineStr">
        <is>
          <t>카페24</t>
        </is>
      </c>
      <c r="G568" s="9" t="inlineStr">
        <is>
          <t>HAIR RÉ:COVERY 15 Nutritious Balm [라베나 리커버리 15 뉴트리셔스 밤]제품선택=뉴트리셔스밤 1개 + 헤어팩 트리트먼트 1개 세트 5%추가할인</t>
        </is>
      </c>
      <c r="H568" s="9" t="n">
        <v>1</v>
      </c>
      <c r="I568" s="9">
        <f>VLOOKUP(G568,매칭테이블!D:E,2,0)</f>
        <v/>
      </c>
      <c r="J568" s="9" t="n">
        <v>201210</v>
      </c>
      <c r="L568" s="9">
        <f>VLOOKUP($O568,매칭테이블!$G:$J,2,0)*H568</f>
        <v/>
      </c>
      <c r="M568" s="9">
        <f>L568-L568*VLOOKUP($O568,매칭테이블!$G:$J,3,0)</f>
        <v/>
      </c>
      <c r="N568" s="9">
        <f>VLOOKUP($O568,매칭테이블!$G:$J,4,0)*H568</f>
        <v/>
      </c>
      <c r="O568" s="9">
        <f>F568&amp;E568&amp;G568&amp;J568</f>
        <v/>
      </c>
    </row>
    <row r="569">
      <c r="B569" s="10" t="n">
        <v>44197</v>
      </c>
      <c r="C569" s="9">
        <f>TEXT(B569,"aaa")</f>
        <v/>
      </c>
      <c r="E569" s="9">
        <f>INDEX(매칭테이블!C:C,MATCH(RD!G569,매칭테이블!D:D,0))</f>
        <v/>
      </c>
      <c r="F569" s="9" t="inlineStr">
        <is>
          <t>카페24</t>
        </is>
      </c>
      <c r="G569" s="9" t="inlineStr">
        <is>
          <t>HAIR RÉ:COVERY 15 Revital Shampoo [라베나 리커버리 15 리바이탈 샴푸]제품선택=헤어 리커버리 15 리바이탈 샴푸 - 500ml</t>
        </is>
      </c>
      <c r="H569" s="9" t="n">
        <v>9</v>
      </c>
      <c r="I569" s="9">
        <f>VLOOKUP(G569,매칭테이블!D:E,2,0)</f>
        <v/>
      </c>
      <c r="J569" s="9" t="n">
        <v>201210</v>
      </c>
      <c r="L569" s="9">
        <f>VLOOKUP($O569,매칭테이블!$G:$J,2,0)*H569</f>
        <v/>
      </c>
      <c r="M569" s="9">
        <f>L569-L569*VLOOKUP($O569,매칭테이블!$G:$J,3,0)</f>
        <v/>
      </c>
      <c r="N569" s="9">
        <f>VLOOKUP($O569,매칭테이블!$G:$J,4,0)*H569</f>
        <v/>
      </c>
      <c r="O569" s="9">
        <f>F569&amp;E569&amp;G569&amp;J569</f>
        <v/>
      </c>
    </row>
    <row r="570">
      <c r="B570" s="10" t="n">
        <v>44197</v>
      </c>
      <c r="C570" s="9">
        <f>TEXT(B570,"aaa")</f>
        <v/>
      </c>
      <c r="E570" s="9">
        <f>INDEX(매칭테이블!C:C,MATCH(RD!G570,매칭테이블!D:D,0))</f>
        <v/>
      </c>
      <c r="F570" s="9" t="inlineStr">
        <is>
          <t>카페24</t>
        </is>
      </c>
      <c r="G570" s="9" t="inlineStr">
        <is>
          <t>HAIR RÉ:COVERY 15 Revital Shampoo [라베나 리커버리 15 리바이탈 샴푸]제품선택=리바이탈 샴푸 2개 세트 5%추가할인</t>
        </is>
      </c>
      <c r="H570" s="9" t="n">
        <v>2</v>
      </c>
      <c r="I570" s="9">
        <f>VLOOKUP(G570,매칭테이블!D:E,2,0)</f>
        <v/>
      </c>
      <c r="J570" s="9" t="n">
        <v>201210</v>
      </c>
      <c r="L570" s="9">
        <f>VLOOKUP($O570,매칭테이블!$G:$J,2,0)*H570</f>
        <v/>
      </c>
      <c r="M570" s="9">
        <f>L570-L570*VLOOKUP($O570,매칭테이블!$G:$J,3,0)</f>
        <v/>
      </c>
      <c r="N570" s="9">
        <f>VLOOKUP($O570,매칭테이블!$G:$J,4,0)*H570</f>
        <v/>
      </c>
      <c r="O570" s="9">
        <f>F570&amp;E570&amp;G570&amp;J570</f>
        <v/>
      </c>
    </row>
    <row r="571">
      <c r="B571" s="10" t="n">
        <v>44197</v>
      </c>
      <c r="C571" s="9">
        <f>TEXT(B571,"aaa")</f>
        <v/>
      </c>
      <c r="E571" s="9">
        <f>INDEX(매칭테이블!C:C,MATCH(RD!G571,매칭테이블!D:D,0))</f>
        <v/>
      </c>
      <c r="F571" s="9" t="inlineStr">
        <is>
          <t>카페24</t>
        </is>
      </c>
      <c r="G571" s="9" t="inlineStr">
        <is>
          <t>HAIR RÉ:COVERY 15 Revital Shampoo [라베나 리커버리 15 리바이탈 샴푸]제품선택=리바이탈 샴푸 3개 세트 10% 추가할인</t>
        </is>
      </c>
      <c r="H571" s="9" t="n">
        <v>3</v>
      </c>
      <c r="I571" s="9">
        <f>VLOOKUP(G571,매칭테이블!D:E,2,0)</f>
        <v/>
      </c>
      <c r="J571" s="9" t="n">
        <v>201210</v>
      </c>
      <c r="L571" s="9">
        <f>VLOOKUP($O571,매칭테이블!$G:$J,2,0)*H571</f>
        <v/>
      </c>
      <c r="M571" s="9">
        <f>L571-L571*VLOOKUP($O571,매칭테이블!$G:$J,3,0)</f>
        <v/>
      </c>
      <c r="N571" s="9">
        <f>VLOOKUP($O571,매칭테이블!$G:$J,4,0)*H571</f>
        <v/>
      </c>
      <c r="O571" s="9">
        <f>F571&amp;E571&amp;G571&amp;J571</f>
        <v/>
      </c>
    </row>
    <row r="572">
      <c r="B572" s="10" t="n">
        <v>44198</v>
      </c>
      <c r="C572" s="9">
        <f>TEXT(B572,"aaa")</f>
        <v/>
      </c>
      <c r="E572" s="9">
        <f>INDEX(매칭테이블!C:C,MATCH(RD!G572,매칭테이블!D:D,0))</f>
        <v/>
      </c>
      <c r="F572" s="9" t="inlineStr">
        <is>
          <t>카페24</t>
        </is>
      </c>
      <c r="G572" s="9" t="inlineStr">
        <is>
          <t>HAIR RÉ:COVERY 15 Hairpack Treatment [라베나 리커버리 15 헤어팩 트리트먼트]제품선택=헤어 리커버리 15 헤어팩 트리트먼트</t>
        </is>
      </c>
      <c r="H572" s="9" t="n">
        <v>11</v>
      </c>
      <c r="I572" s="9">
        <f>VLOOKUP(G572,매칭테이블!D:E,2,0)</f>
        <v/>
      </c>
      <c r="J572" s="9" t="n">
        <v>201210</v>
      </c>
      <c r="L572" s="9">
        <f>VLOOKUP($O572,매칭테이블!$G:$J,2,0)*H572</f>
        <v/>
      </c>
      <c r="M572" s="9">
        <f>L572-L572*VLOOKUP($O572,매칭테이블!$G:$J,3,0)</f>
        <v/>
      </c>
      <c r="N572" s="9">
        <f>VLOOKUP($O572,매칭테이블!$G:$J,4,0)*H572</f>
        <v/>
      </c>
      <c r="O572" s="9">
        <f>F572&amp;E572&amp;G572&amp;J572</f>
        <v/>
      </c>
    </row>
    <row r="573">
      <c r="B573" s="10" t="n">
        <v>44198</v>
      </c>
      <c r="C573" s="9">
        <f>TEXT(B573,"aaa")</f>
        <v/>
      </c>
      <c r="E573" s="9">
        <f>INDEX(매칭테이블!C:C,MATCH(RD!G573,매칭테이블!D:D,0))</f>
        <v/>
      </c>
      <c r="F573" s="9" t="inlineStr">
        <is>
          <t>카페24</t>
        </is>
      </c>
      <c r="G573" s="9" t="inlineStr">
        <is>
          <t>HAIR RÉ:COVERY 15 Hairpack Treatment [라베나 리커버리 15 헤어팩 트리트먼트]제품선택=헤어팩 트리트먼트 2개 세트 5% 추가할인</t>
        </is>
      </c>
      <c r="H573" s="9" t="n">
        <v>1</v>
      </c>
      <c r="I573" s="9">
        <f>VLOOKUP(G573,매칭테이블!D:E,2,0)</f>
        <v/>
      </c>
      <c r="J573" s="9" t="n">
        <v>201210</v>
      </c>
      <c r="L573" s="9">
        <f>VLOOKUP($O573,매칭테이블!$G:$J,2,0)*H573</f>
        <v/>
      </c>
      <c r="M573" s="9">
        <f>L573-L573*VLOOKUP($O573,매칭테이블!$G:$J,3,0)</f>
        <v/>
      </c>
      <c r="N573" s="9">
        <f>VLOOKUP($O573,매칭테이블!$G:$J,4,0)*H573</f>
        <v/>
      </c>
      <c r="O573" s="9">
        <f>F573&amp;E573&amp;G573&amp;J573</f>
        <v/>
      </c>
    </row>
    <row r="574">
      <c r="B574" s="10" t="n">
        <v>44198</v>
      </c>
      <c r="C574" s="9">
        <f>TEXT(B574,"aaa")</f>
        <v/>
      </c>
      <c r="E574" s="9">
        <f>INDEX(매칭테이블!C:C,MATCH(RD!G574,매칭테이블!D:D,0))</f>
        <v/>
      </c>
      <c r="F574" s="9" t="inlineStr">
        <is>
          <t>카페24</t>
        </is>
      </c>
      <c r="G574" s="9" t="inlineStr">
        <is>
          <t>HAIR RÉ:COVERY 15 Hairpack Treatment [라베나 리커버리 15 헤어팩 트리트먼트]제품선택=헤어팩 트리트먼트 1개 + 뉴트리셔스밤 1개 세트 5% 추가할인</t>
        </is>
      </c>
      <c r="H574" s="9" t="n">
        <v>3</v>
      </c>
      <c r="I574" s="9">
        <f>VLOOKUP(G574,매칭테이블!D:E,2,0)</f>
        <v/>
      </c>
      <c r="J574" s="9" t="n">
        <v>201210</v>
      </c>
      <c r="L574" s="9">
        <f>VLOOKUP($O574,매칭테이블!$G:$J,2,0)*H574</f>
        <v/>
      </c>
      <c r="M574" s="9">
        <f>L574-L574*VLOOKUP($O574,매칭테이블!$G:$J,3,0)</f>
        <v/>
      </c>
      <c r="N574" s="9">
        <f>VLOOKUP($O574,매칭테이블!$G:$J,4,0)*H574</f>
        <v/>
      </c>
      <c r="O574" s="9">
        <f>F574&amp;E574&amp;G574&amp;J574</f>
        <v/>
      </c>
    </row>
    <row r="575">
      <c r="B575" s="10" t="n">
        <v>44198</v>
      </c>
      <c r="C575" s="9">
        <f>TEXT(B575,"aaa")</f>
        <v/>
      </c>
      <c r="E575" s="9">
        <f>INDEX(매칭테이블!C:C,MATCH(RD!G575,매칭테이블!D:D,0))</f>
        <v/>
      </c>
      <c r="F575" s="9" t="inlineStr">
        <is>
          <t>카페24</t>
        </is>
      </c>
      <c r="G575" s="9" t="inlineStr">
        <is>
          <t>HAIR RÉ:COVERY 15 Nutritious Balm [라베나 리커버리 15 뉴트리셔스 밤]제품선택=헤어 리커버리 15 뉴트리셔스 밤</t>
        </is>
      </c>
      <c r="H575" s="9" t="n">
        <v>11</v>
      </c>
      <c r="I575" s="9">
        <f>VLOOKUP(G575,매칭테이블!D:E,2,0)</f>
        <v/>
      </c>
      <c r="J575" s="9" t="n">
        <v>201210</v>
      </c>
      <c r="L575" s="9">
        <f>VLOOKUP($O575,매칭테이블!$G:$J,2,0)*H575</f>
        <v/>
      </c>
      <c r="M575" s="9">
        <f>L575-L575*VLOOKUP($O575,매칭테이블!$G:$J,3,0)</f>
        <v/>
      </c>
      <c r="N575" s="9">
        <f>VLOOKUP($O575,매칭테이블!$G:$J,4,0)*H575</f>
        <v/>
      </c>
      <c r="O575" s="9">
        <f>F575&amp;E575&amp;G575&amp;J575</f>
        <v/>
      </c>
    </row>
    <row r="576">
      <c r="B576" s="10" t="n">
        <v>44198</v>
      </c>
      <c r="C576" s="9">
        <f>TEXT(B576,"aaa")</f>
        <v/>
      </c>
      <c r="E576" s="9">
        <f>INDEX(매칭테이블!C:C,MATCH(RD!G576,매칭테이블!D:D,0))</f>
        <v/>
      </c>
      <c r="F576" s="9" t="inlineStr">
        <is>
          <t>카페24</t>
        </is>
      </c>
      <c r="G576" s="9" t="inlineStr">
        <is>
          <t>HAIR RÉ:COVERY 15 Nutritious Balm [라베나 리커버리 15 뉴트리셔스 밤]제품선택=뉴트리셔스 밤 2개 세트 5% 추가할인</t>
        </is>
      </c>
      <c r="H576" s="9" t="n">
        <v>4</v>
      </c>
      <c r="I576" s="9">
        <f>VLOOKUP(G576,매칭테이블!D:E,2,0)</f>
        <v/>
      </c>
      <c r="J576" s="9" t="n">
        <v>201210</v>
      </c>
      <c r="L576" s="9">
        <f>VLOOKUP($O576,매칭테이블!$G:$J,2,0)*H576</f>
        <v/>
      </c>
      <c r="M576" s="9">
        <f>L576-L576*VLOOKUP($O576,매칭테이블!$G:$J,3,0)</f>
        <v/>
      </c>
      <c r="N576" s="9">
        <f>VLOOKUP($O576,매칭테이블!$G:$J,4,0)*H576</f>
        <v/>
      </c>
      <c r="O576" s="9">
        <f>F576&amp;E576&amp;G576&amp;J576</f>
        <v/>
      </c>
    </row>
    <row r="577">
      <c r="B577" s="10" t="n">
        <v>44198</v>
      </c>
      <c r="C577" s="9">
        <f>TEXT(B577,"aaa")</f>
        <v/>
      </c>
      <c r="E577" s="9">
        <f>INDEX(매칭테이블!C:C,MATCH(RD!G577,매칭테이블!D:D,0))</f>
        <v/>
      </c>
      <c r="F577" s="9" t="inlineStr">
        <is>
          <t>카페24</t>
        </is>
      </c>
      <c r="G577" s="9" t="inlineStr">
        <is>
          <t>HAIR RÉ:COVERY 15 Nutritious Balm [라베나 리커버리 15 뉴트리셔스 밤]제품선택=뉴트리셔스밤 1개 + 헤어팩 트리트먼트 1개 세트 5%추가할인</t>
        </is>
      </c>
      <c r="H577" s="9" t="n">
        <v>1</v>
      </c>
      <c r="I577" s="9">
        <f>VLOOKUP(G577,매칭테이블!D:E,2,0)</f>
        <v/>
      </c>
      <c r="J577" s="9" t="n">
        <v>201210</v>
      </c>
      <c r="L577" s="9">
        <f>VLOOKUP($O577,매칭테이블!$G:$J,2,0)*H577</f>
        <v/>
      </c>
      <c r="M577" s="9">
        <f>L577-L577*VLOOKUP($O577,매칭테이블!$G:$J,3,0)</f>
        <v/>
      </c>
      <c r="N577" s="9">
        <f>VLOOKUP($O577,매칭테이블!$G:$J,4,0)*H577</f>
        <v/>
      </c>
      <c r="O577" s="9">
        <f>F577&amp;E577&amp;G577&amp;J577</f>
        <v/>
      </c>
    </row>
    <row r="578">
      <c r="B578" s="10" t="n">
        <v>44198</v>
      </c>
      <c r="C578" s="9">
        <f>TEXT(B578,"aaa")</f>
        <v/>
      </c>
      <c r="E578" s="9">
        <f>INDEX(매칭테이블!C:C,MATCH(RD!G578,매칭테이블!D:D,0))</f>
        <v/>
      </c>
      <c r="F578" s="9" t="inlineStr">
        <is>
          <t>카페24</t>
        </is>
      </c>
      <c r="G578" s="9" t="inlineStr">
        <is>
          <t>HAIR RÉ:COVERY 15 Revital Shampoo [라베나 리커버리 15 리바이탈 샴푸]제품선택=헤어 리커버리 15 리바이탈 샴푸 - 500ml</t>
        </is>
      </c>
      <c r="H578" s="9" t="n">
        <v>15</v>
      </c>
      <c r="I578" s="9">
        <f>VLOOKUP(G578,매칭테이블!D:E,2,0)</f>
        <v/>
      </c>
      <c r="J578" s="9" t="n">
        <v>201210</v>
      </c>
      <c r="L578" s="9">
        <f>VLOOKUP($O578,매칭테이블!$G:$J,2,0)*H578</f>
        <v/>
      </c>
      <c r="M578" s="9">
        <f>L578-L578*VLOOKUP($O578,매칭테이블!$G:$J,3,0)</f>
        <v/>
      </c>
      <c r="N578" s="9">
        <f>VLOOKUP($O578,매칭테이블!$G:$J,4,0)*H578</f>
        <v/>
      </c>
      <c r="O578" s="9">
        <f>F578&amp;E578&amp;G578&amp;J578</f>
        <v/>
      </c>
    </row>
    <row r="579">
      <c r="B579" s="10" t="n">
        <v>44198</v>
      </c>
      <c r="C579" s="9">
        <f>TEXT(B579,"aaa")</f>
        <v/>
      </c>
      <c r="E579" s="9">
        <f>INDEX(매칭테이블!C:C,MATCH(RD!G579,매칭테이블!D:D,0))</f>
        <v/>
      </c>
      <c r="F579" s="9" t="inlineStr">
        <is>
          <t>카페24</t>
        </is>
      </c>
      <c r="G579" s="9" t="inlineStr">
        <is>
          <t>HAIR RÉ:COVERY 15 Revital Shampoo [라베나 리커버리 15 리바이탈 샴푸]제품선택=리바이탈 샴푸 2개 세트 5%추가할인</t>
        </is>
      </c>
      <c r="H579" s="9" t="n">
        <v>6</v>
      </c>
      <c r="I579" s="9">
        <f>VLOOKUP(G579,매칭테이블!D:E,2,0)</f>
        <v/>
      </c>
      <c r="J579" s="9" t="n">
        <v>201210</v>
      </c>
      <c r="L579" s="9">
        <f>VLOOKUP($O579,매칭테이블!$G:$J,2,0)*H579</f>
        <v/>
      </c>
      <c r="M579" s="9">
        <f>L579-L579*VLOOKUP($O579,매칭테이블!$G:$J,3,0)</f>
        <v/>
      </c>
      <c r="N579" s="9">
        <f>VLOOKUP($O579,매칭테이블!$G:$J,4,0)*H579</f>
        <v/>
      </c>
      <c r="O579" s="9">
        <f>F579&amp;E579&amp;G579&amp;J579</f>
        <v/>
      </c>
    </row>
    <row r="580">
      <c r="B580" s="10" t="n">
        <v>44198</v>
      </c>
      <c r="C580" s="9">
        <f>TEXT(B580,"aaa")</f>
        <v/>
      </c>
      <c r="E580" s="9">
        <f>INDEX(매칭테이블!C:C,MATCH(RD!G580,매칭테이블!D:D,0))</f>
        <v/>
      </c>
      <c r="F580" s="9" t="inlineStr">
        <is>
          <t>카페24</t>
        </is>
      </c>
      <c r="G580" s="9" t="inlineStr">
        <is>
          <t>HAIR RÉ:COVERY 15 Revital Shampoo [라베나 리커버리 15 리바이탈 샴푸]제품선택=리바이탈 샴푸 3개 세트 10% 추가할인</t>
        </is>
      </c>
      <c r="H580" s="9" t="n">
        <v>4</v>
      </c>
      <c r="I580" s="9">
        <f>VLOOKUP(G580,매칭테이블!D:E,2,0)</f>
        <v/>
      </c>
      <c r="J580" s="9" t="n">
        <v>201210</v>
      </c>
      <c r="L580" s="9">
        <f>VLOOKUP($O580,매칭테이블!$G:$J,2,0)*H580</f>
        <v/>
      </c>
      <c r="M580" s="9">
        <f>L580-L580*VLOOKUP($O580,매칭테이블!$G:$J,3,0)</f>
        <v/>
      </c>
      <c r="N580" s="9">
        <f>VLOOKUP($O580,매칭테이블!$G:$J,4,0)*H580</f>
        <v/>
      </c>
      <c r="O580" s="9">
        <f>F580&amp;E580&amp;G580&amp;J580</f>
        <v/>
      </c>
    </row>
    <row r="581">
      <c r="B581" s="10" t="n">
        <v>44199</v>
      </c>
      <c r="C581" s="9">
        <f>TEXT(B581,"aaa")</f>
        <v/>
      </c>
      <c r="E581" s="9">
        <f>INDEX(매칭테이블!C:C,MATCH(RD!G581,매칭테이블!D:D,0))</f>
        <v/>
      </c>
      <c r="F581" s="9" t="inlineStr">
        <is>
          <t>카페24</t>
        </is>
      </c>
      <c r="G581" s="9" t="inlineStr">
        <is>
          <t>HAIR RÉ:COVERY 15 Hairpack Treatment [라베나 리커버리 15 헤어팩 트리트먼트]제품선택=헤어 리커버리 15 헤어팩 트리트먼트</t>
        </is>
      </c>
      <c r="H581" s="9" t="n">
        <v>17</v>
      </c>
      <c r="I581" s="9">
        <f>VLOOKUP(G581,매칭테이블!D:E,2,0)</f>
        <v/>
      </c>
      <c r="J581" s="9" t="n">
        <v>201210</v>
      </c>
      <c r="L581" s="9">
        <f>VLOOKUP($O581,매칭테이블!$G:$J,2,0)*H581</f>
        <v/>
      </c>
      <c r="M581" s="9">
        <f>L581-L581*VLOOKUP($O581,매칭테이블!$G:$J,3,0)</f>
        <v/>
      </c>
      <c r="N581" s="9">
        <f>VLOOKUP($O581,매칭테이블!$G:$J,4,0)*H581</f>
        <v/>
      </c>
      <c r="O581" s="9">
        <f>F581&amp;E581&amp;G581&amp;J581</f>
        <v/>
      </c>
    </row>
    <row r="582">
      <c r="B582" s="10" t="n">
        <v>44199</v>
      </c>
      <c r="C582" s="9">
        <f>TEXT(B582,"aaa")</f>
        <v/>
      </c>
      <c r="E582" s="9">
        <f>INDEX(매칭테이블!C:C,MATCH(RD!G582,매칭테이블!D:D,0))</f>
        <v/>
      </c>
      <c r="F582" s="9" t="inlineStr">
        <is>
          <t>카페24</t>
        </is>
      </c>
      <c r="G582" s="9" t="inlineStr">
        <is>
          <t>HAIR RÉ:COVERY 15 Hairpack Treatment [라베나 리커버리 15 헤어팩 트리트먼트]제품선택=헤어팩 트리트먼트 2개 세트 5% 추가할인</t>
        </is>
      </c>
      <c r="H582" s="9" t="n">
        <v>3</v>
      </c>
      <c r="I582" s="9">
        <f>VLOOKUP(G582,매칭테이블!D:E,2,0)</f>
        <v/>
      </c>
      <c r="J582" s="9" t="n">
        <v>201210</v>
      </c>
      <c r="L582" s="9">
        <f>VLOOKUP($O582,매칭테이블!$G:$J,2,0)*H582</f>
        <v/>
      </c>
      <c r="M582" s="9">
        <f>L582-L582*VLOOKUP($O582,매칭테이블!$G:$J,3,0)</f>
        <v/>
      </c>
      <c r="N582" s="9">
        <f>VLOOKUP($O582,매칭테이블!$G:$J,4,0)*H582</f>
        <v/>
      </c>
      <c r="O582" s="9">
        <f>F582&amp;E582&amp;G582&amp;J582</f>
        <v/>
      </c>
    </row>
    <row r="583">
      <c r="B583" s="10" t="n">
        <v>44199</v>
      </c>
      <c r="C583" s="9">
        <f>TEXT(B583,"aaa")</f>
        <v/>
      </c>
      <c r="E583" s="9">
        <f>INDEX(매칭테이블!C:C,MATCH(RD!G583,매칭테이블!D:D,0))</f>
        <v/>
      </c>
      <c r="F583" s="9" t="inlineStr">
        <is>
          <t>카페24</t>
        </is>
      </c>
      <c r="G583" s="9" t="inlineStr">
        <is>
          <t>HAIR RÉ:COVERY 15 Hairpack Treatment [라베나 리커버리 15 헤어팩 트리트먼트]제품선택=헤어팩 트리트먼트 3개 세트 10% 추가할인</t>
        </is>
      </c>
      <c r="H583" s="9" t="n">
        <v>4</v>
      </c>
      <c r="I583" s="9">
        <f>VLOOKUP(G583,매칭테이블!D:E,2,0)</f>
        <v/>
      </c>
      <c r="J583" s="9" t="n">
        <v>201210</v>
      </c>
      <c r="L583" s="9">
        <f>VLOOKUP($O583,매칭테이블!$G:$J,2,0)*H583</f>
        <v/>
      </c>
      <c r="M583" s="9">
        <f>L583-L583*VLOOKUP($O583,매칭테이블!$G:$J,3,0)</f>
        <v/>
      </c>
      <c r="N583" s="9">
        <f>VLOOKUP($O583,매칭테이블!$G:$J,4,0)*H583</f>
        <v/>
      </c>
      <c r="O583" s="9">
        <f>F583&amp;E583&amp;G583&amp;J583</f>
        <v/>
      </c>
    </row>
    <row r="584">
      <c r="B584" s="10" t="n">
        <v>44199</v>
      </c>
      <c r="C584" s="9">
        <f>TEXT(B584,"aaa")</f>
        <v/>
      </c>
      <c r="E584" s="9">
        <f>INDEX(매칭테이블!C:C,MATCH(RD!G584,매칭테이블!D:D,0))</f>
        <v/>
      </c>
      <c r="F584" s="9" t="inlineStr">
        <is>
          <t>카페24</t>
        </is>
      </c>
      <c r="G584" s="9" t="inlineStr">
        <is>
          <t>HAIR RÉ:COVERY 15 Hairpack Treatment [라베나 리커버리 15 헤어팩 트리트먼트]제품선택=헤어팩 트리트먼트 1개 + 뉴트리셔스밤 1개 세트 5% 추가할인</t>
        </is>
      </c>
      <c r="H584" s="9" t="n">
        <v>5</v>
      </c>
      <c r="I584" s="9">
        <f>VLOOKUP(G584,매칭테이블!D:E,2,0)</f>
        <v/>
      </c>
      <c r="J584" s="9" t="n">
        <v>201210</v>
      </c>
      <c r="L584" s="9">
        <f>VLOOKUP($O584,매칭테이블!$G:$J,2,0)*H584</f>
        <v/>
      </c>
      <c r="M584" s="9">
        <f>L584-L584*VLOOKUP($O584,매칭테이블!$G:$J,3,0)</f>
        <v/>
      </c>
      <c r="N584" s="9">
        <f>VLOOKUP($O584,매칭테이블!$G:$J,4,0)*H584</f>
        <v/>
      </c>
      <c r="O584" s="9">
        <f>F584&amp;E584&amp;G584&amp;J584</f>
        <v/>
      </c>
    </row>
    <row r="585">
      <c r="B585" s="10" t="n">
        <v>44199</v>
      </c>
      <c r="C585" s="9">
        <f>TEXT(B585,"aaa")</f>
        <v/>
      </c>
      <c r="E585" s="9">
        <f>INDEX(매칭테이블!C:C,MATCH(RD!G585,매칭테이블!D:D,0))</f>
        <v/>
      </c>
      <c r="F585" s="9" t="inlineStr">
        <is>
          <t>카페24</t>
        </is>
      </c>
      <c r="G585" s="9" t="inlineStr">
        <is>
          <t>HAIR RÉ:COVERY 15 Nutritious Balm [라베나 리커버리 15 뉴트리셔스 밤]제품선택=헤어 리커버리 15 뉴트리셔스 밤</t>
        </is>
      </c>
      <c r="H585" s="9" t="n">
        <v>9</v>
      </c>
      <c r="I585" s="9">
        <f>VLOOKUP(G585,매칭테이블!D:E,2,0)</f>
        <v/>
      </c>
      <c r="J585" s="9" t="n">
        <v>201210</v>
      </c>
      <c r="L585" s="9">
        <f>VLOOKUP($O585,매칭테이블!$G:$J,2,0)*H585</f>
        <v/>
      </c>
      <c r="M585" s="9">
        <f>L585-L585*VLOOKUP($O585,매칭테이블!$G:$J,3,0)</f>
        <v/>
      </c>
      <c r="N585" s="9">
        <f>VLOOKUP($O585,매칭테이블!$G:$J,4,0)*H585</f>
        <v/>
      </c>
      <c r="O585" s="9">
        <f>F585&amp;E585&amp;G585&amp;J585</f>
        <v/>
      </c>
    </row>
    <row r="586">
      <c r="B586" s="10" t="n">
        <v>44199</v>
      </c>
      <c r="C586" s="9">
        <f>TEXT(B586,"aaa")</f>
        <v/>
      </c>
      <c r="E586" s="9">
        <f>INDEX(매칭테이블!C:C,MATCH(RD!G586,매칭테이블!D:D,0))</f>
        <v/>
      </c>
      <c r="F586" s="9" t="inlineStr">
        <is>
          <t>카페24</t>
        </is>
      </c>
      <c r="G586" s="9" t="inlineStr">
        <is>
          <t>HAIR RÉ:COVERY 15 Nutritious Balm [라베나 리커버리 15 뉴트리셔스 밤]제품선택=뉴트리셔스 밤 2개 세트 5% 추가할인</t>
        </is>
      </c>
      <c r="H586" s="9" t="n">
        <v>2</v>
      </c>
      <c r="I586" s="9">
        <f>VLOOKUP(G586,매칭테이블!D:E,2,0)</f>
        <v/>
      </c>
      <c r="J586" s="9" t="n">
        <v>201210</v>
      </c>
      <c r="L586" s="9">
        <f>VLOOKUP($O586,매칭테이블!$G:$J,2,0)*H586</f>
        <v/>
      </c>
      <c r="M586" s="9">
        <f>L586-L586*VLOOKUP($O586,매칭테이블!$G:$J,3,0)</f>
        <v/>
      </c>
      <c r="N586" s="9">
        <f>VLOOKUP($O586,매칭테이블!$G:$J,4,0)*H586</f>
        <v/>
      </c>
      <c r="O586" s="9">
        <f>F586&amp;E586&amp;G586&amp;J586</f>
        <v/>
      </c>
    </row>
    <row r="587">
      <c r="B587" s="10" t="n">
        <v>44199</v>
      </c>
      <c r="C587" s="9">
        <f>TEXT(B587,"aaa")</f>
        <v/>
      </c>
      <c r="E587" s="9">
        <f>INDEX(매칭테이블!C:C,MATCH(RD!G587,매칭테이블!D:D,0))</f>
        <v/>
      </c>
      <c r="F587" s="9" t="inlineStr">
        <is>
          <t>카페24</t>
        </is>
      </c>
      <c r="G587" s="9" t="inlineStr">
        <is>
          <t>HAIR RÉ:COVERY 15 Nutritious Balm [라베나 리커버리 15 뉴트리셔스 밤]제품선택=뉴트리셔스 밤 3개 세트 10% 추가할인</t>
        </is>
      </c>
      <c r="H587" s="9" t="n">
        <v>2</v>
      </c>
      <c r="I587" s="9">
        <f>VLOOKUP(G587,매칭테이블!D:E,2,0)</f>
        <v/>
      </c>
      <c r="J587" s="9" t="n">
        <v>201210</v>
      </c>
      <c r="L587" s="9">
        <f>VLOOKUP($O587,매칭테이블!$G:$J,2,0)*H587</f>
        <v/>
      </c>
      <c r="M587" s="9">
        <f>L587-L587*VLOOKUP($O587,매칭테이블!$G:$J,3,0)</f>
        <v/>
      </c>
      <c r="N587" s="9">
        <f>VLOOKUP($O587,매칭테이블!$G:$J,4,0)*H587</f>
        <v/>
      </c>
      <c r="O587" s="9">
        <f>F587&amp;E587&amp;G587&amp;J587</f>
        <v/>
      </c>
    </row>
    <row r="588">
      <c r="B588" s="10" t="n">
        <v>44199</v>
      </c>
      <c r="C588" s="9">
        <f>TEXT(B588,"aaa")</f>
        <v/>
      </c>
      <c r="E588" s="9">
        <f>INDEX(매칭테이블!C:C,MATCH(RD!G588,매칭테이블!D:D,0))</f>
        <v/>
      </c>
      <c r="F588" s="9" t="inlineStr">
        <is>
          <t>카페24</t>
        </is>
      </c>
      <c r="G588" s="9" t="inlineStr">
        <is>
          <t>HAIR RÉ:COVERY 15 Nutritious Balm [라베나 리커버리 15 뉴트리셔스 밤]제품선택=뉴트리셔스밤 1개 + 헤어팩 트리트먼트 1개 세트 5%추가할인</t>
        </is>
      </c>
      <c r="H588" s="9" t="n">
        <v>2</v>
      </c>
      <c r="I588" s="9">
        <f>VLOOKUP(G588,매칭테이블!D:E,2,0)</f>
        <v/>
      </c>
      <c r="J588" s="9" t="n">
        <v>201210</v>
      </c>
      <c r="L588" s="9">
        <f>VLOOKUP($O588,매칭테이블!$G:$J,2,0)*H588</f>
        <v/>
      </c>
      <c r="M588" s="9">
        <f>L588-L588*VLOOKUP($O588,매칭테이블!$G:$J,3,0)</f>
        <v/>
      </c>
      <c r="N588" s="9">
        <f>VLOOKUP($O588,매칭테이블!$G:$J,4,0)*H588</f>
        <v/>
      </c>
      <c r="O588" s="9">
        <f>F588&amp;E588&amp;G588&amp;J588</f>
        <v/>
      </c>
    </row>
    <row r="589">
      <c r="B589" s="10" t="n">
        <v>44199</v>
      </c>
      <c r="C589" s="9">
        <f>TEXT(B589,"aaa")</f>
        <v/>
      </c>
      <c r="E589" s="9">
        <f>INDEX(매칭테이블!C:C,MATCH(RD!G589,매칭테이블!D:D,0))</f>
        <v/>
      </c>
      <c r="F589" s="9" t="inlineStr">
        <is>
          <t>카페24</t>
        </is>
      </c>
      <c r="G589" s="9" t="inlineStr">
        <is>
          <t>HAIR RÉ:COVERY 15 Revital Shampoo [라베나 리커버리 15 리바이탈 샴푸]제품선택=헤어 리커버리 15 리바이탈 샴푸 - 500ml</t>
        </is>
      </c>
      <c r="H589" s="9" t="n">
        <v>15</v>
      </c>
      <c r="I589" s="9">
        <f>VLOOKUP(G589,매칭테이블!D:E,2,0)</f>
        <v/>
      </c>
      <c r="J589" s="9" t="n">
        <v>201210</v>
      </c>
      <c r="L589" s="9">
        <f>VLOOKUP($O589,매칭테이블!$G:$J,2,0)*H589</f>
        <v/>
      </c>
      <c r="M589" s="9">
        <f>L589-L589*VLOOKUP($O589,매칭테이블!$G:$J,3,0)</f>
        <v/>
      </c>
      <c r="N589" s="9">
        <f>VLOOKUP($O589,매칭테이블!$G:$J,4,0)*H589</f>
        <v/>
      </c>
      <c r="O589" s="9">
        <f>F589&amp;E589&amp;G589&amp;J589</f>
        <v/>
      </c>
    </row>
    <row r="590">
      <c r="B590" s="10" t="n">
        <v>44199</v>
      </c>
      <c r="C590" s="9">
        <f>TEXT(B590,"aaa")</f>
        <v/>
      </c>
      <c r="E590" s="9">
        <f>INDEX(매칭테이블!C:C,MATCH(RD!G590,매칭테이블!D:D,0))</f>
        <v/>
      </c>
      <c r="F590" s="9" t="inlineStr">
        <is>
          <t>카페24</t>
        </is>
      </c>
      <c r="G590" s="9" t="inlineStr">
        <is>
          <t>HAIR RÉ:COVERY 15 Revital Shampoo [라베나 리커버리 15 리바이탈 샴푸]제품선택=리바이탈 샴푸 2개 세트 5%추가할인</t>
        </is>
      </c>
      <c r="H590" s="9" t="n">
        <v>4</v>
      </c>
      <c r="I590" s="9">
        <f>VLOOKUP(G590,매칭테이블!D:E,2,0)</f>
        <v/>
      </c>
      <c r="J590" s="9" t="n">
        <v>201210</v>
      </c>
      <c r="L590" s="9">
        <f>VLOOKUP($O590,매칭테이블!$G:$J,2,0)*H590</f>
        <v/>
      </c>
      <c r="M590" s="9">
        <f>L590-L590*VLOOKUP($O590,매칭테이블!$G:$J,3,0)</f>
        <v/>
      </c>
      <c r="N590" s="9">
        <f>VLOOKUP($O590,매칭테이블!$G:$J,4,0)*H590</f>
        <v/>
      </c>
      <c r="O590" s="9">
        <f>F590&amp;E590&amp;G590&amp;J590</f>
        <v/>
      </c>
    </row>
    <row r="591">
      <c r="B591" s="10" t="n">
        <v>44199</v>
      </c>
      <c r="C591" s="9">
        <f>TEXT(B591,"aaa")</f>
        <v/>
      </c>
      <c r="E591" s="9">
        <f>INDEX(매칭테이블!C:C,MATCH(RD!G591,매칭테이블!D:D,0))</f>
        <v/>
      </c>
      <c r="F591" s="9" t="inlineStr">
        <is>
          <t>카페24</t>
        </is>
      </c>
      <c r="G591" s="9" t="inlineStr">
        <is>
          <t>HAIR RÉ:COVERY 15 Revital Shampoo [라베나 리커버리 15 리바이탈 샴푸]제품선택=리바이탈 샴푸 3개 세트 10% 추가할인</t>
        </is>
      </c>
      <c r="H591" s="9" t="n">
        <v>4</v>
      </c>
      <c r="I591" s="9">
        <f>VLOOKUP(G591,매칭테이블!D:E,2,0)</f>
        <v/>
      </c>
      <c r="J591" s="9" t="n">
        <v>201210</v>
      </c>
      <c r="L591" s="9">
        <f>VLOOKUP($O591,매칭테이블!$G:$J,2,0)*H591</f>
        <v/>
      </c>
      <c r="M591" s="9">
        <f>L591-L591*VLOOKUP($O591,매칭테이블!$G:$J,3,0)</f>
        <v/>
      </c>
      <c r="N591" s="9">
        <f>VLOOKUP($O591,매칭테이블!$G:$J,4,0)*H591</f>
        <v/>
      </c>
      <c r="O591" s="9">
        <f>F591&amp;E591&amp;G591&amp;J591</f>
        <v/>
      </c>
    </row>
    <row r="592">
      <c r="B592" s="10" t="n">
        <v>44200</v>
      </c>
      <c r="C592" s="9">
        <f>TEXT(B592,"aaa")</f>
        <v/>
      </c>
      <c r="E592" s="9">
        <f>INDEX(매칭테이블!C:C,MATCH(RD!G592,매칭테이블!D:D,0))</f>
        <v/>
      </c>
      <c r="F592" s="9" t="inlineStr">
        <is>
          <t>카페24</t>
        </is>
      </c>
      <c r="G592" s="9" t="inlineStr">
        <is>
          <t>HAIR RÉ:COVERY 15 Hairpack Treatment [라베나 리커버리 15 헤어팩 트리트먼트]제품선택=헤어 리커버리 15 헤어팩 트리트먼트</t>
        </is>
      </c>
      <c r="H592" s="9" t="n">
        <v>17</v>
      </c>
      <c r="I592" s="9">
        <f>VLOOKUP(G592,매칭테이블!D:E,2,0)</f>
        <v/>
      </c>
      <c r="J592" s="9" t="n">
        <v>201210</v>
      </c>
      <c r="L592" s="9">
        <f>VLOOKUP($O592,매칭테이블!$G:$J,2,0)*H592</f>
        <v/>
      </c>
      <c r="M592" s="9">
        <f>L592-L592*VLOOKUP($O592,매칭테이블!$G:$J,3,0)</f>
        <v/>
      </c>
      <c r="N592" s="9">
        <f>VLOOKUP($O592,매칭테이블!$G:$J,4,0)*H592</f>
        <v/>
      </c>
      <c r="O592" s="9">
        <f>F592&amp;E592&amp;G592&amp;J592</f>
        <v/>
      </c>
    </row>
    <row r="593">
      <c r="B593" s="10" t="n">
        <v>44200</v>
      </c>
      <c r="C593" s="9">
        <f>TEXT(B593,"aaa")</f>
        <v/>
      </c>
      <c r="E593" s="9">
        <f>INDEX(매칭테이블!C:C,MATCH(RD!G593,매칭테이블!D:D,0))</f>
        <v/>
      </c>
      <c r="F593" s="9" t="inlineStr">
        <is>
          <t>카페24</t>
        </is>
      </c>
      <c r="G593" s="9" t="inlineStr">
        <is>
          <t>HAIR RÉ:COVERY 15 Hairpack Treatment [라베나 리커버리 15 헤어팩 트리트먼트]제품선택=헤어팩 트리트먼트 2개 세트 5% 추가할인</t>
        </is>
      </c>
      <c r="H593" s="9" t="n">
        <v>5</v>
      </c>
      <c r="I593" s="9">
        <f>VLOOKUP(G593,매칭테이블!D:E,2,0)</f>
        <v/>
      </c>
      <c r="J593" s="9" t="n">
        <v>201210</v>
      </c>
      <c r="L593" s="9">
        <f>VLOOKUP($O593,매칭테이블!$G:$J,2,0)*H593</f>
        <v/>
      </c>
      <c r="M593" s="9">
        <f>L593-L593*VLOOKUP($O593,매칭테이블!$G:$J,3,0)</f>
        <v/>
      </c>
      <c r="N593" s="9">
        <f>VLOOKUP($O593,매칭테이블!$G:$J,4,0)*H593</f>
        <v/>
      </c>
      <c r="O593" s="9">
        <f>F593&amp;E593&amp;G593&amp;J593</f>
        <v/>
      </c>
    </row>
    <row r="594">
      <c r="B594" s="10" t="n">
        <v>44200</v>
      </c>
      <c r="C594" s="9">
        <f>TEXT(B594,"aaa")</f>
        <v/>
      </c>
      <c r="E594" s="9">
        <f>INDEX(매칭테이블!C:C,MATCH(RD!G594,매칭테이블!D:D,0))</f>
        <v/>
      </c>
      <c r="F594" s="9" t="inlineStr">
        <is>
          <t>카페24</t>
        </is>
      </c>
      <c r="G594" s="9" t="inlineStr">
        <is>
          <t>HAIR RÉ:COVERY 15 Hairpack Treatment [라베나 리커버리 15 헤어팩 트리트먼트]제품선택=헤어팩 트리트먼트 3개 세트 10% 추가할인</t>
        </is>
      </c>
      <c r="H594" s="9" t="n">
        <v>1</v>
      </c>
      <c r="I594" s="9">
        <f>VLOOKUP(G594,매칭테이블!D:E,2,0)</f>
        <v/>
      </c>
      <c r="J594" s="9" t="n">
        <v>201210</v>
      </c>
      <c r="L594" s="9">
        <f>VLOOKUP($O594,매칭테이블!$G:$J,2,0)*H594</f>
        <v/>
      </c>
      <c r="M594" s="9">
        <f>L594-L594*VLOOKUP($O594,매칭테이블!$G:$J,3,0)</f>
        <v/>
      </c>
      <c r="N594" s="9">
        <f>VLOOKUP($O594,매칭테이블!$G:$J,4,0)*H594</f>
        <v/>
      </c>
      <c r="O594" s="9">
        <f>F594&amp;E594&amp;G594&amp;J594</f>
        <v/>
      </c>
    </row>
    <row r="595">
      <c r="B595" s="10" t="n">
        <v>44200</v>
      </c>
      <c r="C595" s="9">
        <f>TEXT(B595,"aaa")</f>
        <v/>
      </c>
      <c r="E595" s="9">
        <f>INDEX(매칭테이블!C:C,MATCH(RD!G595,매칭테이블!D:D,0))</f>
        <v/>
      </c>
      <c r="F595" s="9" t="inlineStr">
        <is>
          <t>카페24</t>
        </is>
      </c>
      <c r="G595" s="9" t="inlineStr">
        <is>
          <t>HAIR RÉ:COVERY 15 Hairpack Treatment [라베나 리커버리 15 헤어팩 트리트먼트]제품선택=헤어팩 트리트먼트 1개 + 뉴트리셔스밤 1개 세트 5% 추가할인</t>
        </is>
      </c>
      <c r="H595" s="9" t="n">
        <v>2</v>
      </c>
      <c r="I595" s="9">
        <f>VLOOKUP(G595,매칭테이블!D:E,2,0)</f>
        <v/>
      </c>
      <c r="J595" s="9" t="n">
        <v>201210</v>
      </c>
      <c r="L595" s="9">
        <f>VLOOKUP($O595,매칭테이블!$G:$J,2,0)*H595</f>
        <v/>
      </c>
      <c r="M595" s="9">
        <f>L595-L595*VLOOKUP($O595,매칭테이블!$G:$J,3,0)</f>
        <v/>
      </c>
      <c r="N595" s="9">
        <f>VLOOKUP($O595,매칭테이블!$G:$J,4,0)*H595</f>
        <v/>
      </c>
      <c r="O595" s="9">
        <f>F595&amp;E595&amp;G595&amp;J595</f>
        <v/>
      </c>
    </row>
    <row r="596">
      <c r="B596" s="10" t="n">
        <v>44200</v>
      </c>
      <c r="C596" s="9">
        <f>TEXT(B596,"aaa")</f>
        <v/>
      </c>
      <c r="E596" s="9">
        <f>INDEX(매칭테이블!C:C,MATCH(RD!G596,매칭테이블!D:D,0))</f>
        <v/>
      </c>
      <c r="F596" s="9" t="inlineStr">
        <is>
          <t>카페24</t>
        </is>
      </c>
      <c r="G596" s="9" t="inlineStr">
        <is>
          <t>HAIR RÉ:COVERY 15 Nutritious Balm [라베나 리커버리 15 뉴트리셔스 밤]제품선택=헤어 리커버리 15 뉴트리셔스 밤</t>
        </is>
      </c>
      <c r="H596" s="9" t="n">
        <v>12</v>
      </c>
      <c r="I596" s="9">
        <f>VLOOKUP(G596,매칭테이블!D:E,2,0)</f>
        <v/>
      </c>
      <c r="J596" s="9" t="n">
        <v>201210</v>
      </c>
      <c r="L596" s="9">
        <f>VLOOKUP($O596,매칭테이블!$G:$J,2,0)*H596</f>
        <v/>
      </c>
      <c r="M596" s="9">
        <f>L596-L596*VLOOKUP($O596,매칭테이블!$G:$J,3,0)</f>
        <v/>
      </c>
      <c r="N596" s="9">
        <f>VLOOKUP($O596,매칭테이블!$G:$J,4,0)*H596</f>
        <v/>
      </c>
      <c r="O596" s="9">
        <f>F596&amp;E596&amp;G596&amp;J596</f>
        <v/>
      </c>
    </row>
    <row r="597">
      <c r="B597" s="10" t="n">
        <v>44200</v>
      </c>
      <c r="C597" s="9">
        <f>TEXT(B597,"aaa")</f>
        <v/>
      </c>
      <c r="E597" s="9">
        <f>INDEX(매칭테이블!C:C,MATCH(RD!G597,매칭테이블!D:D,0))</f>
        <v/>
      </c>
      <c r="F597" s="9" t="inlineStr">
        <is>
          <t>카페24</t>
        </is>
      </c>
      <c r="G597" s="9" t="inlineStr">
        <is>
          <t>HAIR RÉ:COVERY 15 Nutritious Balm [라베나 리커버리 15 뉴트리셔스 밤]제품선택=뉴트리셔스 밤 2개 세트 5% 추가할인</t>
        </is>
      </c>
      <c r="H597" s="9" t="n">
        <v>2</v>
      </c>
      <c r="I597" s="9">
        <f>VLOOKUP(G597,매칭테이블!D:E,2,0)</f>
        <v/>
      </c>
      <c r="J597" s="9" t="n">
        <v>201210</v>
      </c>
      <c r="L597" s="9">
        <f>VLOOKUP($O597,매칭테이블!$G:$J,2,0)*H597</f>
        <v/>
      </c>
      <c r="M597" s="9">
        <f>L597-L597*VLOOKUP($O597,매칭테이블!$G:$J,3,0)</f>
        <v/>
      </c>
      <c r="N597" s="9">
        <f>VLOOKUP($O597,매칭테이블!$G:$J,4,0)*H597</f>
        <v/>
      </c>
      <c r="O597" s="9">
        <f>F597&amp;E597&amp;G597&amp;J597</f>
        <v/>
      </c>
    </row>
    <row r="598">
      <c r="B598" s="10" t="n">
        <v>44200</v>
      </c>
      <c r="C598" s="9">
        <f>TEXT(B598,"aaa")</f>
        <v/>
      </c>
      <c r="E598" s="9">
        <f>INDEX(매칭테이블!C:C,MATCH(RD!G598,매칭테이블!D:D,0))</f>
        <v/>
      </c>
      <c r="F598" s="9" t="inlineStr">
        <is>
          <t>카페24</t>
        </is>
      </c>
      <c r="G598" s="9" t="inlineStr">
        <is>
          <t>HAIR RÉ:COVERY 15 Nutritious Balm [라베나 리커버리 15 뉴트리셔스 밤]제품선택=뉴트리셔스 밤 3개 세트 10% 추가할인</t>
        </is>
      </c>
      <c r="H598" s="9" t="n">
        <v>1</v>
      </c>
      <c r="I598" s="9">
        <f>VLOOKUP(G598,매칭테이블!D:E,2,0)</f>
        <v/>
      </c>
      <c r="J598" s="9" t="n">
        <v>201210</v>
      </c>
      <c r="L598" s="9">
        <f>VLOOKUP($O598,매칭테이블!$G:$J,2,0)*H598</f>
        <v/>
      </c>
      <c r="M598" s="9">
        <f>L598-L598*VLOOKUP($O598,매칭테이블!$G:$J,3,0)</f>
        <v/>
      </c>
      <c r="N598" s="9">
        <f>VLOOKUP($O598,매칭테이블!$G:$J,4,0)*H598</f>
        <v/>
      </c>
      <c r="O598" s="9">
        <f>F598&amp;E598&amp;G598&amp;J598</f>
        <v/>
      </c>
    </row>
    <row r="599">
      <c r="B599" s="10" t="n">
        <v>44200</v>
      </c>
      <c r="C599" s="9">
        <f>TEXT(B599,"aaa")</f>
        <v/>
      </c>
      <c r="E599" s="9">
        <f>INDEX(매칭테이블!C:C,MATCH(RD!G599,매칭테이블!D:D,0))</f>
        <v/>
      </c>
      <c r="F599" s="9" t="inlineStr">
        <is>
          <t>카페24</t>
        </is>
      </c>
      <c r="G599" s="9" t="inlineStr">
        <is>
          <t>HAIR RÉ:COVERY 15 Nutritious Balm [라베나 리커버리 15 뉴트리셔스 밤]제품선택=뉴트리셔스밤 1개 + 헤어팩 트리트먼트 1개 세트 5%추가할인</t>
        </is>
      </c>
      <c r="H599" s="9" t="n">
        <v>2</v>
      </c>
      <c r="I599" s="9">
        <f>VLOOKUP(G599,매칭테이블!D:E,2,0)</f>
        <v/>
      </c>
      <c r="J599" s="9" t="n">
        <v>201210</v>
      </c>
      <c r="L599" s="9">
        <f>VLOOKUP($O599,매칭테이블!$G:$J,2,0)*H599</f>
        <v/>
      </c>
      <c r="M599" s="9">
        <f>L599-L599*VLOOKUP($O599,매칭테이블!$G:$J,3,0)</f>
        <v/>
      </c>
      <c r="N599" s="9">
        <f>VLOOKUP($O599,매칭테이블!$G:$J,4,0)*H599</f>
        <v/>
      </c>
      <c r="O599" s="9">
        <f>F599&amp;E599&amp;G599&amp;J599</f>
        <v/>
      </c>
    </row>
    <row r="600">
      <c r="B600" s="10" t="n">
        <v>44200</v>
      </c>
      <c r="C600" s="9">
        <f>TEXT(B600,"aaa")</f>
        <v/>
      </c>
      <c r="E600" s="9">
        <f>INDEX(매칭테이블!C:C,MATCH(RD!G600,매칭테이블!D:D,0))</f>
        <v/>
      </c>
      <c r="F600" s="9" t="inlineStr">
        <is>
          <t>카페24</t>
        </is>
      </c>
      <c r="G600" s="9" t="inlineStr">
        <is>
          <t>HAIR RÉ:COVERY 15 Revital Shampoo [라베나 리커버리 15 리바이탈 샴푸]제품선택=헤어 리커버리 15 리바이탈 샴푸 - 500ml</t>
        </is>
      </c>
      <c r="H600" s="9" t="n">
        <v>12</v>
      </c>
      <c r="I600" s="9">
        <f>VLOOKUP(G600,매칭테이블!D:E,2,0)</f>
        <v/>
      </c>
      <c r="J600" s="9" t="n">
        <v>201210</v>
      </c>
      <c r="L600" s="9">
        <f>VLOOKUP($O600,매칭테이블!$G:$J,2,0)*H600</f>
        <v/>
      </c>
      <c r="M600" s="9">
        <f>L600-L600*VLOOKUP($O600,매칭테이블!$G:$J,3,0)</f>
        <v/>
      </c>
      <c r="N600" s="9">
        <f>VLOOKUP($O600,매칭테이블!$G:$J,4,0)*H600</f>
        <v/>
      </c>
      <c r="O600" s="9">
        <f>F600&amp;E600&amp;G600&amp;J600</f>
        <v/>
      </c>
    </row>
    <row r="601">
      <c r="B601" s="10" t="n">
        <v>44200</v>
      </c>
      <c r="C601" s="9">
        <f>TEXT(B601,"aaa")</f>
        <v/>
      </c>
      <c r="E601" s="9">
        <f>INDEX(매칭테이블!C:C,MATCH(RD!G601,매칭테이블!D:D,0))</f>
        <v/>
      </c>
      <c r="F601" s="9" t="inlineStr">
        <is>
          <t>카페24</t>
        </is>
      </c>
      <c r="G601" s="9" t="inlineStr">
        <is>
          <t>HAIR RÉ:COVERY 15 Revital Shampoo [라베나 리커버리 15 리바이탈 샴푸]제품선택=리바이탈 샴푸 2개 세트 5%추가할인</t>
        </is>
      </c>
      <c r="H601" s="9" t="n">
        <v>4</v>
      </c>
      <c r="I601" s="9">
        <f>VLOOKUP(G601,매칭테이블!D:E,2,0)</f>
        <v/>
      </c>
      <c r="J601" s="9" t="n">
        <v>201210</v>
      </c>
      <c r="L601" s="9">
        <f>VLOOKUP($O601,매칭테이블!$G:$J,2,0)*H601</f>
        <v/>
      </c>
      <c r="M601" s="9">
        <f>L601-L601*VLOOKUP($O601,매칭테이블!$G:$J,3,0)</f>
        <v/>
      </c>
      <c r="N601" s="9">
        <f>VLOOKUP($O601,매칭테이블!$G:$J,4,0)*H601</f>
        <v/>
      </c>
      <c r="O601" s="9">
        <f>F601&amp;E601&amp;G601&amp;J601</f>
        <v/>
      </c>
    </row>
    <row r="602">
      <c r="B602" s="10" t="n">
        <v>44200</v>
      </c>
      <c r="C602" s="9">
        <f>TEXT(B602,"aaa")</f>
        <v/>
      </c>
      <c r="E602" s="9">
        <f>INDEX(매칭테이블!C:C,MATCH(RD!G602,매칭테이블!D:D,0))</f>
        <v/>
      </c>
      <c r="F602" s="9" t="inlineStr">
        <is>
          <t>카페24</t>
        </is>
      </c>
      <c r="G602" s="9" t="inlineStr">
        <is>
          <t>HAIR RÉ:COVERY 15 Revital Shampoo [라베나 리커버리 15 리바이탈 샴푸]제품선택=리바이탈 샴푸 3개 세트 10% 추가할인</t>
        </is>
      </c>
      <c r="H602" s="9" t="n">
        <v>1</v>
      </c>
      <c r="I602" s="9">
        <f>VLOOKUP(G602,매칭테이블!D:E,2,0)</f>
        <v/>
      </c>
      <c r="J602" s="9" t="n">
        <v>201210</v>
      </c>
      <c r="L602" s="9">
        <f>VLOOKUP($O602,매칭테이블!$G:$J,2,0)*H602</f>
        <v/>
      </c>
      <c r="M602" s="9">
        <f>L602-L602*VLOOKUP($O602,매칭테이블!$G:$J,3,0)</f>
        <v/>
      </c>
      <c r="N602" s="9">
        <f>VLOOKUP($O602,매칭테이블!$G:$J,4,0)*H602</f>
        <v/>
      </c>
      <c r="O602" s="9">
        <f>F602&amp;E602&amp;G602&amp;J602</f>
        <v/>
      </c>
    </row>
    <row r="603">
      <c r="B603" s="10" t="n">
        <v>44201</v>
      </c>
      <c r="C603" s="9">
        <f>TEXT(B603,"aaa")</f>
        <v/>
      </c>
      <c r="E603" s="9">
        <f>INDEX(매칭테이블!C:C,MATCH(RD!G603,매칭테이블!D:D,0))</f>
        <v/>
      </c>
      <c r="F603" s="9" t="inlineStr">
        <is>
          <t>카페24</t>
        </is>
      </c>
      <c r="G603" s="9" t="inlineStr">
        <is>
          <t>HAIR RÉ:COVERY 15 Hairpack Treatment [라베나 리커버리 15 헤어팩 트리트먼트]제품선택=헤어 리커버리 15 헤어팩 트리트먼트</t>
        </is>
      </c>
      <c r="H603" s="9" t="n">
        <v>13</v>
      </c>
      <c r="I603" s="9">
        <f>VLOOKUP(G603,매칭테이블!D:E,2,0)</f>
        <v/>
      </c>
      <c r="J603" s="9" t="n">
        <v>201210</v>
      </c>
      <c r="L603" s="9">
        <f>VLOOKUP($O603,매칭테이블!$G:$J,2,0)*H603</f>
        <v/>
      </c>
      <c r="M603" s="9">
        <f>L603-L603*VLOOKUP($O603,매칭테이블!$G:$J,3,0)</f>
        <v/>
      </c>
      <c r="N603" s="9">
        <f>VLOOKUP($O603,매칭테이블!$G:$J,4,0)*H603</f>
        <v/>
      </c>
      <c r="O603" s="9">
        <f>F603&amp;E603&amp;G603&amp;J603</f>
        <v/>
      </c>
    </row>
    <row r="604">
      <c r="B604" s="10" t="n">
        <v>44201</v>
      </c>
      <c r="C604" s="9">
        <f>TEXT(B604,"aaa")</f>
        <v/>
      </c>
      <c r="E604" s="9">
        <f>INDEX(매칭테이블!C:C,MATCH(RD!G604,매칭테이블!D:D,0))</f>
        <v/>
      </c>
      <c r="F604" s="9" t="inlineStr">
        <is>
          <t>카페24</t>
        </is>
      </c>
      <c r="G604" s="9" t="inlineStr">
        <is>
          <t>HAIR RÉ:COVERY 15 Hairpack Treatment [라베나 리커버리 15 헤어팩 트리트먼트]제품선택=헤어팩 트리트먼트 2개 세트 5% 추가할인</t>
        </is>
      </c>
      <c r="H604" s="9" t="n">
        <v>4</v>
      </c>
      <c r="I604" s="9">
        <f>VLOOKUP(G604,매칭테이블!D:E,2,0)</f>
        <v/>
      </c>
      <c r="J604" s="9" t="n">
        <v>201210</v>
      </c>
      <c r="L604" s="9">
        <f>VLOOKUP($O604,매칭테이블!$G:$J,2,0)*H604</f>
        <v/>
      </c>
      <c r="M604" s="9">
        <f>L604-L604*VLOOKUP($O604,매칭테이블!$G:$J,3,0)</f>
        <v/>
      </c>
      <c r="N604" s="9">
        <f>VLOOKUP($O604,매칭테이블!$G:$J,4,0)*H604</f>
        <v/>
      </c>
      <c r="O604" s="9">
        <f>F604&amp;E604&amp;G604&amp;J604</f>
        <v/>
      </c>
    </row>
    <row r="605">
      <c r="B605" s="10" t="n">
        <v>44201</v>
      </c>
      <c r="C605" s="9">
        <f>TEXT(B605,"aaa")</f>
        <v/>
      </c>
      <c r="E605" s="9">
        <f>INDEX(매칭테이블!C:C,MATCH(RD!G605,매칭테이블!D:D,0))</f>
        <v/>
      </c>
      <c r="F605" s="9" t="inlineStr">
        <is>
          <t>카페24</t>
        </is>
      </c>
      <c r="G605" s="9" t="inlineStr">
        <is>
          <t>HAIR RÉ:COVERY 15 Hairpack Treatment [라베나 리커버리 15 헤어팩 트리트먼트]제품선택=헤어팩 트리트먼트 3개 세트 10% 추가할인</t>
        </is>
      </c>
      <c r="H605" s="9" t="n">
        <v>4</v>
      </c>
      <c r="I605" s="9">
        <f>VLOOKUP(G605,매칭테이블!D:E,2,0)</f>
        <v/>
      </c>
      <c r="J605" s="9" t="n">
        <v>201210</v>
      </c>
      <c r="L605" s="9">
        <f>VLOOKUP($O605,매칭테이블!$G:$J,2,0)*H605</f>
        <v/>
      </c>
      <c r="M605" s="9">
        <f>L605-L605*VLOOKUP($O605,매칭테이블!$G:$J,3,0)</f>
        <v/>
      </c>
      <c r="N605" s="9">
        <f>VLOOKUP($O605,매칭테이블!$G:$J,4,0)*H605</f>
        <v/>
      </c>
      <c r="O605" s="9">
        <f>F605&amp;E605&amp;G605&amp;J605</f>
        <v/>
      </c>
    </row>
    <row r="606">
      <c r="B606" s="10" t="n">
        <v>44201</v>
      </c>
      <c r="C606" s="9">
        <f>TEXT(B606,"aaa")</f>
        <v/>
      </c>
      <c r="E606" s="9">
        <f>INDEX(매칭테이블!C:C,MATCH(RD!G606,매칭테이블!D:D,0))</f>
        <v/>
      </c>
      <c r="F606" s="9" t="inlineStr">
        <is>
          <t>카페24</t>
        </is>
      </c>
      <c r="G606" s="9" t="inlineStr">
        <is>
          <t>HAIR RÉ:COVERY 15 Hairpack Treatment [라베나 리커버리 15 헤어팩 트리트먼트]제품선택=헤어팩 트리트먼트 1개 + 뉴트리셔스밤 1개 세트 5% 추가할인</t>
        </is>
      </c>
      <c r="H606" s="9" t="n">
        <v>4</v>
      </c>
      <c r="I606" s="9">
        <f>VLOOKUP(G606,매칭테이블!D:E,2,0)</f>
        <v/>
      </c>
      <c r="J606" s="9" t="n">
        <v>201210</v>
      </c>
      <c r="L606" s="9">
        <f>VLOOKUP($O606,매칭테이블!$G:$J,2,0)*H606</f>
        <v/>
      </c>
      <c r="M606" s="9">
        <f>L606-L606*VLOOKUP($O606,매칭테이블!$G:$J,3,0)</f>
        <v/>
      </c>
      <c r="N606" s="9">
        <f>VLOOKUP($O606,매칭테이블!$G:$J,4,0)*H606</f>
        <v/>
      </c>
      <c r="O606" s="9">
        <f>F606&amp;E606&amp;G606&amp;J606</f>
        <v/>
      </c>
    </row>
    <row r="607">
      <c r="B607" s="10" t="n">
        <v>44201</v>
      </c>
      <c r="C607" s="9">
        <f>TEXT(B607,"aaa")</f>
        <v/>
      </c>
      <c r="E607" s="9">
        <f>INDEX(매칭테이블!C:C,MATCH(RD!G607,매칭테이블!D:D,0))</f>
        <v/>
      </c>
      <c r="F607" s="9" t="inlineStr">
        <is>
          <t>카페24</t>
        </is>
      </c>
      <c r="G607" s="9" t="inlineStr">
        <is>
          <t>HAIR RÉ:COVERY 15 Nutritious Balm [라베나 리커버리 15 뉴트리셔스 밤]제품선택=헤어 리커버리 15 뉴트리셔스 밤</t>
        </is>
      </c>
      <c r="H607" s="9" t="n">
        <v>9</v>
      </c>
      <c r="I607" s="9">
        <f>VLOOKUP(G607,매칭테이블!D:E,2,0)</f>
        <v/>
      </c>
      <c r="J607" s="9" t="n">
        <v>201210</v>
      </c>
      <c r="L607" s="9">
        <f>VLOOKUP($O607,매칭테이블!$G:$J,2,0)*H607</f>
        <v/>
      </c>
      <c r="M607" s="9">
        <f>L607-L607*VLOOKUP($O607,매칭테이블!$G:$J,3,0)</f>
        <v/>
      </c>
      <c r="N607" s="9">
        <f>VLOOKUP($O607,매칭테이블!$G:$J,4,0)*H607</f>
        <v/>
      </c>
      <c r="O607" s="9">
        <f>F607&amp;E607&amp;G607&amp;J607</f>
        <v/>
      </c>
    </row>
    <row r="608">
      <c r="B608" s="10" t="n">
        <v>44201</v>
      </c>
      <c r="C608" s="9">
        <f>TEXT(B608,"aaa")</f>
        <v/>
      </c>
      <c r="E608" s="9">
        <f>INDEX(매칭테이블!C:C,MATCH(RD!G608,매칭테이블!D:D,0))</f>
        <v/>
      </c>
      <c r="F608" s="9" t="inlineStr">
        <is>
          <t>카페24</t>
        </is>
      </c>
      <c r="G608" s="9" t="inlineStr">
        <is>
          <t>HAIR RÉ:COVERY 15 Nutritious Balm [라베나 리커버리 15 뉴트리셔스 밤]제품선택=뉴트리셔스 밤 2개 세트 5% 추가할인</t>
        </is>
      </c>
      <c r="H608" s="9" t="n">
        <v>2</v>
      </c>
      <c r="I608" s="9">
        <f>VLOOKUP(G608,매칭테이블!D:E,2,0)</f>
        <v/>
      </c>
      <c r="J608" s="9" t="n">
        <v>201210</v>
      </c>
      <c r="L608" s="9">
        <f>VLOOKUP($O608,매칭테이블!$G:$J,2,0)*H608</f>
        <v/>
      </c>
      <c r="M608" s="9">
        <f>L608-L608*VLOOKUP($O608,매칭테이블!$G:$J,3,0)</f>
        <v/>
      </c>
      <c r="N608" s="9">
        <f>VLOOKUP($O608,매칭테이블!$G:$J,4,0)*H608</f>
        <v/>
      </c>
      <c r="O608" s="9">
        <f>F608&amp;E608&amp;G608&amp;J608</f>
        <v/>
      </c>
    </row>
    <row r="609">
      <c r="B609" s="10" t="n">
        <v>44201</v>
      </c>
      <c r="C609" s="9">
        <f>TEXT(B609,"aaa")</f>
        <v/>
      </c>
      <c r="E609" s="9">
        <f>INDEX(매칭테이블!C:C,MATCH(RD!G609,매칭테이블!D:D,0))</f>
        <v/>
      </c>
      <c r="F609" s="9" t="inlineStr">
        <is>
          <t>카페24</t>
        </is>
      </c>
      <c r="G609" s="9" t="inlineStr">
        <is>
          <t>HAIR RÉ:COVERY 15 Nutritious Balm [라베나 리커버리 15 뉴트리셔스 밤]제품선택=뉴트리셔스 밤 3개 세트 10% 추가할인</t>
        </is>
      </c>
      <c r="H609" s="9" t="n">
        <v>1</v>
      </c>
      <c r="I609" s="9">
        <f>VLOOKUP(G609,매칭테이블!D:E,2,0)</f>
        <v/>
      </c>
      <c r="J609" s="9" t="n">
        <v>201210</v>
      </c>
      <c r="L609" s="9">
        <f>VLOOKUP($O609,매칭테이블!$G:$J,2,0)*H609</f>
        <v/>
      </c>
      <c r="M609" s="9">
        <f>L609-L609*VLOOKUP($O609,매칭테이블!$G:$J,3,0)</f>
        <v/>
      </c>
      <c r="N609" s="9">
        <f>VLOOKUP($O609,매칭테이블!$G:$J,4,0)*H609</f>
        <v/>
      </c>
      <c r="O609" s="9">
        <f>F609&amp;E609&amp;G609&amp;J609</f>
        <v/>
      </c>
    </row>
    <row r="610">
      <c r="B610" s="10" t="n">
        <v>44201</v>
      </c>
      <c r="C610" s="9">
        <f>TEXT(B610,"aaa")</f>
        <v/>
      </c>
      <c r="E610" s="9">
        <f>INDEX(매칭테이블!C:C,MATCH(RD!G610,매칭테이블!D:D,0))</f>
        <v/>
      </c>
      <c r="F610" s="9" t="inlineStr">
        <is>
          <t>카페24</t>
        </is>
      </c>
      <c r="G610" s="9" t="inlineStr">
        <is>
          <t>HAIR RÉ:COVERY 15 Revital Shampoo [라베나 리커버리 15 리바이탈 샴푸]제품선택=헤어 리커버리 15 리바이탈 샴푸 - 500ml</t>
        </is>
      </c>
      <c r="H610" s="9" t="n">
        <v>9</v>
      </c>
      <c r="I610" s="9">
        <f>VLOOKUP(G610,매칭테이블!D:E,2,0)</f>
        <v/>
      </c>
      <c r="J610" s="9" t="n">
        <v>201210</v>
      </c>
      <c r="L610" s="9">
        <f>VLOOKUP($O610,매칭테이블!$G:$J,2,0)*H610</f>
        <v/>
      </c>
      <c r="M610" s="9">
        <f>L610-L610*VLOOKUP($O610,매칭테이블!$G:$J,3,0)</f>
        <v/>
      </c>
      <c r="N610" s="9">
        <f>VLOOKUP($O610,매칭테이블!$G:$J,4,0)*H610</f>
        <v/>
      </c>
      <c r="O610" s="9">
        <f>F610&amp;E610&amp;G610&amp;J610</f>
        <v/>
      </c>
    </row>
    <row r="611">
      <c r="B611" s="10" t="n">
        <v>44201</v>
      </c>
      <c r="C611" s="9">
        <f>TEXT(B611,"aaa")</f>
        <v/>
      </c>
      <c r="E611" s="9">
        <f>INDEX(매칭테이블!C:C,MATCH(RD!G611,매칭테이블!D:D,0))</f>
        <v/>
      </c>
      <c r="F611" s="9" t="inlineStr">
        <is>
          <t>카페24</t>
        </is>
      </c>
      <c r="G611" s="9" t="inlineStr">
        <is>
          <t>HAIR RÉ:COVERY 15 Revital Shampoo [라베나 리커버리 15 리바이탈 샴푸]제품선택=리바이탈 샴푸 3개 세트 10% 추가할인</t>
        </is>
      </c>
      <c r="H611" s="9" t="n">
        <v>1</v>
      </c>
      <c r="I611" s="9">
        <f>VLOOKUP(G611,매칭테이블!D:E,2,0)</f>
        <v/>
      </c>
      <c r="J611" s="9" t="n">
        <v>201210</v>
      </c>
      <c r="L611" s="9">
        <f>VLOOKUP($O611,매칭테이블!$G:$J,2,0)*H611</f>
        <v/>
      </c>
      <c r="M611" s="9">
        <f>L611-L611*VLOOKUP($O611,매칭테이블!$G:$J,3,0)</f>
        <v/>
      </c>
      <c r="N611" s="9">
        <f>VLOOKUP($O611,매칭테이블!$G:$J,4,0)*H611</f>
        <v/>
      </c>
      <c r="O611" s="9">
        <f>F611&amp;E611&amp;G611&amp;J611</f>
        <v/>
      </c>
    </row>
    <row r="612">
      <c r="B612" s="10" t="n">
        <v>44202</v>
      </c>
      <c r="C612" s="9">
        <f>TEXT(B612,"aaa")</f>
        <v/>
      </c>
      <c r="E612" s="9">
        <f>INDEX(매칭테이블!C:C,MATCH(RD!G612,매칭테이블!D:D,0))</f>
        <v/>
      </c>
      <c r="F612" s="9" t="inlineStr">
        <is>
          <t>카페24</t>
        </is>
      </c>
      <c r="G612" s="9" t="inlineStr">
        <is>
          <t>HAIR RÉ:COVERY 15 Hairpack Treatment [라베나 리커버리 15 헤어팩 트리트먼트]제품선택=헤어 리커버리 15 헤어팩 트리트먼트</t>
        </is>
      </c>
      <c r="H612" s="9" t="n">
        <v>12</v>
      </c>
      <c r="I612" s="9">
        <f>VLOOKUP(G612,매칭테이블!D:E,2,0)</f>
        <v/>
      </c>
      <c r="J612" s="9" t="n">
        <v>201210</v>
      </c>
      <c r="L612" s="9">
        <f>VLOOKUP($O612,매칭테이블!$G:$J,2,0)*H612</f>
        <v/>
      </c>
      <c r="M612" s="9">
        <f>L612-L612*VLOOKUP($O612,매칭테이블!$G:$J,3,0)</f>
        <v/>
      </c>
      <c r="N612" s="9">
        <f>VLOOKUP($O612,매칭테이블!$G:$J,4,0)*H612</f>
        <v/>
      </c>
      <c r="O612" s="9">
        <f>F612&amp;E612&amp;G612&amp;J612</f>
        <v/>
      </c>
    </row>
    <row r="613">
      <c r="B613" s="10" t="n">
        <v>44202</v>
      </c>
      <c r="C613" s="9">
        <f>TEXT(B613,"aaa")</f>
        <v/>
      </c>
      <c r="E613" s="9">
        <f>INDEX(매칭테이블!C:C,MATCH(RD!G613,매칭테이블!D:D,0))</f>
        <v/>
      </c>
      <c r="F613" s="9" t="inlineStr">
        <is>
          <t>카페24</t>
        </is>
      </c>
      <c r="G613" s="9" t="inlineStr">
        <is>
          <t>HAIR RÉ:COVERY 15 Hairpack Treatment [라베나 리커버리 15 헤어팩 트리트먼트]제품선택=헤어팩 트리트먼트 2개 세트 5% 추가할인</t>
        </is>
      </c>
      <c r="H613" s="9" t="n">
        <v>4</v>
      </c>
      <c r="I613" s="9">
        <f>VLOOKUP(G613,매칭테이블!D:E,2,0)</f>
        <v/>
      </c>
      <c r="J613" s="9" t="n">
        <v>201210</v>
      </c>
      <c r="L613" s="9">
        <f>VLOOKUP($O613,매칭테이블!$G:$J,2,0)*H613</f>
        <v/>
      </c>
      <c r="M613" s="9">
        <f>L613-L613*VLOOKUP($O613,매칭테이블!$G:$J,3,0)</f>
        <v/>
      </c>
      <c r="N613" s="9">
        <f>VLOOKUP($O613,매칭테이블!$G:$J,4,0)*H613</f>
        <v/>
      </c>
      <c r="O613" s="9">
        <f>F613&amp;E613&amp;G613&amp;J613</f>
        <v/>
      </c>
    </row>
    <row r="614">
      <c r="B614" s="10" t="n">
        <v>44202</v>
      </c>
      <c r="C614" s="9">
        <f>TEXT(B614,"aaa")</f>
        <v/>
      </c>
      <c r="E614" s="9">
        <f>INDEX(매칭테이블!C:C,MATCH(RD!G614,매칭테이블!D:D,0))</f>
        <v/>
      </c>
      <c r="F614" s="9" t="inlineStr">
        <is>
          <t>카페24</t>
        </is>
      </c>
      <c r="G614" s="9" t="inlineStr">
        <is>
          <t>HAIR RÉ:COVERY 15 Nutritious Balm [라베나 리커버리 15 뉴트리셔스 밤]제품선택=헤어 리커버리 15 뉴트리셔스 밤</t>
        </is>
      </c>
      <c r="H614" s="9" t="n">
        <v>15</v>
      </c>
      <c r="I614" s="9">
        <f>VLOOKUP(G614,매칭테이블!D:E,2,0)</f>
        <v/>
      </c>
      <c r="J614" s="9" t="n">
        <v>201210</v>
      </c>
      <c r="L614" s="9">
        <f>VLOOKUP($O614,매칭테이블!$G:$J,2,0)*H614</f>
        <v/>
      </c>
      <c r="M614" s="9">
        <f>L614-L614*VLOOKUP($O614,매칭테이블!$G:$J,3,0)</f>
        <v/>
      </c>
      <c r="N614" s="9">
        <f>VLOOKUP($O614,매칭테이블!$G:$J,4,0)*H614</f>
        <v/>
      </c>
      <c r="O614" s="9">
        <f>F614&amp;E614&amp;G614&amp;J614</f>
        <v/>
      </c>
    </row>
    <row r="615">
      <c r="B615" s="10" t="n">
        <v>44202</v>
      </c>
      <c r="C615" s="9">
        <f>TEXT(B615,"aaa")</f>
        <v/>
      </c>
      <c r="E615" s="9">
        <f>INDEX(매칭테이블!C:C,MATCH(RD!G615,매칭테이블!D:D,0))</f>
        <v/>
      </c>
      <c r="F615" s="9" t="inlineStr">
        <is>
          <t>카페24</t>
        </is>
      </c>
      <c r="G615" s="9" t="inlineStr">
        <is>
          <t>HAIR RÉ:COVERY 15 Nutritious Balm [라베나 리커버리 15 뉴트리셔스 밤]제품선택=뉴트리셔스 밤 2개 세트 5% 추가할인</t>
        </is>
      </c>
      <c r="H615" s="9" t="n">
        <v>1</v>
      </c>
      <c r="I615" s="9">
        <f>VLOOKUP(G615,매칭테이블!D:E,2,0)</f>
        <v/>
      </c>
      <c r="J615" s="9" t="n">
        <v>201210</v>
      </c>
      <c r="L615" s="9">
        <f>VLOOKUP($O615,매칭테이블!$G:$J,2,0)*H615</f>
        <v/>
      </c>
      <c r="M615" s="9">
        <f>L615-L615*VLOOKUP($O615,매칭테이블!$G:$J,3,0)</f>
        <v/>
      </c>
      <c r="N615" s="9">
        <f>VLOOKUP($O615,매칭테이블!$G:$J,4,0)*H615</f>
        <v/>
      </c>
      <c r="O615" s="9">
        <f>F615&amp;E615&amp;G615&amp;J615</f>
        <v/>
      </c>
    </row>
    <row r="616">
      <c r="B616" s="10" t="n">
        <v>44202</v>
      </c>
      <c r="C616" s="9">
        <f>TEXT(B616,"aaa")</f>
        <v/>
      </c>
      <c r="E616" s="9">
        <f>INDEX(매칭테이블!C:C,MATCH(RD!G616,매칭테이블!D:D,0))</f>
        <v/>
      </c>
      <c r="F616" s="9" t="inlineStr">
        <is>
          <t>카페24</t>
        </is>
      </c>
      <c r="G616" s="9" t="inlineStr">
        <is>
          <t>HAIR RÉ:COVERY 15 Nutritious Balm [라베나 리커버리 15 뉴트리셔스 밤]제품선택=뉴트리셔스밤 1개 + 헤어팩 트리트먼트 1개 세트 5%추가할인</t>
        </is>
      </c>
      <c r="H616" s="9" t="n">
        <v>1</v>
      </c>
      <c r="I616" s="9">
        <f>VLOOKUP(G616,매칭테이블!D:E,2,0)</f>
        <v/>
      </c>
      <c r="J616" s="9" t="n">
        <v>201210</v>
      </c>
      <c r="L616" s="9">
        <f>VLOOKUP($O616,매칭테이블!$G:$J,2,0)*H616</f>
        <v/>
      </c>
      <c r="M616" s="9">
        <f>L616-L616*VLOOKUP($O616,매칭테이블!$G:$J,3,0)</f>
        <v/>
      </c>
      <c r="N616" s="9">
        <f>VLOOKUP($O616,매칭테이블!$G:$J,4,0)*H616</f>
        <v/>
      </c>
      <c r="O616" s="9">
        <f>F616&amp;E616&amp;G616&amp;J616</f>
        <v/>
      </c>
    </row>
    <row r="617">
      <c r="B617" s="10" t="n">
        <v>44202</v>
      </c>
      <c r="C617" s="9">
        <f>TEXT(B617,"aaa")</f>
        <v/>
      </c>
      <c r="E617" s="9">
        <f>INDEX(매칭테이블!C:C,MATCH(RD!G617,매칭테이블!D:D,0))</f>
        <v/>
      </c>
      <c r="F617" s="9" t="inlineStr">
        <is>
          <t>카페24</t>
        </is>
      </c>
      <c r="G617" s="9" t="inlineStr">
        <is>
          <t>HAIR RÉ:COVERY 15 Revital Shampoo [라베나 리커버리 15 리바이탈 샴푸]제품선택=헤어 리커버리 15 리바이탈 샴푸 - 500ml</t>
        </is>
      </c>
      <c r="H617" s="9" t="n">
        <v>15</v>
      </c>
      <c r="I617" s="9">
        <f>VLOOKUP(G617,매칭테이블!D:E,2,0)</f>
        <v/>
      </c>
      <c r="J617" s="9" t="n">
        <v>201210</v>
      </c>
      <c r="L617" s="9">
        <f>VLOOKUP($O617,매칭테이블!$G:$J,2,0)*H617</f>
        <v/>
      </c>
      <c r="M617" s="9">
        <f>L617-L617*VLOOKUP($O617,매칭테이블!$G:$J,3,0)</f>
        <v/>
      </c>
      <c r="N617" s="9">
        <f>VLOOKUP($O617,매칭테이블!$G:$J,4,0)*H617</f>
        <v/>
      </c>
      <c r="O617" s="9">
        <f>F617&amp;E617&amp;G617&amp;J617</f>
        <v/>
      </c>
    </row>
    <row r="618">
      <c r="B618" s="10" t="n">
        <v>44202</v>
      </c>
      <c r="C618" s="9">
        <f>TEXT(B618,"aaa")</f>
        <v/>
      </c>
      <c r="E618" s="9">
        <f>INDEX(매칭테이블!C:C,MATCH(RD!G618,매칭테이블!D:D,0))</f>
        <v/>
      </c>
      <c r="F618" s="9" t="inlineStr">
        <is>
          <t>카페24</t>
        </is>
      </c>
      <c r="G618" s="9" t="inlineStr">
        <is>
          <t>HAIR RÉ:COVERY 15 Revital Shampoo [라베나 리커버리 15 리바이탈 샴푸]제품선택=리바이탈 샴푸 2개 세트 5%추가할인</t>
        </is>
      </c>
      <c r="H618" s="9" t="n">
        <v>4</v>
      </c>
      <c r="I618" s="9">
        <f>VLOOKUP(G618,매칭테이블!D:E,2,0)</f>
        <v/>
      </c>
      <c r="J618" s="9" t="n">
        <v>201210</v>
      </c>
      <c r="L618" s="9">
        <f>VLOOKUP($O618,매칭테이블!$G:$J,2,0)*H618</f>
        <v/>
      </c>
      <c r="M618" s="9">
        <f>L618-L618*VLOOKUP($O618,매칭테이블!$G:$J,3,0)</f>
        <v/>
      </c>
      <c r="N618" s="9">
        <f>VLOOKUP($O618,매칭테이블!$G:$J,4,0)*H618</f>
        <v/>
      </c>
      <c r="O618" s="9">
        <f>F618&amp;E618&amp;G618&amp;J618</f>
        <v/>
      </c>
    </row>
    <row r="619">
      <c r="B619" s="10" t="n">
        <v>44202</v>
      </c>
      <c r="C619" s="9">
        <f>TEXT(B619,"aaa")</f>
        <v/>
      </c>
      <c r="E619" s="9">
        <f>INDEX(매칭테이블!C:C,MATCH(RD!G619,매칭테이블!D:D,0))</f>
        <v/>
      </c>
      <c r="F619" s="9" t="inlineStr">
        <is>
          <t>카페24</t>
        </is>
      </c>
      <c r="G619" s="9" t="inlineStr">
        <is>
          <t>HAIR RÉ:COVERY 15 Revital Shampoo [라베나 리커버리 15 리바이탈 샴푸]제품선택=리바이탈 샴푸 3개 세트 10% 추가할인</t>
        </is>
      </c>
      <c r="H619" s="9" t="n">
        <v>1</v>
      </c>
      <c r="I619" s="9">
        <f>VLOOKUP(G619,매칭테이블!D:E,2,0)</f>
        <v/>
      </c>
      <c r="J619" s="9" t="n">
        <v>201210</v>
      </c>
      <c r="L619" s="9">
        <f>VLOOKUP($O619,매칭테이블!$G:$J,2,0)*H619</f>
        <v/>
      </c>
      <c r="M619" s="9">
        <f>L619-L619*VLOOKUP($O619,매칭테이블!$G:$J,3,0)</f>
        <v/>
      </c>
      <c r="N619" s="9">
        <f>VLOOKUP($O619,매칭테이블!$G:$J,4,0)*H619</f>
        <v/>
      </c>
      <c r="O619" s="9">
        <f>F619&amp;E619&amp;G619&amp;J619</f>
        <v/>
      </c>
    </row>
    <row r="620">
      <c r="B620" s="10" t="n">
        <v>44203</v>
      </c>
      <c r="C620" s="9">
        <f>TEXT(B620,"aaa")</f>
        <v/>
      </c>
      <c r="E620" s="9">
        <f>INDEX(매칭테이블!C:C,MATCH(RD!G620,매칭테이블!D:D,0))</f>
        <v/>
      </c>
      <c r="F620" s="9" t="inlineStr">
        <is>
          <t>카페24</t>
        </is>
      </c>
      <c r="G620" s="9" t="inlineStr">
        <is>
          <t>HAIR RÉ:COVERY 15 Hairpack Treatment [라베나 리커버리 15 헤어팩 트리트먼트]제품선택=헤어 리커버리 15 헤어팩 트리트먼트</t>
        </is>
      </c>
      <c r="H620" s="9" t="n">
        <v>23</v>
      </c>
      <c r="I620" s="9">
        <f>VLOOKUP(G620,매칭테이블!D:E,2,0)</f>
        <v/>
      </c>
      <c r="J620" s="9" t="n">
        <v>201210</v>
      </c>
      <c r="L620" s="9">
        <f>VLOOKUP($O620,매칭테이블!$G:$J,2,0)*H620</f>
        <v/>
      </c>
      <c r="M620" s="9">
        <f>L620-L620*VLOOKUP($O620,매칭테이블!$G:$J,3,0)</f>
        <v/>
      </c>
      <c r="N620" s="9">
        <f>VLOOKUP($O620,매칭테이블!$G:$J,4,0)*H620</f>
        <v/>
      </c>
      <c r="O620" s="9">
        <f>F620&amp;E620&amp;G620&amp;J620</f>
        <v/>
      </c>
    </row>
    <row r="621">
      <c r="B621" s="10" t="n">
        <v>44203</v>
      </c>
      <c r="C621" s="9">
        <f>TEXT(B621,"aaa")</f>
        <v/>
      </c>
      <c r="E621" s="9">
        <f>INDEX(매칭테이블!C:C,MATCH(RD!G621,매칭테이블!D:D,0))</f>
        <v/>
      </c>
      <c r="F621" s="9" t="inlineStr">
        <is>
          <t>카페24</t>
        </is>
      </c>
      <c r="G621" s="9" t="inlineStr">
        <is>
          <t>HAIR RÉ:COVERY 15 Hairpack Treatment [라베나 리커버리 15 헤어팩 트리트먼트]제품선택=헤어팩 트리트먼트 2개 세트 5% 추가할인</t>
        </is>
      </c>
      <c r="H621" s="9" t="n">
        <v>5</v>
      </c>
      <c r="I621" s="9">
        <f>VLOOKUP(G621,매칭테이블!D:E,2,0)</f>
        <v/>
      </c>
      <c r="J621" s="9" t="n">
        <v>201210</v>
      </c>
      <c r="L621" s="9">
        <f>VLOOKUP($O621,매칭테이블!$G:$J,2,0)*H621</f>
        <v/>
      </c>
      <c r="M621" s="9">
        <f>L621-L621*VLOOKUP($O621,매칭테이블!$G:$J,3,0)</f>
        <v/>
      </c>
      <c r="N621" s="9">
        <f>VLOOKUP($O621,매칭테이블!$G:$J,4,0)*H621</f>
        <v/>
      </c>
      <c r="O621" s="9">
        <f>F621&amp;E621&amp;G621&amp;J621</f>
        <v/>
      </c>
    </row>
    <row r="622">
      <c r="B622" s="10" t="n">
        <v>44203</v>
      </c>
      <c r="C622" s="9">
        <f>TEXT(B622,"aaa")</f>
        <v/>
      </c>
      <c r="E622" s="9">
        <f>INDEX(매칭테이블!C:C,MATCH(RD!G622,매칭테이블!D:D,0))</f>
        <v/>
      </c>
      <c r="F622" s="9" t="inlineStr">
        <is>
          <t>카페24</t>
        </is>
      </c>
      <c r="G622" s="9" t="inlineStr">
        <is>
          <t>HAIR RÉ:COVERY 15 Hairpack Treatment [라베나 리커버리 15 헤어팩 트리트먼트]제품선택=헤어팩 트리트먼트 3개 세트 10% 추가할인</t>
        </is>
      </c>
      <c r="H622" s="9" t="n">
        <v>2</v>
      </c>
      <c r="I622" s="9">
        <f>VLOOKUP(G622,매칭테이블!D:E,2,0)</f>
        <v/>
      </c>
      <c r="J622" s="9" t="n">
        <v>201210</v>
      </c>
      <c r="L622" s="9">
        <f>VLOOKUP($O622,매칭테이블!$G:$J,2,0)*H622</f>
        <v/>
      </c>
      <c r="M622" s="9">
        <f>L622-L622*VLOOKUP($O622,매칭테이블!$G:$J,3,0)</f>
        <v/>
      </c>
      <c r="N622" s="9">
        <f>VLOOKUP($O622,매칭테이블!$G:$J,4,0)*H622</f>
        <v/>
      </c>
      <c r="O622" s="9">
        <f>F622&amp;E622&amp;G622&amp;J622</f>
        <v/>
      </c>
    </row>
    <row r="623">
      <c r="B623" s="10" t="n">
        <v>44203</v>
      </c>
      <c r="C623" s="9">
        <f>TEXT(B623,"aaa")</f>
        <v/>
      </c>
      <c r="E623" s="9">
        <f>INDEX(매칭테이블!C:C,MATCH(RD!G623,매칭테이블!D:D,0))</f>
        <v/>
      </c>
      <c r="F623" s="9" t="inlineStr">
        <is>
          <t>카페24</t>
        </is>
      </c>
      <c r="G623" s="9" t="inlineStr">
        <is>
          <t>HAIR RÉ:COVERY 15 Hairpack Treatment [라베나 리커버리 15 헤어팩 트리트먼트]제품선택=헤어팩 트리트먼트 1개 + 뉴트리셔스밤 1개 세트 5% 추가할인</t>
        </is>
      </c>
      <c r="H623" s="9" t="n">
        <v>3</v>
      </c>
      <c r="I623" s="9">
        <f>VLOOKUP(G623,매칭테이블!D:E,2,0)</f>
        <v/>
      </c>
      <c r="J623" s="9" t="n">
        <v>201210</v>
      </c>
      <c r="L623" s="9">
        <f>VLOOKUP($O623,매칭테이블!$G:$J,2,0)*H623</f>
        <v/>
      </c>
      <c r="M623" s="9">
        <f>L623-L623*VLOOKUP($O623,매칭테이블!$G:$J,3,0)</f>
        <v/>
      </c>
      <c r="N623" s="9">
        <f>VLOOKUP($O623,매칭테이블!$G:$J,4,0)*H623</f>
        <v/>
      </c>
      <c r="O623" s="9">
        <f>F623&amp;E623&amp;G623&amp;J623</f>
        <v/>
      </c>
    </row>
    <row r="624">
      <c r="B624" s="10" t="n">
        <v>44203</v>
      </c>
      <c r="C624" s="9">
        <f>TEXT(B624,"aaa")</f>
        <v/>
      </c>
      <c r="E624" s="9">
        <f>INDEX(매칭테이블!C:C,MATCH(RD!G624,매칭테이블!D:D,0))</f>
        <v/>
      </c>
      <c r="F624" s="9" t="inlineStr">
        <is>
          <t>카페24</t>
        </is>
      </c>
      <c r="G624" s="9" t="inlineStr">
        <is>
          <t>HAIR RÉ:COVERY 15 Nutritious Balm [라베나 리커버리 15 뉴트리셔스 밤]제품선택=헤어 리커버리 15 뉴트리셔스 밤</t>
        </is>
      </c>
      <c r="H624" s="9" t="n">
        <v>14</v>
      </c>
      <c r="I624" s="9">
        <f>VLOOKUP(G624,매칭테이블!D:E,2,0)</f>
        <v/>
      </c>
      <c r="J624" s="9" t="n">
        <v>201210</v>
      </c>
      <c r="L624" s="9">
        <f>VLOOKUP($O624,매칭테이블!$G:$J,2,0)*H624</f>
        <v/>
      </c>
      <c r="M624" s="9">
        <f>L624-L624*VLOOKUP($O624,매칭테이블!$G:$J,3,0)</f>
        <v/>
      </c>
      <c r="N624" s="9">
        <f>VLOOKUP($O624,매칭테이블!$G:$J,4,0)*H624</f>
        <v/>
      </c>
      <c r="O624" s="9">
        <f>F624&amp;E624&amp;G624&amp;J624</f>
        <v/>
      </c>
    </row>
    <row r="625">
      <c r="B625" s="10" t="n">
        <v>44203</v>
      </c>
      <c r="C625" s="9">
        <f>TEXT(B625,"aaa")</f>
        <v/>
      </c>
      <c r="E625" s="9">
        <f>INDEX(매칭테이블!C:C,MATCH(RD!G625,매칭테이블!D:D,0))</f>
        <v/>
      </c>
      <c r="F625" s="9" t="inlineStr">
        <is>
          <t>카페24</t>
        </is>
      </c>
      <c r="G625" s="9" t="inlineStr">
        <is>
          <t>HAIR RÉ:COVERY 15 Nutritious Balm [라베나 리커버리 15 뉴트리셔스 밤]제품선택=뉴트리셔스 밤 2개 세트 5% 추가할인</t>
        </is>
      </c>
      <c r="H625" s="9" t="n">
        <v>2</v>
      </c>
      <c r="I625" s="9">
        <f>VLOOKUP(G625,매칭테이블!D:E,2,0)</f>
        <v/>
      </c>
      <c r="J625" s="9" t="n">
        <v>201210</v>
      </c>
      <c r="L625" s="9">
        <f>VLOOKUP($O625,매칭테이블!$G:$J,2,0)*H625</f>
        <v/>
      </c>
      <c r="M625" s="9">
        <f>L625-L625*VLOOKUP($O625,매칭테이블!$G:$J,3,0)</f>
        <v/>
      </c>
      <c r="N625" s="9">
        <f>VLOOKUP($O625,매칭테이블!$G:$J,4,0)*H625</f>
        <v/>
      </c>
      <c r="O625" s="9">
        <f>F625&amp;E625&amp;G625&amp;J625</f>
        <v/>
      </c>
    </row>
    <row r="626">
      <c r="B626" s="10" t="n">
        <v>44203</v>
      </c>
      <c r="C626" s="9">
        <f>TEXT(B626,"aaa")</f>
        <v/>
      </c>
      <c r="E626" s="9">
        <f>INDEX(매칭테이블!C:C,MATCH(RD!G626,매칭테이블!D:D,0))</f>
        <v/>
      </c>
      <c r="F626" s="9" t="inlineStr">
        <is>
          <t>카페24</t>
        </is>
      </c>
      <c r="G626" s="9" t="inlineStr">
        <is>
          <t>HAIR RÉ:COVERY 15 Nutritious Balm [라베나 리커버리 15 뉴트리셔스 밤]제품선택=뉴트리셔스밤 1개 + 헤어팩 트리트먼트 1개 세트 5%추가할인</t>
        </is>
      </c>
      <c r="H626" s="9" t="n">
        <v>3</v>
      </c>
      <c r="I626" s="9">
        <f>VLOOKUP(G626,매칭테이블!D:E,2,0)</f>
        <v/>
      </c>
      <c r="J626" s="9" t="n">
        <v>201210</v>
      </c>
      <c r="L626" s="9">
        <f>VLOOKUP($O626,매칭테이블!$G:$J,2,0)*H626</f>
        <v/>
      </c>
      <c r="M626" s="9">
        <f>L626-L626*VLOOKUP($O626,매칭테이블!$G:$J,3,0)</f>
        <v/>
      </c>
      <c r="N626" s="9">
        <f>VLOOKUP($O626,매칭테이블!$G:$J,4,0)*H626</f>
        <v/>
      </c>
      <c r="O626" s="9">
        <f>F626&amp;E626&amp;G626&amp;J626</f>
        <v/>
      </c>
    </row>
    <row r="627">
      <c r="B627" s="10" t="n">
        <v>44203</v>
      </c>
      <c r="C627" s="9">
        <f>TEXT(B627,"aaa")</f>
        <v/>
      </c>
      <c r="E627" s="9">
        <f>INDEX(매칭테이블!C:C,MATCH(RD!G627,매칭테이블!D:D,0))</f>
        <v/>
      </c>
      <c r="F627" s="9" t="inlineStr">
        <is>
          <t>카페24</t>
        </is>
      </c>
      <c r="G627" s="9" t="inlineStr">
        <is>
          <t>HAIR RÉ:COVERY 15 Revital Shampoo [라베나 리커버리 15 리바이탈 샴푸]제품선택=헤어 리커버리 15 리바이탈 샴푸 - 500ml</t>
        </is>
      </c>
      <c r="H627" s="9" t="n">
        <v>15</v>
      </c>
      <c r="I627" s="9">
        <f>VLOOKUP(G627,매칭테이블!D:E,2,0)</f>
        <v/>
      </c>
      <c r="J627" s="9" t="n">
        <v>201210</v>
      </c>
      <c r="L627" s="9">
        <f>VLOOKUP($O627,매칭테이블!$G:$J,2,0)*H627</f>
        <v/>
      </c>
      <c r="M627" s="9">
        <f>L627-L627*VLOOKUP($O627,매칭테이블!$G:$J,3,0)</f>
        <v/>
      </c>
      <c r="N627" s="9">
        <f>VLOOKUP($O627,매칭테이블!$G:$J,4,0)*H627</f>
        <v/>
      </c>
      <c r="O627" s="9">
        <f>F627&amp;E627&amp;G627&amp;J627</f>
        <v/>
      </c>
    </row>
    <row r="628">
      <c r="B628" s="10" t="n">
        <v>44203</v>
      </c>
      <c r="C628" s="9">
        <f>TEXT(B628,"aaa")</f>
        <v/>
      </c>
      <c r="E628" s="9">
        <f>INDEX(매칭테이블!C:C,MATCH(RD!G628,매칭테이블!D:D,0))</f>
        <v/>
      </c>
      <c r="F628" s="9" t="inlineStr">
        <is>
          <t>카페24</t>
        </is>
      </c>
      <c r="G628" s="9" t="inlineStr">
        <is>
          <t>HAIR RÉ:COVERY 15 Revital Shampoo [라베나 리커버리 15 리바이탈 샴푸]제품선택=리바이탈 샴푸 2개 세트 5%추가할인</t>
        </is>
      </c>
      <c r="H628" s="9" t="n">
        <v>3</v>
      </c>
      <c r="I628" s="9">
        <f>VLOOKUP(G628,매칭테이블!D:E,2,0)</f>
        <v/>
      </c>
      <c r="J628" s="9" t="n">
        <v>201210</v>
      </c>
      <c r="L628" s="9">
        <f>VLOOKUP($O628,매칭테이블!$G:$J,2,0)*H628</f>
        <v/>
      </c>
      <c r="M628" s="9">
        <f>L628-L628*VLOOKUP($O628,매칭테이블!$G:$J,3,0)</f>
        <v/>
      </c>
      <c r="N628" s="9">
        <f>VLOOKUP($O628,매칭테이블!$G:$J,4,0)*H628</f>
        <v/>
      </c>
      <c r="O628" s="9">
        <f>F628&amp;E628&amp;G628&amp;J628</f>
        <v/>
      </c>
    </row>
    <row r="629">
      <c r="B629" s="10" t="n">
        <v>44203</v>
      </c>
      <c r="C629" s="9">
        <f>TEXT(B629,"aaa")</f>
        <v/>
      </c>
      <c r="E629" s="9">
        <f>INDEX(매칭테이블!C:C,MATCH(RD!G629,매칭테이블!D:D,0))</f>
        <v/>
      </c>
      <c r="F629" s="9" t="inlineStr">
        <is>
          <t>카페24</t>
        </is>
      </c>
      <c r="G629" s="9" t="inlineStr">
        <is>
          <t>HAIR RÉ:COVERY 15 Revital Shampoo [라베나 리커버리 15 리바이탈 샴푸]제품선택=리바이탈 샴푸 3개 세트 10% 추가할인</t>
        </is>
      </c>
      <c r="H629" s="9" t="n">
        <v>3</v>
      </c>
      <c r="I629" s="9">
        <f>VLOOKUP(G629,매칭테이블!D:E,2,0)</f>
        <v/>
      </c>
      <c r="J629" s="9" t="n">
        <v>201210</v>
      </c>
      <c r="L629" s="9">
        <f>VLOOKUP($O629,매칭테이블!$G:$J,2,0)*H629</f>
        <v/>
      </c>
      <c r="M629" s="9">
        <f>L629-L629*VLOOKUP($O629,매칭테이블!$G:$J,3,0)</f>
        <v/>
      </c>
      <c r="N629" s="9">
        <f>VLOOKUP($O629,매칭테이블!$G:$J,4,0)*H629</f>
        <v/>
      </c>
      <c r="O629" s="9">
        <f>F629&amp;E629&amp;G629&amp;J629</f>
        <v/>
      </c>
    </row>
    <row r="630">
      <c r="B630" s="10" t="n">
        <v>44204</v>
      </c>
      <c r="C630" s="9">
        <f>TEXT(B630,"aaa")</f>
        <v/>
      </c>
      <c r="E630" s="9">
        <f>INDEX(매칭테이블!C:C,MATCH(RD!G630,매칭테이블!D:D,0))</f>
        <v/>
      </c>
      <c r="F630" s="9" t="inlineStr">
        <is>
          <t>카페24</t>
        </is>
      </c>
      <c r="G630" s="9" t="inlineStr">
        <is>
          <t>HAIR RÉ:COVERY 15 Hairpack Treatment [라베나 리커버리 15 헤어팩 트리트먼트]제품선택=헤어 리커버리 15 헤어팩 트리트먼트</t>
        </is>
      </c>
      <c r="H630" s="9" t="n">
        <v>9</v>
      </c>
      <c r="I630" s="9">
        <f>VLOOKUP(G630,매칭테이블!D:E,2,0)</f>
        <v/>
      </c>
      <c r="J630" s="9" t="n">
        <v>201210</v>
      </c>
      <c r="L630" s="9">
        <f>VLOOKUP($O630,매칭테이블!$G:$J,2,0)*H630</f>
        <v/>
      </c>
      <c r="M630" s="9">
        <f>L630-L630*VLOOKUP($O630,매칭테이블!$G:$J,3,0)</f>
        <v/>
      </c>
      <c r="N630" s="9">
        <f>VLOOKUP($O630,매칭테이블!$G:$J,4,0)*H630</f>
        <v/>
      </c>
      <c r="O630" s="9">
        <f>F630&amp;E630&amp;G630&amp;J630</f>
        <v/>
      </c>
    </row>
    <row r="631">
      <c r="B631" s="10" t="n">
        <v>44204</v>
      </c>
      <c r="C631" s="9">
        <f>TEXT(B631,"aaa")</f>
        <v/>
      </c>
      <c r="E631" s="9">
        <f>INDEX(매칭테이블!C:C,MATCH(RD!G631,매칭테이블!D:D,0))</f>
        <v/>
      </c>
      <c r="F631" s="9" t="inlineStr">
        <is>
          <t>카페24</t>
        </is>
      </c>
      <c r="G631" s="9" t="inlineStr">
        <is>
          <t>HAIR RÉ:COVERY 15 Hairpack Treatment [라베나 리커버리 15 헤어팩 트리트먼트]제품선택=헤어팩 트리트먼트 2개 세트 5% 추가할인</t>
        </is>
      </c>
      <c r="H631" s="9" t="n">
        <v>1</v>
      </c>
      <c r="I631" s="9">
        <f>VLOOKUP(G631,매칭테이블!D:E,2,0)</f>
        <v/>
      </c>
      <c r="J631" s="9" t="n">
        <v>201210</v>
      </c>
      <c r="L631" s="9">
        <f>VLOOKUP($O631,매칭테이블!$G:$J,2,0)*H631</f>
        <v/>
      </c>
      <c r="M631" s="9">
        <f>L631-L631*VLOOKUP($O631,매칭테이블!$G:$J,3,0)</f>
        <v/>
      </c>
      <c r="N631" s="9">
        <f>VLOOKUP($O631,매칭테이블!$G:$J,4,0)*H631</f>
        <v/>
      </c>
      <c r="O631" s="9">
        <f>F631&amp;E631&amp;G631&amp;J631</f>
        <v/>
      </c>
    </row>
    <row r="632">
      <c r="B632" s="10" t="n">
        <v>44204</v>
      </c>
      <c r="C632" s="9">
        <f>TEXT(B632,"aaa")</f>
        <v/>
      </c>
      <c r="E632" s="9">
        <f>INDEX(매칭테이블!C:C,MATCH(RD!G632,매칭테이블!D:D,0))</f>
        <v/>
      </c>
      <c r="F632" s="9" t="inlineStr">
        <is>
          <t>카페24</t>
        </is>
      </c>
      <c r="G632" s="9" t="inlineStr">
        <is>
          <t>HAIR RÉ:COVERY 15 Hairpack Treatment [라베나 리커버리 15 헤어팩 트리트먼트]제품선택=헤어팩 트리트먼트 3개 세트 10% 추가할인</t>
        </is>
      </c>
      <c r="H632" s="9" t="n">
        <v>2</v>
      </c>
      <c r="I632" s="9">
        <f>VLOOKUP(G632,매칭테이블!D:E,2,0)</f>
        <v/>
      </c>
      <c r="J632" s="9" t="n">
        <v>201210</v>
      </c>
      <c r="L632" s="9">
        <f>VLOOKUP($O632,매칭테이블!$G:$J,2,0)*H632</f>
        <v/>
      </c>
      <c r="M632" s="9">
        <f>L632-L632*VLOOKUP($O632,매칭테이블!$G:$J,3,0)</f>
        <v/>
      </c>
      <c r="N632" s="9">
        <f>VLOOKUP($O632,매칭테이블!$G:$J,4,0)*H632</f>
        <v/>
      </c>
      <c r="O632" s="9">
        <f>F632&amp;E632&amp;G632&amp;J632</f>
        <v/>
      </c>
    </row>
    <row r="633">
      <c r="B633" s="10" t="n">
        <v>44204</v>
      </c>
      <c r="C633" s="9">
        <f>TEXT(B633,"aaa")</f>
        <v/>
      </c>
      <c r="E633" s="9">
        <f>INDEX(매칭테이블!C:C,MATCH(RD!G633,매칭테이블!D:D,0))</f>
        <v/>
      </c>
      <c r="F633" s="9" t="inlineStr">
        <is>
          <t>카페24</t>
        </is>
      </c>
      <c r="G633" s="9" t="inlineStr">
        <is>
          <t>HAIR RÉ:COVERY 15 Hairpack Treatment [라베나 리커버리 15 헤어팩 트리트먼트]제품선택=헤어팩 트리트먼트 1개 + 뉴트리셔스밤 1개 세트 5% 추가할인</t>
        </is>
      </c>
      <c r="H633" s="9" t="n">
        <v>1</v>
      </c>
      <c r="I633" s="9">
        <f>VLOOKUP(G633,매칭테이블!D:E,2,0)</f>
        <v/>
      </c>
      <c r="J633" s="9" t="n">
        <v>201210</v>
      </c>
      <c r="L633" s="9">
        <f>VLOOKUP($O633,매칭테이블!$G:$J,2,0)*H633</f>
        <v/>
      </c>
      <c r="M633" s="9">
        <f>L633-L633*VLOOKUP($O633,매칭테이블!$G:$J,3,0)</f>
        <v/>
      </c>
      <c r="N633" s="9">
        <f>VLOOKUP($O633,매칭테이블!$G:$J,4,0)*H633</f>
        <v/>
      </c>
      <c r="O633" s="9">
        <f>F633&amp;E633&amp;G633&amp;J633</f>
        <v/>
      </c>
    </row>
    <row r="634">
      <c r="B634" s="10" t="n">
        <v>44204</v>
      </c>
      <c r="C634" s="9">
        <f>TEXT(B634,"aaa")</f>
        <v/>
      </c>
      <c r="E634" s="9">
        <f>INDEX(매칭테이블!C:C,MATCH(RD!G634,매칭테이블!D:D,0))</f>
        <v/>
      </c>
      <c r="F634" s="9" t="inlineStr">
        <is>
          <t>카페24</t>
        </is>
      </c>
      <c r="G634" s="9" t="inlineStr">
        <is>
          <t>HAIR RÉ:COVERY 15 Nutritious Balm [라베나 리커버리 15 뉴트리셔스 밤]제품선택=헤어 리커버리 15 뉴트리셔스 밤</t>
        </is>
      </c>
      <c r="H634" s="9" t="n">
        <v>12</v>
      </c>
      <c r="I634" s="9">
        <f>VLOOKUP(G634,매칭테이블!D:E,2,0)</f>
        <v/>
      </c>
      <c r="J634" s="9" t="n">
        <v>201210</v>
      </c>
      <c r="L634" s="9">
        <f>VLOOKUP($O634,매칭테이블!$G:$J,2,0)*H634</f>
        <v/>
      </c>
      <c r="M634" s="9">
        <f>L634-L634*VLOOKUP($O634,매칭테이블!$G:$J,3,0)</f>
        <v/>
      </c>
      <c r="N634" s="9">
        <f>VLOOKUP($O634,매칭테이블!$G:$J,4,0)*H634</f>
        <v/>
      </c>
      <c r="O634" s="9">
        <f>F634&amp;E634&amp;G634&amp;J634</f>
        <v/>
      </c>
    </row>
    <row r="635">
      <c r="B635" s="10" t="n">
        <v>44204</v>
      </c>
      <c r="C635" s="9">
        <f>TEXT(B635,"aaa")</f>
        <v/>
      </c>
      <c r="E635" s="9">
        <f>INDEX(매칭테이블!C:C,MATCH(RD!G635,매칭테이블!D:D,0))</f>
        <v/>
      </c>
      <c r="F635" s="9" t="inlineStr">
        <is>
          <t>카페24</t>
        </is>
      </c>
      <c r="G635" s="9" t="inlineStr">
        <is>
          <t>HAIR RÉ:COVERY 15 Nutritious Balm [라베나 리커버리 15 뉴트리셔스 밤]제품선택=뉴트리셔스 밤 2개 세트 5% 추가할인</t>
        </is>
      </c>
      <c r="H635" s="9" t="n">
        <v>2</v>
      </c>
      <c r="I635" s="9">
        <f>VLOOKUP(G635,매칭테이블!D:E,2,0)</f>
        <v/>
      </c>
      <c r="J635" s="9" t="n">
        <v>201210</v>
      </c>
      <c r="L635" s="9">
        <f>VLOOKUP($O635,매칭테이블!$G:$J,2,0)*H635</f>
        <v/>
      </c>
      <c r="M635" s="9">
        <f>L635-L635*VLOOKUP($O635,매칭테이블!$G:$J,3,0)</f>
        <v/>
      </c>
      <c r="N635" s="9">
        <f>VLOOKUP($O635,매칭테이블!$G:$J,4,0)*H635</f>
        <v/>
      </c>
      <c r="O635" s="9">
        <f>F635&amp;E635&amp;G635&amp;J635</f>
        <v/>
      </c>
    </row>
    <row r="636">
      <c r="B636" s="10" t="n">
        <v>44204</v>
      </c>
      <c r="C636" s="9">
        <f>TEXT(B636,"aaa")</f>
        <v/>
      </c>
      <c r="E636" s="9">
        <f>INDEX(매칭테이블!C:C,MATCH(RD!G636,매칭테이블!D:D,0))</f>
        <v/>
      </c>
      <c r="F636" s="9" t="inlineStr">
        <is>
          <t>카페24</t>
        </is>
      </c>
      <c r="G636" s="9" t="inlineStr">
        <is>
          <t>HAIR RÉ:COVERY 15 Nutritious Balm [라베나 리커버리 15 뉴트리셔스 밤]제품선택=뉴트리셔스 밤 3개 세트 10% 추가할인</t>
        </is>
      </c>
      <c r="H636" s="9" t="n">
        <v>1</v>
      </c>
      <c r="I636" s="9">
        <f>VLOOKUP(G636,매칭테이블!D:E,2,0)</f>
        <v/>
      </c>
      <c r="J636" s="9" t="n">
        <v>201210</v>
      </c>
      <c r="L636" s="9">
        <f>VLOOKUP($O636,매칭테이블!$G:$J,2,0)*H636</f>
        <v/>
      </c>
      <c r="M636" s="9">
        <f>L636-L636*VLOOKUP($O636,매칭테이블!$G:$J,3,0)</f>
        <v/>
      </c>
      <c r="N636" s="9">
        <f>VLOOKUP($O636,매칭테이블!$G:$J,4,0)*H636</f>
        <v/>
      </c>
      <c r="O636" s="9">
        <f>F636&amp;E636&amp;G636&amp;J636</f>
        <v/>
      </c>
    </row>
    <row r="637">
      <c r="B637" s="10" t="n">
        <v>44204</v>
      </c>
      <c r="C637" s="9">
        <f>TEXT(B637,"aaa")</f>
        <v/>
      </c>
      <c r="E637" s="9">
        <f>INDEX(매칭테이블!C:C,MATCH(RD!G637,매칭테이블!D:D,0))</f>
        <v/>
      </c>
      <c r="F637" s="9" t="inlineStr">
        <is>
          <t>카페24</t>
        </is>
      </c>
      <c r="G637" s="9" t="inlineStr">
        <is>
          <t>HAIR RÉ:COVERY 15 Nutritious Balm [라베나 리커버리 15 뉴트리셔스 밤]제품선택=뉴트리셔스밤 1개 + 헤어팩 트리트먼트 1개 세트 5%추가할인</t>
        </is>
      </c>
      <c r="H637" s="9" t="n">
        <v>2</v>
      </c>
      <c r="I637" s="9">
        <f>VLOOKUP(G637,매칭테이블!D:E,2,0)</f>
        <v/>
      </c>
      <c r="J637" s="9" t="n">
        <v>201210</v>
      </c>
      <c r="L637" s="9">
        <f>VLOOKUP($O637,매칭테이블!$G:$J,2,0)*H637</f>
        <v/>
      </c>
      <c r="M637" s="9">
        <f>L637-L637*VLOOKUP($O637,매칭테이블!$G:$J,3,0)</f>
        <v/>
      </c>
      <c r="N637" s="9">
        <f>VLOOKUP($O637,매칭테이블!$G:$J,4,0)*H637</f>
        <v/>
      </c>
      <c r="O637" s="9">
        <f>F637&amp;E637&amp;G637&amp;J637</f>
        <v/>
      </c>
    </row>
    <row r="638">
      <c r="B638" s="10" t="n">
        <v>44204</v>
      </c>
      <c r="C638" s="9">
        <f>TEXT(B638,"aaa")</f>
        <v/>
      </c>
      <c r="E638" s="9">
        <f>INDEX(매칭테이블!C:C,MATCH(RD!G638,매칭테이블!D:D,0))</f>
        <v/>
      </c>
      <c r="F638" s="9" t="inlineStr">
        <is>
          <t>카페24</t>
        </is>
      </c>
      <c r="G638" s="9" t="inlineStr">
        <is>
          <t>HAIR RÉ:COVERY 15 Revital Shampoo [라베나 리커버리 15 리바이탈 샴푸]제품선택=헤어 리커버리 15 리바이탈 샴푸 - 500ml</t>
        </is>
      </c>
      <c r="H638" s="9" t="n">
        <v>6</v>
      </c>
      <c r="I638" s="9">
        <f>VLOOKUP(G638,매칭테이블!D:E,2,0)</f>
        <v/>
      </c>
      <c r="J638" s="9" t="n">
        <v>201210</v>
      </c>
      <c r="L638" s="9">
        <f>VLOOKUP($O638,매칭테이블!$G:$J,2,0)*H638</f>
        <v/>
      </c>
      <c r="M638" s="9">
        <f>L638-L638*VLOOKUP($O638,매칭테이블!$G:$J,3,0)</f>
        <v/>
      </c>
      <c r="N638" s="9">
        <f>VLOOKUP($O638,매칭테이블!$G:$J,4,0)*H638</f>
        <v/>
      </c>
      <c r="O638" s="9">
        <f>F638&amp;E638&amp;G638&amp;J638</f>
        <v/>
      </c>
    </row>
    <row r="639">
      <c r="B639" s="10" t="n">
        <v>44204</v>
      </c>
      <c r="C639" s="9">
        <f>TEXT(B639,"aaa")</f>
        <v/>
      </c>
      <c r="E639" s="9">
        <f>INDEX(매칭테이블!C:C,MATCH(RD!G639,매칭테이블!D:D,0))</f>
        <v/>
      </c>
      <c r="F639" s="9" t="inlineStr">
        <is>
          <t>카페24</t>
        </is>
      </c>
      <c r="G639" s="9" t="inlineStr">
        <is>
          <t>HAIR RÉ:COVERY 15 Revital Shampoo [라베나 리커버리 15 리바이탈 샴푸]제품선택=리바이탈 샴푸 2개 세트 5%추가할인</t>
        </is>
      </c>
      <c r="H639" s="9" t="n">
        <v>1</v>
      </c>
      <c r="I639" s="9">
        <f>VLOOKUP(G639,매칭테이블!D:E,2,0)</f>
        <v/>
      </c>
      <c r="J639" s="9" t="n">
        <v>201210</v>
      </c>
      <c r="L639" s="9">
        <f>VLOOKUP($O639,매칭테이블!$G:$J,2,0)*H639</f>
        <v/>
      </c>
      <c r="M639" s="9">
        <f>L639-L639*VLOOKUP($O639,매칭테이블!$G:$J,3,0)</f>
        <v/>
      </c>
      <c r="N639" s="9">
        <f>VLOOKUP($O639,매칭테이블!$G:$J,4,0)*H639</f>
        <v/>
      </c>
      <c r="O639" s="9">
        <f>F639&amp;E639&amp;G639&amp;J639</f>
        <v/>
      </c>
    </row>
    <row r="640">
      <c r="B640" s="10" t="n">
        <v>44205</v>
      </c>
      <c r="C640" s="9">
        <f>TEXT(B640,"aaa")</f>
        <v/>
      </c>
      <c r="E640" s="9">
        <f>INDEX(매칭테이블!C:C,MATCH(RD!G640,매칭테이블!D:D,0))</f>
        <v/>
      </c>
      <c r="F640" s="9" t="inlineStr">
        <is>
          <t>카페24</t>
        </is>
      </c>
      <c r="G640" s="9" t="inlineStr">
        <is>
          <t>HAIR RÉ:COVERY 15 Hairpack Treatment [라베나 리커버리 15 헤어팩 트리트먼트]제품선택=헤어 리커버리 15 헤어팩 트리트먼트</t>
        </is>
      </c>
      <c r="H640" s="9" t="n">
        <v>10</v>
      </c>
      <c r="I640" s="9">
        <f>VLOOKUP(G640,매칭테이블!D:E,2,0)</f>
        <v/>
      </c>
      <c r="J640" s="9" t="n">
        <v>201210</v>
      </c>
      <c r="L640" s="9">
        <f>VLOOKUP($O640,매칭테이블!$G:$J,2,0)*H640</f>
        <v/>
      </c>
      <c r="M640" s="9">
        <f>L640-L640*VLOOKUP($O640,매칭테이블!$G:$J,3,0)</f>
        <v/>
      </c>
      <c r="N640" s="9">
        <f>VLOOKUP($O640,매칭테이블!$G:$J,4,0)*H640</f>
        <v/>
      </c>
      <c r="O640" s="9">
        <f>F640&amp;E640&amp;G640&amp;J640</f>
        <v/>
      </c>
    </row>
    <row r="641">
      <c r="B641" s="10" t="n">
        <v>44205</v>
      </c>
      <c r="C641" s="9">
        <f>TEXT(B641,"aaa")</f>
        <v/>
      </c>
      <c r="E641" s="9">
        <f>INDEX(매칭테이블!C:C,MATCH(RD!G641,매칭테이블!D:D,0))</f>
        <v/>
      </c>
      <c r="F641" s="9" t="inlineStr">
        <is>
          <t>카페24</t>
        </is>
      </c>
      <c r="G641" s="9" t="inlineStr">
        <is>
          <t>HAIR RÉ:COVERY 15 Hairpack Treatment [라베나 리커버리 15 헤어팩 트리트먼트]제품선택=헤어팩 트리트먼트 2개 세트 5% 추가할인</t>
        </is>
      </c>
      <c r="H641" s="9" t="n">
        <v>2</v>
      </c>
      <c r="I641" s="9">
        <f>VLOOKUP(G641,매칭테이블!D:E,2,0)</f>
        <v/>
      </c>
      <c r="J641" s="9" t="n">
        <v>201210</v>
      </c>
      <c r="L641" s="9">
        <f>VLOOKUP($O641,매칭테이블!$G:$J,2,0)*H641</f>
        <v/>
      </c>
      <c r="M641" s="9">
        <f>L641-L641*VLOOKUP($O641,매칭테이블!$G:$J,3,0)</f>
        <v/>
      </c>
      <c r="N641" s="9">
        <f>VLOOKUP($O641,매칭테이블!$G:$J,4,0)*H641</f>
        <v/>
      </c>
      <c r="O641" s="9">
        <f>F641&amp;E641&amp;G641&amp;J641</f>
        <v/>
      </c>
    </row>
    <row r="642">
      <c r="B642" s="10" t="n">
        <v>44205</v>
      </c>
      <c r="C642" s="9">
        <f>TEXT(B642,"aaa")</f>
        <v/>
      </c>
      <c r="E642" s="9">
        <f>INDEX(매칭테이블!C:C,MATCH(RD!G642,매칭테이블!D:D,0))</f>
        <v/>
      </c>
      <c r="F642" s="9" t="inlineStr">
        <is>
          <t>카페24</t>
        </is>
      </c>
      <c r="G642" s="9" t="inlineStr">
        <is>
          <t>HAIR RÉ:COVERY 15 Hairpack Treatment [라베나 리커버리 15 헤어팩 트리트먼트]제품선택=헤어팩 트리트먼트 3개 세트 10% 추가할인</t>
        </is>
      </c>
      <c r="H642" s="9" t="n">
        <v>3</v>
      </c>
      <c r="I642" s="9">
        <f>VLOOKUP(G642,매칭테이블!D:E,2,0)</f>
        <v/>
      </c>
      <c r="J642" s="9" t="n">
        <v>201210</v>
      </c>
      <c r="L642" s="9">
        <f>VLOOKUP($O642,매칭테이블!$G:$J,2,0)*H642</f>
        <v/>
      </c>
      <c r="M642" s="9">
        <f>L642-L642*VLOOKUP($O642,매칭테이블!$G:$J,3,0)</f>
        <v/>
      </c>
      <c r="N642" s="9">
        <f>VLOOKUP($O642,매칭테이블!$G:$J,4,0)*H642</f>
        <v/>
      </c>
      <c r="O642" s="9">
        <f>F642&amp;E642&amp;G642&amp;J642</f>
        <v/>
      </c>
    </row>
    <row r="643">
      <c r="B643" s="10" t="n">
        <v>44205</v>
      </c>
      <c r="C643" s="9">
        <f>TEXT(B643,"aaa")</f>
        <v/>
      </c>
      <c r="E643" s="9">
        <f>INDEX(매칭테이블!C:C,MATCH(RD!G643,매칭테이블!D:D,0))</f>
        <v/>
      </c>
      <c r="F643" s="9" t="inlineStr">
        <is>
          <t>카페24</t>
        </is>
      </c>
      <c r="G643" s="9" t="inlineStr">
        <is>
          <t>HAIR RÉ:COVERY 15 Hairpack Treatment [라베나 리커버리 15 헤어팩 트리트먼트]제품선택=헤어팩 트리트먼트 1개 + 뉴트리셔스밤 1개 세트 5% 추가할인</t>
        </is>
      </c>
      <c r="H643" s="9" t="n">
        <v>3</v>
      </c>
      <c r="I643" s="9">
        <f>VLOOKUP(G643,매칭테이블!D:E,2,0)</f>
        <v/>
      </c>
      <c r="J643" s="9" t="n">
        <v>201210</v>
      </c>
      <c r="L643" s="9">
        <f>VLOOKUP($O643,매칭테이블!$G:$J,2,0)*H643</f>
        <v/>
      </c>
      <c r="M643" s="9">
        <f>L643-L643*VLOOKUP($O643,매칭테이블!$G:$J,3,0)</f>
        <v/>
      </c>
      <c r="N643" s="9">
        <f>VLOOKUP($O643,매칭테이블!$G:$J,4,0)*H643</f>
        <v/>
      </c>
      <c r="O643" s="9">
        <f>F643&amp;E643&amp;G643&amp;J643</f>
        <v/>
      </c>
    </row>
    <row r="644">
      <c r="B644" s="10" t="n">
        <v>44205</v>
      </c>
      <c r="C644" s="9">
        <f>TEXT(B644,"aaa")</f>
        <v/>
      </c>
      <c r="E644" s="9">
        <f>INDEX(매칭테이블!C:C,MATCH(RD!G644,매칭테이블!D:D,0))</f>
        <v/>
      </c>
      <c r="F644" s="9" t="inlineStr">
        <is>
          <t>카페24</t>
        </is>
      </c>
      <c r="G644" s="9" t="inlineStr">
        <is>
          <t>HAIR RÉ:COVERY 15 Nutritious Balm [라베나 리커버리 15 뉴트리셔스 밤]제품선택=헤어 리커버리 15 뉴트리셔스 밤</t>
        </is>
      </c>
      <c r="H644" s="9" t="n">
        <v>7</v>
      </c>
      <c r="I644" s="9">
        <f>VLOOKUP(G644,매칭테이블!D:E,2,0)</f>
        <v/>
      </c>
      <c r="J644" s="9" t="n">
        <v>201210</v>
      </c>
      <c r="L644" s="9">
        <f>VLOOKUP($O644,매칭테이블!$G:$J,2,0)*H644</f>
        <v/>
      </c>
      <c r="M644" s="9">
        <f>L644-L644*VLOOKUP($O644,매칭테이블!$G:$J,3,0)</f>
        <v/>
      </c>
      <c r="N644" s="9">
        <f>VLOOKUP($O644,매칭테이블!$G:$J,4,0)*H644</f>
        <v/>
      </c>
      <c r="O644" s="9">
        <f>F644&amp;E644&amp;G644&amp;J644</f>
        <v/>
      </c>
    </row>
    <row r="645">
      <c r="B645" s="10" t="n">
        <v>44205</v>
      </c>
      <c r="C645" s="9">
        <f>TEXT(B645,"aaa")</f>
        <v/>
      </c>
      <c r="E645" s="9">
        <f>INDEX(매칭테이블!C:C,MATCH(RD!G645,매칭테이블!D:D,0))</f>
        <v/>
      </c>
      <c r="F645" s="9" t="inlineStr">
        <is>
          <t>카페24</t>
        </is>
      </c>
      <c r="G645" s="9" t="inlineStr">
        <is>
          <t>HAIR RÉ:COVERY 15 Nutritious Balm [라베나 리커버리 15 뉴트리셔스 밤]제품선택=뉴트리셔스 밤 3개 세트 10% 추가할인</t>
        </is>
      </c>
      <c r="H645" s="9" t="n">
        <v>2</v>
      </c>
      <c r="I645" s="9">
        <f>VLOOKUP(G645,매칭테이블!D:E,2,0)</f>
        <v/>
      </c>
      <c r="J645" s="9" t="n">
        <v>201210</v>
      </c>
      <c r="L645" s="9">
        <f>VLOOKUP($O645,매칭테이블!$G:$J,2,0)*H645</f>
        <v/>
      </c>
      <c r="M645" s="9">
        <f>L645-L645*VLOOKUP($O645,매칭테이블!$G:$J,3,0)</f>
        <v/>
      </c>
      <c r="N645" s="9">
        <f>VLOOKUP($O645,매칭테이블!$G:$J,4,0)*H645</f>
        <v/>
      </c>
      <c r="O645" s="9">
        <f>F645&amp;E645&amp;G645&amp;J645</f>
        <v/>
      </c>
    </row>
    <row r="646">
      <c r="B646" s="10" t="n">
        <v>44205</v>
      </c>
      <c r="C646" s="9">
        <f>TEXT(B646,"aaa")</f>
        <v/>
      </c>
      <c r="E646" s="9">
        <f>INDEX(매칭테이블!C:C,MATCH(RD!G646,매칭테이블!D:D,0))</f>
        <v/>
      </c>
      <c r="F646" s="9" t="inlineStr">
        <is>
          <t>카페24</t>
        </is>
      </c>
      <c r="G646" s="9" t="inlineStr">
        <is>
          <t>HAIR RÉ:COVERY 15 Nutritious Balm [라베나 리커버리 15 뉴트리셔스 밤]제품선택=뉴트리셔스밤 1개 + 헤어팩 트리트먼트 1개 세트 5%추가할인</t>
        </is>
      </c>
      <c r="H646" s="9" t="n">
        <v>2</v>
      </c>
      <c r="I646" s="9">
        <f>VLOOKUP(G646,매칭테이블!D:E,2,0)</f>
        <v/>
      </c>
      <c r="J646" s="9" t="n">
        <v>201210</v>
      </c>
      <c r="L646" s="9">
        <f>VLOOKUP($O646,매칭테이블!$G:$J,2,0)*H646</f>
        <v/>
      </c>
      <c r="M646" s="9">
        <f>L646-L646*VLOOKUP($O646,매칭테이블!$G:$J,3,0)</f>
        <v/>
      </c>
      <c r="N646" s="9">
        <f>VLOOKUP($O646,매칭테이블!$G:$J,4,0)*H646</f>
        <v/>
      </c>
      <c r="O646" s="9">
        <f>F646&amp;E646&amp;G646&amp;J646</f>
        <v/>
      </c>
    </row>
    <row r="647">
      <c r="B647" s="10" t="n">
        <v>44205</v>
      </c>
      <c r="C647" s="9">
        <f>TEXT(B647,"aaa")</f>
        <v/>
      </c>
      <c r="E647" s="9">
        <f>INDEX(매칭테이블!C:C,MATCH(RD!G647,매칭테이블!D:D,0))</f>
        <v/>
      </c>
      <c r="F647" s="9" t="inlineStr">
        <is>
          <t>카페24</t>
        </is>
      </c>
      <c r="G647" s="9" t="inlineStr">
        <is>
          <t>HAIR RÉ:COVERY 15 Revital Shampoo [라베나 리커버리 15 리바이탈 샴푸]제품선택=헤어 리커버리 15 리바이탈 샴푸 - 500ml</t>
        </is>
      </c>
      <c r="H647" s="9" t="n">
        <v>9</v>
      </c>
      <c r="I647" s="9">
        <f>VLOOKUP(G647,매칭테이블!D:E,2,0)</f>
        <v/>
      </c>
      <c r="J647" s="9" t="n">
        <v>201210</v>
      </c>
      <c r="L647" s="9">
        <f>VLOOKUP($O647,매칭테이블!$G:$J,2,0)*H647</f>
        <v/>
      </c>
      <c r="M647" s="9">
        <f>L647-L647*VLOOKUP($O647,매칭테이블!$G:$J,3,0)</f>
        <v/>
      </c>
      <c r="N647" s="9">
        <f>VLOOKUP($O647,매칭테이블!$G:$J,4,0)*H647</f>
        <v/>
      </c>
      <c r="O647" s="9">
        <f>F647&amp;E647&amp;G647&amp;J647</f>
        <v/>
      </c>
    </row>
    <row r="648">
      <c r="B648" s="10" t="n">
        <v>44205</v>
      </c>
      <c r="C648" s="9">
        <f>TEXT(B648,"aaa")</f>
        <v/>
      </c>
      <c r="E648" s="9">
        <f>INDEX(매칭테이블!C:C,MATCH(RD!G648,매칭테이블!D:D,0))</f>
        <v/>
      </c>
      <c r="F648" s="9" t="inlineStr">
        <is>
          <t>카페24</t>
        </is>
      </c>
      <c r="G648" s="9" t="inlineStr">
        <is>
          <t>HAIR RÉ:COVERY 15 Revital Shampoo [라베나 리커버리 15 리바이탈 샴푸]제품선택=리바이탈 샴푸 2개 세트 5%추가할인</t>
        </is>
      </c>
      <c r="H648" s="9" t="n">
        <v>1</v>
      </c>
      <c r="I648" s="9">
        <f>VLOOKUP(G648,매칭테이블!D:E,2,0)</f>
        <v/>
      </c>
      <c r="J648" s="9" t="n">
        <v>201210</v>
      </c>
      <c r="L648" s="9">
        <f>VLOOKUP($O648,매칭테이블!$G:$J,2,0)*H648</f>
        <v/>
      </c>
      <c r="M648" s="9">
        <f>L648-L648*VLOOKUP($O648,매칭테이블!$G:$J,3,0)</f>
        <v/>
      </c>
      <c r="N648" s="9">
        <f>VLOOKUP($O648,매칭테이블!$G:$J,4,0)*H648</f>
        <v/>
      </c>
      <c r="O648" s="9">
        <f>F648&amp;E648&amp;G648&amp;J648</f>
        <v/>
      </c>
    </row>
    <row r="649">
      <c r="B649" s="10" t="n">
        <v>44205</v>
      </c>
      <c r="C649" s="9">
        <f>TEXT(B649,"aaa")</f>
        <v/>
      </c>
      <c r="E649" s="9">
        <f>INDEX(매칭테이블!C:C,MATCH(RD!G649,매칭테이블!D:D,0))</f>
        <v/>
      </c>
      <c r="F649" s="9" t="inlineStr">
        <is>
          <t>카페24</t>
        </is>
      </c>
      <c r="G649" s="9" t="inlineStr">
        <is>
          <t>HAIR RÉ:COVERY 15 Revital Shampoo [라베나 리커버리 15 리바이탈 샴푸]제품선택=리바이탈 샴푸 3개 세트 10% 추가할인</t>
        </is>
      </c>
      <c r="H649" s="9" t="n">
        <v>3</v>
      </c>
      <c r="I649" s="9">
        <f>VLOOKUP(G649,매칭테이블!D:E,2,0)</f>
        <v/>
      </c>
      <c r="J649" s="9" t="n">
        <v>201210</v>
      </c>
      <c r="L649" s="9">
        <f>VLOOKUP($O649,매칭테이블!$G:$J,2,0)*H649</f>
        <v/>
      </c>
      <c r="M649" s="9">
        <f>L649-L649*VLOOKUP($O649,매칭테이블!$G:$J,3,0)</f>
        <v/>
      </c>
      <c r="N649" s="9">
        <f>VLOOKUP($O649,매칭테이블!$G:$J,4,0)*H649</f>
        <v/>
      </c>
      <c r="O649" s="9">
        <f>F649&amp;E649&amp;G649&amp;J649</f>
        <v/>
      </c>
    </row>
    <row r="650">
      <c r="B650" s="10" t="n">
        <v>44206</v>
      </c>
      <c r="C650" s="9">
        <f>TEXT(B650,"aaa")</f>
        <v/>
      </c>
      <c r="E650" s="9">
        <f>INDEX(매칭테이블!C:C,MATCH(RD!G650,매칭테이블!D:D,0))</f>
        <v/>
      </c>
      <c r="F650" s="9" t="inlineStr">
        <is>
          <t>카페24</t>
        </is>
      </c>
      <c r="G650" s="9" t="inlineStr">
        <is>
          <t>HAIR RÉ:COVERY 15 Hairpack Treatment [라베나 리커버리 15 헤어팩 트리트먼트]제품선택=헤어 리커버리 15 헤어팩 트리트먼트</t>
        </is>
      </c>
      <c r="H650" s="9" t="n">
        <v>15</v>
      </c>
      <c r="I650" s="9">
        <f>VLOOKUP(G650,매칭테이블!D:E,2,0)</f>
        <v/>
      </c>
      <c r="J650" s="9" t="n">
        <v>201210</v>
      </c>
      <c r="L650" s="9">
        <f>VLOOKUP($O650,매칭테이블!$G:$J,2,0)*H650</f>
        <v/>
      </c>
      <c r="M650" s="9">
        <f>L650-L650*VLOOKUP($O650,매칭테이블!$G:$J,3,0)</f>
        <v/>
      </c>
      <c r="N650" s="9">
        <f>VLOOKUP($O650,매칭테이블!$G:$J,4,0)*H650</f>
        <v/>
      </c>
      <c r="O650" s="9">
        <f>F650&amp;E650&amp;G650&amp;J650</f>
        <v/>
      </c>
    </row>
    <row r="651">
      <c r="B651" s="10" t="n">
        <v>44206</v>
      </c>
      <c r="C651" s="9">
        <f>TEXT(B651,"aaa")</f>
        <v/>
      </c>
      <c r="E651" s="9">
        <f>INDEX(매칭테이블!C:C,MATCH(RD!G651,매칭테이블!D:D,0))</f>
        <v/>
      </c>
      <c r="F651" s="9" t="inlineStr">
        <is>
          <t>카페24</t>
        </is>
      </c>
      <c r="G651" s="9" t="inlineStr">
        <is>
          <t>HAIR RÉ:COVERY 15 Hairpack Treatment [라베나 리커버리 15 헤어팩 트리트먼트]제품선택=헤어팩 트리트먼트 2개 세트 5% 추가할인</t>
        </is>
      </c>
      <c r="H651" s="9" t="n">
        <v>5</v>
      </c>
      <c r="I651" s="9">
        <f>VLOOKUP(G651,매칭테이블!D:E,2,0)</f>
        <v/>
      </c>
      <c r="J651" s="9" t="n">
        <v>201210</v>
      </c>
      <c r="L651" s="9">
        <f>VLOOKUP($O651,매칭테이블!$G:$J,2,0)*H651</f>
        <v/>
      </c>
      <c r="M651" s="9">
        <f>L651-L651*VLOOKUP($O651,매칭테이블!$G:$J,3,0)</f>
        <v/>
      </c>
      <c r="N651" s="9">
        <f>VLOOKUP($O651,매칭테이블!$G:$J,4,0)*H651</f>
        <v/>
      </c>
      <c r="O651" s="9">
        <f>F651&amp;E651&amp;G651&amp;J651</f>
        <v/>
      </c>
    </row>
    <row r="652">
      <c r="B652" s="10" t="n">
        <v>44206</v>
      </c>
      <c r="C652" s="9">
        <f>TEXT(B652,"aaa")</f>
        <v/>
      </c>
      <c r="E652" s="9">
        <f>INDEX(매칭테이블!C:C,MATCH(RD!G652,매칭테이블!D:D,0))</f>
        <v/>
      </c>
      <c r="F652" s="9" t="inlineStr">
        <is>
          <t>카페24</t>
        </is>
      </c>
      <c r="G652" s="9" t="inlineStr">
        <is>
          <t>HAIR RÉ:COVERY 15 Hairpack Treatment [라베나 리커버리 15 헤어팩 트리트먼트]제품선택=헤어팩 트리트먼트 3개 세트 10% 추가할인</t>
        </is>
      </c>
      <c r="H652" s="9" t="n">
        <v>3</v>
      </c>
      <c r="I652" s="9">
        <f>VLOOKUP(G652,매칭테이블!D:E,2,0)</f>
        <v/>
      </c>
      <c r="J652" s="9" t="n">
        <v>201210</v>
      </c>
      <c r="L652" s="9">
        <f>VLOOKUP($O652,매칭테이블!$G:$J,2,0)*H652</f>
        <v/>
      </c>
      <c r="M652" s="9">
        <f>L652-L652*VLOOKUP($O652,매칭테이블!$G:$J,3,0)</f>
        <v/>
      </c>
      <c r="N652" s="9">
        <f>VLOOKUP($O652,매칭테이블!$G:$J,4,0)*H652</f>
        <v/>
      </c>
      <c r="O652" s="9">
        <f>F652&amp;E652&amp;G652&amp;J652</f>
        <v/>
      </c>
    </row>
    <row r="653">
      <c r="B653" s="10" t="n">
        <v>44206</v>
      </c>
      <c r="C653" s="9">
        <f>TEXT(B653,"aaa")</f>
        <v/>
      </c>
      <c r="E653" s="9">
        <f>INDEX(매칭테이블!C:C,MATCH(RD!G653,매칭테이블!D:D,0))</f>
        <v/>
      </c>
      <c r="F653" s="9" t="inlineStr">
        <is>
          <t>카페24</t>
        </is>
      </c>
      <c r="G653" s="9" t="inlineStr">
        <is>
          <t>HAIR RÉ:COVERY 15 Hairpack Treatment [라베나 리커버리 15 헤어팩 트리트먼트]제품선택=헤어팩 트리트먼트 1개 + 뉴트리셔스밤 1개 세트 5% 추가할인</t>
        </is>
      </c>
      <c r="H653" s="9" t="n">
        <v>2</v>
      </c>
      <c r="I653" s="9">
        <f>VLOOKUP(G653,매칭테이블!D:E,2,0)</f>
        <v/>
      </c>
      <c r="J653" s="9" t="n">
        <v>201210</v>
      </c>
      <c r="L653" s="9">
        <f>VLOOKUP($O653,매칭테이블!$G:$J,2,0)*H653</f>
        <v/>
      </c>
      <c r="M653" s="9">
        <f>L653-L653*VLOOKUP($O653,매칭테이블!$G:$J,3,0)</f>
        <v/>
      </c>
      <c r="N653" s="9">
        <f>VLOOKUP($O653,매칭테이블!$G:$J,4,0)*H653</f>
        <v/>
      </c>
      <c r="O653" s="9">
        <f>F653&amp;E653&amp;G653&amp;J653</f>
        <v/>
      </c>
    </row>
    <row r="654">
      <c r="B654" s="10" t="n">
        <v>44206</v>
      </c>
      <c r="C654" s="9">
        <f>TEXT(B654,"aaa")</f>
        <v/>
      </c>
      <c r="E654" s="9">
        <f>INDEX(매칭테이블!C:C,MATCH(RD!G654,매칭테이블!D:D,0))</f>
        <v/>
      </c>
      <c r="F654" s="9" t="inlineStr">
        <is>
          <t>카페24</t>
        </is>
      </c>
      <c r="G654" s="9" t="inlineStr">
        <is>
          <t>HAIR RÉ:COVERY 15 Nutritious Balm [라베나 리커버리 15 뉴트리셔스 밤]제품선택=헤어 리커버리 15 뉴트리셔스 밤</t>
        </is>
      </c>
      <c r="H654" s="9" t="n">
        <v>13</v>
      </c>
      <c r="I654" s="9">
        <f>VLOOKUP(G654,매칭테이블!D:E,2,0)</f>
        <v/>
      </c>
      <c r="J654" s="9" t="n">
        <v>201210</v>
      </c>
      <c r="L654" s="9">
        <f>VLOOKUP($O654,매칭테이블!$G:$J,2,0)*H654</f>
        <v/>
      </c>
      <c r="M654" s="9">
        <f>L654-L654*VLOOKUP($O654,매칭테이블!$G:$J,3,0)</f>
        <v/>
      </c>
      <c r="N654" s="9">
        <f>VLOOKUP($O654,매칭테이블!$G:$J,4,0)*H654</f>
        <v/>
      </c>
      <c r="O654" s="9">
        <f>F654&amp;E654&amp;G654&amp;J654</f>
        <v/>
      </c>
    </row>
    <row r="655">
      <c r="B655" s="10" t="n">
        <v>44206</v>
      </c>
      <c r="C655" s="9">
        <f>TEXT(B655,"aaa")</f>
        <v/>
      </c>
      <c r="E655" s="9">
        <f>INDEX(매칭테이블!C:C,MATCH(RD!G655,매칭테이블!D:D,0))</f>
        <v/>
      </c>
      <c r="F655" s="9" t="inlineStr">
        <is>
          <t>카페24</t>
        </is>
      </c>
      <c r="G655" s="9" t="inlineStr">
        <is>
          <t>HAIR RÉ:COVERY 15 Nutritious Balm [라베나 리커버리 15 뉴트리셔스 밤]제품선택=뉴트리셔스 밤 2개 세트 5% 추가할인</t>
        </is>
      </c>
      <c r="H655" s="9" t="n">
        <v>3</v>
      </c>
      <c r="I655" s="9">
        <f>VLOOKUP(G655,매칭테이블!D:E,2,0)</f>
        <v/>
      </c>
      <c r="J655" s="9" t="n">
        <v>201210</v>
      </c>
      <c r="L655" s="9">
        <f>VLOOKUP($O655,매칭테이블!$G:$J,2,0)*H655</f>
        <v/>
      </c>
      <c r="M655" s="9">
        <f>L655-L655*VLOOKUP($O655,매칭테이블!$G:$J,3,0)</f>
        <v/>
      </c>
      <c r="N655" s="9">
        <f>VLOOKUP($O655,매칭테이블!$G:$J,4,0)*H655</f>
        <v/>
      </c>
      <c r="O655" s="9">
        <f>F655&amp;E655&amp;G655&amp;J655</f>
        <v/>
      </c>
    </row>
    <row r="656">
      <c r="B656" s="10" t="n">
        <v>44206</v>
      </c>
      <c r="C656" s="9">
        <f>TEXT(B656,"aaa")</f>
        <v/>
      </c>
      <c r="E656" s="9">
        <f>INDEX(매칭테이블!C:C,MATCH(RD!G656,매칭테이블!D:D,0))</f>
        <v/>
      </c>
      <c r="F656" s="9" t="inlineStr">
        <is>
          <t>카페24</t>
        </is>
      </c>
      <c r="G656" s="9" t="inlineStr">
        <is>
          <t>HAIR RÉ:COVERY 15 Nutritious Balm [라베나 리커버리 15 뉴트리셔스 밤]제품선택=뉴트리셔스 밤 3개 세트 10% 추가할인</t>
        </is>
      </c>
      <c r="H656" s="9" t="n">
        <v>1</v>
      </c>
      <c r="I656" s="9">
        <f>VLOOKUP(G656,매칭테이블!D:E,2,0)</f>
        <v/>
      </c>
      <c r="J656" s="9" t="n">
        <v>201210</v>
      </c>
      <c r="L656" s="9">
        <f>VLOOKUP($O656,매칭테이블!$G:$J,2,0)*H656</f>
        <v/>
      </c>
      <c r="M656" s="9">
        <f>L656-L656*VLOOKUP($O656,매칭테이블!$G:$J,3,0)</f>
        <v/>
      </c>
      <c r="N656" s="9">
        <f>VLOOKUP($O656,매칭테이블!$G:$J,4,0)*H656</f>
        <v/>
      </c>
      <c r="O656" s="9">
        <f>F656&amp;E656&amp;G656&amp;J656</f>
        <v/>
      </c>
    </row>
    <row r="657">
      <c r="B657" s="10" t="n">
        <v>44206</v>
      </c>
      <c r="C657" s="9">
        <f>TEXT(B657,"aaa")</f>
        <v/>
      </c>
      <c r="E657" s="9">
        <f>INDEX(매칭테이블!C:C,MATCH(RD!G657,매칭테이블!D:D,0))</f>
        <v/>
      </c>
      <c r="F657" s="9" t="inlineStr">
        <is>
          <t>카페24</t>
        </is>
      </c>
      <c r="G657" s="9" t="inlineStr">
        <is>
          <t>HAIR RÉ:COVERY 15 Nutritious Balm [라베나 리커버리 15 뉴트리셔스 밤]제품선택=뉴트리셔스밤 1개 + 헤어팩 트리트먼트 1개 세트 5%추가할인</t>
        </is>
      </c>
      <c r="H657" s="9" t="n">
        <v>2</v>
      </c>
      <c r="I657" s="9">
        <f>VLOOKUP(G657,매칭테이블!D:E,2,0)</f>
        <v/>
      </c>
      <c r="J657" s="9" t="n">
        <v>201210</v>
      </c>
      <c r="L657" s="9">
        <f>VLOOKUP($O657,매칭테이블!$G:$J,2,0)*H657</f>
        <v/>
      </c>
      <c r="M657" s="9">
        <f>L657-L657*VLOOKUP($O657,매칭테이블!$G:$J,3,0)</f>
        <v/>
      </c>
      <c r="N657" s="9">
        <f>VLOOKUP($O657,매칭테이블!$G:$J,4,0)*H657</f>
        <v/>
      </c>
      <c r="O657" s="9">
        <f>F657&amp;E657&amp;G657&amp;J657</f>
        <v/>
      </c>
    </row>
    <row r="658">
      <c r="B658" s="10" t="n">
        <v>44206</v>
      </c>
      <c r="C658" s="9">
        <f>TEXT(B658,"aaa")</f>
        <v/>
      </c>
      <c r="E658" s="9">
        <f>INDEX(매칭테이블!C:C,MATCH(RD!G658,매칭테이블!D:D,0))</f>
        <v/>
      </c>
      <c r="F658" s="9" t="inlineStr">
        <is>
          <t>카페24</t>
        </is>
      </c>
      <c r="G658" s="9" t="inlineStr">
        <is>
          <t>HAIR RÉ:COVERY 15 Revital Shampoo [라베나 리커버리 15 리바이탈 샴푸]제품선택=헤어 리커버리 15 리바이탈 샴푸 - 500ml</t>
        </is>
      </c>
      <c r="H658" s="9" t="n">
        <v>10</v>
      </c>
      <c r="I658" s="9">
        <f>VLOOKUP(G658,매칭테이블!D:E,2,0)</f>
        <v/>
      </c>
      <c r="J658" s="9" t="n">
        <v>201210</v>
      </c>
      <c r="L658" s="9">
        <f>VLOOKUP($O658,매칭테이블!$G:$J,2,0)*H658</f>
        <v/>
      </c>
      <c r="M658" s="9">
        <f>L658-L658*VLOOKUP($O658,매칭테이블!$G:$J,3,0)</f>
        <v/>
      </c>
      <c r="N658" s="9">
        <f>VLOOKUP($O658,매칭테이블!$G:$J,4,0)*H658</f>
        <v/>
      </c>
      <c r="O658" s="9">
        <f>F658&amp;E658&amp;G658&amp;J658</f>
        <v/>
      </c>
    </row>
    <row r="659">
      <c r="B659" s="10" t="n">
        <v>44206</v>
      </c>
      <c r="C659" s="9">
        <f>TEXT(B659,"aaa")</f>
        <v/>
      </c>
      <c r="E659" s="9">
        <f>INDEX(매칭테이블!C:C,MATCH(RD!G659,매칭테이블!D:D,0))</f>
        <v/>
      </c>
      <c r="F659" s="9" t="inlineStr">
        <is>
          <t>카페24</t>
        </is>
      </c>
      <c r="G659" s="9" t="inlineStr">
        <is>
          <t>HAIR RÉ:COVERY 15 Revital Shampoo [라베나 리커버리 15 리바이탈 샴푸]제품선택=리바이탈 샴푸 2개 세트 5%추가할인</t>
        </is>
      </c>
      <c r="H659" s="9" t="n">
        <v>4</v>
      </c>
      <c r="I659" s="9">
        <f>VLOOKUP(G659,매칭테이블!D:E,2,0)</f>
        <v/>
      </c>
      <c r="J659" s="9" t="n">
        <v>201210</v>
      </c>
      <c r="L659" s="9">
        <f>VLOOKUP($O659,매칭테이블!$G:$J,2,0)*H659</f>
        <v/>
      </c>
      <c r="M659" s="9">
        <f>L659-L659*VLOOKUP($O659,매칭테이블!$G:$J,3,0)</f>
        <v/>
      </c>
      <c r="N659" s="9">
        <f>VLOOKUP($O659,매칭테이블!$G:$J,4,0)*H659</f>
        <v/>
      </c>
      <c r="O659" s="9">
        <f>F659&amp;E659&amp;G659&amp;J659</f>
        <v/>
      </c>
    </row>
    <row r="660">
      <c r="B660" s="10" t="n">
        <v>44206</v>
      </c>
      <c r="C660" s="9">
        <f>TEXT(B660,"aaa")</f>
        <v/>
      </c>
      <c r="E660" s="9">
        <f>INDEX(매칭테이블!C:C,MATCH(RD!G660,매칭테이블!D:D,0))</f>
        <v/>
      </c>
      <c r="F660" s="9" t="inlineStr">
        <is>
          <t>카페24</t>
        </is>
      </c>
      <c r="G660" s="9" t="inlineStr">
        <is>
          <t>HAIR RÉ:COVERY 15 Revital Shampoo [라베나 리커버리 15 리바이탈 샴푸]제품선택=리바이탈 샴푸 3개 세트 10% 추가할인</t>
        </is>
      </c>
      <c r="H660" s="9" t="n">
        <v>1</v>
      </c>
      <c r="I660" s="9">
        <f>VLOOKUP(G660,매칭테이블!D:E,2,0)</f>
        <v/>
      </c>
      <c r="J660" s="9" t="n">
        <v>201210</v>
      </c>
      <c r="L660" s="9">
        <f>VLOOKUP($O660,매칭테이블!$G:$J,2,0)*H660</f>
        <v/>
      </c>
      <c r="M660" s="9">
        <f>L660-L660*VLOOKUP($O660,매칭테이블!$G:$J,3,0)</f>
        <v/>
      </c>
      <c r="N660" s="9">
        <f>VLOOKUP($O660,매칭테이블!$G:$J,4,0)*H660</f>
        <v/>
      </c>
      <c r="O660" s="9">
        <f>F660&amp;E660&amp;G660&amp;J660</f>
        <v/>
      </c>
    </row>
    <row r="661">
      <c r="B661" s="10" t="n">
        <v>44207</v>
      </c>
      <c r="C661" s="9">
        <f>TEXT(B661,"aaa")</f>
        <v/>
      </c>
      <c r="E661" s="9">
        <f>INDEX(매칭테이블!C:C,MATCH(RD!G661,매칭테이블!D:D,0))</f>
        <v/>
      </c>
      <c r="F661" s="9" t="inlineStr">
        <is>
          <t>카페24</t>
        </is>
      </c>
      <c r="G661" s="9" t="inlineStr">
        <is>
          <t>HAIR RÉ:COVERY 15 Hairpack Treatment [라베나 리커버리 15 헤어팩 트리트먼트]제품선택=헤어 리커버리 15 헤어팩 트리트먼트</t>
        </is>
      </c>
      <c r="H661" s="9" t="n">
        <v>12</v>
      </c>
      <c r="I661" s="9">
        <f>VLOOKUP(G661,매칭테이블!D:E,2,0)</f>
        <v/>
      </c>
      <c r="J661" s="9" t="n">
        <v>201210</v>
      </c>
      <c r="L661" s="9">
        <f>VLOOKUP($O661,매칭테이블!$G:$J,2,0)*H661</f>
        <v/>
      </c>
      <c r="M661" s="9">
        <f>L661-L661*VLOOKUP($O661,매칭테이블!$G:$J,3,0)</f>
        <v/>
      </c>
      <c r="N661" s="9">
        <f>VLOOKUP($O661,매칭테이블!$G:$J,4,0)*H661</f>
        <v/>
      </c>
      <c r="O661" s="9">
        <f>F661&amp;E661&amp;G661&amp;J661</f>
        <v/>
      </c>
    </row>
    <row r="662">
      <c r="B662" s="10" t="n">
        <v>44207</v>
      </c>
      <c r="C662" s="9">
        <f>TEXT(B662,"aaa")</f>
        <v/>
      </c>
      <c r="E662" s="9">
        <f>INDEX(매칭테이블!C:C,MATCH(RD!G662,매칭테이블!D:D,0))</f>
        <v/>
      </c>
      <c r="F662" s="9" t="inlineStr">
        <is>
          <t>카페24</t>
        </is>
      </c>
      <c r="G662" s="9" t="inlineStr">
        <is>
          <t>HAIR RÉ:COVERY 15 Hairpack Treatment [라베나 리커버리 15 헤어팩 트리트먼트]제품선택=헤어팩 트리트먼트 2개 세트 5% 추가할인</t>
        </is>
      </c>
      <c r="H662" s="9" t="n">
        <v>2</v>
      </c>
      <c r="I662" s="9">
        <f>VLOOKUP(G662,매칭테이블!D:E,2,0)</f>
        <v/>
      </c>
      <c r="J662" s="9" t="n">
        <v>201210</v>
      </c>
      <c r="L662" s="9">
        <f>VLOOKUP($O662,매칭테이블!$G:$J,2,0)*H662</f>
        <v/>
      </c>
      <c r="M662" s="9">
        <f>L662-L662*VLOOKUP($O662,매칭테이블!$G:$J,3,0)</f>
        <v/>
      </c>
      <c r="N662" s="9">
        <f>VLOOKUP($O662,매칭테이블!$G:$J,4,0)*H662</f>
        <v/>
      </c>
      <c r="O662" s="9">
        <f>F662&amp;E662&amp;G662&amp;J662</f>
        <v/>
      </c>
    </row>
    <row r="663">
      <c r="B663" s="10" t="n">
        <v>44207</v>
      </c>
      <c r="C663" s="9">
        <f>TEXT(B663,"aaa")</f>
        <v/>
      </c>
      <c r="E663" s="9">
        <f>INDEX(매칭테이블!C:C,MATCH(RD!G663,매칭테이블!D:D,0))</f>
        <v/>
      </c>
      <c r="F663" s="9" t="inlineStr">
        <is>
          <t>카페24</t>
        </is>
      </c>
      <c r="G663" s="9" t="inlineStr">
        <is>
          <t>HAIR RÉ:COVERY 15 Hairpack Treatment [라베나 리커버리 15 헤어팩 트리트먼트]제품선택=헤어팩 트리트먼트 3개 세트 10% 추가할인</t>
        </is>
      </c>
      <c r="H663" s="9" t="n">
        <v>3</v>
      </c>
      <c r="I663" s="9">
        <f>VLOOKUP(G663,매칭테이블!D:E,2,0)</f>
        <v/>
      </c>
      <c r="J663" s="9" t="n">
        <v>201210</v>
      </c>
      <c r="L663" s="9">
        <f>VLOOKUP($O663,매칭테이블!$G:$J,2,0)*H663</f>
        <v/>
      </c>
      <c r="M663" s="9">
        <f>L663-L663*VLOOKUP($O663,매칭테이블!$G:$J,3,0)</f>
        <v/>
      </c>
      <c r="N663" s="9">
        <f>VLOOKUP($O663,매칭테이블!$G:$J,4,0)*H663</f>
        <v/>
      </c>
      <c r="O663" s="9">
        <f>F663&amp;E663&amp;G663&amp;J663</f>
        <v/>
      </c>
    </row>
    <row r="664">
      <c r="B664" s="10" t="n">
        <v>44207</v>
      </c>
      <c r="C664" s="9">
        <f>TEXT(B664,"aaa")</f>
        <v/>
      </c>
      <c r="E664" s="9">
        <f>INDEX(매칭테이블!C:C,MATCH(RD!G664,매칭테이블!D:D,0))</f>
        <v/>
      </c>
      <c r="F664" s="9" t="inlineStr">
        <is>
          <t>카페24</t>
        </is>
      </c>
      <c r="G664" s="9" t="inlineStr">
        <is>
          <t>HAIR RÉ:COVERY 15 Hairpack Treatment [라베나 리커버리 15 헤어팩 트리트먼트]제품선택=헤어팩 트리트먼트 1개 + 뉴트리셔스밤 1개 세트 5% 추가할인</t>
        </is>
      </c>
      <c r="H664" s="9" t="n">
        <v>2</v>
      </c>
      <c r="I664" s="9">
        <f>VLOOKUP(G664,매칭테이블!D:E,2,0)</f>
        <v/>
      </c>
      <c r="J664" s="9" t="n">
        <v>201210</v>
      </c>
      <c r="L664" s="9">
        <f>VLOOKUP($O664,매칭테이블!$G:$J,2,0)*H664</f>
        <v/>
      </c>
      <c r="M664" s="9">
        <f>L664-L664*VLOOKUP($O664,매칭테이블!$G:$J,3,0)</f>
        <v/>
      </c>
      <c r="N664" s="9">
        <f>VLOOKUP($O664,매칭테이블!$G:$J,4,0)*H664</f>
        <v/>
      </c>
      <c r="O664" s="9">
        <f>F664&amp;E664&amp;G664&amp;J664</f>
        <v/>
      </c>
    </row>
    <row r="665">
      <c r="B665" s="10" t="n">
        <v>44207</v>
      </c>
      <c r="C665" s="9">
        <f>TEXT(B665,"aaa")</f>
        <v/>
      </c>
      <c r="E665" s="9">
        <f>INDEX(매칭테이블!C:C,MATCH(RD!G665,매칭테이블!D:D,0))</f>
        <v/>
      </c>
      <c r="F665" s="9" t="inlineStr">
        <is>
          <t>카페24</t>
        </is>
      </c>
      <c r="G665" s="9" t="inlineStr">
        <is>
          <t>HAIR RÉ:COVERY 15 Nutritious Balm [라베나 리커버리 15 뉴트리셔스 밤]제품선택=헤어 리커버리 15 뉴트리셔스 밤</t>
        </is>
      </c>
      <c r="H665" s="9" t="n">
        <v>7</v>
      </c>
      <c r="I665" s="9">
        <f>VLOOKUP(G665,매칭테이블!D:E,2,0)</f>
        <v/>
      </c>
      <c r="J665" s="9" t="n">
        <v>201210</v>
      </c>
      <c r="L665" s="9">
        <f>VLOOKUP($O665,매칭테이블!$G:$J,2,0)*H665</f>
        <v/>
      </c>
      <c r="M665" s="9">
        <f>L665-L665*VLOOKUP($O665,매칭테이블!$G:$J,3,0)</f>
        <v/>
      </c>
      <c r="N665" s="9">
        <f>VLOOKUP($O665,매칭테이블!$G:$J,4,0)*H665</f>
        <v/>
      </c>
      <c r="O665" s="9">
        <f>F665&amp;E665&amp;G665&amp;J665</f>
        <v/>
      </c>
    </row>
    <row r="666">
      <c r="B666" s="10" t="n">
        <v>44207</v>
      </c>
      <c r="C666" s="9">
        <f>TEXT(B666,"aaa")</f>
        <v/>
      </c>
      <c r="E666" s="9">
        <f>INDEX(매칭테이블!C:C,MATCH(RD!G666,매칭테이블!D:D,0))</f>
        <v/>
      </c>
      <c r="F666" s="9" t="inlineStr">
        <is>
          <t>카페24</t>
        </is>
      </c>
      <c r="G666" s="9" t="inlineStr">
        <is>
          <t>HAIR RÉ:COVERY 15 Nutritious Balm [라베나 리커버리 15 뉴트리셔스 밤]제품선택=뉴트리셔스 밤 2개 세트 5% 추가할인</t>
        </is>
      </c>
      <c r="H666" s="9" t="n">
        <v>2</v>
      </c>
      <c r="I666" s="9">
        <f>VLOOKUP(G666,매칭테이블!D:E,2,0)</f>
        <v/>
      </c>
      <c r="J666" s="9" t="n">
        <v>201210</v>
      </c>
      <c r="L666" s="9">
        <f>VLOOKUP($O666,매칭테이블!$G:$J,2,0)*H666</f>
        <v/>
      </c>
      <c r="M666" s="9">
        <f>L666-L666*VLOOKUP($O666,매칭테이블!$G:$J,3,0)</f>
        <v/>
      </c>
      <c r="N666" s="9">
        <f>VLOOKUP($O666,매칭테이블!$G:$J,4,0)*H666</f>
        <v/>
      </c>
      <c r="O666" s="9">
        <f>F666&amp;E666&amp;G666&amp;J666</f>
        <v/>
      </c>
    </row>
    <row r="667">
      <c r="B667" s="10" t="n">
        <v>44207</v>
      </c>
      <c r="C667" s="9">
        <f>TEXT(B667,"aaa")</f>
        <v/>
      </c>
      <c r="E667" s="9">
        <f>INDEX(매칭테이블!C:C,MATCH(RD!G667,매칭테이블!D:D,0))</f>
        <v/>
      </c>
      <c r="F667" s="9" t="inlineStr">
        <is>
          <t>카페24</t>
        </is>
      </c>
      <c r="G667" s="9" t="inlineStr">
        <is>
          <t>HAIR RÉ:COVERY 15 Nutritious Balm [라베나 리커버리 15 뉴트리셔스 밤]제품선택=뉴트리셔스 밤 3개 세트 10% 추가할인</t>
        </is>
      </c>
      <c r="H667" s="9" t="n">
        <v>3</v>
      </c>
      <c r="I667" s="9">
        <f>VLOOKUP(G667,매칭테이블!D:E,2,0)</f>
        <v/>
      </c>
      <c r="J667" s="9" t="n">
        <v>201210</v>
      </c>
      <c r="L667" s="9">
        <f>VLOOKUP($O667,매칭테이블!$G:$J,2,0)*H667</f>
        <v/>
      </c>
      <c r="M667" s="9">
        <f>L667-L667*VLOOKUP($O667,매칭테이블!$G:$J,3,0)</f>
        <v/>
      </c>
      <c r="N667" s="9">
        <f>VLOOKUP($O667,매칭테이블!$G:$J,4,0)*H667</f>
        <v/>
      </c>
      <c r="O667" s="9">
        <f>F667&amp;E667&amp;G667&amp;J667</f>
        <v/>
      </c>
    </row>
    <row r="668">
      <c r="B668" s="10" t="n">
        <v>44207</v>
      </c>
      <c r="C668" s="9">
        <f>TEXT(B668,"aaa")</f>
        <v/>
      </c>
      <c r="E668" s="9">
        <f>INDEX(매칭테이블!C:C,MATCH(RD!G668,매칭테이블!D:D,0))</f>
        <v/>
      </c>
      <c r="F668" s="9" t="inlineStr">
        <is>
          <t>카페24</t>
        </is>
      </c>
      <c r="G668" s="9" t="inlineStr">
        <is>
          <t>HAIR RÉ:COVERY 15 Nutritious Balm [라베나 리커버리 15 뉴트리셔스 밤]제품선택=뉴트리셔스밤 1개 + 헤어팩 트리트먼트 1개 세트 5%추가할인</t>
        </is>
      </c>
      <c r="H668" s="9" t="n">
        <v>2</v>
      </c>
      <c r="I668" s="9">
        <f>VLOOKUP(G668,매칭테이블!D:E,2,0)</f>
        <v/>
      </c>
      <c r="J668" s="9" t="n">
        <v>201210</v>
      </c>
      <c r="L668" s="9">
        <f>VLOOKUP($O668,매칭테이블!$G:$J,2,0)*H668</f>
        <v/>
      </c>
      <c r="M668" s="9">
        <f>L668-L668*VLOOKUP($O668,매칭테이블!$G:$J,3,0)</f>
        <v/>
      </c>
      <c r="N668" s="9">
        <f>VLOOKUP($O668,매칭테이블!$G:$J,4,0)*H668</f>
        <v/>
      </c>
      <c r="O668" s="9">
        <f>F668&amp;E668&amp;G668&amp;J668</f>
        <v/>
      </c>
    </row>
    <row r="669">
      <c r="B669" s="10" t="n">
        <v>44207</v>
      </c>
      <c r="C669" s="9">
        <f>TEXT(B669,"aaa")</f>
        <v/>
      </c>
      <c r="E669" s="9">
        <f>INDEX(매칭테이블!C:C,MATCH(RD!G669,매칭테이블!D:D,0))</f>
        <v/>
      </c>
      <c r="F669" s="9" t="inlineStr">
        <is>
          <t>카페24</t>
        </is>
      </c>
      <c r="G669" s="9" t="inlineStr">
        <is>
          <t>HAIR RÉ:COVERY 15 Revital Shampoo [라베나 리커버리 15 리바이탈 샴푸]제품선택=헤어 리커버리 15 리바이탈 샴푸 - 500ml</t>
        </is>
      </c>
      <c r="H669" s="9" t="n">
        <v>14</v>
      </c>
      <c r="I669" s="9">
        <f>VLOOKUP(G669,매칭테이블!D:E,2,0)</f>
        <v/>
      </c>
      <c r="J669" s="9" t="n">
        <v>201210</v>
      </c>
      <c r="L669" s="9">
        <f>VLOOKUP($O669,매칭테이블!$G:$J,2,0)*H669</f>
        <v/>
      </c>
      <c r="M669" s="9">
        <f>L669-L669*VLOOKUP($O669,매칭테이블!$G:$J,3,0)</f>
        <v/>
      </c>
      <c r="N669" s="9">
        <f>VLOOKUP($O669,매칭테이블!$G:$J,4,0)*H669</f>
        <v/>
      </c>
      <c r="O669" s="9">
        <f>F669&amp;E669&amp;G669&amp;J669</f>
        <v/>
      </c>
    </row>
    <row r="670">
      <c r="B670" s="10" t="n">
        <v>44207</v>
      </c>
      <c r="C670" s="9">
        <f>TEXT(B670,"aaa")</f>
        <v/>
      </c>
      <c r="E670" s="9">
        <f>INDEX(매칭테이블!C:C,MATCH(RD!G670,매칭테이블!D:D,0))</f>
        <v/>
      </c>
      <c r="F670" s="9" t="inlineStr">
        <is>
          <t>카페24</t>
        </is>
      </c>
      <c r="G670" s="9" t="inlineStr">
        <is>
          <t>HAIR RÉ:COVERY 15 Revital Shampoo [라베나 리커버리 15 리바이탈 샴푸]제품선택=리바이탈 샴푸 2개 세트 5%추가할인</t>
        </is>
      </c>
      <c r="H670" s="9" t="n">
        <v>6</v>
      </c>
      <c r="I670" s="9">
        <f>VLOOKUP(G670,매칭테이블!D:E,2,0)</f>
        <v/>
      </c>
      <c r="J670" s="9" t="n">
        <v>201210</v>
      </c>
      <c r="L670" s="9">
        <f>VLOOKUP($O670,매칭테이블!$G:$J,2,0)*H670</f>
        <v/>
      </c>
      <c r="M670" s="9">
        <f>L670-L670*VLOOKUP($O670,매칭테이블!$G:$J,3,0)</f>
        <v/>
      </c>
      <c r="N670" s="9">
        <f>VLOOKUP($O670,매칭테이블!$G:$J,4,0)*H670</f>
        <v/>
      </c>
      <c r="O670" s="9">
        <f>F670&amp;E670&amp;G670&amp;J670</f>
        <v/>
      </c>
    </row>
    <row r="671">
      <c r="B671" s="10" t="n">
        <v>44207</v>
      </c>
      <c r="C671" s="9">
        <f>TEXT(B671,"aaa")</f>
        <v/>
      </c>
      <c r="E671" s="9">
        <f>INDEX(매칭테이블!C:C,MATCH(RD!G671,매칭테이블!D:D,0))</f>
        <v/>
      </c>
      <c r="F671" s="9" t="inlineStr">
        <is>
          <t>카페24</t>
        </is>
      </c>
      <c r="G671" s="9" t="inlineStr">
        <is>
          <t>HAIR RÉ:COVERY 15 Revital Shampoo [라베나 리커버리 15 리바이탈 샴푸]제품선택=리바이탈 샴푸 3개 세트 10% 추가할인</t>
        </is>
      </c>
      <c r="H671" s="9" t="n">
        <v>3</v>
      </c>
      <c r="I671" s="9">
        <f>VLOOKUP(G671,매칭테이블!D:E,2,0)</f>
        <v/>
      </c>
      <c r="J671" s="9" t="n">
        <v>201210</v>
      </c>
      <c r="L671" s="9">
        <f>VLOOKUP($O671,매칭테이블!$G:$J,2,0)*H671</f>
        <v/>
      </c>
      <c r="M671" s="9">
        <f>L671-L671*VLOOKUP($O671,매칭테이블!$G:$J,3,0)</f>
        <v/>
      </c>
      <c r="N671" s="9">
        <f>VLOOKUP($O671,매칭테이블!$G:$J,4,0)*H671</f>
        <v/>
      </c>
      <c r="O671" s="9">
        <f>F671&amp;E671&amp;G671&amp;J671</f>
        <v/>
      </c>
    </row>
    <row r="672">
      <c r="B672" s="10" t="n">
        <v>44208</v>
      </c>
      <c r="C672" s="9">
        <f>TEXT(B672,"aaa")</f>
        <v/>
      </c>
      <c r="E672" s="9">
        <f>INDEX(매칭테이블!C:C,MATCH(RD!G672,매칭테이블!D:D,0))</f>
        <v/>
      </c>
      <c r="F672" s="9" t="inlineStr">
        <is>
          <t>라베나 CS</t>
        </is>
      </c>
      <c r="G672" s="9" t="inlineStr">
        <is>
          <t>헤어 리커버리 15 리바이탈 샴푸</t>
        </is>
      </c>
      <c r="H672" s="9" t="n">
        <v>2</v>
      </c>
      <c r="I672" s="9">
        <f>VLOOKUP(G672,매칭테이블!D:E,2,0)</f>
        <v/>
      </c>
      <c r="J672" s="9" t="n">
        <v>201210</v>
      </c>
      <c r="L672" s="9">
        <f>VLOOKUP($O672,매칭테이블!$G:$J,2,0)*H672</f>
        <v/>
      </c>
      <c r="M672" s="9">
        <f>L672-L672*VLOOKUP($O672,매칭테이블!$G:$J,3,0)</f>
        <v/>
      </c>
      <c r="N672" s="9">
        <f>VLOOKUP($O672,매칭테이블!$G:$J,4,0)*H672</f>
        <v/>
      </c>
      <c r="O672" s="9">
        <f>F672&amp;E672&amp;G672&amp;J672</f>
        <v/>
      </c>
    </row>
    <row r="673">
      <c r="B673" s="10" t="n">
        <v>44208</v>
      </c>
      <c r="C673" s="9">
        <f>TEXT(B673,"aaa")</f>
        <v/>
      </c>
      <c r="E673" s="9">
        <f>INDEX(매칭테이블!C:C,MATCH(RD!G673,매칭테이블!D:D,0))</f>
        <v/>
      </c>
      <c r="F673" s="9" t="inlineStr">
        <is>
          <t>카페24</t>
        </is>
      </c>
      <c r="G673" s="9" t="inlineStr">
        <is>
          <t>HAIR RÉ:COVERY 15 Hairpack Treatment [라베나 리커버리 15 헤어팩 트리트먼트]제품선택=헤어 리커버리 15 헤어팩 트리트먼트</t>
        </is>
      </c>
      <c r="H673" s="9" t="n">
        <v>16</v>
      </c>
      <c r="I673" s="9">
        <f>VLOOKUP(G673,매칭테이블!D:E,2,0)</f>
        <v/>
      </c>
      <c r="J673" s="9" t="n">
        <v>201210</v>
      </c>
      <c r="L673" s="9">
        <f>VLOOKUP($O673,매칭테이블!$G:$J,2,0)*H673</f>
        <v/>
      </c>
      <c r="M673" s="9">
        <f>L673-L673*VLOOKUP($O673,매칭테이블!$G:$J,3,0)</f>
        <v/>
      </c>
      <c r="N673" s="9">
        <f>VLOOKUP($O673,매칭테이블!$G:$J,4,0)*H673</f>
        <v/>
      </c>
      <c r="O673" s="9">
        <f>F673&amp;E673&amp;G673&amp;J673</f>
        <v/>
      </c>
    </row>
    <row r="674">
      <c r="B674" s="10" t="n">
        <v>44208</v>
      </c>
      <c r="C674" s="9">
        <f>TEXT(B674,"aaa")</f>
        <v/>
      </c>
      <c r="E674" s="9">
        <f>INDEX(매칭테이블!C:C,MATCH(RD!G674,매칭테이블!D:D,0))</f>
        <v/>
      </c>
      <c r="F674" s="9" t="inlineStr">
        <is>
          <t>카페24</t>
        </is>
      </c>
      <c r="G674" s="9" t="inlineStr">
        <is>
          <t>HAIR RÉ:COVERY 15 Hairpack Treatment [라베나 리커버리 15 헤어팩 트리트먼트]제품선택=헤어팩 트리트먼트 2개 세트 5% 추가할인</t>
        </is>
      </c>
      <c r="H674" s="9" t="n">
        <v>4</v>
      </c>
      <c r="I674" s="9">
        <f>VLOOKUP(G674,매칭테이블!D:E,2,0)</f>
        <v/>
      </c>
      <c r="J674" s="9" t="n">
        <v>201210</v>
      </c>
      <c r="L674" s="9">
        <f>VLOOKUP($O674,매칭테이블!$G:$J,2,0)*H674</f>
        <v/>
      </c>
      <c r="M674" s="9">
        <f>L674-L674*VLOOKUP($O674,매칭테이블!$G:$J,3,0)</f>
        <v/>
      </c>
      <c r="N674" s="9">
        <f>VLOOKUP($O674,매칭테이블!$G:$J,4,0)*H674</f>
        <v/>
      </c>
      <c r="O674" s="9">
        <f>F674&amp;E674&amp;G674&amp;J674</f>
        <v/>
      </c>
    </row>
    <row r="675">
      <c r="B675" s="10" t="n">
        <v>44208</v>
      </c>
      <c r="C675" s="9">
        <f>TEXT(B675,"aaa")</f>
        <v/>
      </c>
      <c r="E675" s="9">
        <f>INDEX(매칭테이블!C:C,MATCH(RD!G675,매칭테이블!D:D,0))</f>
        <v/>
      </c>
      <c r="F675" s="9" t="inlineStr">
        <is>
          <t>카페24</t>
        </is>
      </c>
      <c r="G675" s="9" t="inlineStr">
        <is>
          <t>HAIR RÉ:COVERY 15 Hairpack Treatment [라베나 리커버리 15 헤어팩 트리트먼트]제품선택=헤어팩 트리트먼트 1개 + 뉴트리셔스밤 1개 세트 5% 추가할인</t>
        </is>
      </c>
      <c r="H675" s="9" t="n">
        <v>3</v>
      </c>
      <c r="I675" s="9">
        <f>VLOOKUP(G675,매칭테이블!D:E,2,0)</f>
        <v/>
      </c>
      <c r="J675" s="9" t="n">
        <v>201210</v>
      </c>
      <c r="L675" s="9">
        <f>VLOOKUP($O675,매칭테이블!$G:$J,2,0)*H675</f>
        <v/>
      </c>
      <c r="M675" s="9">
        <f>L675-L675*VLOOKUP($O675,매칭테이블!$G:$J,3,0)</f>
        <v/>
      </c>
      <c r="N675" s="9">
        <f>VLOOKUP($O675,매칭테이블!$G:$J,4,0)*H675</f>
        <v/>
      </c>
      <c r="O675" s="9">
        <f>F675&amp;E675&amp;G675&amp;J675</f>
        <v/>
      </c>
    </row>
    <row r="676">
      <c r="B676" s="10" t="n">
        <v>44208</v>
      </c>
      <c r="C676" s="9">
        <f>TEXT(B676,"aaa")</f>
        <v/>
      </c>
      <c r="E676" s="9">
        <f>INDEX(매칭테이블!C:C,MATCH(RD!G676,매칭테이블!D:D,0))</f>
        <v/>
      </c>
      <c r="F676" s="9" t="inlineStr">
        <is>
          <t>카페24</t>
        </is>
      </c>
      <c r="G676" s="9" t="inlineStr">
        <is>
          <t>HAIR RÉ:COVERY 15 Nutritious Balm [라베나 리커버리 15 뉴트리셔스 밤]제품선택=헤어 리커버리 15 뉴트리셔스 밤</t>
        </is>
      </c>
      <c r="H676" s="9" t="n">
        <v>15</v>
      </c>
      <c r="I676" s="9">
        <f>VLOOKUP(G676,매칭테이블!D:E,2,0)</f>
        <v/>
      </c>
      <c r="J676" s="9" t="n">
        <v>201210</v>
      </c>
      <c r="L676" s="9">
        <f>VLOOKUP($O676,매칭테이블!$G:$J,2,0)*H676</f>
        <v/>
      </c>
      <c r="M676" s="9">
        <f>L676-L676*VLOOKUP($O676,매칭테이블!$G:$J,3,0)</f>
        <v/>
      </c>
      <c r="N676" s="9">
        <f>VLOOKUP($O676,매칭테이블!$G:$J,4,0)*H676</f>
        <v/>
      </c>
      <c r="O676" s="9">
        <f>F676&amp;E676&amp;G676&amp;J676</f>
        <v/>
      </c>
    </row>
    <row r="677">
      <c r="B677" s="10" t="n">
        <v>44208</v>
      </c>
      <c r="C677" s="9">
        <f>TEXT(B677,"aaa")</f>
        <v/>
      </c>
      <c r="E677" s="9">
        <f>INDEX(매칭테이블!C:C,MATCH(RD!G677,매칭테이블!D:D,0))</f>
        <v/>
      </c>
      <c r="F677" s="9" t="inlineStr">
        <is>
          <t>카페24</t>
        </is>
      </c>
      <c r="G677" s="9" t="inlineStr">
        <is>
          <t>HAIR RÉ:COVERY 15 Nutritious Balm [라베나 리커버리 15 뉴트리셔스 밤]제품선택=뉴트리셔스 밤 3개 세트 10% 추가할인</t>
        </is>
      </c>
      <c r="H677" s="9" t="n">
        <v>1</v>
      </c>
      <c r="I677" s="9">
        <f>VLOOKUP(G677,매칭테이블!D:E,2,0)</f>
        <v/>
      </c>
      <c r="J677" s="9" t="n">
        <v>201210</v>
      </c>
      <c r="L677" s="9">
        <f>VLOOKUP($O677,매칭테이블!$G:$J,2,0)*H677</f>
        <v/>
      </c>
      <c r="M677" s="9">
        <f>L677-L677*VLOOKUP($O677,매칭테이블!$G:$J,3,0)</f>
        <v/>
      </c>
      <c r="N677" s="9">
        <f>VLOOKUP($O677,매칭테이블!$G:$J,4,0)*H677</f>
        <v/>
      </c>
      <c r="O677" s="9">
        <f>F677&amp;E677&amp;G677&amp;J677</f>
        <v/>
      </c>
    </row>
    <row r="678">
      <c r="B678" s="10" t="n">
        <v>44208</v>
      </c>
      <c r="C678" s="9">
        <f>TEXT(B678,"aaa")</f>
        <v/>
      </c>
      <c r="E678" s="9">
        <f>INDEX(매칭테이블!C:C,MATCH(RD!G678,매칭테이블!D:D,0))</f>
        <v/>
      </c>
      <c r="F678" s="9" t="inlineStr">
        <is>
          <t>카페24</t>
        </is>
      </c>
      <c r="G678" s="9" t="inlineStr">
        <is>
          <t>HAIR RÉ:COVERY 15 Nutritious Balm [라베나 리커버리 15 뉴트리셔스 밤]제품선택=뉴트리셔스밤 1개 + 헤어팩 트리트먼트 1개 세트 5%추가할인</t>
        </is>
      </c>
      <c r="H678" s="9" t="n">
        <v>4</v>
      </c>
      <c r="I678" s="9">
        <f>VLOOKUP(G678,매칭테이블!D:E,2,0)</f>
        <v/>
      </c>
      <c r="J678" s="9" t="n">
        <v>201210</v>
      </c>
      <c r="L678" s="9">
        <f>VLOOKUP($O678,매칭테이블!$G:$J,2,0)*H678</f>
        <v/>
      </c>
      <c r="M678" s="9">
        <f>L678-L678*VLOOKUP($O678,매칭테이블!$G:$J,3,0)</f>
        <v/>
      </c>
      <c r="N678" s="9">
        <f>VLOOKUP($O678,매칭테이블!$G:$J,4,0)*H678</f>
        <v/>
      </c>
      <c r="O678" s="9">
        <f>F678&amp;E678&amp;G678&amp;J678</f>
        <v/>
      </c>
    </row>
    <row r="679">
      <c r="B679" s="10" t="n">
        <v>44208</v>
      </c>
      <c r="C679" s="9">
        <f>TEXT(B679,"aaa")</f>
        <v/>
      </c>
      <c r="E679" s="9">
        <f>INDEX(매칭테이블!C:C,MATCH(RD!G679,매칭테이블!D:D,0))</f>
        <v/>
      </c>
      <c r="F679" s="9" t="inlineStr">
        <is>
          <t>카페24</t>
        </is>
      </c>
      <c r="G679" s="9" t="inlineStr">
        <is>
          <t>HAIR RÉ:COVERY 15 Revital Shampoo [라베나 리커버리 15 리바이탈 샴푸]제품선택=헤어 리커버리 15 리바이탈 샴푸 - 500ml</t>
        </is>
      </c>
      <c r="H679" s="9" t="n">
        <v>459</v>
      </c>
      <c r="I679" s="9">
        <f>VLOOKUP(G679,매칭테이블!D:E,2,0)</f>
        <v/>
      </c>
      <c r="J679" s="9" t="n">
        <v>201210</v>
      </c>
      <c r="L679" s="9">
        <f>VLOOKUP($O679,매칭테이블!$G:$J,2,0)*H679</f>
        <v/>
      </c>
      <c r="M679" s="9">
        <f>L679-L679*VLOOKUP($O679,매칭테이블!$G:$J,3,0)</f>
        <v/>
      </c>
      <c r="N679" s="9">
        <f>VLOOKUP($O679,매칭테이블!$G:$J,4,0)*H679</f>
        <v/>
      </c>
      <c r="O679" s="9">
        <f>F679&amp;E679&amp;G679&amp;J679</f>
        <v/>
      </c>
    </row>
    <row r="680">
      <c r="B680" s="10" t="n">
        <v>44208</v>
      </c>
      <c r="C680" s="9">
        <f>TEXT(B680,"aaa")</f>
        <v/>
      </c>
      <c r="E680" s="9">
        <f>INDEX(매칭테이블!C:C,MATCH(RD!G680,매칭테이블!D:D,0))</f>
        <v/>
      </c>
      <c r="F680" s="9" t="inlineStr">
        <is>
          <t>카페24</t>
        </is>
      </c>
      <c r="G680" s="9" t="inlineStr">
        <is>
          <t>HAIR RÉ:COVERY 15 Revital Shampoo [라베나 리커버리 15 리바이탈 샴푸]제품선택=리바이탈 샴푸 2개 세트 5%추가할인</t>
        </is>
      </c>
      <c r="H680" s="9" t="n">
        <v>152</v>
      </c>
      <c r="I680" s="9">
        <f>VLOOKUP(G680,매칭테이블!D:E,2,0)</f>
        <v/>
      </c>
      <c r="J680" s="9" t="n">
        <v>201210</v>
      </c>
      <c r="L680" s="9">
        <f>VLOOKUP($O680,매칭테이블!$G:$J,2,0)*H680</f>
        <v/>
      </c>
      <c r="M680" s="9">
        <f>L680-L680*VLOOKUP($O680,매칭테이블!$G:$J,3,0)</f>
        <v/>
      </c>
      <c r="N680" s="9">
        <f>VLOOKUP($O680,매칭테이블!$G:$J,4,0)*H680</f>
        <v/>
      </c>
      <c r="O680" s="9">
        <f>F680&amp;E680&amp;G680&amp;J680</f>
        <v/>
      </c>
    </row>
    <row r="681">
      <c r="B681" s="10" t="n">
        <v>44208</v>
      </c>
      <c r="C681" s="9">
        <f>TEXT(B681,"aaa")</f>
        <v/>
      </c>
      <c r="E681" s="9">
        <f>INDEX(매칭테이블!C:C,MATCH(RD!G681,매칭테이블!D:D,0))</f>
        <v/>
      </c>
      <c r="F681" s="9" t="inlineStr">
        <is>
          <t>카페24</t>
        </is>
      </c>
      <c r="G681" s="9" t="inlineStr">
        <is>
          <t>HAIR RÉ:COVERY 15 Revital Shampoo [라베나 리커버리 15 리바이탈 샴푸]제품선택=리바이탈 샴푸 3개 세트 10% 추가할인</t>
        </is>
      </c>
      <c r="H681" s="9" t="n">
        <v>64</v>
      </c>
      <c r="I681" s="9">
        <f>VLOOKUP(G681,매칭테이블!D:E,2,0)</f>
        <v/>
      </c>
      <c r="J681" s="9" t="n">
        <v>201210</v>
      </c>
      <c r="L681" s="9">
        <f>VLOOKUP($O681,매칭테이블!$G:$J,2,0)*H681</f>
        <v/>
      </c>
      <c r="M681" s="9">
        <f>L681-L681*VLOOKUP($O681,매칭테이블!$G:$J,3,0)</f>
        <v/>
      </c>
      <c r="N681" s="9">
        <f>VLOOKUP($O681,매칭테이블!$G:$J,4,0)*H681</f>
        <v/>
      </c>
      <c r="O681" s="9">
        <f>F681&amp;E681&amp;G681&amp;J681</f>
        <v/>
      </c>
    </row>
    <row r="682">
      <c r="B682" s="10" t="n">
        <v>44208</v>
      </c>
      <c r="C682" s="9">
        <f>TEXT(B682,"aaa")</f>
        <v/>
      </c>
      <c r="E682" s="9">
        <f>INDEX(매칭테이블!C:C,MATCH(RD!G682,매칭테이블!D:D,0))</f>
        <v/>
      </c>
      <c r="F682" s="9" t="inlineStr">
        <is>
          <t>카페24</t>
        </is>
      </c>
      <c r="G682" s="9" t="inlineStr">
        <is>
          <t>헤어 리커버리 15 리바이탈 샴푸</t>
        </is>
      </c>
      <c r="H682" s="9" t="n">
        <v>3</v>
      </c>
      <c r="I682" s="9">
        <f>VLOOKUP(G682,매칭테이블!D:E,2,0)</f>
        <v/>
      </c>
      <c r="J682" s="9" t="n">
        <v>201210</v>
      </c>
      <c r="L682" s="9">
        <f>VLOOKUP($O682,매칭테이블!$G:$J,2,0)*H682</f>
        <v/>
      </c>
      <c r="M682" s="9">
        <f>L682-L682*VLOOKUP($O682,매칭테이블!$G:$J,3,0)</f>
        <v/>
      </c>
      <c r="N682" s="9">
        <f>VLOOKUP($O682,매칭테이블!$G:$J,4,0)*H682</f>
        <v/>
      </c>
      <c r="O682" s="9">
        <f>F682&amp;E682&amp;G682&amp;J682</f>
        <v/>
      </c>
    </row>
    <row r="683">
      <c r="B683" s="10" t="n">
        <v>44209</v>
      </c>
      <c r="C683" s="9">
        <f>TEXT(B683,"aaa")</f>
        <v/>
      </c>
      <c r="E683" s="9">
        <f>INDEX(매칭테이블!C:C,MATCH(RD!G683,매칭테이블!D:D,0))</f>
        <v/>
      </c>
      <c r="F683" s="9" t="inlineStr">
        <is>
          <t>카페24</t>
        </is>
      </c>
      <c r="G683" s="9" t="inlineStr">
        <is>
          <t>HAIR RÉ:COVERY 15 Hairpack Treatment [라베나 리커버리 15 헤어팩 트리트먼트]제품선택=헤어 리커버리 15 헤어팩 트리트먼트</t>
        </is>
      </c>
      <c r="H683" s="9" t="n">
        <v>17</v>
      </c>
      <c r="I683" s="9">
        <f>VLOOKUP(G683,매칭테이블!D:E,2,0)</f>
        <v/>
      </c>
      <c r="J683" s="9" t="n">
        <v>201210</v>
      </c>
      <c r="L683" s="9">
        <f>VLOOKUP($O683,매칭테이블!$G:$J,2,0)*H683</f>
        <v/>
      </c>
      <c r="M683" s="9">
        <f>L683-L683*VLOOKUP($O683,매칭테이블!$G:$J,3,0)</f>
        <v/>
      </c>
      <c r="N683" s="9">
        <f>VLOOKUP($O683,매칭테이블!$G:$J,4,0)*H683</f>
        <v/>
      </c>
      <c r="O683" s="9">
        <f>F683&amp;E683&amp;G683&amp;J683</f>
        <v/>
      </c>
    </row>
    <row r="684">
      <c r="B684" s="10" t="n">
        <v>44209</v>
      </c>
      <c r="C684" s="9">
        <f>TEXT(B684,"aaa")</f>
        <v/>
      </c>
      <c r="E684" s="9">
        <f>INDEX(매칭테이블!C:C,MATCH(RD!G684,매칭테이블!D:D,0))</f>
        <v/>
      </c>
      <c r="F684" s="9" t="inlineStr">
        <is>
          <t>카페24</t>
        </is>
      </c>
      <c r="G684" s="9" t="inlineStr">
        <is>
          <t>HAIR RÉ:COVERY 15 Hairpack Treatment [라베나 리커버리 15 헤어팩 트리트먼트]제품선택=헤어팩 트리트먼트 2개 세트 5% 추가할인</t>
        </is>
      </c>
      <c r="H684" s="9" t="n">
        <v>5</v>
      </c>
      <c r="I684" s="9">
        <f>VLOOKUP(G684,매칭테이블!D:E,2,0)</f>
        <v/>
      </c>
      <c r="J684" s="9" t="n">
        <v>201210</v>
      </c>
      <c r="L684" s="9">
        <f>VLOOKUP($O684,매칭테이블!$G:$J,2,0)*H684</f>
        <v/>
      </c>
      <c r="M684" s="9">
        <f>L684-L684*VLOOKUP($O684,매칭테이블!$G:$J,3,0)</f>
        <v/>
      </c>
      <c r="N684" s="9">
        <f>VLOOKUP($O684,매칭테이블!$G:$J,4,0)*H684</f>
        <v/>
      </c>
      <c r="O684" s="9">
        <f>F684&amp;E684&amp;G684&amp;J684</f>
        <v/>
      </c>
    </row>
    <row r="685">
      <c r="B685" s="10" t="n">
        <v>44209</v>
      </c>
      <c r="C685" s="9">
        <f>TEXT(B685,"aaa")</f>
        <v/>
      </c>
      <c r="E685" s="9">
        <f>INDEX(매칭테이블!C:C,MATCH(RD!G685,매칭테이블!D:D,0))</f>
        <v/>
      </c>
      <c r="F685" s="9" t="inlineStr">
        <is>
          <t>카페24</t>
        </is>
      </c>
      <c r="G685" s="9" t="inlineStr">
        <is>
          <t>HAIR RÉ:COVERY 15 Hairpack Treatment [라베나 리커버리 15 헤어팩 트리트먼트]제품선택=헤어팩 트리트먼트 1개 + 뉴트리셔스밤 1개 세트 5% 추가할인</t>
        </is>
      </c>
      <c r="H685" s="9" t="n">
        <v>3</v>
      </c>
      <c r="I685" s="9">
        <f>VLOOKUP(G685,매칭테이블!D:E,2,0)</f>
        <v/>
      </c>
      <c r="J685" s="9" t="n">
        <v>201210</v>
      </c>
      <c r="L685" s="9">
        <f>VLOOKUP($O685,매칭테이블!$G:$J,2,0)*H685</f>
        <v/>
      </c>
      <c r="M685" s="9">
        <f>L685-L685*VLOOKUP($O685,매칭테이블!$G:$J,3,0)</f>
        <v/>
      </c>
      <c r="N685" s="9">
        <f>VLOOKUP($O685,매칭테이블!$G:$J,4,0)*H685</f>
        <v/>
      </c>
      <c r="O685" s="9">
        <f>F685&amp;E685&amp;G685&amp;J685</f>
        <v/>
      </c>
    </row>
    <row r="686">
      <c r="B686" s="10" t="n">
        <v>44209</v>
      </c>
      <c r="C686" s="9">
        <f>TEXT(B686,"aaa")</f>
        <v/>
      </c>
      <c r="E686" s="9">
        <f>INDEX(매칭테이블!C:C,MATCH(RD!G686,매칭테이블!D:D,0))</f>
        <v/>
      </c>
      <c r="F686" s="9" t="inlineStr">
        <is>
          <t>카페24</t>
        </is>
      </c>
      <c r="G686" s="9" t="inlineStr">
        <is>
          <t>HAIR RÉ:COVERY 15 Nutritious Balm [라베나 리커버리 15 뉴트리셔스 밤]제품선택=헤어 리커버리 15 뉴트리셔스 밤</t>
        </is>
      </c>
      <c r="H686" s="9" t="n">
        <v>9</v>
      </c>
      <c r="I686" s="9">
        <f>VLOOKUP(G686,매칭테이블!D:E,2,0)</f>
        <v/>
      </c>
      <c r="J686" s="9" t="n">
        <v>201210</v>
      </c>
      <c r="L686" s="9">
        <f>VLOOKUP($O686,매칭테이블!$G:$J,2,0)*H686</f>
        <v/>
      </c>
      <c r="M686" s="9">
        <f>L686-L686*VLOOKUP($O686,매칭테이블!$G:$J,3,0)</f>
        <v/>
      </c>
      <c r="N686" s="9">
        <f>VLOOKUP($O686,매칭테이블!$G:$J,4,0)*H686</f>
        <v/>
      </c>
      <c r="O686" s="9">
        <f>F686&amp;E686&amp;G686&amp;J686</f>
        <v/>
      </c>
    </row>
    <row r="687">
      <c r="B687" s="10" t="n">
        <v>44209</v>
      </c>
      <c r="C687" s="9">
        <f>TEXT(B687,"aaa")</f>
        <v/>
      </c>
      <c r="E687" s="9">
        <f>INDEX(매칭테이블!C:C,MATCH(RD!G687,매칭테이블!D:D,0))</f>
        <v/>
      </c>
      <c r="F687" s="9" t="inlineStr">
        <is>
          <t>카페24</t>
        </is>
      </c>
      <c r="G687" s="9" t="inlineStr">
        <is>
          <t>HAIR RÉ:COVERY 15 Nutritious Balm [라베나 리커버리 15 뉴트리셔스 밤]제품선택=뉴트리셔스 밤 2개 세트 5% 추가할인</t>
        </is>
      </c>
      <c r="H687" s="9" t="n">
        <v>1</v>
      </c>
      <c r="I687" s="9">
        <f>VLOOKUP(G687,매칭테이블!D:E,2,0)</f>
        <v/>
      </c>
      <c r="J687" s="9" t="n">
        <v>201210</v>
      </c>
      <c r="L687" s="9">
        <f>VLOOKUP($O687,매칭테이블!$G:$J,2,0)*H687</f>
        <v/>
      </c>
      <c r="M687" s="9">
        <f>L687-L687*VLOOKUP($O687,매칭테이블!$G:$J,3,0)</f>
        <v/>
      </c>
      <c r="N687" s="9">
        <f>VLOOKUP($O687,매칭테이블!$G:$J,4,0)*H687</f>
        <v/>
      </c>
      <c r="O687" s="9">
        <f>F687&amp;E687&amp;G687&amp;J687</f>
        <v/>
      </c>
    </row>
    <row r="688">
      <c r="B688" s="10" t="n">
        <v>44209</v>
      </c>
      <c r="C688" s="9">
        <f>TEXT(B688,"aaa")</f>
        <v/>
      </c>
      <c r="E688" s="9">
        <f>INDEX(매칭테이블!C:C,MATCH(RD!G688,매칭테이블!D:D,0))</f>
        <v/>
      </c>
      <c r="F688" s="9" t="inlineStr">
        <is>
          <t>카페24</t>
        </is>
      </c>
      <c r="G688" s="9" t="inlineStr">
        <is>
          <t>HAIR RÉ:COVERY 15 Nutritious Balm [라베나 리커버리 15 뉴트리셔스 밤]제품선택=뉴트리셔스밤 1개 + 헤어팩 트리트먼트 1개 세트 5%추가할인</t>
        </is>
      </c>
      <c r="H688" s="9" t="n">
        <v>2</v>
      </c>
      <c r="I688" s="9">
        <f>VLOOKUP(G688,매칭테이블!D:E,2,0)</f>
        <v/>
      </c>
      <c r="J688" s="9" t="n">
        <v>201210</v>
      </c>
      <c r="L688" s="9">
        <f>VLOOKUP($O688,매칭테이블!$G:$J,2,0)*H688</f>
        <v/>
      </c>
      <c r="M688" s="9">
        <f>L688-L688*VLOOKUP($O688,매칭테이블!$G:$J,3,0)</f>
        <v/>
      </c>
      <c r="N688" s="9">
        <f>VLOOKUP($O688,매칭테이블!$G:$J,4,0)*H688</f>
        <v/>
      </c>
      <c r="O688" s="9">
        <f>F688&amp;E688&amp;G688&amp;J688</f>
        <v/>
      </c>
    </row>
    <row r="689">
      <c r="B689" s="10" t="n">
        <v>44209</v>
      </c>
      <c r="C689" s="9">
        <f>TEXT(B689,"aaa")</f>
        <v/>
      </c>
      <c r="E689" s="9">
        <f>INDEX(매칭테이블!C:C,MATCH(RD!G689,매칭테이블!D:D,0))</f>
        <v/>
      </c>
      <c r="F689" s="9" t="inlineStr">
        <is>
          <t>카페24</t>
        </is>
      </c>
      <c r="G689" s="9" t="inlineStr">
        <is>
          <t>HAIR RÉ:COVERY 15 Revital Shampoo [라베나 리커버리 15 리바이탈 샴푸]제품선택=헤어 리커버리 15 리바이탈 샴푸 - 500ml</t>
        </is>
      </c>
      <c r="H689" s="9" t="n">
        <v>91</v>
      </c>
      <c r="I689" s="9">
        <f>VLOOKUP(G689,매칭테이블!D:E,2,0)</f>
        <v/>
      </c>
      <c r="J689" s="9" t="n">
        <v>201210</v>
      </c>
      <c r="L689" s="9">
        <f>VLOOKUP($O689,매칭테이블!$G:$J,2,0)*H689</f>
        <v/>
      </c>
      <c r="M689" s="9">
        <f>L689-L689*VLOOKUP($O689,매칭테이블!$G:$J,3,0)</f>
        <v/>
      </c>
      <c r="N689" s="9">
        <f>VLOOKUP($O689,매칭테이블!$G:$J,4,0)*H689</f>
        <v/>
      </c>
      <c r="O689" s="9">
        <f>F689&amp;E689&amp;G689&amp;J689</f>
        <v/>
      </c>
    </row>
    <row r="690">
      <c r="B690" s="10" t="n">
        <v>44209</v>
      </c>
      <c r="C690" s="9">
        <f>TEXT(B690,"aaa")</f>
        <v/>
      </c>
      <c r="E690" s="9">
        <f>INDEX(매칭테이블!C:C,MATCH(RD!G690,매칭테이블!D:D,0))</f>
        <v/>
      </c>
      <c r="F690" s="9" t="inlineStr">
        <is>
          <t>카페24</t>
        </is>
      </c>
      <c r="G690" s="9" t="inlineStr">
        <is>
          <t>HAIR RÉ:COVERY 15 Revital Shampoo [라베나 리커버리 15 리바이탈 샴푸]제품선택=리바이탈 샴푸 2개 세트 5%추가할인</t>
        </is>
      </c>
      <c r="H690" s="9" t="n">
        <v>22</v>
      </c>
      <c r="I690" s="9">
        <f>VLOOKUP(G690,매칭테이블!D:E,2,0)</f>
        <v/>
      </c>
      <c r="J690" s="9" t="n">
        <v>201210</v>
      </c>
      <c r="L690" s="9">
        <f>VLOOKUP($O690,매칭테이블!$G:$J,2,0)*H690</f>
        <v/>
      </c>
      <c r="M690" s="9">
        <f>L690-L690*VLOOKUP($O690,매칭테이블!$G:$J,3,0)</f>
        <v/>
      </c>
      <c r="N690" s="9">
        <f>VLOOKUP($O690,매칭테이블!$G:$J,4,0)*H690</f>
        <v/>
      </c>
      <c r="O690" s="9">
        <f>F690&amp;E690&amp;G690&amp;J690</f>
        <v/>
      </c>
    </row>
    <row r="691">
      <c r="B691" s="10" t="n">
        <v>44209</v>
      </c>
      <c r="C691" s="9">
        <f>TEXT(B691,"aaa")</f>
        <v/>
      </c>
      <c r="E691" s="9">
        <f>INDEX(매칭테이블!C:C,MATCH(RD!G691,매칭테이블!D:D,0))</f>
        <v/>
      </c>
      <c r="F691" s="9" t="inlineStr">
        <is>
          <t>카페24</t>
        </is>
      </c>
      <c r="G691" s="9" t="inlineStr">
        <is>
          <t>HAIR RÉ:COVERY 15 Revital Shampoo [라베나 리커버리 15 리바이탈 샴푸]제품선택=리바이탈 샴푸 3개 세트 10% 추가할인</t>
        </is>
      </c>
      <c r="H691" s="9" t="n">
        <v>10</v>
      </c>
      <c r="I691" s="9">
        <f>VLOOKUP(G691,매칭테이블!D:E,2,0)</f>
        <v/>
      </c>
      <c r="J691" s="9" t="n">
        <v>201210</v>
      </c>
      <c r="L691" s="9">
        <f>VLOOKUP($O691,매칭테이블!$G:$J,2,0)*H691</f>
        <v/>
      </c>
      <c r="M691" s="9">
        <f>L691-L691*VLOOKUP($O691,매칭테이블!$G:$J,3,0)</f>
        <v/>
      </c>
      <c r="N691" s="9">
        <f>VLOOKUP($O691,매칭테이블!$G:$J,4,0)*H691</f>
        <v/>
      </c>
      <c r="O691" s="9">
        <f>F691&amp;E691&amp;G691&amp;J691</f>
        <v/>
      </c>
    </row>
    <row r="692">
      <c r="B692" s="10" t="n">
        <v>44209</v>
      </c>
      <c r="C692" s="9">
        <f>TEXT(B692,"aaa")</f>
        <v/>
      </c>
      <c r="E692" s="9">
        <f>INDEX(매칭테이블!C:C,MATCH(RD!G692,매칭테이블!D:D,0))</f>
        <v/>
      </c>
      <c r="F692" s="9" t="inlineStr">
        <is>
          <t>카페24</t>
        </is>
      </c>
      <c r="G692" s="9" t="inlineStr">
        <is>
          <t>헤어 리커버리 15 리바이탈 샴푸</t>
        </is>
      </c>
      <c r="H692" s="9" t="n">
        <v>3</v>
      </c>
      <c r="I692" s="9">
        <f>VLOOKUP(G692,매칭테이블!D:E,2,0)</f>
        <v/>
      </c>
      <c r="J692" s="9" t="n">
        <v>201210</v>
      </c>
      <c r="L692" s="9">
        <f>VLOOKUP($O692,매칭테이블!$G:$J,2,0)*H692</f>
        <v/>
      </c>
      <c r="M692" s="9">
        <f>L692-L692*VLOOKUP($O692,매칭테이블!$G:$J,3,0)</f>
        <v/>
      </c>
      <c r="N692" s="9">
        <f>VLOOKUP($O692,매칭테이블!$G:$J,4,0)*H692</f>
        <v/>
      </c>
      <c r="O692" s="9">
        <f>F692&amp;E692&amp;G692&amp;J692</f>
        <v/>
      </c>
    </row>
    <row r="693">
      <c r="B693" s="10" t="n">
        <v>44210</v>
      </c>
      <c r="C693" s="9">
        <f>TEXT(B693,"aaa")</f>
        <v/>
      </c>
      <c r="E693" s="9">
        <f>INDEX(매칭테이블!C:C,MATCH(RD!G693,매칭테이블!D:D,0))</f>
        <v/>
      </c>
      <c r="F693" s="9" t="inlineStr">
        <is>
          <t>카페24</t>
        </is>
      </c>
      <c r="G693" s="9" t="inlineStr">
        <is>
          <t>HAIR RÉ:COVERY 15 Hairpack Treatment [라베나 리커버리 15 헤어팩 트리트먼트]제품선택=헤어 리커버리 15 헤어팩 트리트먼트</t>
        </is>
      </c>
      <c r="H693" s="9" t="n">
        <v>2</v>
      </c>
      <c r="I693" s="9">
        <f>VLOOKUP(G693,매칭테이블!D:E,2,0)</f>
        <v/>
      </c>
      <c r="J693" s="9" t="n">
        <v>201210</v>
      </c>
      <c r="L693" s="9">
        <f>VLOOKUP($O693,매칭테이블!$G:$J,2,0)*H693</f>
        <v/>
      </c>
      <c r="M693" s="9">
        <f>L693-L693*VLOOKUP($O693,매칭테이블!$G:$J,3,0)</f>
        <v/>
      </c>
      <c r="N693" s="9">
        <f>VLOOKUP($O693,매칭테이블!$G:$J,4,0)*H693</f>
        <v/>
      </c>
      <c r="O693" s="9">
        <f>F693&amp;E693&amp;G693&amp;J693</f>
        <v/>
      </c>
    </row>
    <row r="694">
      <c r="B694" s="10" t="n">
        <v>44210</v>
      </c>
      <c r="C694" s="9">
        <f>TEXT(B694,"aaa")</f>
        <v/>
      </c>
      <c r="E694" s="9">
        <f>INDEX(매칭테이블!C:C,MATCH(RD!G694,매칭테이블!D:D,0))</f>
        <v/>
      </c>
      <c r="F694" s="9" t="inlineStr">
        <is>
          <t>카페24</t>
        </is>
      </c>
      <c r="G694" s="9" t="inlineStr">
        <is>
          <t>HAIR RÉ:COVERY 15 Hairpack Treatment [라베나 리커버리 15 헤어팩 트리트먼트]제품선택=헤어팩 트리트먼트 3개 세트 10% 추가할인</t>
        </is>
      </c>
      <c r="H694" s="9" t="n">
        <v>1</v>
      </c>
      <c r="I694" s="9">
        <f>VLOOKUP(G694,매칭테이블!D:E,2,0)</f>
        <v/>
      </c>
      <c r="J694" s="9" t="n">
        <v>201210</v>
      </c>
      <c r="L694" s="9">
        <f>VLOOKUP($O694,매칭테이블!$G:$J,2,0)*H694</f>
        <v/>
      </c>
      <c r="M694" s="9">
        <f>L694-L694*VLOOKUP($O694,매칭테이블!$G:$J,3,0)</f>
        <v/>
      </c>
      <c r="N694" s="9">
        <f>VLOOKUP($O694,매칭테이블!$G:$J,4,0)*H694</f>
        <v/>
      </c>
      <c r="O694" s="9">
        <f>F694&amp;E694&amp;G694&amp;J694</f>
        <v/>
      </c>
    </row>
    <row r="695">
      <c r="B695" s="10" t="n">
        <v>44210</v>
      </c>
      <c r="C695" s="9">
        <f>TEXT(B695,"aaa")</f>
        <v/>
      </c>
      <c r="E695" s="9">
        <f>INDEX(매칭테이블!C:C,MATCH(RD!G695,매칭테이블!D:D,0))</f>
        <v/>
      </c>
      <c r="F695" s="9" t="inlineStr">
        <is>
          <t>카페24</t>
        </is>
      </c>
      <c r="G695" s="9" t="inlineStr">
        <is>
          <t>HAIR RÉ:COVERY 15 Nutritious Balm [라베나 리커버리 15 뉴트리셔스 밤]제품선택=헤어 리커버리 15 뉴트리셔스 밤</t>
        </is>
      </c>
      <c r="H695" s="9" t="n">
        <v>1</v>
      </c>
      <c r="I695" s="9">
        <f>VLOOKUP(G695,매칭테이블!D:E,2,0)</f>
        <v/>
      </c>
      <c r="J695" s="9" t="n">
        <v>201210</v>
      </c>
      <c r="L695" s="9">
        <f>VLOOKUP($O695,매칭테이블!$G:$J,2,0)*H695</f>
        <v/>
      </c>
      <c r="M695" s="9">
        <f>L695-L695*VLOOKUP($O695,매칭테이블!$G:$J,3,0)</f>
        <v/>
      </c>
      <c r="N695" s="9">
        <f>VLOOKUP($O695,매칭테이블!$G:$J,4,0)*H695</f>
        <v/>
      </c>
      <c r="O695" s="9">
        <f>F695&amp;E695&amp;G695&amp;J695</f>
        <v/>
      </c>
    </row>
    <row r="696">
      <c r="B696" s="10" t="n">
        <v>44210</v>
      </c>
      <c r="C696" s="9">
        <f>TEXT(B696,"aaa")</f>
        <v/>
      </c>
      <c r="E696" s="9">
        <f>INDEX(매칭테이블!C:C,MATCH(RD!G696,매칭테이블!D:D,0))</f>
        <v/>
      </c>
      <c r="F696" s="9" t="inlineStr">
        <is>
          <t>카페24</t>
        </is>
      </c>
      <c r="G696" s="9" t="inlineStr">
        <is>
          <t>HAIR RÉ:COVERY 15 Nutritious Balm [라베나 리커버리 15 뉴트리셔스 밤]제품선택=뉴트리셔스밤 1개 + 헤어팩 트리트먼트 1개 세트 5%추가할인</t>
        </is>
      </c>
      <c r="H696" s="9" t="n">
        <v>1</v>
      </c>
      <c r="I696" s="9">
        <f>VLOOKUP(G696,매칭테이블!D:E,2,0)</f>
        <v/>
      </c>
      <c r="J696" s="9" t="n">
        <v>201210</v>
      </c>
      <c r="L696" s="9">
        <f>VLOOKUP($O696,매칭테이블!$G:$J,2,0)*H696</f>
        <v/>
      </c>
      <c r="M696" s="9">
        <f>L696-L696*VLOOKUP($O696,매칭테이블!$G:$J,3,0)</f>
        <v/>
      </c>
      <c r="N696" s="9">
        <f>VLOOKUP($O696,매칭테이블!$G:$J,4,0)*H696</f>
        <v/>
      </c>
      <c r="O696" s="9">
        <f>F696&amp;E696&amp;G696&amp;J696</f>
        <v/>
      </c>
    </row>
    <row r="697">
      <c r="B697" s="10" t="n">
        <v>44210</v>
      </c>
      <c r="C697" s="9">
        <f>TEXT(B697,"aaa")</f>
        <v/>
      </c>
      <c r="E697" s="9">
        <f>INDEX(매칭테이블!C:C,MATCH(RD!G697,매칭테이블!D:D,0))</f>
        <v/>
      </c>
      <c r="F697" s="9" t="inlineStr">
        <is>
          <t>카페24</t>
        </is>
      </c>
      <c r="G697" s="9" t="inlineStr">
        <is>
          <t>HAIR RÉ:COVERY 15 Revital Shampoo [라베나 리커버리 15 리바이탈 샴푸]제품선택=헤어 리커버리 15 리바이탈 샴푸 - 500ml</t>
        </is>
      </c>
      <c r="H697" s="9" t="n">
        <v>5</v>
      </c>
      <c r="I697" s="9">
        <f>VLOOKUP(G697,매칭테이블!D:E,2,0)</f>
        <v/>
      </c>
      <c r="J697" s="9" t="n">
        <v>201210</v>
      </c>
      <c r="L697" s="9">
        <f>VLOOKUP($O697,매칭테이블!$G:$J,2,0)*H697</f>
        <v/>
      </c>
      <c r="M697" s="9">
        <f>L697-L697*VLOOKUP($O697,매칭테이블!$G:$J,3,0)</f>
        <v/>
      </c>
      <c r="N697" s="9">
        <f>VLOOKUP($O697,매칭테이블!$G:$J,4,0)*H697</f>
        <v/>
      </c>
      <c r="O697" s="9">
        <f>F697&amp;E697&amp;G697&amp;J697</f>
        <v/>
      </c>
    </row>
    <row r="698">
      <c r="B698" s="10" t="n">
        <v>44210</v>
      </c>
      <c r="C698" s="9">
        <f>TEXT(B698,"aaa")</f>
        <v/>
      </c>
      <c r="E698" s="9">
        <f>INDEX(매칭테이블!C:C,MATCH(RD!G698,매칭테이블!D:D,0))</f>
        <v/>
      </c>
      <c r="F698" s="9" t="inlineStr">
        <is>
          <t>카페24</t>
        </is>
      </c>
      <c r="G698" s="9" t="inlineStr">
        <is>
          <t>HAIR RÉ:COVERY 15 Revital Shampoo [라베나 리커버리 15 리바이탈 샴푸]제품선택=리바이탈 샴푸 2개 세트 5%추가할인</t>
        </is>
      </c>
      <c r="H698" s="9" t="n">
        <v>3</v>
      </c>
      <c r="I698" s="9">
        <f>VLOOKUP(G698,매칭테이블!D:E,2,0)</f>
        <v/>
      </c>
      <c r="J698" s="9" t="n">
        <v>201210</v>
      </c>
      <c r="L698" s="9">
        <f>VLOOKUP($O698,매칭테이블!$G:$J,2,0)*H698</f>
        <v/>
      </c>
      <c r="M698" s="9">
        <f>L698-L698*VLOOKUP($O698,매칭테이블!$G:$J,3,0)</f>
        <v/>
      </c>
      <c r="N698" s="9">
        <f>VLOOKUP($O698,매칭테이블!$G:$J,4,0)*H698</f>
        <v/>
      </c>
      <c r="O698" s="9">
        <f>F698&amp;E698&amp;G698&amp;J698</f>
        <v/>
      </c>
    </row>
    <row r="699">
      <c r="B699" s="10" t="n">
        <v>44210</v>
      </c>
      <c r="C699" s="9">
        <f>TEXT(B699,"aaa")</f>
        <v/>
      </c>
      <c r="E699" s="9">
        <f>INDEX(매칭테이블!C:C,MATCH(RD!G699,매칭테이블!D:D,0))</f>
        <v/>
      </c>
      <c r="F699" s="9" t="inlineStr">
        <is>
          <t>카페24</t>
        </is>
      </c>
      <c r="G699" s="9" t="inlineStr">
        <is>
          <t>HAIR RÉ:COVERY 15 Revital Shampoo [라베나 리커버리 15 리바이탈 샴푸]제품선택=리바이탈 샴푸 3개 세트 10% 추가할인</t>
        </is>
      </c>
      <c r="H699" s="9" t="n">
        <v>2</v>
      </c>
      <c r="I699" s="9">
        <f>VLOOKUP(G699,매칭테이블!D:E,2,0)</f>
        <v/>
      </c>
      <c r="J699" s="9" t="n">
        <v>201210</v>
      </c>
      <c r="L699" s="9">
        <f>VLOOKUP($O699,매칭테이블!$G:$J,2,0)*H699</f>
        <v/>
      </c>
      <c r="M699" s="9">
        <f>L699-L699*VLOOKUP($O699,매칭테이블!$G:$J,3,0)</f>
        <v/>
      </c>
      <c r="N699" s="9">
        <f>VLOOKUP($O699,매칭테이블!$G:$J,4,0)*H699</f>
        <v/>
      </c>
      <c r="O699" s="9">
        <f>F699&amp;E699&amp;G699&amp;J699</f>
        <v/>
      </c>
    </row>
    <row r="700">
      <c r="B700" s="10" t="n">
        <v>44210</v>
      </c>
      <c r="C700" s="9">
        <f>TEXT(B700,"aaa")</f>
        <v/>
      </c>
      <c r="E700" s="9">
        <f>INDEX(매칭테이블!C:C,MATCH(RD!G700,매칭테이블!D:D,0))</f>
        <v/>
      </c>
      <c r="F700" s="9" t="inlineStr">
        <is>
          <t>카페24</t>
        </is>
      </c>
      <c r="G700" s="9" t="inlineStr">
        <is>
          <t>라베나 리커버리 15 뉴트리셔스 밤 [HAIR RÉ:COVERY 15 Nutritious Balm]제품선택=헤어 리커버리 15 뉴트리셔스 밤</t>
        </is>
      </c>
      <c r="H700" s="9" t="n">
        <v>5</v>
      </c>
      <c r="I700" s="9">
        <f>VLOOKUP(G700,매칭테이블!D:E,2,0)</f>
        <v/>
      </c>
      <c r="J700" s="9" t="n">
        <v>201210</v>
      </c>
      <c r="L700" s="9">
        <f>VLOOKUP($O700,매칭테이블!$G:$J,2,0)*H700</f>
        <v/>
      </c>
      <c r="M700" s="9">
        <f>L700-L700*VLOOKUP($O700,매칭테이블!$G:$J,3,0)</f>
        <v/>
      </c>
      <c r="N700" s="9">
        <f>VLOOKUP($O700,매칭테이블!$G:$J,4,0)*H700</f>
        <v/>
      </c>
      <c r="O700" s="9">
        <f>F700&amp;E700&amp;G700&amp;J700</f>
        <v/>
      </c>
    </row>
    <row r="701">
      <c r="B701" s="10" t="n">
        <v>44210</v>
      </c>
      <c r="C701" s="9">
        <f>TEXT(B701,"aaa")</f>
        <v/>
      </c>
      <c r="E701" s="9">
        <f>INDEX(매칭테이블!C:C,MATCH(RD!G701,매칭테이블!D:D,0))</f>
        <v/>
      </c>
      <c r="F701" s="9" t="inlineStr">
        <is>
          <t>카페24</t>
        </is>
      </c>
      <c r="G701" s="9" t="inlineStr">
        <is>
          <t>라베나 리커버리 15 뉴트리셔스 밤 [HAIR RÉ:COVERY 15 Nutritious Balm]제품선택=뉴트리셔스 밤 2개 세트 5% 추가할인</t>
        </is>
      </c>
      <c r="H701" s="9" t="n">
        <v>2</v>
      </c>
      <c r="I701" s="9">
        <f>VLOOKUP(G701,매칭테이블!D:E,2,0)</f>
        <v/>
      </c>
      <c r="J701" s="9" t="n">
        <v>201210</v>
      </c>
      <c r="L701" s="9">
        <f>VLOOKUP($O701,매칭테이블!$G:$J,2,0)*H701</f>
        <v/>
      </c>
      <c r="M701" s="9">
        <f>L701-L701*VLOOKUP($O701,매칭테이블!$G:$J,3,0)</f>
        <v/>
      </c>
      <c r="N701" s="9">
        <f>VLOOKUP($O701,매칭테이블!$G:$J,4,0)*H701</f>
        <v/>
      </c>
      <c r="O701" s="9">
        <f>F701&amp;E701&amp;G701&amp;J701</f>
        <v/>
      </c>
    </row>
    <row r="702">
      <c r="B702" s="10" t="n">
        <v>44210</v>
      </c>
      <c r="C702" s="9">
        <f>TEXT(B702,"aaa")</f>
        <v/>
      </c>
      <c r="E702" s="9">
        <f>INDEX(매칭테이블!C:C,MATCH(RD!G702,매칭테이블!D:D,0))</f>
        <v/>
      </c>
      <c r="F702" s="9" t="inlineStr">
        <is>
          <t>카페24</t>
        </is>
      </c>
      <c r="G702" s="9" t="inlineStr">
        <is>
          <t>라베나 리커버리 15 뉴트리셔스 밤 [HAIR RÉ:COVERY 15 Nutritious Balm]제품선택=뉴트리셔스밤 1개 + 헤어팩 트리트먼트 1개 세트 5%추가할인</t>
        </is>
      </c>
      <c r="H702" s="9" t="n">
        <v>1</v>
      </c>
      <c r="I702" s="9">
        <f>VLOOKUP(G702,매칭테이블!D:E,2,0)</f>
        <v/>
      </c>
      <c r="J702" s="9" t="n">
        <v>201210</v>
      </c>
      <c r="L702" s="9">
        <f>VLOOKUP($O702,매칭테이블!$G:$J,2,0)*H702</f>
        <v/>
      </c>
      <c r="M702" s="9">
        <f>L702-L702*VLOOKUP($O702,매칭테이블!$G:$J,3,0)</f>
        <v/>
      </c>
      <c r="N702" s="9">
        <f>VLOOKUP($O702,매칭테이블!$G:$J,4,0)*H702</f>
        <v/>
      </c>
      <c r="O702" s="9">
        <f>F702&amp;E702&amp;G702&amp;J702</f>
        <v/>
      </c>
    </row>
    <row r="703">
      <c r="B703" s="10" t="n">
        <v>44210</v>
      </c>
      <c r="C703" s="9">
        <f>TEXT(B703,"aaa")</f>
        <v/>
      </c>
      <c r="E703" s="9">
        <f>INDEX(매칭테이블!C:C,MATCH(RD!G703,매칭테이블!D:D,0))</f>
        <v/>
      </c>
      <c r="F703" s="9" t="inlineStr">
        <is>
          <t>카페24</t>
        </is>
      </c>
      <c r="G703" s="9" t="inlineStr">
        <is>
          <t>라베나 리커버리 15 리바이탈 샴푸 [HAIR RÉ:COVERY 15 Revital Shampoo]제품선택=헤어 리커버리 15 리바이탈 샴푸 - 500ml</t>
        </is>
      </c>
      <c r="H703" s="9" t="n">
        <v>75</v>
      </c>
      <c r="I703" s="9">
        <f>VLOOKUP(G703,매칭테이블!D:E,2,0)</f>
        <v/>
      </c>
      <c r="J703" s="9" t="n">
        <v>201210</v>
      </c>
      <c r="L703" s="9">
        <f>VLOOKUP($O703,매칭테이블!$G:$J,2,0)*H703</f>
        <v/>
      </c>
      <c r="M703" s="9">
        <f>L703-L703*VLOOKUP($O703,매칭테이블!$G:$J,3,0)</f>
        <v/>
      </c>
      <c r="N703" s="9">
        <f>VLOOKUP($O703,매칭테이블!$G:$J,4,0)*H703</f>
        <v/>
      </c>
      <c r="O703" s="9">
        <f>F703&amp;E703&amp;G703&amp;J703</f>
        <v/>
      </c>
    </row>
    <row r="704">
      <c r="B704" s="10" t="n">
        <v>44210</v>
      </c>
      <c r="C704" s="9">
        <f>TEXT(B704,"aaa")</f>
        <v/>
      </c>
      <c r="E704" s="9">
        <f>INDEX(매칭테이블!C:C,MATCH(RD!G704,매칭테이블!D:D,0))</f>
        <v/>
      </c>
      <c r="F704" s="9" t="inlineStr">
        <is>
          <t>카페24</t>
        </is>
      </c>
      <c r="G704" s="9" t="inlineStr">
        <is>
          <t>라베나 리커버리 15 리바이탈 샴푸 [HAIR RÉ:COVERY 15 Revital Shampoo]제품선택=리바이탈 샴푸 2개 세트 5%추가할인</t>
        </is>
      </c>
      <c r="H704" s="9" t="n">
        <v>25</v>
      </c>
      <c r="I704" s="9">
        <f>VLOOKUP(G704,매칭테이블!D:E,2,0)</f>
        <v/>
      </c>
      <c r="J704" s="9" t="n">
        <v>201210</v>
      </c>
      <c r="L704" s="9">
        <f>VLOOKUP($O704,매칭테이블!$G:$J,2,0)*H704</f>
        <v/>
      </c>
      <c r="M704" s="9">
        <f>L704-L704*VLOOKUP($O704,매칭테이블!$G:$J,3,0)</f>
        <v/>
      </c>
      <c r="N704" s="9">
        <f>VLOOKUP($O704,매칭테이블!$G:$J,4,0)*H704</f>
        <v/>
      </c>
      <c r="O704" s="9">
        <f>F704&amp;E704&amp;G704&amp;J704</f>
        <v/>
      </c>
    </row>
    <row r="705">
      <c r="B705" s="10" t="n">
        <v>44210</v>
      </c>
      <c r="C705" s="9">
        <f>TEXT(B705,"aaa")</f>
        <v/>
      </c>
      <c r="E705" s="9">
        <f>INDEX(매칭테이블!C:C,MATCH(RD!G705,매칭테이블!D:D,0))</f>
        <v/>
      </c>
      <c r="F705" s="9" t="inlineStr">
        <is>
          <t>카페24</t>
        </is>
      </c>
      <c r="G705" s="9" t="inlineStr">
        <is>
          <t>라베나 리커버리 15 리바이탈 샴푸 [HAIR RÉ:COVERY 15 Revital Shampoo]제품선택=리바이탈 샴푸 3개 세트 10% 추가할인</t>
        </is>
      </c>
      <c r="H705" s="9" t="n">
        <v>8</v>
      </c>
      <c r="I705" s="9">
        <f>VLOOKUP(G705,매칭테이블!D:E,2,0)</f>
        <v/>
      </c>
      <c r="J705" s="9" t="n">
        <v>201210</v>
      </c>
      <c r="L705" s="9">
        <f>VLOOKUP($O705,매칭테이블!$G:$J,2,0)*H705</f>
        <v/>
      </c>
      <c r="M705" s="9">
        <f>L705-L705*VLOOKUP($O705,매칭테이블!$G:$J,3,0)</f>
        <v/>
      </c>
      <c r="N705" s="9">
        <f>VLOOKUP($O705,매칭테이블!$G:$J,4,0)*H705</f>
        <v/>
      </c>
      <c r="O705" s="9">
        <f>F705&amp;E705&amp;G705&amp;J705</f>
        <v/>
      </c>
    </row>
    <row r="706">
      <c r="B706" s="10" t="n">
        <v>44210</v>
      </c>
      <c r="C706" s="9">
        <f>TEXT(B706,"aaa")</f>
        <v/>
      </c>
      <c r="E706" s="9">
        <f>INDEX(매칭테이블!C:C,MATCH(RD!G706,매칭테이블!D:D,0))</f>
        <v/>
      </c>
      <c r="F706" s="9" t="inlineStr">
        <is>
          <t>카페24</t>
        </is>
      </c>
      <c r="G706" s="9" t="inlineStr">
        <is>
          <t>라베나 리커버리 15 헤어팩 트리트먼트 [HAIR RÉ:COVERY 15 Hairpack Treatment]제품선택=헤어 리커버리 15 헤어팩 트리트먼트</t>
        </is>
      </c>
      <c r="H706" s="9" t="n">
        <v>15</v>
      </c>
      <c r="I706" s="9">
        <f>VLOOKUP(G706,매칭테이블!D:E,2,0)</f>
        <v/>
      </c>
      <c r="J706" s="9" t="n">
        <v>201210</v>
      </c>
      <c r="L706" s="9">
        <f>VLOOKUP($O706,매칭테이블!$G:$J,2,0)*H706</f>
        <v/>
      </c>
      <c r="M706" s="9">
        <f>L706-L706*VLOOKUP($O706,매칭테이블!$G:$J,3,0)</f>
        <v/>
      </c>
      <c r="N706" s="9">
        <f>VLOOKUP($O706,매칭테이블!$G:$J,4,0)*H706</f>
        <v/>
      </c>
      <c r="O706" s="9">
        <f>F706&amp;E706&amp;G706&amp;J706</f>
        <v/>
      </c>
    </row>
    <row r="707">
      <c r="B707" s="10" t="n">
        <v>44210</v>
      </c>
      <c r="C707" s="9">
        <f>TEXT(B707,"aaa")</f>
        <v/>
      </c>
      <c r="E707" s="9">
        <f>INDEX(매칭테이블!C:C,MATCH(RD!G707,매칭테이블!D:D,0))</f>
        <v/>
      </c>
      <c r="F707" s="9" t="inlineStr">
        <is>
          <t>카페24</t>
        </is>
      </c>
      <c r="G707" s="9" t="inlineStr">
        <is>
          <t>라베나 리커버리 15 헤어팩 트리트먼트 [HAIR RÉ:COVERY 15 Hairpack Treatment]제품선택=헤어팩 트리트먼트 2개 세트 5% 추가할인</t>
        </is>
      </c>
      <c r="H707" s="9" t="n">
        <v>5</v>
      </c>
      <c r="I707" s="9">
        <f>VLOOKUP(G707,매칭테이블!D:E,2,0)</f>
        <v/>
      </c>
      <c r="J707" s="9" t="n">
        <v>201210</v>
      </c>
      <c r="L707" s="9">
        <f>VLOOKUP($O707,매칭테이블!$G:$J,2,0)*H707</f>
        <v/>
      </c>
      <c r="M707" s="9">
        <f>L707-L707*VLOOKUP($O707,매칭테이블!$G:$J,3,0)</f>
        <v/>
      </c>
      <c r="N707" s="9">
        <f>VLOOKUP($O707,매칭테이블!$G:$J,4,0)*H707</f>
        <v/>
      </c>
      <c r="O707" s="9">
        <f>F707&amp;E707&amp;G707&amp;J707</f>
        <v/>
      </c>
    </row>
    <row r="708">
      <c r="B708" s="10" t="n">
        <v>44210</v>
      </c>
      <c r="C708" s="9">
        <f>TEXT(B708,"aaa")</f>
        <v/>
      </c>
      <c r="E708" s="9">
        <f>INDEX(매칭테이블!C:C,MATCH(RD!G708,매칭테이블!D:D,0))</f>
        <v/>
      </c>
      <c r="F708" s="9" t="inlineStr">
        <is>
          <t>카페24</t>
        </is>
      </c>
      <c r="G708" s="9" t="inlineStr">
        <is>
          <t>라베나 리커버리 15 헤어팩 트리트먼트 [HAIR RÉ:COVERY 15 Hairpack Treatment]제품선택=헤어팩 트리트먼트 3개 세트 10% 추가할인</t>
        </is>
      </c>
      <c r="H708" s="9" t="n">
        <v>2</v>
      </c>
      <c r="I708" s="9">
        <f>VLOOKUP(G708,매칭테이블!D:E,2,0)</f>
        <v/>
      </c>
      <c r="J708" s="9" t="n">
        <v>201210</v>
      </c>
      <c r="L708" s="9">
        <f>VLOOKUP($O708,매칭테이블!$G:$J,2,0)*H708</f>
        <v/>
      </c>
      <c r="M708" s="9">
        <f>L708-L708*VLOOKUP($O708,매칭테이블!$G:$J,3,0)</f>
        <v/>
      </c>
      <c r="N708" s="9">
        <f>VLOOKUP($O708,매칭테이블!$G:$J,4,0)*H708</f>
        <v/>
      </c>
      <c r="O708" s="9">
        <f>F708&amp;E708&amp;G708&amp;J708</f>
        <v/>
      </c>
    </row>
    <row r="709">
      <c r="B709" s="10" t="n">
        <v>44210</v>
      </c>
      <c r="C709" s="9">
        <f>TEXT(B709,"aaa")</f>
        <v/>
      </c>
      <c r="E709" s="9">
        <f>INDEX(매칭테이블!C:C,MATCH(RD!G709,매칭테이블!D:D,0))</f>
        <v/>
      </c>
      <c r="F709" s="9" t="inlineStr">
        <is>
          <t>카페24</t>
        </is>
      </c>
      <c r="G709" s="9" t="inlineStr">
        <is>
          <t>라베나 리커버리 15 헤어팩 트리트먼트 [HAIR RÉ:COVERY 15 Hairpack Treatment]제품선택=헤어팩 트리트먼트 1개 + 뉴트리셔스밤 1개 세트 5% 추가할인</t>
        </is>
      </c>
      <c r="H709" s="9" t="n">
        <v>2</v>
      </c>
      <c r="I709" s="9">
        <f>VLOOKUP(G709,매칭테이블!D:E,2,0)</f>
        <v/>
      </c>
      <c r="J709" s="9" t="n">
        <v>201210</v>
      </c>
      <c r="L709" s="9">
        <f>VLOOKUP($O709,매칭테이블!$G:$J,2,0)*H709</f>
        <v/>
      </c>
      <c r="M709" s="9">
        <f>L709-L709*VLOOKUP($O709,매칭테이블!$G:$J,3,0)</f>
        <v/>
      </c>
      <c r="N709" s="9">
        <f>VLOOKUP($O709,매칭테이블!$G:$J,4,0)*H709</f>
        <v/>
      </c>
      <c r="O709" s="9">
        <f>F709&amp;E709&amp;G709&amp;J709</f>
        <v/>
      </c>
    </row>
    <row r="710">
      <c r="B710" s="10" t="n">
        <v>44211</v>
      </c>
      <c r="C710" s="9">
        <f>TEXT(B710,"aaa")</f>
        <v/>
      </c>
      <c r="E710" s="9">
        <f>INDEX(매칭테이블!C:C,MATCH(RD!G710,매칭테이블!D:D,0))</f>
        <v/>
      </c>
      <c r="F710" s="9" t="inlineStr">
        <is>
          <t>카페24</t>
        </is>
      </c>
      <c r="G710" s="9" t="inlineStr">
        <is>
          <t>라베나 리커버리 15 뉴트리셔스 밤 [HAIR RÉ:COVERY 15 Nutritious Balm]제품선택=헤어 리커버리 15 뉴트리셔스 밤</t>
        </is>
      </c>
      <c r="H710" s="9" t="n">
        <v>8</v>
      </c>
      <c r="I710" s="9">
        <f>VLOOKUP(G710,매칭테이블!D:E,2,0)</f>
        <v/>
      </c>
      <c r="J710" s="9" t="n">
        <v>201210</v>
      </c>
      <c r="L710" s="9">
        <f>VLOOKUP($O710,매칭테이블!$G:$J,2,0)*H710</f>
        <v/>
      </c>
      <c r="M710" s="9">
        <f>L710-L710*VLOOKUP($O710,매칭테이블!$G:$J,3,0)</f>
        <v/>
      </c>
      <c r="N710" s="9">
        <f>VLOOKUP($O710,매칭테이블!$G:$J,4,0)*H710</f>
        <v/>
      </c>
      <c r="O710" s="9">
        <f>F710&amp;E710&amp;G710&amp;J710</f>
        <v/>
      </c>
    </row>
    <row r="711">
      <c r="B711" s="10" t="n">
        <v>44211</v>
      </c>
      <c r="C711" s="9">
        <f>TEXT(B711,"aaa")</f>
        <v/>
      </c>
      <c r="E711" s="9">
        <f>INDEX(매칭테이블!C:C,MATCH(RD!G711,매칭테이블!D:D,0))</f>
        <v/>
      </c>
      <c r="F711" s="9" t="inlineStr">
        <is>
          <t>카페24</t>
        </is>
      </c>
      <c r="G711" s="9" t="inlineStr">
        <is>
          <t>라베나 리커버리 15 뉴트리셔스 밤 [HAIR RÉ:COVERY 15 Nutritious Balm]제품선택=뉴트리셔스 밤 2개 세트 5% 추가할인</t>
        </is>
      </c>
      <c r="H711" s="9" t="n">
        <v>4</v>
      </c>
      <c r="I711" s="9">
        <f>VLOOKUP(G711,매칭테이블!D:E,2,0)</f>
        <v/>
      </c>
      <c r="J711" s="9" t="n">
        <v>201210</v>
      </c>
      <c r="L711" s="9">
        <f>VLOOKUP($O711,매칭테이블!$G:$J,2,0)*H711</f>
        <v/>
      </c>
      <c r="M711" s="9">
        <f>L711-L711*VLOOKUP($O711,매칭테이블!$G:$J,3,0)</f>
        <v/>
      </c>
      <c r="N711" s="9">
        <f>VLOOKUP($O711,매칭테이블!$G:$J,4,0)*H711</f>
        <v/>
      </c>
      <c r="O711" s="9">
        <f>F711&amp;E711&amp;G711&amp;J711</f>
        <v/>
      </c>
    </row>
    <row r="712">
      <c r="B712" s="10" t="n">
        <v>44211</v>
      </c>
      <c r="C712" s="9">
        <f>TEXT(B712,"aaa")</f>
        <v/>
      </c>
      <c r="E712" s="9">
        <f>INDEX(매칭테이블!C:C,MATCH(RD!G712,매칭테이블!D:D,0))</f>
        <v/>
      </c>
      <c r="F712" s="9" t="inlineStr">
        <is>
          <t>카페24</t>
        </is>
      </c>
      <c r="G712" s="9" t="inlineStr">
        <is>
          <t>라베나 리커버리 15 뉴트리셔스 밤 [HAIR RÉ:COVERY 15 Nutritious Balm]제품선택=뉴트리셔스 밤 3개 세트 10% 추가할인</t>
        </is>
      </c>
      <c r="H712" s="9" t="n">
        <v>2</v>
      </c>
      <c r="I712" s="9">
        <f>VLOOKUP(G712,매칭테이블!D:E,2,0)</f>
        <v/>
      </c>
      <c r="J712" s="9" t="n">
        <v>201210</v>
      </c>
      <c r="L712" s="9">
        <f>VLOOKUP($O712,매칭테이블!$G:$J,2,0)*H712</f>
        <v/>
      </c>
      <c r="M712" s="9">
        <f>L712-L712*VLOOKUP($O712,매칭테이블!$G:$J,3,0)</f>
        <v/>
      </c>
      <c r="N712" s="9">
        <f>VLOOKUP($O712,매칭테이블!$G:$J,4,0)*H712</f>
        <v/>
      </c>
      <c r="O712" s="9">
        <f>F712&amp;E712&amp;G712&amp;J712</f>
        <v/>
      </c>
    </row>
    <row r="713">
      <c r="B713" s="10" t="n">
        <v>44211</v>
      </c>
      <c r="C713" s="9">
        <f>TEXT(B713,"aaa")</f>
        <v/>
      </c>
      <c r="E713" s="9">
        <f>INDEX(매칭테이블!C:C,MATCH(RD!G713,매칭테이블!D:D,0))</f>
        <v/>
      </c>
      <c r="F713" s="9" t="inlineStr">
        <is>
          <t>카페24</t>
        </is>
      </c>
      <c r="G713" s="9" t="inlineStr">
        <is>
          <t>라베나 리커버리 15 뉴트리셔스 밤 [HAIR RÉ:COVERY 15 Nutritious Balm]제품선택=뉴트리셔스밤 1개 + 헤어팩 트리트먼트 1개 세트 5%추가할인</t>
        </is>
      </c>
      <c r="H713" s="9" t="n">
        <v>2</v>
      </c>
      <c r="I713" s="9">
        <f>VLOOKUP(G713,매칭테이블!D:E,2,0)</f>
        <v/>
      </c>
      <c r="J713" s="9" t="n">
        <v>201210</v>
      </c>
      <c r="L713" s="9">
        <f>VLOOKUP($O713,매칭테이블!$G:$J,2,0)*H713</f>
        <v/>
      </c>
      <c r="M713" s="9">
        <f>L713-L713*VLOOKUP($O713,매칭테이블!$G:$J,3,0)</f>
        <v/>
      </c>
      <c r="N713" s="9">
        <f>VLOOKUP($O713,매칭테이블!$G:$J,4,0)*H713</f>
        <v/>
      </c>
      <c r="O713" s="9">
        <f>F713&amp;E713&amp;G713&amp;J713</f>
        <v/>
      </c>
    </row>
    <row r="714">
      <c r="B714" s="10" t="n">
        <v>44211</v>
      </c>
      <c r="C714" s="9">
        <f>TEXT(B714,"aaa")</f>
        <v/>
      </c>
      <c r="E714" s="9">
        <f>INDEX(매칭테이블!C:C,MATCH(RD!G714,매칭테이블!D:D,0))</f>
        <v/>
      </c>
      <c r="F714" s="9" t="inlineStr">
        <is>
          <t>카페24</t>
        </is>
      </c>
      <c r="G714" s="9" t="inlineStr">
        <is>
          <t>라베나 리커버리 15 리바이탈 샴푸 [HAIR RÉ:COVERY 15 Revital Shampoo]제품선택=헤어 리커버리 15 리바이탈 샴푸 - 500ml</t>
        </is>
      </c>
      <c r="H714" s="9" t="n">
        <v>310</v>
      </c>
      <c r="I714" s="9">
        <f>VLOOKUP(G714,매칭테이블!D:E,2,0)</f>
        <v/>
      </c>
      <c r="J714" s="9" t="n">
        <v>201210</v>
      </c>
      <c r="L714" s="9">
        <f>VLOOKUP($O714,매칭테이블!$G:$J,2,0)*H714</f>
        <v/>
      </c>
      <c r="M714" s="9">
        <f>L714-L714*VLOOKUP($O714,매칭테이블!$G:$J,3,0)</f>
        <v/>
      </c>
      <c r="N714" s="9">
        <f>VLOOKUP($O714,매칭테이블!$G:$J,4,0)*H714</f>
        <v/>
      </c>
      <c r="O714" s="9">
        <f>F714&amp;E714&amp;G714&amp;J714</f>
        <v/>
      </c>
    </row>
    <row r="715">
      <c r="B715" s="10" t="n">
        <v>44211</v>
      </c>
      <c r="C715" s="9">
        <f>TEXT(B715,"aaa")</f>
        <v/>
      </c>
      <c r="E715" s="9">
        <f>INDEX(매칭테이블!C:C,MATCH(RD!G715,매칭테이블!D:D,0))</f>
        <v/>
      </c>
      <c r="F715" s="9" t="inlineStr">
        <is>
          <t>카페24</t>
        </is>
      </c>
      <c r="G715" s="9" t="inlineStr">
        <is>
          <t>라베나 리커버리 15 리바이탈 샴푸 [HAIR RÉ:COVERY 15 Revital Shampoo]제품선택=리바이탈 샴푸 2개 세트 5%추가할인</t>
        </is>
      </c>
      <c r="H715" s="9" t="n">
        <v>122</v>
      </c>
      <c r="I715" s="9">
        <f>VLOOKUP(G715,매칭테이블!D:E,2,0)</f>
        <v/>
      </c>
      <c r="J715" s="9" t="n">
        <v>201210</v>
      </c>
      <c r="L715" s="9">
        <f>VLOOKUP($O715,매칭테이블!$G:$J,2,0)*H715</f>
        <v/>
      </c>
      <c r="M715" s="9">
        <f>L715-L715*VLOOKUP($O715,매칭테이블!$G:$J,3,0)</f>
        <v/>
      </c>
      <c r="N715" s="9">
        <f>VLOOKUP($O715,매칭테이블!$G:$J,4,0)*H715</f>
        <v/>
      </c>
      <c r="O715" s="9">
        <f>F715&amp;E715&amp;G715&amp;J715</f>
        <v/>
      </c>
    </row>
    <row r="716">
      <c r="B716" s="10" t="n">
        <v>44211</v>
      </c>
      <c r="C716" s="9">
        <f>TEXT(B716,"aaa")</f>
        <v/>
      </c>
      <c r="E716" s="9">
        <f>INDEX(매칭테이블!C:C,MATCH(RD!G716,매칭테이블!D:D,0))</f>
        <v/>
      </c>
      <c r="F716" s="9" t="inlineStr">
        <is>
          <t>카페24</t>
        </is>
      </c>
      <c r="G716" s="9" t="inlineStr">
        <is>
          <t>라베나 리커버리 15 리바이탈 샴푸 [HAIR RÉ:COVERY 15 Revital Shampoo]제품선택=리바이탈 샴푸 3개 세트 10% 추가할인</t>
        </is>
      </c>
      <c r="H716" s="9" t="n">
        <v>50</v>
      </c>
      <c r="I716" s="9">
        <f>VLOOKUP(G716,매칭테이블!D:E,2,0)</f>
        <v/>
      </c>
      <c r="J716" s="9" t="n">
        <v>201210</v>
      </c>
      <c r="L716" s="9">
        <f>VLOOKUP($O716,매칭테이블!$G:$J,2,0)*H716</f>
        <v/>
      </c>
      <c r="M716" s="9">
        <f>L716-L716*VLOOKUP($O716,매칭테이블!$G:$J,3,0)</f>
        <v/>
      </c>
      <c r="N716" s="9">
        <f>VLOOKUP($O716,매칭테이블!$G:$J,4,0)*H716</f>
        <v/>
      </c>
      <c r="O716" s="9">
        <f>F716&amp;E716&amp;G716&amp;J716</f>
        <v/>
      </c>
    </row>
    <row r="717">
      <c r="B717" s="10" t="n">
        <v>44211</v>
      </c>
      <c r="C717" s="9">
        <f>TEXT(B717,"aaa")</f>
        <v/>
      </c>
      <c r="E717" s="9">
        <f>INDEX(매칭테이블!C:C,MATCH(RD!G717,매칭테이블!D:D,0))</f>
        <v/>
      </c>
      <c r="F717" s="9" t="inlineStr">
        <is>
          <t>카페24</t>
        </is>
      </c>
      <c r="G717" s="9" t="inlineStr">
        <is>
          <t>라베나 리커버리 15 헤어팩 트리트먼트 [HAIR RÉ:COVERY 15 Hairpack Treatment]제품선택=헤어 리커버리 15 헤어팩 트리트먼트</t>
        </is>
      </c>
      <c r="H717" s="9" t="n">
        <v>16</v>
      </c>
      <c r="I717" s="9">
        <f>VLOOKUP(G717,매칭테이블!D:E,2,0)</f>
        <v/>
      </c>
      <c r="J717" s="9" t="n">
        <v>201210</v>
      </c>
      <c r="L717" s="9">
        <f>VLOOKUP($O717,매칭테이블!$G:$J,2,0)*H717</f>
        <v/>
      </c>
      <c r="M717" s="9">
        <f>L717-L717*VLOOKUP($O717,매칭테이블!$G:$J,3,0)</f>
        <v/>
      </c>
      <c r="N717" s="9">
        <f>VLOOKUP($O717,매칭테이블!$G:$J,4,0)*H717</f>
        <v/>
      </c>
      <c r="O717" s="9">
        <f>F717&amp;E717&amp;G717&amp;J717</f>
        <v/>
      </c>
    </row>
    <row r="718">
      <c r="B718" s="10" t="n">
        <v>44211</v>
      </c>
      <c r="C718" s="9">
        <f>TEXT(B718,"aaa")</f>
        <v/>
      </c>
      <c r="E718" s="9">
        <f>INDEX(매칭테이블!C:C,MATCH(RD!G718,매칭테이블!D:D,0))</f>
        <v/>
      </c>
      <c r="F718" s="9" t="inlineStr">
        <is>
          <t>카페24</t>
        </is>
      </c>
      <c r="G718" s="9" t="inlineStr">
        <is>
          <t>라베나 리커버리 15 헤어팩 트리트먼트 [HAIR RÉ:COVERY 15 Hairpack Treatment]제품선택=헤어팩 트리트먼트 2개 세트 5% 추가할인</t>
        </is>
      </c>
      <c r="H718" s="9" t="n">
        <v>4</v>
      </c>
      <c r="I718" s="9">
        <f>VLOOKUP(G718,매칭테이블!D:E,2,0)</f>
        <v/>
      </c>
      <c r="J718" s="9" t="n">
        <v>201210</v>
      </c>
      <c r="L718" s="9">
        <f>VLOOKUP($O718,매칭테이블!$G:$J,2,0)*H718</f>
        <v/>
      </c>
      <c r="M718" s="9">
        <f>L718-L718*VLOOKUP($O718,매칭테이블!$G:$J,3,0)</f>
        <v/>
      </c>
      <c r="N718" s="9">
        <f>VLOOKUP($O718,매칭테이블!$G:$J,4,0)*H718</f>
        <v/>
      </c>
      <c r="O718" s="9">
        <f>F718&amp;E718&amp;G718&amp;J718</f>
        <v/>
      </c>
    </row>
    <row r="719">
      <c r="B719" s="10" t="n">
        <v>44211</v>
      </c>
      <c r="C719" s="9">
        <f>TEXT(B719,"aaa")</f>
        <v/>
      </c>
      <c r="E719" s="9">
        <f>INDEX(매칭테이블!C:C,MATCH(RD!G719,매칭테이블!D:D,0))</f>
        <v/>
      </c>
      <c r="F719" s="9" t="inlineStr">
        <is>
          <t>카페24</t>
        </is>
      </c>
      <c r="G719" s="9" t="inlineStr">
        <is>
          <t>라베나 리커버리 15 헤어팩 트리트먼트 [HAIR RÉ:COVERY 15 Hairpack Treatment]제품선택=헤어팩 트리트먼트 3개 세트 10% 추가할인</t>
        </is>
      </c>
      <c r="H719" s="9" t="n">
        <v>2</v>
      </c>
      <c r="I719" s="9">
        <f>VLOOKUP(G719,매칭테이블!D:E,2,0)</f>
        <v/>
      </c>
      <c r="J719" s="9" t="n">
        <v>201210</v>
      </c>
      <c r="L719" s="9">
        <f>VLOOKUP($O719,매칭테이블!$G:$J,2,0)*H719</f>
        <v/>
      </c>
      <c r="M719" s="9">
        <f>L719-L719*VLOOKUP($O719,매칭테이블!$G:$J,3,0)</f>
        <v/>
      </c>
      <c r="N719" s="9">
        <f>VLOOKUP($O719,매칭테이블!$G:$J,4,0)*H719</f>
        <v/>
      </c>
      <c r="O719" s="9">
        <f>F719&amp;E719&amp;G719&amp;J719</f>
        <v/>
      </c>
    </row>
    <row r="720">
      <c r="B720" s="10" t="n">
        <v>44211</v>
      </c>
      <c r="C720" s="9">
        <f>TEXT(B720,"aaa")</f>
        <v/>
      </c>
      <c r="E720" s="9">
        <f>INDEX(매칭테이블!C:C,MATCH(RD!G720,매칭테이블!D:D,0))</f>
        <v/>
      </c>
      <c r="F720" s="9" t="inlineStr">
        <is>
          <t>카페24</t>
        </is>
      </c>
      <c r="G720" s="9" t="inlineStr">
        <is>
          <t>라베나 리커버리 15 헤어팩 트리트먼트 [HAIR RÉ:COVERY 15 Hairpack Treatment]제품선택=헤어팩 트리트먼트 1개 + 뉴트리셔스밤 1개 세트 5% 추가할인</t>
        </is>
      </c>
      <c r="H720" s="9" t="n">
        <v>3</v>
      </c>
      <c r="I720" s="9">
        <f>VLOOKUP(G720,매칭테이블!D:E,2,0)</f>
        <v/>
      </c>
      <c r="J720" s="9" t="n">
        <v>201210</v>
      </c>
      <c r="L720" s="9">
        <f>VLOOKUP($O720,매칭테이블!$G:$J,2,0)*H720</f>
        <v/>
      </c>
      <c r="M720" s="9">
        <f>L720-L720*VLOOKUP($O720,매칭테이블!$G:$J,3,0)</f>
        <v/>
      </c>
      <c r="N720" s="9">
        <f>VLOOKUP($O720,매칭테이블!$G:$J,4,0)*H720</f>
        <v/>
      </c>
      <c r="O720" s="9">
        <f>F720&amp;E720&amp;G720&amp;J720</f>
        <v/>
      </c>
    </row>
    <row r="721">
      <c r="B721" s="10" t="n">
        <v>44211</v>
      </c>
      <c r="C721" s="9">
        <f>TEXT(B721,"aaa")</f>
        <v/>
      </c>
      <c r="E721" s="9">
        <f>INDEX(매칭테이블!C:C,MATCH(RD!G721,매칭테이블!D:D,0))</f>
        <v/>
      </c>
      <c r="F721" s="9" t="inlineStr">
        <is>
          <t>카페24</t>
        </is>
      </c>
      <c r="G721" s="9" t="inlineStr">
        <is>
          <t>헤어 리커버리 15 리바이탈 샴푸</t>
        </is>
      </c>
      <c r="H721" s="9" t="n">
        <v>4</v>
      </c>
      <c r="I721" s="9">
        <f>VLOOKUP(G721,매칭테이블!D:E,2,0)</f>
        <v/>
      </c>
      <c r="J721" s="9" t="n">
        <v>201210</v>
      </c>
      <c r="L721" s="9">
        <f>VLOOKUP($O721,매칭테이블!$G:$J,2,0)*H721</f>
        <v/>
      </c>
      <c r="M721" s="9">
        <f>L721-L721*VLOOKUP($O721,매칭테이블!$G:$J,3,0)</f>
        <v/>
      </c>
      <c r="N721" s="9">
        <f>VLOOKUP($O721,매칭테이블!$G:$J,4,0)*H721</f>
        <v/>
      </c>
      <c r="O721" s="9">
        <f>F721&amp;E721&amp;G721&amp;J721</f>
        <v/>
      </c>
    </row>
    <row r="722">
      <c r="B722" s="10" t="n">
        <v>44212</v>
      </c>
      <c r="C722" s="9">
        <f>TEXT(B722,"aaa")</f>
        <v/>
      </c>
      <c r="E722" s="9">
        <f>INDEX(매칭테이블!C:C,MATCH(RD!G722,매칭테이블!D:D,0))</f>
        <v/>
      </c>
      <c r="F722" s="9" t="inlineStr">
        <is>
          <t>카페24</t>
        </is>
      </c>
      <c r="G722" s="9" t="inlineStr">
        <is>
          <t>HAIR RÉ:COVERY 15 Hairpack Treatment [라베나 리커버리 15 헤어팩 트리트먼트]제품선택=헤어 리커버리 15 헤어팩 트리트먼트</t>
        </is>
      </c>
      <c r="H722" s="9" t="n">
        <v>1</v>
      </c>
      <c r="I722" s="9">
        <f>VLOOKUP(G722,매칭테이블!D:E,2,0)</f>
        <v/>
      </c>
      <c r="J722" s="9" t="n">
        <v>201210</v>
      </c>
      <c r="L722" s="9">
        <f>VLOOKUP($O722,매칭테이블!$G:$J,2,0)*H722</f>
        <v/>
      </c>
      <c r="M722" s="9">
        <f>L722-L722*VLOOKUP($O722,매칭테이블!$G:$J,3,0)</f>
        <v/>
      </c>
      <c r="N722" s="9">
        <f>VLOOKUP($O722,매칭테이블!$G:$J,4,0)*H722</f>
        <v/>
      </c>
      <c r="O722" s="9">
        <f>F722&amp;E722&amp;G722&amp;J722</f>
        <v/>
      </c>
    </row>
    <row r="723">
      <c r="B723" s="10" t="n">
        <v>44212</v>
      </c>
      <c r="C723" s="9">
        <f>TEXT(B723,"aaa")</f>
        <v/>
      </c>
      <c r="E723" s="9">
        <f>INDEX(매칭테이블!C:C,MATCH(RD!G723,매칭테이블!D:D,0))</f>
        <v/>
      </c>
      <c r="F723" s="9" t="inlineStr">
        <is>
          <t>카페24</t>
        </is>
      </c>
      <c r="G723" s="9" t="inlineStr">
        <is>
          <t>라베나 리커버리 15 뉴트리셔스 밤 [HAIR RÉ:COVERY 15 Nutritious Balm]제품선택=헤어 리커버리 15 뉴트리셔스 밤</t>
        </is>
      </c>
      <c r="H723" s="9" t="n">
        <v>10</v>
      </c>
      <c r="I723" s="9">
        <f>VLOOKUP(G723,매칭테이블!D:E,2,0)</f>
        <v/>
      </c>
      <c r="J723" s="9" t="n">
        <v>201210</v>
      </c>
      <c r="L723" s="9">
        <f>VLOOKUP($O723,매칭테이블!$G:$J,2,0)*H723</f>
        <v/>
      </c>
      <c r="M723" s="9">
        <f>L723-L723*VLOOKUP($O723,매칭테이블!$G:$J,3,0)</f>
        <v/>
      </c>
      <c r="N723" s="9">
        <f>VLOOKUP($O723,매칭테이블!$G:$J,4,0)*H723</f>
        <v/>
      </c>
      <c r="O723" s="9">
        <f>F723&amp;E723&amp;G723&amp;J723</f>
        <v/>
      </c>
    </row>
    <row r="724">
      <c r="B724" s="10" t="n">
        <v>44212</v>
      </c>
      <c r="C724" s="9">
        <f>TEXT(B724,"aaa")</f>
        <v/>
      </c>
      <c r="E724" s="9">
        <f>INDEX(매칭테이블!C:C,MATCH(RD!G724,매칭테이블!D:D,0))</f>
        <v/>
      </c>
      <c r="F724" s="9" t="inlineStr">
        <is>
          <t>카페24</t>
        </is>
      </c>
      <c r="G724" s="9" t="inlineStr">
        <is>
          <t>라베나 리커버리 15 뉴트리셔스 밤 [HAIR RÉ:COVERY 15 Nutritious Balm]제품선택=뉴트리셔스 밤 2개 세트 5% 추가할인</t>
        </is>
      </c>
      <c r="H724" s="9" t="n">
        <v>2</v>
      </c>
      <c r="I724" s="9">
        <f>VLOOKUP(G724,매칭테이블!D:E,2,0)</f>
        <v/>
      </c>
      <c r="J724" s="9" t="n">
        <v>201210</v>
      </c>
      <c r="L724" s="9">
        <f>VLOOKUP($O724,매칭테이블!$G:$J,2,0)*H724</f>
        <v/>
      </c>
      <c r="M724" s="9">
        <f>L724-L724*VLOOKUP($O724,매칭테이블!$G:$J,3,0)</f>
        <v/>
      </c>
      <c r="N724" s="9">
        <f>VLOOKUP($O724,매칭테이블!$G:$J,4,0)*H724</f>
        <v/>
      </c>
      <c r="O724" s="9">
        <f>F724&amp;E724&amp;G724&amp;J724</f>
        <v/>
      </c>
    </row>
    <row r="725">
      <c r="B725" s="10" t="n">
        <v>44212</v>
      </c>
      <c r="C725" s="9">
        <f>TEXT(B725,"aaa")</f>
        <v/>
      </c>
      <c r="E725" s="9">
        <f>INDEX(매칭테이블!C:C,MATCH(RD!G725,매칭테이블!D:D,0))</f>
        <v/>
      </c>
      <c r="F725" s="9" t="inlineStr">
        <is>
          <t>카페24</t>
        </is>
      </c>
      <c r="G725" s="9" t="inlineStr">
        <is>
          <t>라베나 리커버리 15 뉴트리셔스 밤 [HAIR RÉ:COVERY 15 Nutritious Balm]제품선택=뉴트리셔스 밤 3개 세트 10% 추가할인</t>
        </is>
      </c>
      <c r="H725" s="9" t="n">
        <v>1</v>
      </c>
      <c r="I725" s="9">
        <f>VLOOKUP(G725,매칭테이블!D:E,2,0)</f>
        <v/>
      </c>
      <c r="J725" s="9" t="n">
        <v>201210</v>
      </c>
      <c r="L725" s="9">
        <f>VLOOKUP($O725,매칭테이블!$G:$J,2,0)*H725</f>
        <v/>
      </c>
      <c r="M725" s="9">
        <f>L725-L725*VLOOKUP($O725,매칭테이블!$G:$J,3,0)</f>
        <v/>
      </c>
      <c r="N725" s="9">
        <f>VLOOKUP($O725,매칭테이블!$G:$J,4,0)*H725</f>
        <v/>
      </c>
      <c r="O725" s="9">
        <f>F725&amp;E725&amp;G725&amp;J725</f>
        <v/>
      </c>
    </row>
    <row r="726">
      <c r="B726" s="10" t="n">
        <v>44212</v>
      </c>
      <c r="C726" s="9">
        <f>TEXT(B726,"aaa")</f>
        <v/>
      </c>
      <c r="E726" s="9">
        <f>INDEX(매칭테이블!C:C,MATCH(RD!G726,매칭테이블!D:D,0))</f>
        <v/>
      </c>
      <c r="F726" s="9" t="inlineStr">
        <is>
          <t>카페24</t>
        </is>
      </c>
      <c r="G726" s="9" t="inlineStr">
        <is>
          <t>라베나 리커버리 15 뉴트리셔스 밤 [HAIR RÉ:COVERY 15 Nutritious Balm]제품선택=뉴트리셔스밤 1개 + 헤어팩 트리트먼트 1개 세트 5%추가할인</t>
        </is>
      </c>
      <c r="H726" s="9" t="n">
        <v>2</v>
      </c>
      <c r="I726" s="9">
        <f>VLOOKUP(G726,매칭테이블!D:E,2,0)</f>
        <v/>
      </c>
      <c r="J726" s="9" t="n">
        <v>201210</v>
      </c>
      <c r="L726" s="9">
        <f>VLOOKUP($O726,매칭테이블!$G:$J,2,0)*H726</f>
        <v/>
      </c>
      <c r="M726" s="9">
        <f>L726-L726*VLOOKUP($O726,매칭테이블!$G:$J,3,0)</f>
        <v/>
      </c>
      <c r="N726" s="9">
        <f>VLOOKUP($O726,매칭테이블!$G:$J,4,0)*H726</f>
        <v/>
      </c>
      <c r="O726" s="9">
        <f>F726&amp;E726&amp;G726&amp;J726</f>
        <v/>
      </c>
    </row>
    <row r="727">
      <c r="B727" s="10" t="n">
        <v>44212</v>
      </c>
      <c r="C727" s="9">
        <f>TEXT(B727,"aaa")</f>
        <v/>
      </c>
      <c r="E727" s="9">
        <f>INDEX(매칭테이블!C:C,MATCH(RD!G727,매칭테이블!D:D,0))</f>
        <v/>
      </c>
      <c r="F727" s="9" t="inlineStr">
        <is>
          <t>카페24</t>
        </is>
      </c>
      <c r="G727" s="9" t="inlineStr">
        <is>
          <t>라베나 리커버리 15 리바이탈 샴푸 [HAIR RÉ:COVERY 15 Revital Shampoo]제품선택=헤어 리커버리 15 리바이탈 샴푸 - 500ml</t>
        </is>
      </c>
      <c r="H727" s="9" t="n">
        <v>73</v>
      </c>
      <c r="I727" s="9">
        <f>VLOOKUP(G727,매칭테이블!D:E,2,0)</f>
        <v/>
      </c>
      <c r="J727" s="9" t="n">
        <v>201210</v>
      </c>
      <c r="L727" s="9">
        <f>VLOOKUP($O727,매칭테이블!$G:$J,2,0)*H727</f>
        <v/>
      </c>
      <c r="M727" s="9">
        <f>L727-L727*VLOOKUP($O727,매칭테이블!$G:$J,3,0)</f>
        <v/>
      </c>
      <c r="N727" s="9">
        <f>VLOOKUP($O727,매칭테이블!$G:$J,4,0)*H727</f>
        <v/>
      </c>
      <c r="O727" s="9">
        <f>F727&amp;E727&amp;G727&amp;J727</f>
        <v/>
      </c>
    </row>
    <row r="728">
      <c r="B728" s="10" t="n">
        <v>44212</v>
      </c>
      <c r="C728" s="9">
        <f>TEXT(B728,"aaa")</f>
        <v/>
      </c>
      <c r="E728" s="9">
        <f>INDEX(매칭테이블!C:C,MATCH(RD!G728,매칭테이블!D:D,0))</f>
        <v/>
      </c>
      <c r="F728" s="9" t="inlineStr">
        <is>
          <t>카페24</t>
        </is>
      </c>
      <c r="G728" s="9" t="inlineStr">
        <is>
          <t>라베나 리커버리 15 리바이탈 샴푸 [HAIR RÉ:COVERY 15 Revital Shampoo]제품선택=리바이탈 샴푸 2개 세트 5%추가할인</t>
        </is>
      </c>
      <c r="H728" s="9" t="n">
        <v>18</v>
      </c>
      <c r="I728" s="9">
        <f>VLOOKUP(G728,매칭테이블!D:E,2,0)</f>
        <v/>
      </c>
      <c r="J728" s="9" t="n">
        <v>201210</v>
      </c>
      <c r="L728" s="9">
        <f>VLOOKUP($O728,매칭테이블!$G:$J,2,0)*H728</f>
        <v/>
      </c>
      <c r="M728" s="9">
        <f>L728-L728*VLOOKUP($O728,매칭테이블!$G:$J,3,0)</f>
        <v/>
      </c>
      <c r="N728" s="9">
        <f>VLOOKUP($O728,매칭테이블!$G:$J,4,0)*H728</f>
        <v/>
      </c>
      <c r="O728" s="9">
        <f>F728&amp;E728&amp;G728&amp;J728</f>
        <v/>
      </c>
    </row>
    <row r="729">
      <c r="B729" s="10" t="n">
        <v>44212</v>
      </c>
      <c r="C729" s="9">
        <f>TEXT(B729,"aaa")</f>
        <v/>
      </c>
      <c r="E729" s="9">
        <f>INDEX(매칭테이블!C:C,MATCH(RD!G729,매칭테이블!D:D,0))</f>
        <v/>
      </c>
      <c r="F729" s="9" t="inlineStr">
        <is>
          <t>카페24</t>
        </is>
      </c>
      <c r="G729" s="9" t="inlineStr">
        <is>
          <t>라베나 리커버리 15 리바이탈 샴푸 [HAIR RÉ:COVERY 15 Revital Shampoo]제품선택=리바이탈 샴푸 3개 세트 10% 추가할인</t>
        </is>
      </c>
      <c r="H729" s="9" t="n">
        <v>7</v>
      </c>
      <c r="I729" s="9">
        <f>VLOOKUP(G729,매칭테이블!D:E,2,0)</f>
        <v/>
      </c>
      <c r="J729" s="9" t="n">
        <v>201210</v>
      </c>
      <c r="L729" s="9">
        <f>VLOOKUP($O729,매칭테이블!$G:$J,2,0)*H729</f>
        <v/>
      </c>
      <c r="M729" s="9">
        <f>L729-L729*VLOOKUP($O729,매칭테이블!$G:$J,3,0)</f>
        <v/>
      </c>
      <c r="N729" s="9">
        <f>VLOOKUP($O729,매칭테이블!$G:$J,4,0)*H729</f>
        <v/>
      </c>
      <c r="O729" s="9">
        <f>F729&amp;E729&amp;G729&amp;J729</f>
        <v/>
      </c>
    </row>
    <row r="730">
      <c r="B730" s="10" t="n">
        <v>44212</v>
      </c>
      <c r="C730" s="9">
        <f>TEXT(B730,"aaa")</f>
        <v/>
      </c>
      <c r="E730" s="9">
        <f>INDEX(매칭테이블!C:C,MATCH(RD!G730,매칭테이블!D:D,0))</f>
        <v/>
      </c>
      <c r="F730" s="9" t="inlineStr">
        <is>
          <t>카페24</t>
        </is>
      </c>
      <c r="G730" s="9" t="inlineStr">
        <is>
          <t>라베나 리커버리 15 헤어팩 트리트먼트 [HAIR RÉ:COVERY 15 Hairpack Treatment]제품선택=헤어 리커버리 15 헤어팩 트리트먼트</t>
        </is>
      </c>
      <c r="H730" s="9" t="n">
        <v>6</v>
      </c>
      <c r="I730" s="9">
        <f>VLOOKUP(G730,매칭테이블!D:E,2,0)</f>
        <v/>
      </c>
      <c r="J730" s="9" t="n">
        <v>201210</v>
      </c>
      <c r="L730" s="9">
        <f>VLOOKUP($O730,매칭테이블!$G:$J,2,0)*H730</f>
        <v/>
      </c>
      <c r="M730" s="9">
        <f>L730-L730*VLOOKUP($O730,매칭테이블!$G:$J,3,0)</f>
        <v/>
      </c>
      <c r="N730" s="9">
        <f>VLOOKUP($O730,매칭테이블!$G:$J,4,0)*H730</f>
        <v/>
      </c>
      <c r="O730" s="9">
        <f>F730&amp;E730&amp;G730&amp;J730</f>
        <v/>
      </c>
    </row>
    <row r="731">
      <c r="B731" s="10" t="n">
        <v>44212</v>
      </c>
      <c r="C731" s="9">
        <f>TEXT(B731,"aaa")</f>
        <v/>
      </c>
      <c r="E731" s="9">
        <f>INDEX(매칭테이블!C:C,MATCH(RD!G731,매칭테이블!D:D,0))</f>
        <v/>
      </c>
      <c r="F731" s="9" t="inlineStr">
        <is>
          <t>카페24</t>
        </is>
      </c>
      <c r="G731" s="9" t="inlineStr">
        <is>
          <t>라베나 리커버리 15 헤어팩 트리트먼트 [HAIR RÉ:COVERY 15 Hairpack Treatment]제품선택=헤어팩 트리트먼트 2개 세트 5% 추가할인</t>
        </is>
      </c>
      <c r="H731" s="9" t="n">
        <v>5</v>
      </c>
      <c r="I731" s="9">
        <f>VLOOKUP(G731,매칭테이블!D:E,2,0)</f>
        <v/>
      </c>
      <c r="J731" s="9" t="n">
        <v>201210</v>
      </c>
      <c r="L731" s="9">
        <f>VLOOKUP($O731,매칭테이블!$G:$J,2,0)*H731</f>
        <v/>
      </c>
      <c r="M731" s="9">
        <f>L731-L731*VLOOKUP($O731,매칭테이블!$G:$J,3,0)</f>
        <v/>
      </c>
      <c r="N731" s="9">
        <f>VLOOKUP($O731,매칭테이블!$G:$J,4,0)*H731</f>
        <v/>
      </c>
      <c r="O731" s="9">
        <f>F731&amp;E731&amp;G731&amp;J731</f>
        <v/>
      </c>
    </row>
    <row r="732">
      <c r="B732" s="10" t="n">
        <v>44212</v>
      </c>
      <c r="C732" s="9">
        <f>TEXT(B732,"aaa")</f>
        <v/>
      </c>
      <c r="E732" s="9">
        <f>INDEX(매칭테이블!C:C,MATCH(RD!G732,매칭테이블!D:D,0))</f>
        <v/>
      </c>
      <c r="F732" s="9" t="inlineStr">
        <is>
          <t>카페24</t>
        </is>
      </c>
      <c r="G732" s="9" t="inlineStr">
        <is>
          <t>라베나 리커버리 15 헤어팩 트리트먼트 [HAIR RÉ:COVERY 15 Hairpack Treatment]제품선택=헤어팩 트리트먼트 3개 세트 10% 추가할인</t>
        </is>
      </c>
      <c r="H732" s="9" t="n">
        <v>3</v>
      </c>
      <c r="I732" s="9">
        <f>VLOOKUP(G732,매칭테이블!D:E,2,0)</f>
        <v/>
      </c>
      <c r="J732" s="9" t="n">
        <v>201210</v>
      </c>
      <c r="L732" s="9">
        <f>VLOOKUP($O732,매칭테이블!$G:$J,2,0)*H732</f>
        <v/>
      </c>
      <c r="M732" s="9">
        <f>L732-L732*VLOOKUP($O732,매칭테이블!$G:$J,3,0)</f>
        <v/>
      </c>
      <c r="N732" s="9">
        <f>VLOOKUP($O732,매칭테이블!$G:$J,4,0)*H732</f>
        <v/>
      </c>
      <c r="O732" s="9">
        <f>F732&amp;E732&amp;G732&amp;J732</f>
        <v/>
      </c>
    </row>
    <row r="733">
      <c r="B733" s="10" t="n">
        <v>44212</v>
      </c>
      <c r="C733" s="9">
        <f>TEXT(B733,"aaa")</f>
        <v/>
      </c>
      <c r="E733" s="9">
        <f>INDEX(매칭테이블!C:C,MATCH(RD!G733,매칭테이블!D:D,0))</f>
        <v/>
      </c>
      <c r="F733" s="9" t="inlineStr">
        <is>
          <t>카페24</t>
        </is>
      </c>
      <c r="G733" s="9" t="inlineStr">
        <is>
          <t>라베나 리커버리 15 헤어팩 트리트먼트 [HAIR RÉ:COVERY 15 Hairpack Treatment]제품선택=헤어팩 트리트먼트 1개 + 뉴트리셔스밤 1개 세트 5% 추가할인</t>
        </is>
      </c>
      <c r="H733" s="9" t="n">
        <v>2</v>
      </c>
      <c r="I733" s="9">
        <f>VLOOKUP(G733,매칭테이블!D:E,2,0)</f>
        <v/>
      </c>
      <c r="J733" s="9" t="n">
        <v>201210</v>
      </c>
      <c r="L733" s="9">
        <f>VLOOKUP($O733,매칭테이블!$G:$J,2,0)*H733</f>
        <v/>
      </c>
      <c r="M733" s="9">
        <f>L733-L733*VLOOKUP($O733,매칭테이블!$G:$J,3,0)</f>
        <v/>
      </c>
      <c r="N733" s="9">
        <f>VLOOKUP($O733,매칭테이블!$G:$J,4,0)*H733</f>
        <v/>
      </c>
      <c r="O733" s="9">
        <f>F733&amp;E733&amp;G733&amp;J733</f>
        <v/>
      </c>
    </row>
    <row r="734">
      <c r="B734" s="10" t="n">
        <v>44213</v>
      </c>
      <c r="C734" s="9">
        <f>TEXT(B734,"aaa")</f>
        <v/>
      </c>
      <c r="E734" s="9">
        <f>INDEX(매칭테이블!C:C,MATCH(RD!G734,매칭테이블!D:D,0))</f>
        <v/>
      </c>
      <c r="F734" s="9" t="inlineStr">
        <is>
          <t>카페24</t>
        </is>
      </c>
      <c r="G734" s="9" t="inlineStr">
        <is>
          <t>라베나 리커버리 15 뉴트리셔스 밤 [HAIR RÉ:COVERY 15 Nutritious Balm]제품선택=헤어 리커버리 15 뉴트리셔스 밤</t>
        </is>
      </c>
      <c r="H734" s="9" t="n">
        <v>7</v>
      </c>
      <c r="I734" s="9">
        <f>VLOOKUP(G734,매칭테이블!D:E,2,0)</f>
        <v/>
      </c>
      <c r="J734" s="9" t="n">
        <v>201210</v>
      </c>
      <c r="L734" s="9">
        <f>VLOOKUP($O734,매칭테이블!$G:$J,2,0)*H734</f>
        <v/>
      </c>
      <c r="M734" s="9">
        <f>L734-L734*VLOOKUP($O734,매칭테이블!$G:$J,3,0)</f>
        <v/>
      </c>
      <c r="N734" s="9">
        <f>VLOOKUP($O734,매칭테이블!$G:$J,4,0)*H734</f>
        <v/>
      </c>
      <c r="O734" s="9">
        <f>F734&amp;E734&amp;G734&amp;J734</f>
        <v/>
      </c>
    </row>
    <row r="735">
      <c r="B735" s="10" t="n">
        <v>44213</v>
      </c>
      <c r="C735" s="9">
        <f>TEXT(B735,"aaa")</f>
        <v/>
      </c>
      <c r="E735" s="9">
        <f>INDEX(매칭테이블!C:C,MATCH(RD!G735,매칭테이블!D:D,0))</f>
        <v/>
      </c>
      <c r="F735" s="9" t="inlineStr">
        <is>
          <t>카페24</t>
        </is>
      </c>
      <c r="G735" s="9" t="inlineStr">
        <is>
          <t>라베나 리커버리 15 뉴트리셔스 밤 [HAIR RÉ:COVERY 15 Nutritious Balm]제품선택=뉴트리셔스 밤 2개 세트 5% 추가할인</t>
        </is>
      </c>
      <c r="H735" s="9" t="n">
        <v>1</v>
      </c>
      <c r="I735" s="9">
        <f>VLOOKUP(G735,매칭테이블!D:E,2,0)</f>
        <v/>
      </c>
      <c r="J735" s="9" t="n">
        <v>201210</v>
      </c>
      <c r="L735" s="9">
        <f>VLOOKUP($O735,매칭테이블!$G:$J,2,0)*H735</f>
        <v/>
      </c>
      <c r="M735" s="9">
        <f>L735-L735*VLOOKUP($O735,매칭테이블!$G:$J,3,0)</f>
        <v/>
      </c>
      <c r="N735" s="9">
        <f>VLOOKUP($O735,매칭테이블!$G:$J,4,0)*H735</f>
        <v/>
      </c>
      <c r="O735" s="9">
        <f>F735&amp;E735&amp;G735&amp;J735</f>
        <v/>
      </c>
    </row>
    <row r="736">
      <c r="B736" s="10" t="n">
        <v>44213</v>
      </c>
      <c r="C736" s="9">
        <f>TEXT(B736,"aaa")</f>
        <v/>
      </c>
      <c r="E736" s="9">
        <f>INDEX(매칭테이블!C:C,MATCH(RD!G736,매칭테이블!D:D,0))</f>
        <v/>
      </c>
      <c r="F736" s="9" t="inlineStr">
        <is>
          <t>카페24</t>
        </is>
      </c>
      <c r="G736" s="9" t="inlineStr">
        <is>
          <t>라베나 리커버리 15 리바이탈 샴푸 [HAIR RÉ:COVERY 15 Revital Shampoo]제품선택=헤어 리커버리 15 리바이탈 샴푸 - 500ml</t>
        </is>
      </c>
      <c r="H736" s="9" t="n">
        <v>35</v>
      </c>
      <c r="I736" s="9">
        <f>VLOOKUP(G736,매칭테이블!D:E,2,0)</f>
        <v/>
      </c>
      <c r="J736" s="9" t="n">
        <v>201210</v>
      </c>
      <c r="L736" s="9">
        <f>VLOOKUP($O736,매칭테이블!$G:$J,2,0)*H736</f>
        <v/>
      </c>
      <c r="M736" s="9">
        <f>L736-L736*VLOOKUP($O736,매칭테이블!$G:$J,3,0)</f>
        <v/>
      </c>
      <c r="N736" s="9">
        <f>VLOOKUP($O736,매칭테이블!$G:$J,4,0)*H736</f>
        <v/>
      </c>
      <c r="O736" s="9">
        <f>F736&amp;E736&amp;G736&amp;J736</f>
        <v/>
      </c>
    </row>
    <row r="737">
      <c r="B737" s="10" t="n">
        <v>44213</v>
      </c>
      <c r="C737" s="9">
        <f>TEXT(B737,"aaa")</f>
        <v/>
      </c>
      <c r="E737" s="9">
        <f>INDEX(매칭테이블!C:C,MATCH(RD!G737,매칭테이블!D:D,0))</f>
        <v/>
      </c>
      <c r="F737" s="9" t="inlineStr">
        <is>
          <t>카페24</t>
        </is>
      </c>
      <c r="G737" s="9" t="inlineStr">
        <is>
          <t>라베나 리커버리 15 리바이탈 샴푸 [HAIR RÉ:COVERY 15 Revital Shampoo]제품선택=리바이탈 샴푸 2개 세트 5%추가할인</t>
        </is>
      </c>
      <c r="H737" s="9" t="n">
        <v>13</v>
      </c>
      <c r="I737" s="9">
        <f>VLOOKUP(G737,매칭테이블!D:E,2,0)</f>
        <v/>
      </c>
      <c r="J737" s="9" t="n">
        <v>201210</v>
      </c>
      <c r="L737" s="9">
        <f>VLOOKUP($O737,매칭테이블!$G:$J,2,0)*H737</f>
        <v/>
      </c>
      <c r="M737" s="9">
        <f>L737-L737*VLOOKUP($O737,매칭테이블!$G:$J,3,0)</f>
        <v/>
      </c>
      <c r="N737" s="9">
        <f>VLOOKUP($O737,매칭테이블!$G:$J,4,0)*H737</f>
        <v/>
      </c>
      <c r="O737" s="9">
        <f>F737&amp;E737&amp;G737&amp;J737</f>
        <v/>
      </c>
    </row>
    <row r="738">
      <c r="B738" s="10" t="n">
        <v>44213</v>
      </c>
      <c r="C738" s="9">
        <f>TEXT(B738,"aaa")</f>
        <v/>
      </c>
      <c r="E738" s="9">
        <f>INDEX(매칭테이블!C:C,MATCH(RD!G738,매칭테이블!D:D,0))</f>
        <v/>
      </c>
      <c r="F738" s="9" t="inlineStr">
        <is>
          <t>카페24</t>
        </is>
      </c>
      <c r="G738" s="9" t="inlineStr">
        <is>
          <t>라베나 리커버리 15 리바이탈 샴푸 [HAIR RÉ:COVERY 15 Revital Shampoo]제품선택=리바이탈 샴푸 3개 세트 10% 추가할인</t>
        </is>
      </c>
      <c r="H738" s="9" t="n">
        <v>5</v>
      </c>
      <c r="I738" s="9">
        <f>VLOOKUP(G738,매칭테이블!D:E,2,0)</f>
        <v/>
      </c>
      <c r="J738" s="9" t="n">
        <v>201210</v>
      </c>
      <c r="L738" s="9">
        <f>VLOOKUP($O738,매칭테이블!$G:$J,2,0)*H738</f>
        <v/>
      </c>
      <c r="M738" s="9">
        <f>L738-L738*VLOOKUP($O738,매칭테이블!$G:$J,3,0)</f>
        <v/>
      </c>
      <c r="N738" s="9">
        <f>VLOOKUP($O738,매칭테이블!$G:$J,4,0)*H738</f>
        <v/>
      </c>
      <c r="O738" s="9">
        <f>F738&amp;E738&amp;G738&amp;J738</f>
        <v/>
      </c>
    </row>
    <row r="739">
      <c r="B739" s="10" t="n">
        <v>44213</v>
      </c>
      <c r="C739" s="9">
        <f>TEXT(B739,"aaa")</f>
        <v/>
      </c>
      <c r="E739" s="9">
        <f>INDEX(매칭테이블!C:C,MATCH(RD!G739,매칭테이블!D:D,0))</f>
        <v/>
      </c>
      <c r="F739" s="9" t="inlineStr">
        <is>
          <t>카페24</t>
        </is>
      </c>
      <c r="G739" s="9" t="inlineStr">
        <is>
          <t>라베나 리커버리 15 헤어팩 트리트먼트 [HAIR RÉ:COVERY 15 Hairpack Treatment]제품선택=헤어 리커버리 15 헤어팩 트리트먼트</t>
        </is>
      </c>
      <c r="H739" s="9" t="n">
        <v>10</v>
      </c>
      <c r="I739" s="9">
        <f>VLOOKUP(G739,매칭테이블!D:E,2,0)</f>
        <v/>
      </c>
      <c r="J739" s="9" t="n">
        <v>201210</v>
      </c>
      <c r="L739" s="9">
        <f>VLOOKUP($O739,매칭테이블!$G:$J,2,0)*H739</f>
        <v/>
      </c>
      <c r="M739" s="9">
        <f>L739-L739*VLOOKUP($O739,매칭테이블!$G:$J,3,0)</f>
        <v/>
      </c>
      <c r="N739" s="9">
        <f>VLOOKUP($O739,매칭테이블!$G:$J,4,0)*H739</f>
        <v/>
      </c>
      <c r="O739" s="9">
        <f>F739&amp;E739&amp;G739&amp;J739</f>
        <v/>
      </c>
    </row>
    <row r="740">
      <c r="B740" s="10" t="n">
        <v>44213</v>
      </c>
      <c r="C740" s="9">
        <f>TEXT(B740,"aaa")</f>
        <v/>
      </c>
      <c r="E740" s="9">
        <f>INDEX(매칭테이블!C:C,MATCH(RD!G740,매칭테이블!D:D,0))</f>
        <v/>
      </c>
      <c r="F740" s="9" t="inlineStr">
        <is>
          <t>카페24</t>
        </is>
      </c>
      <c r="G740" s="9" t="inlineStr">
        <is>
          <t>라베나 리커버리 15 헤어팩 트리트먼트 [HAIR RÉ:COVERY 15 Hairpack Treatment]제품선택=헤어팩 트리트먼트 2개 세트 5% 추가할인</t>
        </is>
      </c>
      <c r="H740" s="9" t="n">
        <v>5</v>
      </c>
      <c r="I740" s="9">
        <f>VLOOKUP(G740,매칭테이블!D:E,2,0)</f>
        <v/>
      </c>
      <c r="J740" s="9" t="n">
        <v>201210</v>
      </c>
      <c r="L740" s="9">
        <f>VLOOKUP($O740,매칭테이블!$G:$J,2,0)*H740</f>
        <v/>
      </c>
      <c r="M740" s="9">
        <f>L740-L740*VLOOKUP($O740,매칭테이블!$G:$J,3,0)</f>
        <v/>
      </c>
      <c r="N740" s="9">
        <f>VLOOKUP($O740,매칭테이블!$G:$J,4,0)*H740</f>
        <v/>
      </c>
      <c r="O740" s="9">
        <f>F740&amp;E740&amp;G740&amp;J740</f>
        <v/>
      </c>
    </row>
    <row r="741">
      <c r="B741" s="10" t="n">
        <v>44213</v>
      </c>
      <c r="C741" s="9">
        <f>TEXT(B741,"aaa")</f>
        <v/>
      </c>
      <c r="E741" s="9">
        <f>INDEX(매칭테이블!C:C,MATCH(RD!G741,매칭테이블!D:D,0))</f>
        <v/>
      </c>
      <c r="F741" s="9" t="inlineStr">
        <is>
          <t>카페24</t>
        </is>
      </c>
      <c r="G741" s="9" t="inlineStr">
        <is>
          <t>라베나 리커버리 15 헤어팩 트리트먼트 [HAIR RÉ:COVERY 15 Hairpack Treatment]제품선택=헤어팩 트리트먼트 3개 세트 10% 추가할인</t>
        </is>
      </c>
      <c r="H741" s="9" t="n">
        <v>1</v>
      </c>
      <c r="I741" s="9">
        <f>VLOOKUP(G741,매칭테이블!D:E,2,0)</f>
        <v/>
      </c>
      <c r="J741" s="9" t="n">
        <v>201210</v>
      </c>
      <c r="L741" s="9">
        <f>VLOOKUP($O741,매칭테이블!$G:$J,2,0)*H741</f>
        <v/>
      </c>
      <c r="M741" s="9">
        <f>L741-L741*VLOOKUP($O741,매칭테이블!$G:$J,3,0)</f>
        <v/>
      </c>
      <c r="N741" s="9">
        <f>VLOOKUP($O741,매칭테이블!$G:$J,4,0)*H741</f>
        <v/>
      </c>
      <c r="O741" s="9">
        <f>F741&amp;E741&amp;G741&amp;J741</f>
        <v/>
      </c>
    </row>
    <row r="742">
      <c r="B742" s="10" t="n">
        <v>44213</v>
      </c>
      <c r="C742" s="9">
        <f>TEXT(B742,"aaa")</f>
        <v/>
      </c>
      <c r="E742" s="9">
        <f>INDEX(매칭테이블!C:C,MATCH(RD!G742,매칭테이블!D:D,0))</f>
        <v/>
      </c>
      <c r="F742" s="9" t="inlineStr">
        <is>
          <t>카페24</t>
        </is>
      </c>
      <c r="G742" s="9" t="inlineStr">
        <is>
          <t>라베나 리커버리 15 헤어팩 트리트먼트 [HAIR RÉ:COVERY 15 Hairpack Treatment]제품선택=헤어팩 트리트먼트 1개 + 뉴트리셔스밤 1개 세트 5% 추가할인</t>
        </is>
      </c>
      <c r="H742" s="9" t="n">
        <v>4</v>
      </c>
      <c r="I742" s="9">
        <f>VLOOKUP(G742,매칭테이블!D:E,2,0)</f>
        <v/>
      </c>
      <c r="J742" s="9" t="n">
        <v>201210</v>
      </c>
      <c r="L742" s="9">
        <f>VLOOKUP($O742,매칭테이블!$G:$J,2,0)*H742</f>
        <v/>
      </c>
      <c r="M742" s="9">
        <f>L742-L742*VLOOKUP($O742,매칭테이블!$G:$J,3,0)</f>
        <v/>
      </c>
      <c r="N742" s="9">
        <f>VLOOKUP($O742,매칭테이블!$G:$J,4,0)*H742</f>
        <v/>
      </c>
      <c r="O742" s="9">
        <f>F742&amp;E742&amp;G742&amp;J742</f>
        <v/>
      </c>
    </row>
    <row r="743">
      <c r="B743" s="10" t="n">
        <v>44214</v>
      </c>
      <c r="C743" s="9">
        <f>TEXT(B743,"aaa")</f>
        <v/>
      </c>
      <c r="E743" s="9">
        <f>INDEX(매칭테이블!C:C,MATCH(RD!G743,매칭테이블!D:D,0))</f>
        <v/>
      </c>
      <c r="F743" s="9" t="inlineStr">
        <is>
          <t>카페24</t>
        </is>
      </c>
      <c r="G743" s="9" t="inlineStr">
        <is>
          <t>라베나 리커버리 15 뉴트리셔스 밤 [HAIR RÉ:COVERY 15 Nutritious Balm]제품선택=헤어 리커버리 15 뉴트리셔스 밤</t>
        </is>
      </c>
      <c r="H743" s="9" t="n">
        <v>7</v>
      </c>
      <c r="I743" s="9">
        <f>VLOOKUP(G743,매칭테이블!D:E,2,0)</f>
        <v/>
      </c>
      <c r="J743" s="9" t="n">
        <v>201210</v>
      </c>
      <c r="L743" s="9">
        <f>VLOOKUP($O743,매칭테이블!$G:$J,2,0)*H743</f>
        <v/>
      </c>
      <c r="M743" s="9">
        <f>L743-L743*VLOOKUP($O743,매칭테이블!$G:$J,3,0)</f>
        <v/>
      </c>
      <c r="N743" s="9">
        <f>VLOOKUP($O743,매칭테이블!$G:$J,4,0)*H743</f>
        <v/>
      </c>
      <c r="O743" s="9">
        <f>F743&amp;E743&amp;G743&amp;J743</f>
        <v/>
      </c>
    </row>
    <row r="744">
      <c r="B744" s="10" t="n">
        <v>44214</v>
      </c>
      <c r="C744" s="9">
        <f>TEXT(B744,"aaa")</f>
        <v/>
      </c>
      <c r="E744" s="9">
        <f>INDEX(매칭테이블!C:C,MATCH(RD!G744,매칭테이블!D:D,0))</f>
        <v/>
      </c>
      <c r="F744" s="9" t="inlineStr">
        <is>
          <t>카페24</t>
        </is>
      </c>
      <c r="G744" s="9" t="inlineStr">
        <is>
          <t>라베나 리커버리 15 뉴트리셔스 밤 [HAIR RÉ:COVERY 15 Nutritious Balm]제품선택=뉴트리셔스밤 1개 + 헤어팩 트리트먼트 1개 세트 5%추가할인</t>
        </is>
      </c>
      <c r="H744" s="9" t="n">
        <v>2</v>
      </c>
      <c r="I744" s="9">
        <f>VLOOKUP(G744,매칭테이블!D:E,2,0)</f>
        <v/>
      </c>
      <c r="J744" s="9" t="n">
        <v>201210</v>
      </c>
      <c r="L744" s="9">
        <f>VLOOKUP($O744,매칭테이블!$G:$J,2,0)*H744</f>
        <v/>
      </c>
      <c r="M744" s="9">
        <f>L744-L744*VLOOKUP($O744,매칭테이블!$G:$J,3,0)</f>
        <v/>
      </c>
      <c r="N744" s="9">
        <f>VLOOKUP($O744,매칭테이블!$G:$J,4,0)*H744</f>
        <v/>
      </c>
      <c r="O744" s="9">
        <f>F744&amp;E744&amp;G744&amp;J744</f>
        <v/>
      </c>
    </row>
    <row r="745">
      <c r="B745" s="10" t="n">
        <v>44214</v>
      </c>
      <c r="C745" s="9">
        <f>TEXT(B745,"aaa")</f>
        <v/>
      </c>
      <c r="E745" s="9">
        <f>INDEX(매칭테이블!C:C,MATCH(RD!G745,매칭테이블!D:D,0))</f>
        <v/>
      </c>
      <c r="F745" s="9" t="inlineStr">
        <is>
          <t>카페24</t>
        </is>
      </c>
      <c r="G745" s="9" t="inlineStr">
        <is>
          <t>라베나 리커버리 15 리바이탈 샴푸 [HAIR RÉ:COVERY 15 Revital Shampoo]제품선택=헤어 리커버리 15 리바이탈 샴푸 - 500ml</t>
        </is>
      </c>
      <c r="H745" s="9" t="n">
        <v>190</v>
      </c>
      <c r="I745" s="9">
        <f>VLOOKUP(G745,매칭테이블!D:E,2,0)</f>
        <v/>
      </c>
      <c r="J745" s="9" t="n">
        <v>201210</v>
      </c>
      <c r="L745" s="9">
        <f>VLOOKUP($O745,매칭테이블!$G:$J,2,0)*H745</f>
        <v/>
      </c>
      <c r="M745" s="9">
        <f>L745-L745*VLOOKUP($O745,매칭테이블!$G:$J,3,0)</f>
        <v/>
      </c>
      <c r="N745" s="9">
        <f>VLOOKUP($O745,매칭테이블!$G:$J,4,0)*H745</f>
        <v/>
      </c>
      <c r="O745" s="9">
        <f>F745&amp;E745&amp;G745&amp;J745</f>
        <v/>
      </c>
    </row>
    <row r="746">
      <c r="B746" s="10" t="n">
        <v>44214</v>
      </c>
      <c r="C746" s="9">
        <f>TEXT(B746,"aaa")</f>
        <v/>
      </c>
      <c r="E746" s="9">
        <f>INDEX(매칭테이블!C:C,MATCH(RD!G746,매칭테이블!D:D,0))</f>
        <v/>
      </c>
      <c r="F746" s="9" t="inlineStr">
        <is>
          <t>카페24</t>
        </is>
      </c>
      <c r="G746" s="9" t="inlineStr">
        <is>
          <t>라베나 리커버리 15 리바이탈 샴푸 [HAIR RÉ:COVERY 15 Revital Shampoo]제품선택=리바이탈 샴푸 2개 세트 5%추가할인</t>
        </is>
      </c>
      <c r="H746" s="9" t="n">
        <v>50</v>
      </c>
      <c r="I746" s="9">
        <f>VLOOKUP(G746,매칭테이블!D:E,2,0)</f>
        <v/>
      </c>
      <c r="J746" s="9" t="n">
        <v>201210</v>
      </c>
      <c r="L746" s="9">
        <f>VLOOKUP($O746,매칭테이블!$G:$J,2,0)*H746</f>
        <v/>
      </c>
      <c r="M746" s="9">
        <f>L746-L746*VLOOKUP($O746,매칭테이블!$G:$J,3,0)</f>
        <v/>
      </c>
      <c r="N746" s="9">
        <f>VLOOKUP($O746,매칭테이블!$G:$J,4,0)*H746</f>
        <v/>
      </c>
      <c r="O746" s="9">
        <f>F746&amp;E746&amp;G746&amp;J746</f>
        <v/>
      </c>
    </row>
    <row r="747">
      <c r="B747" s="10" t="n">
        <v>44214</v>
      </c>
      <c r="C747" s="9">
        <f>TEXT(B747,"aaa")</f>
        <v/>
      </c>
      <c r="E747" s="9">
        <f>INDEX(매칭테이블!C:C,MATCH(RD!G747,매칭테이블!D:D,0))</f>
        <v/>
      </c>
      <c r="F747" s="9" t="inlineStr">
        <is>
          <t>카페24</t>
        </is>
      </c>
      <c r="G747" s="9" t="inlineStr">
        <is>
          <t>라베나 리커버리 15 리바이탈 샴푸 [HAIR RÉ:COVERY 15 Revital Shampoo]제품선택=리바이탈 샴푸 3개 세트 10% 추가할인</t>
        </is>
      </c>
      <c r="H747" s="9" t="n">
        <v>31</v>
      </c>
      <c r="I747" s="9">
        <f>VLOOKUP(G747,매칭테이블!D:E,2,0)</f>
        <v/>
      </c>
      <c r="J747" s="9" t="n">
        <v>201210</v>
      </c>
      <c r="L747" s="9">
        <f>VLOOKUP($O747,매칭테이블!$G:$J,2,0)*H747</f>
        <v/>
      </c>
      <c r="M747" s="9">
        <f>L747-L747*VLOOKUP($O747,매칭테이블!$G:$J,3,0)</f>
        <v/>
      </c>
      <c r="N747" s="9">
        <f>VLOOKUP($O747,매칭테이블!$G:$J,4,0)*H747</f>
        <v/>
      </c>
      <c r="O747" s="9">
        <f>F747&amp;E747&amp;G747&amp;J747</f>
        <v/>
      </c>
    </row>
    <row r="748">
      <c r="B748" s="10" t="n">
        <v>44214</v>
      </c>
      <c r="C748" s="9">
        <f>TEXT(B748,"aaa")</f>
        <v/>
      </c>
      <c r="E748" s="9">
        <f>INDEX(매칭테이블!C:C,MATCH(RD!G748,매칭테이블!D:D,0))</f>
        <v/>
      </c>
      <c r="F748" s="9" t="inlineStr">
        <is>
          <t>카페24</t>
        </is>
      </c>
      <c r="G748" s="9" t="inlineStr">
        <is>
          <t>라베나 리커버리 15 헤어팩 트리트먼트 [HAIR RÉ:COVERY 15 Hairpack Treatment]제품선택=헤어 리커버리 15 헤어팩 트리트먼트</t>
        </is>
      </c>
      <c r="H748" s="9" t="n">
        <v>8</v>
      </c>
      <c r="I748" s="9">
        <f>VLOOKUP(G748,매칭테이블!D:E,2,0)</f>
        <v/>
      </c>
      <c r="J748" s="9" t="n">
        <v>201210</v>
      </c>
      <c r="L748" s="9">
        <f>VLOOKUP($O748,매칭테이블!$G:$J,2,0)*H748</f>
        <v/>
      </c>
      <c r="M748" s="9">
        <f>L748-L748*VLOOKUP($O748,매칭테이블!$G:$J,3,0)</f>
        <v/>
      </c>
      <c r="N748" s="9">
        <f>VLOOKUP($O748,매칭테이블!$G:$J,4,0)*H748</f>
        <v/>
      </c>
      <c r="O748" s="9">
        <f>F748&amp;E748&amp;G748&amp;J748</f>
        <v/>
      </c>
    </row>
    <row r="749">
      <c r="B749" s="10" t="n">
        <v>44214</v>
      </c>
      <c r="C749" s="9">
        <f>TEXT(B749,"aaa")</f>
        <v/>
      </c>
      <c r="E749" s="9">
        <f>INDEX(매칭테이블!C:C,MATCH(RD!G749,매칭테이블!D:D,0))</f>
        <v/>
      </c>
      <c r="F749" s="9" t="inlineStr">
        <is>
          <t>카페24</t>
        </is>
      </c>
      <c r="G749" s="9" t="inlineStr">
        <is>
          <t>라베나 리커버리 15 헤어팩 트리트먼트 [HAIR RÉ:COVERY 15 Hairpack Treatment]제품선택=헤어팩 트리트먼트 2개 세트 5% 추가할인</t>
        </is>
      </c>
      <c r="H749" s="9" t="n">
        <v>3</v>
      </c>
      <c r="I749" s="9">
        <f>VLOOKUP(G749,매칭테이블!D:E,2,0)</f>
        <v/>
      </c>
      <c r="J749" s="9" t="n">
        <v>201210</v>
      </c>
      <c r="L749" s="9">
        <f>VLOOKUP($O749,매칭테이블!$G:$J,2,0)*H749</f>
        <v/>
      </c>
      <c r="M749" s="9">
        <f>L749-L749*VLOOKUP($O749,매칭테이블!$G:$J,3,0)</f>
        <v/>
      </c>
      <c r="N749" s="9">
        <f>VLOOKUP($O749,매칭테이블!$G:$J,4,0)*H749</f>
        <v/>
      </c>
      <c r="O749" s="9">
        <f>F749&amp;E749&amp;G749&amp;J749</f>
        <v/>
      </c>
    </row>
    <row r="750">
      <c r="B750" s="10" t="n">
        <v>44214</v>
      </c>
      <c r="C750" s="9">
        <f>TEXT(B750,"aaa")</f>
        <v/>
      </c>
      <c r="E750" s="9">
        <f>INDEX(매칭테이블!C:C,MATCH(RD!G750,매칭테이블!D:D,0))</f>
        <v/>
      </c>
      <c r="F750" s="9" t="inlineStr">
        <is>
          <t>카페24</t>
        </is>
      </c>
      <c r="G750" s="9" t="inlineStr">
        <is>
          <t>라베나 리커버리 15 헤어팩 트리트먼트 [HAIR RÉ:COVERY 15 Hairpack Treatment]제품선택=헤어팩 트리트먼트 3개 세트 10% 추가할인</t>
        </is>
      </c>
      <c r="H750" s="9" t="n">
        <v>1</v>
      </c>
      <c r="I750" s="9">
        <f>VLOOKUP(G750,매칭테이블!D:E,2,0)</f>
        <v/>
      </c>
      <c r="J750" s="9" t="n">
        <v>201210</v>
      </c>
      <c r="L750" s="9">
        <f>VLOOKUP($O750,매칭테이블!$G:$J,2,0)*H750</f>
        <v/>
      </c>
      <c r="M750" s="9">
        <f>L750-L750*VLOOKUP($O750,매칭테이블!$G:$J,3,0)</f>
        <v/>
      </c>
      <c r="N750" s="9">
        <f>VLOOKUP($O750,매칭테이블!$G:$J,4,0)*H750</f>
        <v/>
      </c>
      <c r="O750" s="9">
        <f>F750&amp;E750&amp;G750&amp;J750</f>
        <v/>
      </c>
    </row>
    <row r="751">
      <c r="B751" s="10" t="n">
        <v>44214</v>
      </c>
      <c r="C751" s="9">
        <f>TEXT(B751,"aaa")</f>
        <v/>
      </c>
      <c r="E751" s="9">
        <f>INDEX(매칭테이블!C:C,MATCH(RD!G751,매칭테이블!D:D,0))</f>
        <v/>
      </c>
      <c r="F751" s="9" t="inlineStr">
        <is>
          <t>카페24</t>
        </is>
      </c>
      <c r="G751" s="9" t="inlineStr">
        <is>
          <t>라베나 리커버리 15 헤어팩 트리트먼트 [HAIR RÉ:COVERY 15 Hairpack Treatment]제품선택=헤어팩 트리트먼트 1개 + 뉴트리셔스밤 1개 세트 5% 추가할인</t>
        </is>
      </c>
      <c r="H751" s="9" t="n">
        <v>2</v>
      </c>
      <c r="I751" s="9">
        <f>VLOOKUP(G751,매칭테이블!D:E,2,0)</f>
        <v/>
      </c>
      <c r="J751" s="9" t="n">
        <v>201210</v>
      </c>
      <c r="L751" s="9">
        <f>VLOOKUP($O751,매칭테이블!$G:$J,2,0)*H751</f>
        <v/>
      </c>
      <c r="M751" s="9">
        <f>L751-L751*VLOOKUP($O751,매칭테이블!$G:$J,3,0)</f>
        <v/>
      </c>
      <c r="N751" s="9">
        <f>VLOOKUP($O751,매칭테이블!$G:$J,4,0)*H751</f>
        <v/>
      </c>
      <c r="O751" s="9">
        <f>F751&amp;E751&amp;G751&amp;J751</f>
        <v/>
      </c>
    </row>
    <row r="752">
      <c r="B752" s="10" t="n">
        <v>44215</v>
      </c>
      <c r="C752" s="9">
        <f>TEXT(B752,"aaa")</f>
        <v/>
      </c>
      <c r="E752" s="9">
        <f>INDEX(매칭테이블!C:C,MATCH(RD!G752,매칭테이블!D:D,0))</f>
        <v/>
      </c>
      <c r="F752" s="9" t="inlineStr">
        <is>
          <t>라베나 CS</t>
        </is>
      </c>
      <c r="G752" s="9" t="inlineStr">
        <is>
          <t>헤어 리커버리 15 리바이탈 샴푸</t>
        </is>
      </c>
      <c r="H752" s="9" t="n">
        <v>2</v>
      </c>
      <c r="I752" s="9">
        <f>VLOOKUP(G752,매칭테이블!D:E,2,0)</f>
        <v/>
      </c>
      <c r="J752" s="9" t="n">
        <v>201210</v>
      </c>
      <c r="L752" s="9">
        <f>VLOOKUP($O752,매칭테이블!$G:$J,2,0)*H752</f>
        <v/>
      </c>
      <c r="M752" s="9">
        <f>L752-L752*VLOOKUP($O752,매칭테이블!$G:$J,3,0)</f>
        <v/>
      </c>
      <c r="N752" s="9">
        <f>VLOOKUP($O752,매칭테이블!$G:$J,4,0)*H752</f>
        <v/>
      </c>
      <c r="O752" s="9">
        <f>F752&amp;E752&amp;G752&amp;J752</f>
        <v/>
      </c>
    </row>
    <row r="753">
      <c r="B753" s="10" t="n">
        <v>44215</v>
      </c>
      <c r="C753" s="9">
        <f>TEXT(B753,"aaa")</f>
        <v/>
      </c>
      <c r="E753" s="9">
        <f>INDEX(매칭테이블!C:C,MATCH(RD!G753,매칭테이블!D:D,0))</f>
        <v/>
      </c>
      <c r="F753" s="9" t="inlineStr">
        <is>
          <t>카페24</t>
        </is>
      </c>
      <c r="G753" s="9" t="inlineStr">
        <is>
          <t>라베나 리커버리 15 뉴트리셔스 밤 [HAIR RÉ:COVERY 15 Nutritious Balm]제품선택=헤어 리커버리 15 뉴트리셔스 밤</t>
        </is>
      </c>
      <c r="H753" s="9" t="n">
        <v>9</v>
      </c>
      <c r="I753" s="9">
        <f>VLOOKUP(G753,매칭테이블!D:E,2,0)</f>
        <v/>
      </c>
      <c r="J753" s="9" t="n">
        <v>201210</v>
      </c>
      <c r="L753" s="9">
        <f>VLOOKUP($O753,매칭테이블!$G:$J,2,0)*H753</f>
        <v/>
      </c>
      <c r="M753" s="9">
        <f>L753-L753*VLOOKUP($O753,매칭테이블!$G:$J,3,0)</f>
        <v/>
      </c>
      <c r="N753" s="9">
        <f>VLOOKUP($O753,매칭테이블!$G:$J,4,0)*H753</f>
        <v/>
      </c>
      <c r="O753" s="9">
        <f>F753&amp;E753&amp;G753&amp;J753</f>
        <v/>
      </c>
    </row>
    <row r="754">
      <c r="B754" s="10" t="n">
        <v>44215</v>
      </c>
      <c r="C754" s="9">
        <f>TEXT(B754,"aaa")</f>
        <v/>
      </c>
      <c r="E754" s="9">
        <f>INDEX(매칭테이블!C:C,MATCH(RD!G754,매칭테이블!D:D,0))</f>
        <v/>
      </c>
      <c r="F754" s="9" t="inlineStr">
        <is>
          <t>카페24</t>
        </is>
      </c>
      <c r="G754" s="9" t="inlineStr">
        <is>
          <t>라베나 리커버리 15 뉴트리셔스 밤 [HAIR RÉ:COVERY 15 Nutritious Balm]제품선택=뉴트리셔스 밤 2개 세트 5% 추가할인</t>
        </is>
      </c>
      <c r="H754" s="9" t="n">
        <v>1</v>
      </c>
      <c r="I754" s="9">
        <f>VLOOKUP(G754,매칭테이블!D:E,2,0)</f>
        <v/>
      </c>
      <c r="J754" s="9" t="n">
        <v>201210</v>
      </c>
      <c r="L754" s="9">
        <f>VLOOKUP($O754,매칭테이블!$G:$J,2,0)*H754</f>
        <v/>
      </c>
      <c r="M754" s="9">
        <f>L754-L754*VLOOKUP($O754,매칭테이블!$G:$J,3,0)</f>
        <v/>
      </c>
      <c r="N754" s="9">
        <f>VLOOKUP($O754,매칭테이블!$G:$J,4,0)*H754</f>
        <v/>
      </c>
      <c r="O754" s="9">
        <f>F754&amp;E754&amp;G754&amp;J754</f>
        <v/>
      </c>
    </row>
    <row r="755">
      <c r="B755" s="10" t="n">
        <v>44215</v>
      </c>
      <c r="C755" s="9">
        <f>TEXT(B755,"aaa")</f>
        <v/>
      </c>
      <c r="E755" s="9">
        <f>INDEX(매칭테이블!C:C,MATCH(RD!G755,매칭테이블!D:D,0))</f>
        <v/>
      </c>
      <c r="F755" s="9" t="inlineStr">
        <is>
          <t>카페24</t>
        </is>
      </c>
      <c r="G755" s="9" t="inlineStr">
        <is>
          <t>라베나 리커버리 15 뉴트리셔스 밤 [HAIR RÉ:COVERY 15 Nutritious Balm]제품선택=뉴트리셔스밤 1개 + 헤어팩 트리트먼트 1개 세트 5%추가할인</t>
        </is>
      </c>
      <c r="H755" s="9" t="n">
        <v>2</v>
      </c>
      <c r="I755" s="9">
        <f>VLOOKUP(G755,매칭테이블!D:E,2,0)</f>
        <v/>
      </c>
      <c r="J755" s="9" t="n">
        <v>201210</v>
      </c>
      <c r="L755" s="9">
        <f>VLOOKUP($O755,매칭테이블!$G:$J,2,0)*H755</f>
        <v/>
      </c>
      <c r="M755" s="9">
        <f>L755-L755*VLOOKUP($O755,매칭테이블!$G:$J,3,0)</f>
        <v/>
      </c>
      <c r="N755" s="9">
        <f>VLOOKUP($O755,매칭테이블!$G:$J,4,0)*H755</f>
        <v/>
      </c>
      <c r="O755" s="9">
        <f>F755&amp;E755&amp;G755&amp;J755</f>
        <v/>
      </c>
    </row>
    <row r="756">
      <c r="B756" s="10" t="n">
        <v>44215</v>
      </c>
      <c r="C756" s="9">
        <f>TEXT(B756,"aaa")</f>
        <v/>
      </c>
      <c r="E756" s="9">
        <f>INDEX(매칭테이블!C:C,MATCH(RD!G756,매칭테이블!D:D,0))</f>
        <v/>
      </c>
      <c r="F756" s="9" t="inlineStr">
        <is>
          <t>카페24</t>
        </is>
      </c>
      <c r="G756" s="9" t="inlineStr">
        <is>
          <t>라베나 리커버리 15 리바이탈 샴푸 [HAIR RÉ:COVERY 15 Revital Shampoo]제품선택=헤어 리커버리 15 리바이탈 샴푸 - 500ml</t>
        </is>
      </c>
      <c r="H756" s="9" t="n">
        <v>298</v>
      </c>
      <c r="I756" s="9">
        <f>VLOOKUP(G756,매칭테이블!D:E,2,0)</f>
        <v/>
      </c>
      <c r="J756" s="9" t="n">
        <v>201210</v>
      </c>
      <c r="L756" s="9">
        <f>VLOOKUP($O756,매칭테이블!$G:$J,2,0)*H756</f>
        <v/>
      </c>
      <c r="M756" s="9">
        <f>L756-L756*VLOOKUP($O756,매칭테이블!$G:$J,3,0)</f>
        <v/>
      </c>
      <c r="N756" s="9">
        <f>VLOOKUP($O756,매칭테이블!$G:$J,4,0)*H756</f>
        <v/>
      </c>
      <c r="O756" s="9">
        <f>F756&amp;E756&amp;G756&amp;J756</f>
        <v/>
      </c>
    </row>
    <row r="757">
      <c r="B757" s="10" t="n">
        <v>44215</v>
      </c>
      <c r="C757" s="9">
        <f>TEXT(B757,"aaa")</f>
        <v/>
      </c>
      <c r="E757" s="9">
        <f>INDEX(매칭테이블!C:C,MATCH(RD!G757,매칭테이블!D:D,0))</f>
        <v/>
      </c>
      <c r="F757" s="9" t="inlineStr">
        <is>
          <t>카페24</t>
        </is>
      </c>
      <c r="G757" s="9" t="inlineStr">
        <is>
          <t>라베나 리커버리 15 리바이탈 샴푸 [HAIR RÉ:COVERY 15 Revital Shampoo]제품선택=리바이탈 샴푸 2개 세트 5%추가할인</t>
        </is>
      </c>
      <c r="H757" s="9" t="n">
        <v>59</v>
      </c>
      <c r="I757" s="9">
        <f>VLOOKUP(G757,매칭테이블!D:E,2,0)</f>
        <v/>
      </c>
      <c r="J757" s="9" t="n">
        <v>201210</v>
      </c>
      <c r="L757" s="9">
        <f>VLOOKUP($O757,매칭테이블!$G:$J,2,0)*H757</f>
        <v/>
      </c>
      <c r="M757" s="9">
        <f>L757-L757*VLOOKUP($O757,매칭테이블!$G:$J,3,0)</f>
        <v/>
      </c>
      <c r="N757" s="9">
        <f>VLOOKUP($O757,매칭테이블!$G:$J,4,0)*H757</f>
        <v/>
      </c>
      <c r="O757" s="9">
        <f>F757&amp;E757&amp;G757&amp;J757</f>
        <v/>
      </c>
    </row>
    <row r="758">
      <c r="B758" s="10" t="n">
        <v>44215</v>
      </c>
      <c r="C758" s="9">
        <f>TEXT(B758,"aaa")</f>
        <v/>
      </c>
      <c r="E758" s="9">
        <f>INDEX(매칭테이블!C:C,MATCH(RD!G758,매칭테이블!D:D,0))</f>
        <v/>
      </c>
      <c r="F758" s="9" t="inlineStr">
        <is>
          <t>카페24</t>
        </is>
      </c>
      <c r="G758" s="9" t="inlineStr">
        <is>
          <t>라베나 리커버리 15 리바이탈 샴푸 [HAIR RÉ:COVERY 15 Revital Shampoo]제품선택=리바이탈 샴푸 3개 세트 10% 추가할인</t>
        </is>
      </c>
      <c r="H758" s="9" t="n">
        <v>25</v>
      </c>
      <c r="I758" s="9">
        <f>VLOOKUP(G758,매칭테이블!D:E,2,0)</f>
        <v/>
      </c>
      <c r="J758" s="9" t="n">
        <v>201210</v>
      </c>
      <c r="L758" s="9">
        <f>VLOOKUP($O758,매칭테이블!$G:$J,2,0)*H758</f>
        <v/>
      </c>
      <c r="M758" s="9">
        <f>L758-L758*VLOOKUP($O758,매칭테이블!$G:$J,3,0)</f>
        <v/>
      </c>
      <c r="N758" s="9">
        <f>VLOOKUP($O758,매칭테이블!$G:$J,4,0)*H758</f>
        <v/>
      </c>
      <c r="O758" s="9">
        <f>F758&amp;E758&amp;G758&amp;J758</f>
        <v/>
      </c>
    </row>
    <row r="759">
      <c r="B759" s="10" t="n">
        <v>44215</v>
      </c>
      <c r="C759" s="9">
        <f>TEXT(B759,"aaa")</f>
        <v/>
      </c>
      <c r="E759" s="9">
        <f>INDEX(매칭테이블!C:C,MATCH(RD!G759,매칭테이블!D:D,0))</f>
        <v/>
      </c>
      <c r="F759" s="9" t="inlineStr">
        <is>
          <t>카페24</t>
        </is>
      </c>
      <c r="G759" s="9" t="inlineStr">
        <is>
          <t>라베나 리커버리 15 헤어팩 트리트먼트 [HAIR RÉ:COVERY 15 Hairpack Treatment]제품선택=헤어 리커버리 15 헤어팩 트리트먼트</t>
        </is>
      </c>
      <c r="H759" s="9" t="n">
        <v>14</v>
      </c>
      <c r="I759" s="9">
        <f>VLOOKUP(G759,매칭테이블!D:E,2,0)</f>
        <v/>
      </c>
      <c r="J759" s="9" t="n">
        <v>201210</v>
      </c>
      <c r="L759" s="9">
        <f>VLOOKUP($O759,매칭테이블!$G:$J,2,0)*H759</f>
        <v/>
      </c>
      <c r="M759" s="9">
        <f>L759-L759*VLOOKUP($O759,매칭테이블!$G:$J,3,0)</f>
        <v/>
      </c>
      <c r="N759" s="9">
        <f>VLOOKUP($O759,매칭테이블!$G:$J,4,0)*H759</f>
        <v/>
      </c>
      <c r="O759" s="9">
        <f>F759&amp;E759&amp;G759&amp;J759</f>
        <v/>
      </c>
    </row>
    <row r="760">
      <c r="B760" s="10" t="n">
        <v>44215</v>
      </c>
      <c r="C760" s="9">
        <f>TEXT(B760,"aaa")</f>
        <v/>
      </c>
      <c r="E760" s="9">
        <f>INDEX(매칭테이블!C:C,MATCH(RD!G760,매칭테이블!D:D,0))</f>
        <v/>
      </c>
      <c r="F760" s="9" t="inlineStr">
        <is>
          <t>카페24</t>
        </is>
      </c>
      <c r="G760" s="9" t="inlineStr">
        <is>
          <t>헤어 리커버리 15 리바이탈 샴푸</t>
        </is>
      </c>
      <c r="H760" s="9" t="n">
        <v>9</v>
      </c>
      <c r="I760" s="9">
        <f>VLOOKUP(G760,매칭테이블!D:E,2,0)</f>
        <v/>
      </c>
      <c r="J760" s="9" t="n">
        <v>201210</v>
      </c>
      <c r="L760" s="9">
        <f>VLOOKUP($O760,매칭테이블!$G:$J,2,0)*H760</f>
        <v/>
      </c>
      <c r="M760" s="9">
        <f>L760-L760*VLOOKUP($O760,매칭테이블!$G:$J,3,0)</f>
        <v/>
      </c>
      <c r="N760" s="9">
        <f>VLOOKUP($O760,매칭테이블!$G:$J,4,0)*H760</f>
        <v/>
      </c>
      <c r="O760" s="9">
        <f>F760&amp;E760&amp;G760&amp;J760</f>
        <v/>
      </c>
    </row>
    <row r="761">
      <c r="B761" s="10" t="n">
        <v>44216</v>
      </c>
      <c r="C761" s="9">
        <f>TEXT(B761,"aaa")</f>
        <v/>
      </c>
      <c r="E761" s="9">
        <f>INDEX(매칭테이블!C:C,MATCH(RD!G761,매칭테이블!D:D,0))</f>
        <v/>
      </c>
      <c r="F761" s="9" t="inlineStr">
        <is>
          <t>카페24</t>
        </is>
      </c>
      <c r="G761" s="9" t="inlineStr">
        <is>
          <t>라베나 리커버리 15 뉴트리셔스 밤 [HAIR RÉ:COVERY 15 Nutritious Balm]제품선택=헤어 리커버리 15 뉴트리셔스 밤</t>
        </is>
      </c>
      <c r="H761" s="9" t="n">
        <v>6</v>
      </c>
      <c r="I761" s="9">
        <f>VLOOKUP(G761,매칭테이블!D:E,2,0)</f>
        <v/>
      </c>
      <c r="J761" s="9" t="n">
        <v>201210</v>
      </c>
      <c r="L761" s="9">
        <f>VLOOKUP($O761,매칭테이블!$G:$J,2,0)*H761</f>
        <v/>
      </c>
      <c r="M761" s="9">
        <f>L761-L761*VLOOKUP($O761,매칭테이블!$G:$J,3,0)</f>
        <v/>
      </c>
      <c r="N761" s="9">
        <f>VLOOKUP($O761,매칭테이블!$G:$J,4,0)*H761</f>
        <v/>
      </c>
      <c r="O761" s="9">
        <f>F761&amp;E761&amp;G761&amp;J761</f>
        <v/>
      </c>
    </row>
    <row r="762">
      <c r="B762" s="10" t="n">
        <v>44216</v>
      </c>
      <c r="C762" s="9">
        <f>TEXT(B762,"aaa")</f>
        <v/>
      </c>
      <c r="E762" s="9">
        <f>INDEX(매칭테이블!C:C,MATCH(RD!G762,매칭테이블!D:D,0))</f>
        <v/>
      </c>
      <c r="F762" s="9" t="inlineStr">
        <is>
          <t>카페24</t>
        </is>
      </c>
      <c r="G762" s="9" t="inlineStr">
        <is>
          <t>라베나 리커버리 15 뉴트리셔스 밤 [HAIR RÉ:COVERY 15 Nutritious Balm]제품선택=뉴트리셔스 밤 2개 세트 5% 추가할인</t>
        </is>
      </c>
      <c r="H762" s="9" t="n">
        <v>1</v>
      </c>
      <c r="I762" s="9">
        <f>VLOOKUP(G762,매칭테이블!D:E,2,0)</f>
        <v/>
      </c>
      <c r="J762" s="9" t="n">
        <v>201210</v>
      </c>
      <c r="L762" s="9">
        <f>VLOOKUP($O762,매칭테이블!$G:$J,2,0)*H762</f>
        <v/>
      </c>
      <c r="M762" s="9">
        <f>L762-L762*VLOOKUP($O762,매칭테이블!$G:$J,3,0)</f>
        <v/>
      </c>
      <c r="N762" s="9">
        <f>VLOOKUP($O762,매칭테이블!$G:$J,4,0)*H762</f>
        <v/>
      </c>
      <c r="O762" s="9">
        <f>F762&amp;E762&amp;G762&amp;J762</f>
        <v/>
      </c>
    </row>
    <row r="763">
      <c r="B763" s="10" t="n">
        <v>44216</v>
      </c>
      <c r="C763" s="9">
        <f>TEXT(B763,"aaa")</f>
        <v/>
      </c>
      <c r="E763" s="9">
        <f>INDEX(매칭테이블!C:C,MATCH(RD!G763,매칭테이블!D:D,0))</f>
        <v/>
      </c>
      <c r="F763" s="9" t="inlineStr">
        <is>
          <t>카페24</t>
        </is>
      </c>
      <c r="G763" s="9" t="inlineStr">
        <is>
          <t>라베나 리커버리 15 뉴트리셔스 밤 [HAIR RÉ:COVERY 15 Nutritious Balm]제품선택=뉴트리셔스밤 1개 + 헤어팩 트리트먼트 1개 세트 5%추가할인</t>
        </is>
      </c>
      <c r="H763" s="9" t="n">
        <v>1</v>
      </c>
      <c r="I763" s="9">
        <f>VLOOKUP(G763,매칭테이블!D:E,2,0)</f>
        <v/>
      </c>
      <c r="J763" s="9" t="n">
        <v>201210</v>
      </c>
      <c r="L763" s="9">
        <f>VLOOKUP($O763,매칭테이블!$G:$J,2,0)*H763</f>
        <v/>
      </c>
      <c r="M763" s="9">
        <f>L763-L763*VLOOKUP($O763,매칭테이블!$G:$J,3,0)</f>
        <v/>
      </c>
      <c r="N763" s="9">
        <f>VLOOKUP($O763,매칭테이블!$G:$J,4,0)*H763</f>
        <v/>
      </c>
      <c r="O763" s="9">
        <f>F763&amp;E763&amp;G763&amp;J763</f>
        <v/>
      </c>
    </row>
    <row r="764">
      <c r="B764" s="10" t="n">
        <v>44216</v>
      </c>
      <c r="C764" s="9">
        <f>TEXT(B764,"aaa")</f>
        <v/>
      </c>
      <c r="E764" s="9">
        <f>INDEX(매칭테이블!C:C,MATCH(RD!G764,매칭테이블!D:D,0))</f>
        <v/>
      </c>
      <c r="F764" s="9" t="inlineStr">
        <is>
          <t>카페24</t>
        </is>
      </c>
      <c r="G764" s="9" t="inlineStr">
        <is>
          <t>라베나 리커버리 15 리바이탈 샴푸 [HAIR RÉ:COVERY 15 Revital Shampoo]제품선택=헤어 리커버리 15 리바이탈 샴푸 - 500ml</t>
        </is>
      </c>
      <c r="H764" s="9" t="n">
        <v>206</v>
      </c>
      <c r="I764" s="9">
        <f>VLOOKUP(G764,매칭테이블!D:E,2,0)</f>
        <v/>
      </c>
      <c r="J764" s="9" t="n">
        <v>201210</v>
      </c>
      <c r="L764" s="9">
        <f>VLOOKUP($O764,매칭테이블!$G:$J,2,0)*H764</f>
        <v/>
      </c>
      <c r="M764" s="9">
        <f>L764-L764*VLOOKUP($O764,매칭테이블!$G:$J,3,0)</f>
        <v/>
      </c>
      <c r="N764" s="9">
        <f>VLOOKUP($O764,매칭테이블!$G:$J,4,0)*H764</f>
        <v/>
      </c>
      <c r="O764" s="9">
        <f>F764&amp;E764&amp;G764&amp;J764</f>
        <v/>
      </c>
    </row>
    <row r="765">
      <c r="B765" s="10" t="n">
        <v>44216</v>
      </c>
      <c r="C765" s="9">
        <f>TEXT(B765,"aaa")</f>
        <v/>
      </c>
      <c r="E765" s="9">
        <f>INDEX(매칭테이블!C:C,MATCH(RD!G765,매칭테이블!D:D,0))</f>
        <v/>
      </c>
      <c r="F765" s="9" t="inlineStr">
        <is>
          <t>카페24</t>
        </is>
      </c>
      <c r="G765" s="9" t="inlineStr">
        <is>
          <t>라베나 리커버리 15 리바이탈 샴푸 [HAIR RÉ:COVERY 15 Revital Shampoo]제품선택=리바이탈 샴푸 2개 세트 5%추가할인</t>
        </is>
      </c>
      <c r="H765" s="9" t="n">
        <v>57</v>
      </c>
      <c r="I765" s="9">
        <f>VLOOKUP(G765,매칭테이블!D:E,2,0)</f>
        <v/>
      </c>
      <c r="J765" s="9" t="n">
        <v>201210</v>
      </c>
      <c r="L765" s="9">
        <f>VLOOKUP($O765,매칭테이블!$G:$J,2,0)*H765</f>
        <v/>
      </c>
      <c r="M765" s="9">
        <f>L765-L765*VLOOKUP($O765,매칭테이블!$G:$J,3,0)</f>
        <v/>
      </c>
      <c r="N765" s="9">
        <f>VLOOKUP($O765,매칭테이블!$G:$J,4,0)*H765</f>
        <v/>
      </c>
      <c r="O765" s="9">
        <f>F765&amp;E765&amp;G765&amp;J765</f>
        <v/>
      </c>
    </row>
    <row r="766">
      <c r="B766" s="10" t="n">
        <v>44216</v>
      </c>
      <c r="C766" s="9">
        <f>TEXT(B766,"aaa")</f>
        <v/>
      </c>
      <c r="E766" s="9">
        <f>INDEX(매칭테이블!C:C,MATCH(RD!G766,매칭테이블!D:D,0))</f>
        <v/>
      </c>
      <c r="F766" s="9" t="inlineStr">
        <is>
          <t>카페24</t>
        </is>
      </c>
      <c r="G766" s="9" t="inlineStr">
        <is>
          <t>라베나 리커버리 15 리바이탈 샴푸 [HAIR RÉ:COVERY 15 Revital Shampoo]제품선택=리바이탈 샴푸 3개 세트 10% 추가할인</t>
        </is>
      </c>
      <c r="H766" s="9" t="n">
        <v>14</v>
      </c>
      <c r="I766" s="9">
        <f>VLOOKUP(G766,매칭테이블!D:E,2,0)</f>
        <v/>
      </c>
      <c r="J766" s="9" t="n">
        <v>201210</v>
      </c>
      <c r="L766" s="9">
        <f>VLOOKUP($O766,매칭테이블!$G:$J,2,0)*H766</f>
        <v/>
      </c>
      <c r="M766" s="9">
        <f>L766-L766*VLOOKUP($O766,매칭테이블!$G:$J,3,0)</f>
        <v/>
      </c>
      <c r="N766" s="9">
        <f>VLOOKUP($O766,매칭테이블!$G:$J,4,0)*H766</f>
        <v/>
      </c>
      <c r="O766" s="9">
        <f>F766&amp;E766&amp;G766&amp;J766</f>
        <v/>
      </c>
    </row>
    <row r="767">
      <c r="B767" s="10" t="n">
        <v>44216</v>
      </c>
      <c r="C767" s="9">
        <f>TEXT(B767,"aaa")</f>
        <v/>
      </c>
      <c r="E767" s="9">
        <f>INDEX(매칭테이블!C:C,MATCH(RD!G767,매칭테이블!D:D,0))</f>
        <v/>
      </c>
      <c r="F767" s="9" t="inlineStr">
        <is>
          <t>카페24</t>
        </is>
      </c>
      <c r="G767" s="9" t="inlineStr">
        <is>
          <t>라베나 리커버리 15 헤어팩 트리트먼트 [HAIR RÉ:COVERY 15 Hairpack Treatment]제품선택=헤어 리커버리 15 헤어팩 트리트먼트</t>
        </is>
      </c>
      <c r="H767" s="9" t="n">
        <v>7</v>
      </c>
      <c r="I767" s="9">
        <f>VLOOKUP(G767,매칭테이블!D:E,2,0)</f>
        <v/>
      </c>
      <c r="J767" s="9" t="n">
        <v>201210</v>
      </c>
      <c r="L767" s="9">
        <f>VLOOKUP($O767,매칭테이블!$G:$J,2,0)*H767</f>
        <v/>
      </c>
      <c r="M767" s="9">
        <f>L767-L767*VLOOKUP($O767,매칭테이블!$G:$J,3,0)</f>
        <v/>
      </c>
      <c r="N767" s="9">
        <f>VLOOKUP($O767,매칭테이블!$G:$J,4,0)*H767</f>
        <v/>
      </c>
      <c r="O767" s="9">
        <f>F767&amp;E767&amp;G767&amp;J767</f>
        <v/>
      </c>
    </row>
    <row r="768">
      <c r="B768" s="10" t="n">
        <v>44216</v>
      </c>
      <c r="C768" s="9">
        <f>TEXT(B768,"aaa")</f>
        <v/>
      </c>
      <c r="E768" s="9">
        <f>INDEX(매칭테이블!C:C,MATCH(RD!G768,매칭테이블!D:D,0))</f>
        <v/>
      </c>
      <c r="F768" s="9" t="inlineStr">
        <is>
          <t>카페24</t>
        </is>
      </c>
      <c r="G768" s="9" t="inlineStr">
        <is>
          <t>라베나 리커버리 15 헤어팩 트리트먼트 [HAIR RÉ:COVERY 15 Hairpack Treatment]제품선택=헤어팩 트리트먼트 2개 세트 5% 추가할인</t>
        </is>
      </c>
      <c r="H768" s="9" t="n">
        <v>2</v>
      </c>
      <c r="I768" s="9">
        <f>VLOOKUP(G768,매칭테이블!D:E,2,0)</f>
        <v/>
      </c>
      <c r="J768" s="9" t="n">
        <v>201210</v>
      </c>
      <c r="L768" s="9">
        <f>VLOOKUP($O768,매칭테이블!$G:$J,2,0)*H768</f>
        <v/>
      </c>
      <c r="M768" s="9">
        <f>L768-L768*VLOOKUP($O768,매칭테이블!$G:$J,3,0)</f>
        <v/>
      </c>
      <c r="N768" s="9">
        <f>VLOOKUP($O768,매칭테이블!$G:$J,4,0)*H768</f>
        <v/>
      </c>
      <c r="O768" s="9">
        <f>F768&amp;E768&amp;G768&amp;J768</f>
        <v/>
      </c>
    </row>
    <row r="769">
      <c r="B769" s="10" t="n">
        <v>44216</v>
      </c>
      <c r="C769" s="9">
        <f>TEXT(B769,"aaa")</f>
        <v/>
      </c>
      <c r="E769" s="9">
        <f>INDEX(매칭테이블!C:C,MATCH(RD!G769,매칭테이블!D:D,0))</f>
        <v/>
      </c>
      <c r="F769" s="9" t="inlineStr">
        <is>
          <t>카페24</t>
        </is>
      </c>
      <c r="G769" s="9" t="inlineStr">
        <is>
          <t>라베나 리커버리 15 헤어팩 트리트먼트 [HAIR RÉ:COVERY 15 Hairpack Treatment]제품선택=헤어팩 트리트먼트 3개 세트 10% 추가할인</t>
        </is>
      </c>
      <c r="H769" s="9" t="n">
        <v>1</v>
      </c>
      <c r="I769" s="9">
        <f>VLOOKUP(G769,매칭테이블!D:E,2,0)</f>
        <v/>
      </c>
      <c r="J769" s="9" t="n">
        <v>201210</v>
      </c>
      <c r="L769" s="9">
        <f>VLOOKUP($O769,매칭테이블!$G:$J,2,0)*H769</f>
        <v/>
      </c>
      <c r="M769" s="9">
        <f>L769-L769*VLOOKUP($O769,매칭테이블!$G:$J,3,0)</f>
        <v/>
      </c>
      <c r="N769" s="9">
        <f>VLOOKUP($O769,매칭테이블!$G:$J,4,0)*H769</f>
        <v/>
      </c>
      <c r="O769" s="9">
        <f>F769&amp;E769&amp;G769&amp;J769</f>
        <v/>
      </c>
    </row>
    <row r="770">
      <c r="B770" s="10" t="n">
        <v>44216</v>
      </c>
      <c r="C770" s="9">
        <f>TEXT(B770,"aaa")</f>
        <v/>
      </c>
      <c r="E770" s="9">
        <f>INDEX(매칭테이블!C:C,MATCH(RD!G770,매칭테이블!D:D,0))</f>
        <v/>
      </c>
      <c r="F770" s="9" t="inlineStr">
        <is>
          <t>카페24</t>
        </is>
      </c>
      <c r="G770" s="9" t="inlineStr">
        <is>
          <t>라베나 리커버리 15 헤어팩 트리트먼트 [HAIR RÉ:COVERY 15 Hairpack Treatment]제품선택=헤어팩 트리트먼트 1개 + 뉴트리셔스밤 1개 세트 5% 추가할인</t>
        </is>
      </c>
      <c r="H770" s="9" t="n">
        <v>1</v>
      </c>
      <c r="I770" s="9">
        <f>VLOOKUP(G770,매칭테이블!D:E,2,0)</f>
        <v/>
      </c>
      <c r="J770" s="9" t="n">
        <v>201210</v>
      </c>
      <c r="L770" s="9">
        <f>VLOOKUP($O770,매칭테이블!$G:$J,2,0)*H770</f>
        <v/>
      </c>
      <c r="M770" s="9">
        <f>L770-L770*VLOOKUP($O770,매칭테이블!$G:$J,3,0)</f>
        <v/>
      </c>
      <c r="N770" s="9">
        <f>VLOOKUP($O770,매칭테이블!$G:$J,4,0)*H770</f>
        <v/>
      </c>
      <c r="O770" s="9">
        <f>F770&amp;E770&amp;G770&amp;J770</f>
        <v/>
      </c>
    </row>
    <row r="771">
      <c r="B771" s="10" t="n">
        <v>44216</v>
      </c>
      <c r="C771" s="9">
        <f>TEXT(B771,"aaa")</f>
        <v/>
      </c>
      <c r="E771" s="9">
        <f>INDEX(매칭테이블!C:C,MATCH(RD!G771,매칭테이블!D:D,0))</f>
        <v/>
      </c>
      <c r="F771" s="9" t="inlineStr">
        <is>
          <t>카페24</t>
        </is>
      </c>
      <c r="G771" s="9" t="inlineStr">
        <is>
          <t>헤어 리커버리 15 리바이탈 샴푸</t>
        </is>
      </c>
      <c r="H771" s="9" t="n">
        <v>2</v>
      </c>
      <c r="I771" s="9">
        <f>VLOOKUP(G771,매칭테이블!D:E,2,0)</f>
        <v/>
      </c>
      <c r="J771" s="9" t="n">
        <v>201210</v>
      </c>
      <c r="L771" s="9">
        <f>VLOOKUP($O771,매칭테이블!$G:$J,2,0)*H771</f>
        <v/>
      </c>
      <c r="M771" s="9">
        <f>L771-L771*VLOOKUP($O771,매칭테이블!$G:$J,3,0)</f>
        <v/>
      </c>
      <c r="N771" s="9">
        <f>VLOOKUP($O771,매칭테이블!$G:$J,4,0)*H771</f>
        <v/>
      </c>
      <c r="O771" s="9">
        <f>F771&amp;E771&amp;G771&amp;J771</f>
        <v/>
      </c>
    </row>
    <row r="772">
      <c r="B772" s="10" t="n">
        <v>44217</v>
      </c>
      <c r="C772" s="9">
        <f>TEXT(B772,"aaa")</f>
        <v/>
      </c>
      <c r="E772" s="9">
        <f>INDEX(매칭테이블!C:C,MATCH(RD!G772,매칭테이블!D:D,0))</f>
        <v/>
      </c>
      <c r="F772" s="9" t="inlineStr">
        <is>
          <t>라베나 CS</t>
        </is>
      </c>
      <c r="G772" s="9" t="inlineStr">
        <is>
          <t>헤어 리커버리 15 리바이탈 샴푸</t>
        </is>
      </c>
      <c r="H772" s="9" t="n">
        <v>1</v>
      </c>
      <c r="I772" s="9">
        <f>VLOOKUP(G772,매칭테이블!D:E,2,0)</f>
        <v/>
      </c>
      <c r="J772" s="9" t="n">
        <v>201210</v>
      </c>
      <c r="L772" s="9">
        <f>VLOOKUP($O772,매칭테이블!$G:$J,2,0)*H772</f>
        <v/>
      </c>
      <c r="M772" s="9">
        <f>L772-L772*VLOOKUP($O772,매칭테이블!$G:$J,3,0)</f>
        <v/>
      </c>
      <c r="N772" s="9">
        <f>VLOOKUP($O772,매칭테이블!$G:$J,4,0)*H772</f>
        <v/>
      </c>
      <c r="O772" s="9">
        <f>F772&amp;E772&amp;G772&amp;J772</f>
        <v/>
      </c>
    </row>
    <row r="773">
      <c r="B773" s="10" t="n">
        <v>44217</v>
      </c>
      <c r="C773" s="9">
        <f>TEXT(B773,"aaa")</f>
        <v/>
      </c>
      <c r="E773" s="9">
        <f>INDEX(매칭테이블!C:C,MATCH(RD!G773,매칭테이블!D:D,0))</f>
        <v/>
      </c>
      <c r="F773" s="9" t="inlineStr">
        <is>
          <t>카페24</t>
        </is>
      </c>
      <c r="G773" s="9" t="inlineStr">
        <is>
          <t>HAIR RÉ:COVERY 15 Revital Shampoo [라베나 리커버리 15 리바이탈 샴푸]제품선택=헤어 리커버리 15 리바이탈 샴푸 - 500ml</t>
        </is>
      </c>
      <c r="H773" s="9" t="n">
        <v>2</v>
      </c>
      <c r="I773" s="9">
        <f>VLOOKUP(G773,매칭테이블!D:E,2,0)</f>
        <v/>
      </c>
      <c r="J773" s="9" t="n">
        <v>201210</v>
      </c>
      <c r="L773" s="9">
        <f>VLOOKUP($O773,매칭테이블!$G:$J,2,0)*H773</f>
        <v/>
      </c>
      <c r="M773" s="9">
        <f>L773-L773*VLOOKUP($O773,매칭테이블!$G:$J,3,0)</f>
        <v/>
      </c>
      <c r="N773" s="9">
        <f>VLOOKUP($O773,매칭테이블!$G:$J,4,0)*H773</f>
        <v/>
      </c>
      <c r="O773" s="9">
        <f>F773&amp;E773&amp;G773&amp;J773</f>
        <v/>
      </c>
    </row>
    <row r="774">
      <c r="B774" s="10" t="n">
        <v>44217</v>
      </c>
      <c r="C774" s="9">
        <f>TEXT(B774,"aaa")</f>
        <v/>
      </c>
      <c r="E774" s="9">
        <f>INDEX(매칭테이블!C:C,MATCH(RD!G774,매칭테이블!D:D,0))</f>
        <v/>
      </c>
      <c r="F774" s="9" t="inlineStr">
        <is>
          <t>카페24</t>
        </is>
      </c>
      <c r="G774" s="9" t="inlineStr">
        <is>
          <t>라베나 리커버리 15 뉴트리셔스 밤 [HAIR RÉ:COVERY 15 Nutritious Balm]제품선택=헤어 리커버리 15 뉴트리셔스 밤</t>
        </is>
      </c>
      <c r="H774" s="9" t="n">
        <v>3</v>
      </c>
      <c r="I774" s="9">
        <f>VLOOKUP(G774,매칭테이블!D:E,2,0)</f>
        <v/>
      </c>
      <c r="J774" s="9" t="n">
        <v>201210</v>
      </c>
      <c r="L774" s="9">
        <f>VLOOKUP($O774,매칭테이블!$G:$J,2,0)*H774</f>
        <v/>
      </c>
      <c r="M774" s="9">
        <f>L774-L774*VLOOKUP($O774,매칭테이블!$G:$J,3,0)</f>
        <v/>
      </c>
      <c r="N774" s="9">
        <f>VLOOKUP($O774,매칭테이블!$G:$J,4,0)*H774</f>
        <v/>
      </c>
      <c r="O774" s="9">
        <f>F774&amp;E774&amp;G774&amp;J774</f>
        <v/>
      </c>
    </row>
    <row r="775">
      <c r="B775" s="10" t="n">
        <v>44217</v>
      </c>
      <c r="C775" s="9">
        <f>TEXT(B775,"aaa")</f>
        <v/>
      </c>
      <c r="E775" s="9">
        <f>INDEX(매칭테이블!C:C,MATCH(RD!G775,매칭테이블!D:D,0))</f>
        <v/>
      </c>
      <c r="F775" s="9" t="inlineStr">
        <is>
          <t>카페24</t>
        </is>
      </c>
      <c r="G775" s="9" t="inlineStr">
        <is>
          <t>라베나 리커버리 15 뉴트리셔스 밤 [HAIR RÉ:COVERY 15 Nutritious Balm]제품선택=뉴트리셔스 밤 2개 세트 5% 추가할인</t>
        </is>
      </c>
      <c r="H775" s="9" t="n">
        <v>1</v>
      </c>
      <c r="I775" s="9">
        <f>VLOOKUP(G775,매칭테이블!D:E,2,0)</f>
        <v/>
      </c>
      <c r="J775" s="9" t="n">
        <v>201210</v>
      </c>
      <c r="L775" s="9">
        <f>VLOOKUP($O775,매칭테이블!$G:$J,2,0)*H775</f>
        <v/>
      </c>
      <c r="M775" s="9">
        <f>L775-L775*VLOOKUP($O775,매칭테이블!$G:$J,3,0)</f>
        <v/>
      </c>
      <c r="N775" s="9">
        <f>VLOOKUP($O775,매칭테이블!$G:$J,4,0)*H775</f>
        <v/>
      </c>
      <c r="O775" s="9">
        <f>F775&amp;E775&amp;G775&amp;J775</f>
        <v/>
      </c>
    </row>
    <row r="776">
      <c r="B776" s="10" t="n">
        <v>44217</v>
      </c>
      <c r="C776" s="9">
        <f>TEXT(B776,"aaa")</f>
        <v/>
      </c>
      <c r="E776" s="9">
        <f>INDEX(매칭테이블!C:C,MATCH(RD!G776,매칭테이블!D:D,0))</f>
        <v/>
      </c>
      <c r="F776" s="9" t="inlineStr">
        <is>
          <t>카페24</t>
        </is>
      </c>
      <c r="G776" s="9" t="inlineStr">
        <is>
          <t>라베나 리커버리 15 뉴트리셔스 밤 [HAIR RÉ:COVERY 15 Nutritious Balm]제품선택=뉴트리셔스밤 1개 + 헤어팩 트리트먼트 1개 세트 5%추가할인</t>
        </is>
      </c>
      <c r="H776" s="9" t="n">
        <v>2</v>
      </c>
      <c r="I776" s="9">
        <f>VLOOKUP(G776,매칭테이블!D:E,2,0)</f>
        <v/>
      </c>
      <c r="J776" s="9" t="n">
        <v>201210</v>
      </c>
      <c r="L776" s="9">
        <f>VLOOKUP($O776,매칭테이블!$G:$J,2,0)*H776</f>
        <v/>
      </c>
      <c r="M776" s="9">
        <f>L776-L776*VLOOKUP($O776,매칭테이블!$G:$J,3,0)</f>
        <v/>
      </c>
      <c r="N776" s="9">
        <f>VLOOKUP($O776,매칭테이블!$G:$J,4,0)*H776</f>
        <v/>
      </c>
      <c r="O776" s="9">
        <f>F776&amp;E776&amp;G776&amp;J776</f>
        <v/>
      </c>
    </row>
    <row r="777">
      <c r="B777" s="10" t="n">
        <v>44217</v>
      </c>
      <c r="C777" s="9">
        <f>TEXT(B777,"aaa")</f>
        <v/>
      </c>
      <c r="E777" s="9">
        <f>INDEX(매칭테이블!C:C,MATCH(RD!G777,매칭테이블!D:D,0))</f>
        <v/>
      </c>
      <c r="F777" s="9" t="inlineStr">
        <is>
          <t>카페24</t>
        </is>
      </c>
      <c r="G777" s="9" t="inlineStr">
        <is>
          <t>라베나 리커버리 15 리바이탈 샴푸 [HAIR RÉ:COVERY 15 Revital Shampoo]제품선택=헤어 리커버리 15 리바이탈 샴푸 - 500ml</t>
        </is>
      </c>
      <c r="H777" s="9" t="n">
        <v>181</v>
      </c>
      <c r="I777" s="9">
        <f>VLOOKUP(G777,매칭테이블!D:E,2,0)</f>
        <v/>
      </c>
      <c r="J777" s="9" t="n">
        <v>201210</v>
      </c>
      <c r="L777" s="9">
        <f>VLOOKUP($O777,매칭테이블!$G:$J,2,0)*H777</f>
        <v/>
      </c>
      <c r="M777" s="9">
        <f>L777-L777*VLOOKUP($O777,매칭테이블!$G:$J,3,0)</f>
        <v/>
      </c>
      <c r="N777" s="9">
        <f>VLOOKUP($O777,매칭테이블!$G:$J,4,0)*H777</f>
        <v/>
      </c>
      <c r="O777" s="9">
        <f>F777&amp;E777&amp;G777&amp;J777</f>
        <v/>
      </c>
    </row>
    <row r="778">
      <c r="B778" s="10" t="n">
        <v>44217</v>
      </c>
      <c r="C778" s="9">
        <f>TEXT(B778,"aaa")</f>
        <v/>
      </c>
      <c r="E778" s="9">
        <f>INDEX(매칭테이블!C:C,MATCH(RD!G778,매칭테이블!D:D,0))</f>
        <v/>
      </c>
      <c r="F778" s="9" t="inlineStr">
        <is>
          <t>카페24</t>
        </is>
      </c>
      <c r="G778" s="9" t="inlineStr">
        <is>
          <t>라베나 리커버리 15 리바이탈 샴푸 [HAIR RÉ:COVERY 15 Revital Shampoo]제품선택=리바이탈 샴푸 2개 세트 5%추가할인</t>
        </is>
      </c>
      <c r="H778" s="9" t="n">
        <v>56</v>
      </c>
      <c r="I778" s="9">
        <f>VLOOKUP(G778,매칭테이블!D:E,2,0)</f>
        <v/>
      </c>
      <c r="J778" s="9" t="n">
        <v>201210</v>
      </c>
      <c r="L778" s="9">
        <f>VLOOKUP($O778,매칭테이블!$G:$J,2,0)*H778</f>
        <v/>
      </c>
      <c r="M778" s="9">
        <f>L778-L778*VLOOKUP($O778,매칭테이블!$G:$J,3,0)</f>
        <v/>
      </c>
      <c r="N778" s="9">
        <f>VLOOKUP($O778,매칭테이블!$G:$J,4,0)*H778</f>
        <v/>
      </c>
      <c r="O778" s="9">
        <f>F778&amp;E778&amp;G778&amp;J778</f>
        <v/>
      </c>
    </row>
    <row r="779">
      <c r="B779" s="10" t="n">
        <v>44217</v>
      </c>
      <c r="C779" s="9">
        <f>TEXT(B779,"aaa")</f>
        <v/>
      </c>
      <c r="E779" s="9">
        <f>INDEX(매칭테이블!C:C,MATCH(RD!G779,매칭테이블!D:D,0))</f>
        <v/>
      </c>
      <c r="F779" s="9" t="inlineStr">
        <is>
          <t>카페24</t>
        </is>
      </c>
      <c r="G779" s="9" t="inlineStr">
        <is>
          <t>라베나 리커버리 15 리바이탈 샴푸 [HAIR RÉ:COVERY 15 Revital Shampoo]제품선택=리바이탈 샴푸 3개 세트 10% 추가할인</t>
        </is>
      </c>
      <c r="H779" s="9" t="n">
        <v>24</v>
      </c>
      <c r="I779" s="9">
        <f>VLOOKUP(G779,매칭테이블!D:E,2,0)</f>
        <v/>
      </c>
      <c r="J779" s="9" t="n">
        <v>201210</v>
      </c>
      <c r="L779" s="9">
        <f>VLOOKUP($O779,매칭테이블!$G:$J,2,0)*H779</f>
        <v/>
      </c>
      <c r="M779" s="9">
        <f>L779-L779*VLOOKUP($O779,매칭테이블!$G:$J,3,0)</f>
        <v/>
      </c>
      <c r="N779" s="9">
        <f>VLOOKUP($O779,매칭테이블!$G:$J,4,0)*H779</f>
        <v/>
      </c>
      <c r="O779" s="9">
        <f>F779&amp;E779&amp;G779&amp;J779</f>
        <v/>
      </c>
    </row>
    <row r="780">
      <c r="B780" s="10" t="n">
        <v>44217</v>
      </c>
      <c r="C780" s="9">
        <f>TEXT(B780,"aaa")</f>
        <v/>
      </c>
      <c r="E780" s="9">
        <f>INDEX(매칭테이블!C:C,MATCH(RD!G780,매칭테이블!D:D,0))</f>
        <v/>
      </c>
      <c r="F780" s="9" t="inlineStr">
        <is>
          <t>카페24</t>
        </is>
      </c>
      <c r="G780" s="9" t="inlineStr">
        <is>
          <t>라베나 리커버리 15 헤어팩 트리트먼트 [HAIR RÉ:COVERY 15 Hairpack Treatment]제품선택=헤어 리커버리 15 헤어팩 트리트먼트</t>
        </is>
      </c>
      <c r="H780" s="9" t="n">
        <v>10</v>
      </c>
      <c r="I780" s="9">
        <f>VLOOKUP(G780,매칭테이블!D:E,2,0)</f>
        <v/>
      </c>
      <c r="J780" s="9" t="n">
        <v>201210</v>
      </c>
      <c r="L780" s="9">
        <f>VLOOKUP($O780,매칭테이블!$G:$J,2,0)*H780</f>
        <v/>
      </c>
      <c r="M780" s="9">
        <f>L780-L780*VLOOKUP($O780,매칭테이블!$G:$J,3,0)</f>
        <v/>
      </c>
      <c r="N780" s="9">
        <f>VLOOKUP($O780,매칭테이블!$G:$J,4,0)*H780</f>
        <v/>
      </c>
      <c r="O780" s="9">
        <f>F780&amp;E780&amp;G780&amp;J780</f>
        <v/>
      </c>
    </row>
    <row r="781">
      <c r="B781" s="10" t="n">
        <v>44217</v>
      </c>
      <c r="C781" s="9">
        <f>TEXT(B781,"aaa")</f>
        <v/>
      </c>
      <c r="E781" s="9">
        <f>INDEX(매칭테이블!C:C,MATCH(RD!G781,매칭테이블!D:D,0))</f>
        <v/>
      </c>
      <c r="F781" s="9" t="inlineStr">
        <is>
          <t>카페24</t>
        </is>
      </c>
      <c r="G781" s="9" t="inlineStr">
        <is>
          <t>라베나 리커버리 15 헤어팩 트리트먼트 [HAIR RÉ:COVERY 15 Hairpack Treatment]제품선택=헤어팩 트리트먼트 2개 세트 5% 추가할인</t>
        </is>
      </c>
      <c r="H781" s="9" t="n">
        <v>1</v>
      </c>
      <c r="I781" s="9">
        <f>VLOOKUP(G781,매칭테이블!D:E,2,0)</f>
        <v/>
      </c>
      <c r="J781" s="9" t="n">
        <v>201210</v>
      </c>
      <c r="L781" s="9">
        <f>VLOOKUP($O781,매칭테이블!$G:$J,2,0)*H781</f>
        <v/>
      </c>
      <c r="M781" s="9">
        <f>L781-L781*VLOOKUP($O781,매칭테이블!$G:$J,3,0)</f>
        <v/>
      </c>
      <c r="N781" s="9">
        <f>VLOOKUP($O781,매칭테이블!$G:$J,4,0)*H781</f>
        <v/>
      </c>
      <c r="O781" s="9">
        <f>F781&amp;E781&amp;G781&amp;J781</f>
        <v/>
      </c>
    </row>
    <row r="782">
      <c r="B782" s="10" t="n">
        <v>44217</v>
      </c>
      <c r="C782" s="9">
        <f>TEXT(B782,"aaa")</f>
        <v/>
      </c>
      <c r="E782" s="9">
        <f>INDEX(매칭테이블!C:C,MATCH(RD!G782,매칭테이블!D:D,0))</f>
        <v/>
      </c>
      <c r="F782" s="9" t="inlineStr">
        <is>
          <t>카페24</t>
        </is>
      </c>
      <c r="G782" s="9" t="inlineStr">
        <is>
          <t>라베나 리커버리 15 헤어팩 트리트먼트 [HAIR RÉ:COVERY 15 Hairpack Treatment]제품선택=헤어팩 트리트먼트 3개 세트 10% 추가할인</t>
        </is>
      </c>
      <c r="H782" s="9" t="n">
        <v>1</v>
      </c>
      <c r="I782" s="9">
        <f>VLOOKUP(G782,매칭테이블!D:E,2,0)</f>
        <v/>
      </c>
      <c r="J782" s="9" t="n">
        <v>201210</v>
      </c>
      <c r="L782" s="9">
        <f>VLOOKUP($O782,매칭테이블!$G:$J,2,0)*H782</f>
        <v/>
      </c>
      <c r="M782" s="9">
        <f>L782-L782*VLOOKUP($O782,매칭테이블!$G:$J,3,0)</f>
        <v/>
      </c>
      <c r="N782" s="9">
        <f>VLOOKUP($O782,매칭테이블!$G:$J,4,0)*H782</f>
        <v/>
      </c>
      <c r="O782" s="9">
        <f>F782&amp;E782&amp;G782&amp;J782</f>
        <v/>
      </c>
    </row>
    <row r="783">
      <c r="B783" s="10" t="n">
        <v>44217</v>
      </c>
      <c r="C783" s="9">
        <f>TEXT(B783,"aaa")</f>
        <v/>
      </c>
      <c r="E783" s="9">
        <f>INDEX(매칭테이블!C:C,MATCH(RD!G783,매칭테이블!D:D,0))</f>
        <v/>
      </c>
      <c r="F783" s="9" t="inlineStr">
        <is>
          <t>카페24</t>
        </is>
      </c>
      <c r="G783" s="9" t="inlineStr">
        <is>
          <t>라베나 리커버리 15 헤어팩 트리트먼트 [HAIR RÉ:COVERY 15 Hairpack Treatment]제품선택=헤어팩 트리트먼트 1개 + 뉴트리셔스밤 1개 세트 5% 추가할인</t>
        </is>
      </c>
      <c r="H783" s="9" t="n">
        <v>3</v>
      </c>
      <c r="I783" s="9">
        <f>VLOOKUP(G783,매칭테이블!D:E,2,0)</f>
        <v/>
      </c>
      <c r="J783" s="9" t="n">
        <v>201210</v>
      </c>
      <c r="L783" s="9">
        <f>VLOOKUP($O783,매칭테이블!$G:$J,2,0)*H783</f>
        <v/>
      </c>
      <c r="M783" s="9">
        <f>L783-L783*VLOOKUP($O783,매칭테이블!$G:$J,3,0)</f>
        <v/>
      </c>
      <c r="N783" s="9">
        <f>VLOOKUP($O783,매칭테이블!$G:$J,4,0)*H783</f>
        <v/>
      </c>
      <c r="O783" s="9">
        <f>F783&amp;E783&amp;G783&amp;J783</f>
        <v/>
      </c>
    </row>
    <row r="784">
      <c r="B784" s="10" t="n">
        <v>44218</v>
      </c>
      <c r="C784" s="9">
        <f>TEXT(B784,"aaa")</f>
        <v/>
      </c>
      <c r="E784" s="9">
        <f>INDEX(매칭테이블!C:C,MATCH(RD!G784,매칭테이블!D:D,0))</f>
        <v/>
      </c>
      <c r="F784" s="9" t="inlineStr">
        <is>
          <t>카페24</t>
        </is>
      </c>
      <c r="G784" s="9" t="inlineStr">
        <is>
          <t>라베나 리커버리 15 뉴트리셔스 밤 [HAIR RÉ:COVERY 15 Nutritious Balm]제품선택=헤어 리커버리 15 뉴트리셔스 밤</t>
        </is>
      </c>
      <c r="H784" s="9" t="n">
        <v>8</v>
      </c>
      <c r="I784" s="9">
        <f>VLOOKUP(G784,매칭테이블!D:E,2,0)</f>
        <v/>
      </c>
      <c r="J784" s="9" t="n">
        <v>201210</v>
      </c>
      <c r="L784" s="9">
        <f>VLOOKUP($O784,매칭테이블!$G:$J,2,0)*H784</f>
        <v/>
      </c>
      <c r="M784" s="9">
        <f>L784-L784*VLOOKUP($O784,매칭테이블!$G:$J,3,0)</f>
        <v/>
      </c>
      <c r="N784" s="9">
        <f>VLOOKUP($O784,매칭테이블!$G:$J,4,0)*H784</f>
        <v/>
      </c>
      <c r="O784" s="9">
        <f>F784&amp;E784&amp;G784&amp;J784</f>
        <v/>
      </c>
    </row>
    <row r="785">
      <c r="B785" s="10" t="n">
        <v>44218</v>
      </c>
      <c r="C785" s="9">
        <f>TEXT(B785,"aaa")</f>
        <v/>
      </c>
      <c r="E785" s="9">
        <f>INDEX(매칭테이블!C:C,MATCH(RD!G785,매칭테이블!D:D,0))</f>
        <v/>
      </c>
      <c r="F785" s="9" t="inlineStr">
        <is>
          <t>카페24</t>
        </is>
      </c>
      <c r="G785" s="9" t="inlineStr">
        <is>
          <t>라베나 리커버리 15 뉴트리셔스 밤 [HAIR RÉ:COVERY 15 Nutritious Balm]제품선택=뉴트리셔스 밤 3개 세트 10% 추가할인</t>
        </is>
      </c>
      <c r="H785" s="9" t="n">
        <v>1</v>
      </c>
      <c r="I785" s="9">
        <f>VLOOKUP(G785,매칭테이블!D:E,2,0)</f>
        <v/>
      </c>
      <c r="J785" s="9" t="n">
        <v>201210</v>
      </c>
      <c r="L785" s="9">
        <f>VLOOKUP($O785,매칭테이블!$G:$J,2,0)*H785</f>
        <v/>
      </c>
      <c r="M785" s="9">
        <f>L785-L785*VLOOKUP($O785,매칭테이블!$G:$J,3,0)</f>
        <v/>
      </c>
      <c r="N785" s="9">
        <f>VLOOKUP($O785,매칭테이블!$G:$J,4,0)*H785</f>
        <v/>
      </c>
      <c r="O785" s="9">
        <f>F785&amp;E785&amp;G785&amp;J785</f>
        <v/>
      </c>
    </row>
    <row r="786">
      <c r="B786" s="10" t="n">
        <v>44218</v>
      </c>
      <c r="C786" s="9">
        <f>TEXT(B786,"aaa")</f>
        <v/>
      </c>
      <c r="E786" s="9">
        <f>INDEX(매칭테이블!C:C,MATCH(RD!G786,매칭테이블!D:D,0))</f>
        <v/>
      </c>
      <c r="F786" s="9" t="inlineStr">
        <is>
          <t>카페24</t>
        </is>
      </c>
      <c r="G786" s="9" t="inlineStr">
        <is>
          <t>라베나 리커버리 15 뉴트리셔스 밤 [HAIR RÉ:COVERY 15 Nutritious Balm]제품선택=뉴트리셔스밤 1개 + 헤어팩 트리트먼트 1개 세트 5%추가할인</t>
        </is>
      </c>
      <c r="H786" s="9" t="n">
        <v>4</v>
      </c>
      <c r="I786" s="9">
        <f>VLOOKUP(G786,매칭테이블!D:E,2,0)</f>
        <v/>
      </c>
      <c r="J786" s="9" t="n">
        <v>201210</v>
      </c>
      <c r="L786" s="9">
        <f>VLOOKUP($O786,매칭테이블!$G:$J,2,0)*H786</f>
        <v/>
      </c>
      <c r="M786" s="9">
        <f>L786-L786*VLOOKUP($O786,매칭테이블!$G:$J,3,0)</f>
        <v/>
      </c>
      <c r="N786" s="9">
        <f>VLOOKUP($O786,매칭테이블!$G:$J,4,0)*H786</f>
        <v/>
      </c>
      <c r="O786" s="9">
        <f>F786&amp;E786&amp;G786&amp;J786</f>
        <v/>
      </c>
    </row>
    <row r="787">
      <c r="B787" s="10" t="n">
        <v>44218</v>
      </c>
      <c r="C787" s="9">
        <f>TEXT(B787,"aaa")</f>
        <v/>
      </c>
      <c r="E787" s="9">
        <f>INDEX(매칭테이블!C:C,MATCH(RD!G787,매칭테이블!D:D,0))</f>
        <v/>
      </c>
      <c r="F787" s="9" t="inlineStr">
        <is>
          <t>카페24</t>
        </is>
      </c>
      <c r="G787" s="9" t="inlineStr">
        <is>
          <t>라베나 리커버리 15 리바이탈 샴푸 [HAIR RÉ:COVERY 15 Revital Shampoo]제품선택=헤어 리커버리 15 리바이탈 샴푸 - 500ml</t>
        </is>
      </c>
      <c r="H787" s="9" t="n">
        <v>143</v>
      </c>
      <c r="I787" s="9">
        <f>VLOOKUP(G787,매칭테이블!D:E,2,0)</f>
        <v/>
      </c>
      <c r="J787" s="9" t="n">
        <v>201210</v>
      </c>
      <c r="L787" s="9">
        <f>VLOOKUP($O787,매칭테이블!$G:$J,2,0)*H787</f>
        <v/>
      </c>
      <c r="M787" s="9">
        <f>L787-L787*VLOOKUP($O787,매칭테이블!$G:$J,3,0)</f>
        <v/>
      </c>
      <c r="N787" s="9">
        <f>VLOOKUP($O787,매칭테이블!$G:$J,4,0)*H787</f>
        <v/>
      </c>
      <c r="O787" s="9">
        <f>F787&amp;E787&amp;G787&amp;J787</f>
        <v/>
      </c>
    </row>
    <row r="788">
      <c r="B788" s="10" t="n">
        <v>44218</v>
      </c>
      <c r="C788" s="9">
        <f>TEXT(B788,"aaa")</f>
        <v/>
      </c>
      <c r="E788" s="9">
        <f>INDEX(매칭테이블!C:C,MATCH(RD!G788,매칭테이블!D:D,0))</f>
        <v/>
      </c>
      <c r="F788" s="9" t="inlineStr">
        <is>
          <t>카페24</t>
        </is>
      </c>
      <c r="G788" s="9" t="inlineStr">
        <is>
          <t>라베나 리커버리 15 리바이탈 샴푸 [HAIR RÉ:COVERY 15 Revital Shampoo]제품선택=리바이탈 샴푸 2개 세트 5%추가할인</t>
        </is>
      </c>
      <c r="H788" s="9" t="n">
        <v>50</v>
      </c>
      <c r="I788" s="9">
        <f>VLOOKUP(G788,매칭테이블!D:E,2,0)</f>
        <v/>
      </c>
      <c r="J788" s="9" t="n">
        <v>201210</v>
      </c>
      <c r="L788" s="9">
        <f>VLOOKUP($O788,매칭테이블!$G:$J,2,0)*H788</f>
        <v/>
      </c>
      <c r="M788" s="9">
        <f>L788-L788*VLOOKUP($O788,매칭테이블!$G:$J,3,0)</f>
        <v/>
      </c>
      <c r="N788" s="9">
        <f>VLOOKUP($O788,매칭테이블!$G:$J,4,0)*H788</f>
        <v/>
      </c>
      <c r="O788" s="9">
        <f>F788&amp;E788&amp;G788&amp;J788</f>
        <v/>
      </c>
    </row>
    <row r="789">
      <c r="B789" s="10" t="n">
        <v>44218</v>
      </c>
      <c r="C789" s="9">
        <f>TEXT(B789,"aaa")</f>
        <v/>
      </c>
      <c r="E789" s="9">
        <f>INDEX(매칭테이블!C:C,MATCH(RD!G789,매칭테이블!D:D,0))</f>
        <v/>
      </c>
      <c r="F789" s="9" t="inlineStr">
        <is>
          <t>카페24</t>
        </is>
      </c>
      <c r="G789" s="9" t="inlineStr">
        <is>
          <t>라베나 리커버리 15 리바이탈 샴푸 [HAIR RÉ:COVERY 15 Revital Shampoo]제품선택=리바이탈 샴푸 3개 세트 10% 추가할인</t>
        </is>
      </c>
      <c r="H789" s="9" t="n">
        <v>16</v>
      </c>
      <c r="I789" s="9">
        <f>VLOOKUP(G789,매칭테이블!D:E,2,0)</f>
        <v/>
      </c>
      <c r="J789" s="9" t="n">
        <v>201210</v>
      </c>
      <c r="L789" s="9">
        <f>VLOOKUP($O789,매칭테이블!$G:$J,2,0)*H789</f>
        <v/>
      </c>
      <c r="M789" s="9">
        <f>L789-L789*VLOOKUP($O789,매칭테이블!$G:$J,3,0)</f>
        <v/>
      </c>
      <c r="N789" s="9">
        <f>VLOOKUP($O789,매칭테이블!$G:$J,4,0)*H789</f>
        <v/>
      </c>
      <c r="O789" s="9">
        <f>F789&amp;E789&amp;G789&amp;J789</f>
        <v/>
      </c>
    </row>
    <row r="790">
      <c r="B790" s="10" t="n">
        <v>44218</v>
      </c>
      <c r="C790" s="9">
        <f>TEXT(B790,"aaa")</f>
        <v/>
      </c>
      <c r="E790" s="9">
        <f>INDEX(매칭테이블!C:C,MATCH(RD!G790,매칭테이블!D:D,0))</f>
        <v/>
      </c>
      <c r="F790" s="9" t="inlineStr">
        <is>
          <t>카페24</t>
        </is>
      </c>
      <c r="G790" s="9" t="inlineStr">
        <is>
          <t>라베나 리커버리 15 헤어팩 트리트먼트 [HAIR RÉ:COVERY 15 Hairpack Treatment]제품선택=헤어 리커버리 15 헤어팩 트리트먼트</t>
        </is>
      </c>
      <c r="H790" s="9" t="n">
        <v>9</v>
      </c>
      <c r="I790" s="9">
        <f>VLOOKUP(G790,매칭테이블!D:E,2,0)</f>
        <v/>
      </c>
      <c r="J790" s="9" t="n">
        <v>201210</v>
      </c>
      <c r="L790" s="9">
        <f>VLOOKUP($O790,매칭테이블!$G:$J,2,0)*H790</f>
        <v/>
      </c>
      <c r="M790" s="9">
        <f>L790-L790*VLOOKUP($O790,매칭테이블!$G:$J,3,0)</f>
        <v/>
      </c>
      <c r="N790" s="9">
        <f>VLOOKUP($O790,매칭테이블!$G:$J,4,0)*H790</f>
        <v/>
      </c>
      <c r="O790" s="9">
        <f>F790&amp;E790&amp;G790&amp;J790</f>
        <v/>
      </c>
    </row>
    <row r="791">
      <c r="B791" s="10" t="n">
        <v>44218</v>
      </c>
      <c r="C791" s="9">
        <f>TEXT(B791,"aaa")</f>
        <v/>
      </c>
      <c r="E791" s="9">
        <f>INDEX(매칭테이블!C:C,MATCH(RD!G791,매칭테이블!D:D,0))</f>
        <v/>
      </c>
      <c r="F791" s="9" t="inlineStr">
        <is>
          <t>카페24</t>
        </is>
      </c>
      <c r="G791" s="9" t="inlineStr">
        <is>
          <t>라베나 리커버리 15 헤어팩 트리트먼트 [HAIR RÉ:COVERY 15 Hairpack Treatment]제품선택=헤어팩 트리트먼트 2개 세트 5% 추가할인</t>
        </is>
      </c>
      <c r="H791" s="9" t="n">
        <v>3</v>
      </c>
      <c r="I791" s="9">
        <f>VLOOKUP(G791,매칭테이블!D:E,2,0)</f>
        <v/>
      </c>
      <c r="J791" s="9" t="n">
        <v>201210</v>
      </c>
      <c r="L791" s="9">
        <f>VLOOKUP($O791,매칭테이블!$G:$J,2,0)*H791</f>
        <v/>
      </c>
      <c r="M791" s="9">
        <f>L791-L791*VLOOKUP($O791,매칭테이블!$G:$J,3,0)</f>
        <v/>
      </c>
      <c r="N791" s="9">
        <f>VLOOKUP($O791,매칭테이블!$G:$J,4,0)*H791</f>
        <v/>
      </c>
      <c r="O791" s="9">
        <f>F791&amp;E791&amp;G791&amp;J791</f>
        <v/>
      </c>
    </row>
    <row r="792">
      <c r="B792" s="10" t="n">
        <v>44218</v>
      </c>
      <c r="C792" s="9">
        <f>TEXT(B792,"aaa")</f>
        <v/>
      </c>
      <c r="E792" s="9">
        <f>INDEX(매칭테이블!C:C,MATCH(RD!G792,매칭테이블!D:D,0))</f>
        <v/>
      </c>
      <c r="F792" s="9" t="inlineStr">
        <is>
          <t>카페24</t>
        </is>
      </c>
      <c r="G792" s="9" t="inlineStr">
        <is>
          <t>라베나 리커버리 15 헤어팩 트리트먼트 [HAIR RÉ:COVERY 15 Hairpack Treatment]제품선택=헤어팩 트리트먼트 3개 세트 10% 추가할인</t>
        </is>
      </c>
      <c r="H792" s="9" t="n">
        <v>1</v>
      </c>
      <c r="I792" s="9">
        <f>VLOOKUP(G792,매칭테이블!D:E,2,0)</f>
        <v/>
      </c>
      <c r="J792" s="9" t="n">
        <v>201210</v>
      </c>
      <c r="L792" s="9">
        <f>VLOOKUP($O792,매칭테이블!$G:$J,2,0)*H792</f>
        <v/>
      </c>
      <c r="M792" s="9">
        <f>L792-L792*VLOOKUP($O792,매칭테이블!$G:$J,3,0)</f>
        <v/>
      </c>
      <c r="N792" s="9">
        <f>VLOOKUP($O792,매칭테이블!$G:$J,4,0)*H792</f>
        <v/>
      </c>
      <c r="O792" s="9">
        <f>F792&amp;E792&amp;G792&amp;J792</f>
        <v/>
      </c>
    </row>
    <row r="793">
      <c r="B793" s="10" t="n">
        <v>44218</v>
      </c>
      <c r="C793" s="9">
        <f>TEXT(B793,"aaa")</f>
        <v/>
      </c>
      <c r="E793" s="9">
        <f>INDEX(매칭테이블!C:C,MATCH(RD!G793,매칭테이블!D:D,0))</f>
        <v/>
      </c>
      <c r="F793" s="9" t="inlineStr">
        <is>
          <t>카페24</t>
        </is>
      </c>
      <c r="G793" s="9" t="inlineStr">
        <is>
          <t>라베나 리커버리 15 헤어팩 트리트먼트 [HAIR RÉ:COVERY 15 Hairpack Treatment]제품선택=헤어팩 트리트먼트 1개 + 뉴트리셔스밤 1개 세트 5% 추가할인</t>
        </is>
      </c>
      <c r="H793" s="9" t="n">
        <v>1</v>
      </c>
      <c r="I793" s="9">
        <f>VLOOKUP(G793,매칭테이블!D:E,2,0)</f>
        <v/>
      </c>
      <c r="J793" s="9" t="n">
        <v>201210</v>
      </c>
      <c r="L793" s="9">
        <f>VLOOKUP($O793,매칭테이블!$G:$J,2,0)*H793</f>
        <v/>
      </c>
      <c r="M793" s="9">
        <f>L793-L793*VLOOKUP($O793,매칭테이블!$G:$J,3,0)</f>
        <v/>
      </c>
      <c r="N793" s="9">
        <f>VLOOKUP($O793,매칭테이블!$G:$J,4,0)*H793</f>
        <v/>
      </c>
      <c r="O793" s="9">
        <f>F793&amp;E793&amp;G793&amp;J793</f>
        <v/>
      </c>
    </row>
    <row r="794">
      <c r="B794" s="10" t="n">
        <v>44219</v>
      </c>
      <c r="C794" s="9">
        <f>TEXT(B794,"aaa")</f>
        <v/>
      </c>
      <c r="E794" s="9">
        <f>INDEX(매칭테이블!C:C,MATCH(RD!G794,매칭테이블!D:D,0))</f>
        <v/>
      </c>
      <c r="F794" s="9" t="inlineStr">
        <is>
          <t>카페24</t>
        </is>
      </c>
      <c r="G794" s="9" t="inlineStr">
        <is>
          <t>라베나 리커버리 15 뉴트리셔스 밤 [HAIR RÉ:COVERY 15 Nutritious Balm]제품선택=헤어 리커버리 15 뉴트리셔스 밤</t>
        </is>
      </c>
      <c r="H794" s="9" t="n">
        <v>3</v>
      </c>
      <c r="I794" s="9">
        <f>VLOOKUP(G794,매칭테이블!D:E,2,0)</f>
        <v/>
      </c>
      <c r="J794" s="9" t="n">
        <v>201210</v>
      </c>
      <c r="L794" s="9">
        <f>VLOOKUP($O794,매칭테이블!$G:$J,2,0)*H794</f>
        <v/>
      </c>
      <c r="M794" s="9">
        <f>L794-L794*VLOOKUP($O794,매칭테이블!$G:$J,3,0)</f>
        <v/>
      </c>
      <c r="N794" s="9">
        <f>VLOOKUP($O794,매칭테이블!$G:$J,4,0)*H794</f>
        <v/>
      </c>
      <c r="O794" s="9">
        <f>F794&amp;E794&amp;G794&amp;J794</f>
        <v/>
      </c>
    </row>
    <row r="795">
      <c r="B795" s="10" t="n">
        <v>44219</v>
      </c>
      <c r="C795" s="9">
        <f>TEXT(B795,"aaa")</f>
        <v/>
      </c>
      <c r="E795" s="9">
        <f>INDEX(매칭테이블!C:C,MATCH(RD!G795,매칭테이블!D:D,0))</f>
        <v/>
      </c>
      <c r="F795" s="9" t="inlineStr">
        <is>
          <t>카페24</t>
        </is>
      </c>
      <c r="G795" s="9" t="inlineStr">
        <is>
          <t>라베나 리커버리 15 뉴트리셔스 밤 [HAIR RÉ:COVERY 15 Nutritious Balm]제품선택=뉴트리셔스밤 1개 + 헤어팩 트리트먼트 1개 세트 5%추가할인</t>
        </is>
      </c>
      <c r="H795" s="9" t="n">
        <v>1</v>
      </c>
      <c r="I795" s="9">
        <f>VLOOKUP(G795,매칭테이블!D:E,2,0)</f>
        <v/>
      </c>
      <c r="J795" s="9" t="n">
        <v>201210</v>
      </c>
      <c r="L795" s="9">
        <f>VLOOKUP($O795,매칭테이블!$G:$J,2,0)*H795</f>
        <v/>
      </c>
      <c r="M795" s="9">
        <f>L795-L795*VLOOKUP($O795,매칭테이블!$G:$J,3,0)</f>
        <v/>
      </c>
      <c r="N795" s="9">
        <f>VLOOKUP($O795,매칭테이블!$G:$J,4,0)*H795</f>
        <v/>
      </c>
      <c r="O795" s="9">
        <f>F795&amp;E795&amp;G795&amp;J795</f>
        <v/>
      </c>
    </row>
    <row r="796">
      <c r="B796" s="10" t="n">
        <v>44219</v>
      </c>
      <c r="C796" s="9">
        <f>TEXT(B796,"aaa")</f>
        <v/>
      </c>
      <c r="E796" s="9">
        <f>INDEX(매칭테이블!C:C,MATCH(RD!G796,매칭테이블!D:D,0))</f>
        <v/>
      </c>
      <c r="F796" s="9" t="inlineStr">
        <is>
          <t>카페24</t>
        </is>
      </c>
      <c r="G796" s="9" t="inlineStr">
        <is>
          <t>라베나 리커버리 15 리바이탈 샴푸 [HAIR RÉ:COVERY 15 Revital Shampoo]제품선택=헤어 리커버리 15 리바이탈 샴푸 - 500ml</t>
        </is>
      </c>
      <c r="H796" s="9" t="n">
        <v>141</v>
      </c>
      <c r="I796" s="9">
        <f>VLOOKUP(G796,매칭테이블!D:E,2,0)</f>
        <v/>
      </c>
      <c r="J796" s="9" t="n">
        <v>201210</v>
      </c>
      <c r="L796" s="9">
        <f>VLOOKUP($O796,매칭테이블!$G:$J,2,0)*H796</f>
        <v/>
      </c>
      <c r="M796" s="9">
        <f>L796-L796*VLOOKUP($O796,매칭테이블!$G:$J,3,0)</f>
        <v/>
      </c>
      <c r="N796" s="9">
        <f>VLOOKUP($O796,매칭테이블!$G:$J,4,0)*H796</f>
        <v/>
      </c>
      <c r="O796" s="9">
        <f>F796&amp;E796&amp;G796&amp;J796</f>
        <v/>
      </c>
    </row>
    <row r="797">
      <c r="B797" s="10" t="n">
        <v>44219</v>
      </c>
      <c r="C797" s="9">
        <f>TEXT(B797,"aaa")</f>
        <v/>
      </c>
      <c r="E797" s="9">
        <f>INDEX(매칭테이블!C:C,MATCH(RD!G797,매칭테이블!D:D,0))</f>
        <v/>
      </c>
      <c r="F797" s="9" t="inlineStr">
        <is>
          <t>카페24</t>
        </is>
      </c>
      <c r="G797" s="9" t="inlineStr">
        <is>
          <t>라베나 리커버리 15 리바이탈 샴푸 [HAIR RÉ:COVERY 15 Revital Shampoo]제품선택=리바이탈 샴푸 2개 세트 5%추가할인</t>
        </is>
      </c>
      <c r="H797" s="9" t="n">
        <v>47</v>
      </c>
      <c r="I797" s="9">
        <f>VLOOKUP(G797,매칭테이블!D:E,2,0)</f>
        <v/>
      </c>
      <c r="J797" s="9" t="n">
        <v>201210</v>
      </c>
      <c r="L797" s="9">
        <f>VLOOKUP($O797,매칭테이블!$G:$J,2,0)*H797</f>
        <v/>
      </c>
      <c r="M797" s="9">
        <f>L797-L797*VLOOKUP($O797,매칭테이블!$G:$J,3,0)</f>
        <v/>
      </c>
      <c r="N797" s="9">
        <f>VLOOKUP($O797,매칭테이블!$G:$J,4,0)*H797</f>
        <v/>
      </c>
      <c r="O797" s="9">
        <f>F797&amp;E797&amp;G797&amp;J797</f>
        <v/>
      </c>
    </row>
    <row r="798">
      <c r="B798" s="10" t="n">
        <v>44219</v>
      </c>
      <c r="C798" s="9">
        <f>TEXT(B798,"aaa")</f>
        <v/>
      </c>
      <c r="E798" s="9">
        <f>INDEX(매칭테이블!C:C,MATCH(RD!G798,매칭테이블!D:D,0))</f>
        <v/>
      </c>
      <c r="F798" s="9" t="inlineStr">
        <is>
          <t>카페24</t>
        </is>
      </c>
      <c r="G798" s="9" t="inlineStr">
        <is>
          <t>라베나 리커버리 15 리바이탈 샴푸 [HAIR RÉ:COVERY 15 Revital Shampoo]제품선택=리바이탈 샴푸 3개 세트 10% 추가할인</t>
        </is>
      </c>
      <c r="H798" s="9" t="n">
        <v>19</v>
      </c>
      <c r="I798" s="9">
        <f>VLOOKUP(G798,매칭테이블!D:E,2,0)</f>
        <v/>
      </c>
      <c r="J798" s="9" t="n">
        <v>201210</v>
      </c>
      <c r="L798" s="9">
        <f>VLOOKUP($O798,매칭테이블!$G:$J,2,0)*H798</f>
        <v/>
      </c>
      <c r="M798" s="9">
        <f>L798-L798*VLOOKUP($O798,매칭테이블!$G:$J,3,0)</f>
        <v/>
      </c>
      <c r="N798" s="9">
        <f>VLOOKUP($O798,매칭테이블!$G:$J,4,0)*H798</f>
        <v/>
      </c>
      <c r="O798" s="9">
        <f>F798&amp;E798&amp;G798&amp;J798</f>
        <v/>
      </c>
    </row>
    <row r="799">
      <c r="B799" s="10" t="n">
        <v>44219</v>
      </c>
      <c r="C799" s="9">
        <f>TEXT(B799,"aaa")</f>
        <v/>
      </c>
      <c r="E799" s="9">
        <f>INDEX(매칭테이블!C:C,MATCH(RD!G799,매칭테이블!D:D,0))</f>
        <v/>
      </c>
      <c r="F799" s="9" t="inlineStr">
        <is>
          <t>카페24</t>
        </is>
      </c>
      <c r="G799" s="9" t="inlineStr">
        <is>
          <t>라베나 리커버리 15 헤어팩 트리트먼트 [HAIR RÉ:COVERY 15 Hairpack Treatment]제품선택=헤어 리커버리 15 헤어팩 트리트먼트</t>
        </is>
      </c>
      <c r="H799" s="9" t="n">
        <v>8</v>
      </c>
      <c r="I799" s="9">
        <f>VLOOKUP(G799,매칭테이블!D:E,2,0)</f>
        <v/>
      </c>
      <c r="J799" s="9" t="n">
        <v>201210</v>
      </c>
      <c r="L799" s="9">
        <f>VLOOKUP($O799,매칭테이블!$G:$J,2,0)*H799</f>
        <v/>
      </c>
      <c r="M799" s="9">
        <f>L799-L799*VLOOKUP($O799,매칭테이블!$G:$J,3,0)</f>
        <v/>
      </c>
      <c r="N799" s="9">
        <f>VLOOKUP($O799,매칭테이블!$G:$J,4,0)*H799</f>
        <v/>
      </c>
      <c r="O799" s="9">
        <f>F799&amp;E799&amp;G799&amp;J799</f>
        <v/>
      </c>
    </row>
    <row r="800">
      <c r="B800" s="10" t="n">
        <v>44219</v>
      </c>
      <c r="C800" s="9">
        <f>TEXT(B800,"aaa")</f>
        <v/>
      </c>
      <c r="E800" s="9">
        <f>INDEX(매칭테이블!C:C,MATCH(RD!G800,매칭테이블!D:D,0))</f>
        <v/>
      </c>
      <c r="F800" s="9" t="inlineStr">
        <is>
          <t>카페24</t>
        </is>
      </c>
      <c r="G800" s="9" t="inlineStr">
        <is>
          <t>라베나 리커버리 15 헤어팩 트리트먼트 [HAIR RÉ:COVERY 15 Hairpack Treatment]제품선택=헤어팩 트리트먼트 3개 세트 10% 추가할인</t>
        </is>
      </c>
      <c r="H800" s="9" t="n">
        <v>2</v>
      </c>
      <c r="I800" s="9">
        <f>VLOOKUP(G800,매칭테이블!D:E,2,0)</f>
        <v/>
      </c>
      <c r="J800" s="9" t="n">
        <v>201210</v>
      </c>
      <c r="L800" s="9">
        <f>VLOOKUP($O800,매칭테이블!$G:$J,2,0)*H800</f>
        <v/>
      </c>
      <c r="M800" s="9">
        <f>L800-L800*VLOOKUP($O800,매칭테이블!$G:$J,3,0)</f>
        <v/>
      </c>
      <c r="N800" s="9">
        <f>VLOOKUP($O800,매칭테이블!$G:$J,4,0)*H800</f>
        <v/>
      </c>
      <c r="O800" s="9">
        <f>F800&amp;E800&amp;G800&amp;J800</f>
        <v/>
      </c>
    </row>
    <row r="801">
      <c r="B801" s="10" t="n">
        <v>44219</v>
      </c>
      <c r="C801" s="9">
        <f>TEXT(B801,"aaa")</f>
        <v/>
      </c>
      <c r="E801" s="9">
        <f>INDEX(매칭테이블!C:C,MATCH(RD!G801,매칭테이블!D:D,0))</f>
        <v/>
      </c>
      <c r="F801" s="9" t="inlineStr">
        <is>
          <t>카페24</t>
        </is>
      </c>
      <c r="G801" s="9" t="inlineStr">
        <is>
          <t>라베나 리커버리 15 헤어팩 트리트먼트 [HAIR RÉ:COVERY 15 Hairpack Treatment]제품선택=헤어팩 트리트먼트 1개 + 뉴트리셔스밤 1개 세트 5% 추가할인</t>
        </is>
      </c>
      <c r="H801" s="9" t="n">
        <v>3</v>
      </c>
      <c r="I801" s="9">
        <f>VLOOKUP(G801,매칭테이블!D:E,2,0)</f>
        <v/>
      </c>
      <c r="J801" s="9" t="n">
        <v>201210</v>
      </c>
      <c r="L801" s="9">
        <f>VLOOKUP($O801,매칭테이블!$G:$J,2,0)*H801</f>
        <v/>
      </c>
      <c r="M801" s="9">
        <f>L801-L801*VLOOKUP($O801,매칭테이블!$G:$J,3,0)</f>
        <v/>
      </c>
      <c r="N801" s="9">
        <f>VLOOKUP($O801,매칭테이블!$G:$J,4,0)*H801</f>
        <v/>
      </c>
      <c r="O801" s="9">
        <f>F801&amp;E801&amp;G801&amp;J801</f>
        <v/>
      </c>
    </row>
    <row r="802">
      <c r="B802" s="10" t="n">
        <v>44220</v>
      </c>
      <c r="C802" s="9">
        <f>TEXT(B802,"aaa")</f>
        <v/>
      </c>
      <c r="E802" s="9">
        <f>INDEX(매칭테이블!C:C,MATCH(RD!G802,매칭테이블!D:D,0))</f>
        <v/>
      </c>
      <c r="F802" s="9" t="inlineStr">
        <is>
          <t>카페24</t>
        </is>
      </c>
      <c r="G802" s="9" t="inlineStr">
        <is>
          <t>라베나 리커버리 15 뉴트리셔스 밤 [HAIR RÉ:COVERY 15 Nutritious Balm]제품선택=헤어 리커버리 15 뉴트리셔스 밤</t>
        </is>
      </c>
      <c r="H802" s="9" t="n">
        <v>12</v>
      </c>
      <c r="I802" s="9">
        <f>VLOOKUP(G802,매칭테이블!D:E,2,0)</f>
        <v/>
      </c>
      <c r="J802" s="9" t="n">
        <v>201210</v>
      </c>
      <c r="L802" s="9">
        <f>VLOOKUP($O802,매칭테이블!$G:$J,2,0)*H802</f>
        <v/>
      </c>
      <c r="M802" s="9">
        <f>L802-L802*VLOOKUP($O802,매칭테이블!$G:$J,3,0)</f>
        <v/>
      </c>
      <c r="N802" s="9">
        <f>VLOOKUP($O802,매칭테이블!$G:$J,4,0)*H802</f>
        <v/>
      </c>
      <c r="O802" s="9">
        <f>F802&amp;E802&amp;G802&amp;J802</f>
        <v/>
      </c>
    </row>
    <row r="803">
      <c r="B803" s="10" t="n">
        <v>44220</v>
      </c>
      <c r="C803" s="9">
        <f>TEXT(B803,"aaa")</f>
        <v/>
      </c>
      <c r="E803" s="9">
        <f>INDEX(매칭테이블!C:C,MATCH(RD!G803,매칭테이블!D:D,0))</f>
        <v/>
      </c>
      <c r="F803" s="9" t="inlineStr">
        <is>
          <t>카페24</t>
        </is>
      </c>
      <c r="G803" s="9" t="inlineStr">
        <is>
          <t>라베나 리커버리 15 뉴트리셔스 밤 [HAIR RÉ:COVERY 15 Nutritious Balm]제품선택=뉴트리셔스 밤 2개 세트 5% 추가할인</t>
        </is>
      </c>
      <c r="H803" s="9" t="n">
        <v>1</v>
      </c>
      <c r="I803" s="9">
        <f>VLOOKUP(G803,매칭테이블!D:E,2,0)</f>
        <v/>
      </c>
      <c r="J803" s="9" t="n">
        <v>201210</v>
      </c>
      <c r="L803" s="9">
        <f>VLOOKUP($O803,매칭테이블!$G:$J,2,0)*H803</f>
        <v/>
      </c>
      <c r="M803" s="9">
        <f>L803-L803*VLOOKUP($O803,매칭테이블!$G:$J,3,0)</f>
        <v/>
      </c>
      <c r="N803" s="9">
        <f>VLOOKUP($O803,매칭테이블!$G:$J,4,0)*H803</f>
        <v/>
      </c>
      <c r="O803" s="9">
        <f>F803&amp;E803&amp;G803&amp;J803</f>
        <v/>
      </c>
    </row>
    <row r="804">
      <c r="B804" s="10" t="n">
        <v>44220</v>
      </c>
      <c r="C804" s="9">
        <f>TEXT(B804,"aaa")</f>
        <v/>
      </c>
      <c r="E804" s="9">
        <f>INDEX(매칭테이블!C:C,MATCH(RD!G804,매칭테이블!D:D,0))</f>
        <v/>
      </c>
      <c r="F804" s="9" t="inlineStr">
        <is>
          <t>카페24</t>
        </is>
      </c>
      <c r="G804" s="9" t="inlineStr">
        <is>
          <t>라베나 리커버리 15 뉴트리셔스 밤 [HAIR RÉ:COVERY 15 Nutritious Balm]제품선택=뉴트리셔스밤 1개 + 헤어팩 트리트먼트 1개 세트 5%추가할인</t>
        </is>
      </c>
      <c r="H804" s="9" t="n">
        <v>3</v>
      </c>
      <c r="I804" s="9">
        <f>VLOOKUP(G804,매칭테이블!D:E,2,0)</f>
        <v/>
      </c>
      <c r="J804" s="9" t="n">
        <v>201210</v>
      </c>
      <c r="L804" s="9">
        <f>VLOOKUP($O804,매칭테이블!$G:$J,2,0)*H804</f>
        <v/>
      </c>
      <c r="M804" s="9">
        <f>L804-L804*VLOOKUP($O804,매칭테이블!$G:$J,3,0)</f>
        <v/>
      </c>
      <c r="N804" s="9">
        <f>VLOOKUP($O804,매칭테이블!$G:$J,4,0)*H804</f>
        <v/>
      </c>
      <c r="O804" s="9">
        <f>F804&amp;E804&amp;G804&amp;J804</f>
        <v/>
      </c>
    </row>
    <row r="805">
      <c r="B805" s="10" t="n">
        <v>44220</v>
      </c>
      <c r="C805" s="9">
        <f>TEXT(B805,"aaa")</f>
        <v/>
      </c>
      <c r="E805" s="9">
        <f>INDEX(매칭테이블!C:C,MATCH(RD!G805,매칭테이블!D:D,0))</f>
        <v/>
      </c>
      <c r="F805" s="9" t="inlineStr">
        <is>
          <t>카페24</t>
        </is>
      </c>
      <c r="G805" s="9" t="inlineStr">
        <is>
          <t>라베나 리커버리 15 리바이탈 샴푸 [HAIR RÉ:COVERY 15 Revital Shampoo]제품선택=헤어 리커버리 15 리바이탈 샴푸 - 500ml</t>
        </is>
      </c>
      <c r="H805" s="9" t="n">
        <v>176</v>
      </c>
      <c r="I805" s="9">
        <f>VLOOKUP(G805,매칭테이블!D:E,2,0)</f>
        <v/>
      </c>
      <c r="J805" s="9" t="n">
        <v>201210</v>
      </c>
      <c r="L805" s="9">
        <f>VLOOKUP($O805,매칭테이블!$G:$J,2,0)*H805</f>
        <v/>
      </c>
      <c r="M805" s="9">
        <f>L805-L805*VLOOKUP($O805,매칭테이블!$G:$J,3,0)</f>
        <v/>
      </c>
      <c r="N805" s="9">
        <f>VLOOKUP($O805,매칭테이블!$G:$J,4,0)*H805</f>
        <v/>
      </c>
      <c r="O805" s="9">
        <f>F805&amp;E805&amp;G805&amp;J805</f>
        <v/>
      </c>
    </row>
    <row r="806">
      <c r="B806" s="10" t="n">
        <v>44220</v>
      </c>
      <c r="C806" s="9">
        <f>TEXT(B806,"aaa")</f>
        <v/>
      </c>
      <c r="E806" s="9">
        <f>INDEX(매칭테이블!C:C,MATCH(RD!G806,매칭테이블!D:D,0))</f>
        <v/>
      </c>
      <c r="F806" s="9" t="inlineStr">
        <is>
          <t>카페24</t>
        </is>
      </c>
      <c r="G806" s="9" t="inlineStr">
        <is>
          <t>라베나 리커버리 15 리바이탈 샴푸 [HAIR RÉ:COVERY 15 Revital Shampoo]제품선택=리바이탈 샴푸 2개 세트 5%추가할인</t>
        </is>
      </c>
      <c r="H806" s="9" t="n">
        <v>50</v>
      </c>
      <c r="I806" s="9">
        <f>VLOOKUP(G806,매칭테이블!D:E,2,0)</f>
        <v/>
      </c>
      <c r="J806" s="9" t="n">
        <v>201210</v>
      </c>
      <c r="L806" s="9">
        <f>VLOOKUP($O806,매칭테이블!$G:$J,2,0)*H806</f>
        <v/>
      </c>
      <c r="M806" s="9">
        <f>L806-L806*VLOOKUP($O806,매칭테이블!$G:$J,3,0)</f>
        <v/>
      </c>
      <c r="N806" s="9">
        <f>VLOOKUP($O806,매칭테이블!$G:$J,4,0)*H806</f>
        <v/>
      </c>
      <c r="O806" s="9">
        <f>F806&amp;E806&amp;G806&amp;J806</f>
        <v/>
      </c>
    </row>
    <row r="807">
      <c r="B807" s="10" t="n">
        <v>44220</v>
      </c>
      <c r="C807" s="9">
        <f>TEXT(B807,"aaa")</f>
        <v/>
      </c>
      <c r="E807" s="9">
        <f>INDEX(매칭테이블!C:C,MATCH(RD!G807,매칭테이블!D:D,0))</f>
        <v/>
      </c>
      <c r="F807" s="9" t="inlineStr">
        <is>
          <t>카페24</t>
        </is>
      </c>
      <c r="G807" s="9" t="inlineStr">
        <is>
          <t>라베나 리커버리 15 리바이탈 샴푸 [HAIR RÉ:COVERY 15 Revital Shampoo]제품선택=리바이탈 샴푸 3개 세트 10% 추가할인</t>
        </is>
      </c>
      <c r="H807" s="9" t="n">
        <v>13</v>
      </c>
      <c r="I807" s="9">
        <f>VLOOKUP(G807,매칭테이블!D:E,2,0)</f>
        <v/>
      </c>
      <c r="J807" s="9" t="n">
        <v>201210</v>
      </c>
      <c r="L807" s="9">
        <f>VLOOKUP($O807,매칭테이블!$G:$J,2,0)*H807</f>
        <v/>
      </c>
      <c r="M807" s="9">
        <f>L807-L807*VLOOKUP($O807,매칭테이블!$G:$J,3,0)</f>
        <v/>
      </c>
      <c r="N807" s="9">
        <f>VLOOKUP($O807,매칭테이블!$G:$J,4,0)*H807</f>
        <v/>
      </c>
      <c r="O807" s="9">
        <f>F807&amp;E807&amp;G807&amp;J807</f>
        <v/>
      </c>
    </row>
    <row r="808">
      <c r="B808" s="10" t="n">
        <v>44220</v>
      </c>
      <c r="C808" s="9">
        <f>TEXT(B808,"aaa")</f>
        <v/>
      </c>
      <c r="E808" s="9">
        <f>INDEX(매칭테이블!C:C,MATCH(RD!G808,매칭테이블!D:D,0))</f>
        <v/>
      </c>
      <c r="F808" s="9" t="inlineStr">
        <is>
          <t>카페24</t>
        </is>
      </c>
      <c r="G808" s="9" t="inlineStr">
        <is>
          <t>라베나 리커버리 15 헤어팩 트리트먼트 [HAIR RÉ:COVERY 15 Hairpack Treatment]제품선택=헤어 리커버리 15 헤어팩 트리트먼트</t>
        </is>
      </c>
      <c r="H808" s="9" t="n">
        <v>10</v>
      </c>
      <c r="I808" s="9">
        <f>VLOOKUP(G808,매칭테이블!D:E,2,0)</f>
        <v/>
      </c>
      <c r="J808" s="9" t="n">
        <v>201210</v>
      </c>
      <c r="L808" s="9">
        <f>VLOOKUP($O808,매칭테이블!$G:$J,2,0)*H808</f>
        <v/>
      </c>
      <c r="M808" s="9">
        <f>L808-L808*VLOOKUP($O808,매칭테이블!$G:$J,3,0)</f>
        <v/>
      </c>
      <c r="N808" s="9">
        <f>VLOOKUP($O808,매칭테이블!$G:$J,4,0)*H808</f>
        <v/>
      </c>
      <c r="O808" s="9">
        <f>F808&amp;E808&amp;G808&amp;J808</f>
        <v/>
      </c>
    </row>
    <row r="809">
      <c r="B809" s="10" t="n">
        <v>44220</v>
      </c>
      <c r="C809" s="9">
        <f>TEXT(B809,"aaa")</f>
        <v/>
      </c>
      <c r="E809" s="9">
        <f>INDEX(매칭테이블!C:C,MATCH(RD!G809,매칭테이블!D:D,0))</f>
        <v/>
      </c>
      <c r="F809" s="9" t="inlineStr">
        <is>
          <t>카페24</t>
        </is>
      </c>
      <c r="G809" s="9" t="inlineStr">
        <is>
          <t>라베나 리커버리 15 헤어팩 트리트먼트 [HAIR RÉ:COVERY 15 Hairpack Treatment]제품선택=헤어팩 트리트먼트 2개 세트 5% 추가할인</t>
        </is>
      </c>
      <c r="H809" s="9" t="n">
        <v>1</v>
      </c>
      <c r="I809" s="9">
        <f>VLOOKUP(G809,매칭테이블!D:E,2,0)</f>
        <v/>
      </c>
      <c r="J809" s="9" t="n">
        <v>201210</v>
      </c>
      <c r="L809" s="9">
        <f>VLOOKUP($O809,매칭테이블!$G:$J,2,0)*H809</f>
        <v/>
      </c>
      <c r="M809" s="9">
        <f>L809-L809*VLOOKUP($O809,매칭테이블!$G:$J,3,0)</f>
        <v/>
      </c>
      <c r="N809" s="9">
        <f>VLOOKUP($O809,매칭테이블!$G:$J,4,0)*H809</f>
        <v/>
      </c>
      <c r="O809" s="9">
        <f>F809&amp;E809&amp;G809&amp;J809</f>
        <v/>
      </c>
    </row>
    <row r="810">
      <c r="B810" s="10" t="n">
        <v>44220</v>
      </c>
      <c r="C810" s="9">
        <f>TEXT(B810,"aaa")</f>
        <v/>
      </c>
      <c r="E810" s="9">
        <f>INDEX(매칭테이블!C:C,MATCH(RD!G810,매칭테이블!D:D,0))</f>
        <v/>
      </c>
      <c r="F810" s="9" t="inlineStr">
        <is>
          <t>카페24</t>
        </is>
      </c>
      <c r="G810" s="9" t="inlineStr">
        <is>
          <t>라베나 리커버리 15 헤어팩 트리트먼트 [HAIR RÉ:COVERY 15 Hairpack Treatment]제품선택=헤어팩 트리트먼트 3개 세트 10% 추가할인</t>
        </is>
      </c>
      <c r="H810" s="9" t="n">
        <v>1</v>
      </c>
      <c r="I810" s="9">
        <f>VLOOKUP(G810,매칭테이블!D:E,2,0)</f>
        <v/>
      </c>
      <c r="J810" s="9" t="n">
        <v>201210</v>
      </c>
      <c r="L810" s="9">
        <f>VLOOKUP($O810,매칭테이블!$G:$J,2,0)*H810</f>
        <v/>
      </c>
      <c r="M810" s="9">
        <f>L810-L810*VLOOKUP($O810,매칭테이블!$G:$J,3,0)</f>
        <v/>
      </c>
      <c r="N810" s="9">
        <f>VLOOKUP($O810,매칭테이블!$G:$J,4,0)*H810</f>
        <v/>
      </c>
      <c r="O810" s="9">
        <f>F810&amp;E810&amp;G810&amp;J810</f>
        <v/>
      </c>
    </row>
    <row r="811">
      <c r="B811" s="10" t="n">
        <v>44221</v>
      </c>
      <c r="C811" s="9">
        <f>TEXT(B811,"aaa")</f>
        <v/>
      </c>
      <c r="E811" s="9">
        <f>INDEX(매칭테이블!C:C,MATCH(RD!G811,매칭테이블!D:D,0))</f>
        <v/>
      </c>
      <c r="F811" s="9" t="inlineStr">
        <is>
          <t>카페24</t>
        </is>
      </c>
      <c r="G811" s="9" t="inlineStr">
        <is>
          <t>라베나 리커버리 15 뉴트리셔스 밤 [HAIR R?:COVERY 15 Nutritious Balm]제품선택=헤어 리커버리 15 뉴트리셔스 밤</t>
        </is>
      </c>
      <c r="H811" s="9" t="n">
        <v>5</v>
      </c>
      <c r="I811" s="9">
        <f>VLOOKUP(G811,매칭테이블!D:E,2,0)</f>
        <v/>
      </c>
      <c r="J811" s="9" t="n">
        <v>201210</v>
      </c>
      <c r="L811" s="9">
        <f>VLOOKUP($O811,매칭테이블!$G:$J,2,0)*H811</f>
        <v/>
      </c>
      <c r="M811" s="9">
        <f>L811-L811*VLOOKUP($O811,매칭테이블!$G:$J,3,0)</f>
        <v/>
      </c>
      <c r="N811" s="9">
        <f>VLOOKUP($O811,매칭테이블!$G:$J,4,0)*H811</f>
        <v/>
      </c>
      <c r="O811" s="9">
        <f>F811&amp;E811&amp;G811&amp;J811</f>
        <v/>
      </c>
    </row>
    <row r="812">
      <c r="B812" s="10" t="n">
        <v>44221</v>
      </c>
      <c r="C812" s="9">
        <f>TEXT(B812,"aaa")</f>
        <v/>
      </c>
      <c r="E812" s="9">
        <f>INDEX(매칭테이블!C:C,MATCH(RD!G812,매칭테이블!D:D,0))</f>
        <v/>
      </c>
      <c r="F812" s="9" t="inlineStr">
        <is>
          <t>카페24</t>
        </is>
      </c>
      <c r="G812" s="9" t="inlineStr">
        <is>
          <t>라베나 리커버리 15 뉴트리셔스 밤 [HAIR R?:COVERY 15 Nutritious Balm]제품선택=뉴트리셔스 밤 2개 세트 5% 추가할인</t>
        </is>
      </c>
      <c r="H812" s="9" t="n">
        <v>2</v>
      </c>
      <c r="I812" s="9">
        <f>VLOOKUP(G812,매칭테이블!D:E,2,0)</f>
        <v/>
      </c>
      <c r="J812" s="9" t="n">
        <v>201210</v>
      </c>
      <c r="L812" s="9">
        <f>VLOOKUP($O812,매칭테이블!$G:$J,2,0)*H812</f>
        <v/>
      </c>
      <c r="M812" s="9">
        <f>L812-L812*VLOOKUP($O812,매칭테이블!$G:$J,3,0)</f>
        <v/>
      </c>
      <c r="N812" s="9">
        <f>VLOOKUP($O812,매칭테이블!$G:$J,4,0)*H812</f>
        <v/>
      </c>
      <c r="O812" s="9">
        <f>F812&amp;E812&amp;G812&amp;J812</f>
        <v/>
      </c>
    </row>
    <row r="813">
      <c r="B813" s="10" t="n">
        <v>44221</v>
      </c>
      <c r="C813" s="9">
        <f>TEXT(B813,"aaa")</f>
        <v/>
      </c>
      <c r="E813" s="9">
        <f>INDEX(매칭테이블!C:C,MATCH(RD!G813,매칭테이블!D:D,0))</f>
        <v/>
      </c>
      <c r="F813" s="9" t="inlineStr">
        <is>
          <t>카페24</t>
        </is>
      </c>
      <c r="G813" s="9" t="inlineStr">
        <is>
          <t>라베나 리커버리 15 뉴트리셔스 밤 [HAIR R?:COVERY 15 Nutritious Balm]제품선택=뉴트리셔스밤 1개 + 헤어팩 트리트먼트 1개 세트 5%추가할인</t>
        </is>
      </c>
      <c r="H813" s="9" t="n">
        <v>2</v>
      </c>
      <c r="I813" s="9">
        <f>VLOOKUP(G813,매칭테이블!D:E,2,0)</f>
        <v/>
      </c>
      <c r="J813" s="9" t="n">
        <v>201210</v>
      </c>
      <c r="L813" s="9">
        <f>VLOOKUP($O813,매칭테이블!$G:$J,2,0)*H813</f>
        <v/>
      </c>
      <c r="M813" s="9">
        <f>L813-L813*VLOOKUP($O813,매칭테이블!$G:$J,3,0)</f>
        <v/>
      </c>
      <c r="N813" s="9">
        <f>VLOOKUP($O813,매칭테이블!$G:$J,4,0)*H813</f>
        <v/>
      </c>
      <c r="O813" s="9">
        <f>F813&amp;E813&amp;G813&amp;J813</f>
        <v/>
      </c>
    </row>
    <row r="814">
      <c r="B814" s="10" t="n">
        <v>44221</v>
      </c>
      <c r="C814" s="9">
        <f>TEXT(B814,"aaa")</f>
        <v/>
      </c>
      <c r="E814" s="9">
        <f>INDEX(매칭테이블!C:C,MATCH(RD!G814,매칭테이블!D:D,0))</f>
        <v/>
      </c>
      <c r="F814" s="9" t="inlineStr">
        <is>
          <t>카페24</t>
        </is>
      </c>
      <c r="G814" s="9" t="inlineStr">
        <is>
          <t>라베나 리커버리 15 리바이탈 샴푸 [HAIR R?:COVERY 15 Revital Shampoo]제품선택=헤어 리커버리 15 리바이탈 샴푸 - 500ml</t>
        </is>
      </c>
      <c r="H814" s="9" t="n">
        <v>148</v>
      </c>
      <c r="I814" s="9">
        <f>VLOOKUP(G814,매칭테이블!D:E,2,0)</f>
        <v/>
      </c>
      <c r="J814" s="9" t="n">
        <v>201210</v>
      </c>
      <c r="L814" s="9">
        <f>VLOOKUP($O814,매칭테이블!$G:$J,2,0)*H814</f>
        <v/>
      </c>
      <c r="M814" s="9">
        <f>L814-L814*VLOOKUP($O814,매칭테이블!$G:$J,3,0)</f>
        <v/>
      </c>
      <c r="N814" s="9">
        <f>VLOOKUP($O814,매칭테이블!$G:$J,4,0)*H814</f>
        <v/>
      </c>
      <c r="O814" s="9">
        <f>F814&amp;E814&amp;G814&amp;J814</f>
        <v/>
      </c>
    </row>
    <row r="815">
      <c r="B815" s="10" t="n">
        <v>44221</v>
      </c>
      <c r="C815" s="9">
        <f>TEXT(B815,"aaa")</f>
        <v/>
      </c>
      <c r="E815" s="9">
        <f>INDEX(매칭테이블!C:C,MATCH(RD!G815,매칭테이블!D:D,0))</f>
        <v/>
      </c>
      <c r="F815" s="9" t="inlineStr">
        <is>
          <t>카페24</t>
        </is>
      </c>
      <c r="G815" s="9" t="inlineStr">
        <is>
          <t>라베나 리커버리 15 리바이탈 샴푸 [HAIR R?:COVERY 15 Revital Shampoo]제품선택=리바이탈 샴푸 2개 세트 5%추가할인</t>
        </is>
      </c>
      <c r="H815" s="9" t="n">
        <v>48</v>
      </c>
      <c r="I815" s="9">
        <f>VLOOKUP(G815,매칭테이블!D:E,2,0)</f>
        <v/>
      </c>
      <c r="J815" s="9" t="n">
        <v>201210</v>
      </c>
      <c r="L815" s="9">
        <f>VLOOKUP($O815,매칭테이블!$G:$J,2,0)*H815</f>
        <v/>
      </c>
      <c r="M815" s="9">
        <f>L815-L815*VLOOKUP($O815,매칭테이블!$G:$J,3,0)</f>
        <v/>
      </c>
      <c r="N815" s="9">
        <f>VLOOKUP($O815,매칭테이블!$G:$J,4,0)*H815</f>
        <v/>
      </c>
      <c r="O815" s="9">
        <f>F815&amp;E815&amp;G815&amp;J815</f>
        <v/>
      </c>
    </row>
    <row r="816">
      <c r="B816" s="10" t="n">
        <v>44221</v>
      </c>
      <c r="C816" s="9">
        <f>TEXT(B816,"aaa")</f>
        <v/>
      </c>
      <c r="E816" s="9">
        <f>INDEX(매칭테이블!C:C,MATCH(RD!G816,매칭테이블!D:D,0))</f>
        <v/>
      </c>
      <c r="F816" s="9" t="inlineStr">
        <is>
          <t>카페24</t>
        </is>
      </c>
      <c r="G816" s="9" t="inlineStr">
        <is>
          <t>라베나 리커버리 15 리바이탈 샴푸 [HAIR R?:COVERY 15 Revital Shampoo]제품선택=리바이탈 샴푸 3개 세트 10% 추가할인</t>
        </is>
      </c>
      <c r="H816" s="9" t="n">
        <v>23</v>
      </c>
      <c r="I816" s="9">
        <f>VLOOKUP(G816,매칭테이블!D:E,2,0)</f>
        <v/>
      </c>
      <c r="J816" s="9" t="n">
        <v>201210</v>
      </c>
      <c r="L816" s="9">
        <f>VLOOKUP($O816,매칭테이블!$G:$J,2,0)*H816</f>
        <v/>
      </c>
      <c r="M816" s="9">
        <f>L816-L816*VLOOKUP($O816,매칭테이블!$G:$J,3,0)</f>
        <v/>
      </c>
      <c r="N816" s="9">
        <f>VLOOKUP($O816,매칭테이블!$G:$J,4,0)*H816</f>
        <v/>
      </c>
      <c r="O816" s="9">
        <f>F816&amp;E816&amp;G816&amp;J816</f>
        <v/>
      </c>
    </row>
    <row r="817">
      <c r="B817" s="10" t="n">
        <v>44221</v>
      </c>
      <c r="C817" s="9">
        <f>TEXT(B817,"aaa")</f>
        <v/>
      </c>
      <c r="E817" s="9">
        <f>INDEX(매칭테이블!C:C,MATCH(RD!G817,매칭테이블!D:D,0))</f>
        <v/>
      </c>
      <c r="F817" s="9" t="inlineStr">
        <is>
          <t>카페24</t>
        </is>
      </c>
      <c r="G817" s="9" t="inlineStr">
        <is>
          <t>라베나 리커버리 15 헤어팩 트리트먼트 [HAIR R?:COVERY 15 Hairpack Treatment]제품선택=헤어 리커버리 15 헤어팩 트리트먼트</t>
        </is>
      </c>
      <c r="H817" s="9" t="n">
        <v>13</v>
      </c>
      <c r="I817" s="9">
        <f>VLOOKUP(G817,매칭테이블!D:E,2,0)</f>
        <v/>
      </c>
      <c r="J817" s="9" t="n">
        <v>201210</v>
      </c>
      <c r="L817" s="9">
        <f>VLOOKUP($O817,매칭테이블!$G:$J,2,0)*H817</f>
        <v/>
      </c>
      <c r="M817" s="9">
        <f>L817-L817*VLOOKUP($O817,매칭테이블!$G:$J,3,0)</f>
        <v/>
      </c>
      <c r="N817" s="9">
        <f>VLOOKUP($O817,매칭테이블!$G:$J,4,0)*H817</f>
        <v/>
      </c>
      <c r="O817" s="9">
        <f>F817&amp;E817&amp;G817&amp;J817</f>
        <v/>
      </c>
    </row>
    <row r="818">
      <c r="B818" s="10" t="n">
        <v>44221</v>
      </c>
      <c r="C818" s="9">
        <f>TEXT(B818,"aaa")</f>
        <v/>
      </c>
      <c r="E818" s="9">
        <f>INDEX(매칭테이블!C:C,MATCH(RD!G818,매칭테이블!D:D,0))</f>
        <v/>
      </c>
      <c r="F818" s="9" t="inlineStr">
        <is>
          <t>카페24</t>
        </is>
      </c>
      <c r="G818" s="9" t="inlineStr">
        <is>
          <t>라베나 리커버리 15 헤어팩 트리트먼트 [HAIR R?:COVERY 15 Hairpack Treatment]제품선택=헤어팩 트리트먼트 2개 세트 5% 추가할인</t>
        </is>
      </c>
      <c r="H818" s="9" t="n">
        <v>1</v>
      </c>
      <c r="I818" s="9">
        <f>VLOOKUP(G818,매칭테이블!D:E,2,0)</f>
        <v/>
      </c>
      <c r="J818" s="9" t="n">
        <v>201210</v>
      </c>
      <c r="L818" s="9">
        <f>VLOOKUP($O818,매칭테이블!$G:$J,2,0)*H818</f>
        <v/>
      </c>
      <c r="M818" s="9">
        <f>L818-L818*VLOOKUP($O818,매칭테이블!$G:$J,3,0)</f>
        <v/>
      </c>
      <c r="N818" s="9">
        <f>VLOOKUP($O818,매칭테이블!$G:$J,4,0)*H818</f>
        <v/>
      </c>
      <c r="O818" s="9">
        <f>F818&amp;E818&amp;G818&amp;J818</f>
        <v/>
      </c>
    </row>
    <row r="819">
      <c r="B819" s="10" t="n">
        <v>44221</v>
      </c>
      <c r="C819" s="9">
        <f>TEXT(B819,"aaa")</f>
        <v/>
      </c>
      <c r="E819" s="9">
        <f>INDEX(매칭테이블!C:C,MATCH(RD!G819,매칭테이블!D:D,0))</f>
        <v/>
      </c>
      <c r="F819" s="9" t="inlineStr">
        <is>
          <t>카페24</t>
        </is>
      </c>
      <c r="G819" s="9" t="inlineStr">
        <is>
          <t>헤어 리커버리 15 리바이탈 샴푸</t>
        </is>
      </c>
      <c r="H819" s="9" t="n">
        <v>1</v>
      </c>
      <c r="I819" s="9">
        <f>VLOOKUP(G819,매칭테이블!D:E,2,0)</f>
        <v/>
      </c>
      <c r="J819" s="9" t="n">
        <v>201210</v>
      </c>
      <c r="L819" s="9">
        <f>VLOOKUP($O819,매칭테이블!$G:$J,2,0)*H819</f>
        <v/>
      </c>
      <c r="M819" s="9">
        <f>L819-L819*VLOOKUP($O819,매칭테이블!$G:$J,3,0)</f>
        <v/>
      </c>
      <c r="N819" s="9">
        <f>VLOOKUP($O819,매칭테이블!$G:$J,4,0)*H819</f>
        <v/>
      </c>
      <c r="O819" s="9">
        <f>F819&amp;E819&amp;G819&amp;J819</f>
        <v/>
      </c>
    </row>
    <row r="820">
      <c r="B820" s="10" t="n">
        <v>44222</v>
      </c>
      <c r="C820" s="9">
        <f>TEXT(B820,"aaa")</f>
        <v/>
      </c>
      <c r="E820" s="9">
        <f>INDEX(매칭테이블!C:C,MATCH(RD!G820,매칭테이블!D:D,0))</f>
        <v/>
      </c>
      <c r="F820" s="9" t="inlineStr">
        <is>
          <t>카페24</t>
        </is>
      </c>
      <c r="G820" s="9" t="inlineStr">
        <is>
          <t>(플친전용)HAIR RÉ:COVERY 15 Hairpack Treatment [헤어 리커버리 15 헤어팩 트리트먼트]제품선택=헤어 리커버리 15 헤어팩 트리트먼트</t>
        </is>
      </c>
      <c r="H820" s="9" t="n">
        <v>4</v>
      </c>
      <c r="I820" s="9">
        <f>VLOOKUP(G820,매칭테이블!D:E,2,0)</f>
        <v/>
      </c>
      <c r="J820" s="9" t="n">
        <v>201210</v>
      </c>
      <c r="L820" s="9">
        <f>VLOOKUP($O820,매칭테이블!$G:$J,2,0)*H820</f>
        <v/>
      </c>
      <c r="M820" s="9">
        <f>L820-L820*VLOOKUP($O820,매칭테이블!$G:$J,3,0)</f>
        <v/>
      </c>
      <c r="N820" s="9">
        <f>VLOOKUP($O820,매칭테이블!$G:$J,4,0)*H820</f>
        <v/>
      </c>
      <c r="O820" s="9">
        <f>F820&amp;E820&amp;G820&amp;J820</f>
        <v/>
      </c>
    </row>
    <row r="821">
      <c r="B821" s="10" t="n">
        <v>44222</v>
      </c>
      <c r="C821" s="9">
        <f>TEXT(B821,"aaa")</f>
        <v/>
      </c>
      <c r="E821" s="9">
        <f>INDEX(매칭테이블!C:C,MATCH(RD!G821,매칭테이블!D:D,0))</f>
        <v/>
      </c>
      <c r="F821" s="9" t="inlineStr">
        <is>
          <t>카페24</t>
        </is>
      </c>
      <c r="G821" s="9" t="inlineStr">
        <is>
          <t>(플친전용)HAIR RÉ:COVERY 15 Hairpack Treatment [헤어 리커버리 15 헤어팩 트리트먼트]제품선택=헤어팩 트리트먼트 2개 세트</t>
        </is>
      </c>
      <c r="H821" s="9" t="n">
        <v>2</v>
      </c>
      <c r="I821" s="9">
        <f>VLOOKUP(G821,매칭테이블!D:E,2,0)</f>
        <v/>
      </c>
      <c r="J821" s="9" t="n">
        <v>201210</v>
      </c>
      <c r="L821" s="9">
        <f>VLOOKUP($O821,매칭테이블!$G:$J,2,0)*H821</f>
        <v/>
      </c>
      <c r="M821" s="9">
        <f>L821-L821*VLOOKUP($O821,매칭테이블!$G:$J,3,0)</f>
        <v/>
      </c>
      <c r="N821" s="9">
        <f>VLOOKUP($O821,매칭테이블!$G:$J,4,0)*H821</f>
        <v/>
      </c>
      <c r="O821" s="9">
        <f>F821&amp;E821&amp;G821&amp;J821</f>
        <v/>
      </c>
    </row>
    <row r="822">
      <c r="B822" s="10" t="n">
        <v>44222</v>
      </c>
      <c r="C822" s="9">
        <f>TEXT(B822,"aaa")</f>
        <v/>
      </c>
      <c r="E822" s="9">
        <f>INDEX(매칭테이블!C:C,MATCH(RD!G822,매칭테이블!D:D,0))</f>
        <v/>
      </c>
      <c r="F822" s="9" t="inlineStr">
        <is>
          <t>카페24</t>
        </is>
      </c>
      <c r="G822" s="9" t="inlineStr">
        <is>
          <t>(플친전용)HAIR RÉ:COVERY 15 Hairpack Treatment [헤어 리커버리 15 헤어팩 트리트먼트]제품선택=헤어팩 트리트먼트 3개 세트</t>
        </is>
      </c>
      <c r="H822" s="9" t="n">
        <v>1</v>
      </c>
      <c r="I822" s="9">
        <f>VLOOKUP(G822,매칭테이블!D:E,2,0)</f>
        <v/>
      </c>
      <c r="J822" s="9" t="n">
        <v>201210</v>
      </c>
      <c r="L822" s="9">
        <f>VLOOKUP($O822,매칭테이블!$G:$J,2,0)*H822</f>
        <v/>
      </c>
      <c r="M822" s="9">
        <f>L822-L822*VLOOKUP($O822,매칭테이블!$G:$J,3,0)</f>
        <v/>
      </c>
      <c r="N822" s="9">
        <f>VLOOKUP($O822,매칭테이블!$G:$J,4,0)*H822</f>
        <v/>
      </c>
      <c r="O822" s="9">
        <f>F822&amp;E822&amp;G822&amp;J822</f>
        <v/>
      </c>
    </row>
    <row r="823">
      <c r="B823" s="10" t="n">
        <v>44222</v>
      </c>
      <c r="C823" s="9">
        <f>TEXT(B823,"aaa")</f>
        <v/>
      </c>
      <c r="E823" s="9">
        <f>INDEX(매칭테이블!C:C,MATCH(RD!G823,매칭테이블!D:D,0))</f>
        <v/>
      </c>
      <c r="F823" s="9" t="inlineStr">
        <is>
          <t>카페24</t>
        </is>
      </c>
      <c r="G823" s="9" t="inlineStr">
        <is>
          <t>(플친전용)HAIR RÉ:COVERY 15 Nutritious Balm [헤어 리커버리 15 뉴트리셔스 밤]제품선택=헤어 리커버리 15 뉴트리셔스 밤</t>
        </is>
      </c>
      <c r="H823" s="9" t="n">
        <v>9</v>
      </c>
      <c r="I823" s="9">
        <f>VLOOKUP(G823,매칭테이블!D:E,2,0)</f>
        <v/>
      </c>
      <c r="J823" s="9" t="n">
        <v>201210</v>
      </c>
      <c r="L823" s="9">
        <f>VLOOKUP($O823,매칭테이블!$G:$J,2,0)*H823</f>
        <v/>
      </c>
      <c r="M823" s="9">
        <f>L823-L823*VLOOKUP($O823,매칭테이블!$G:$J,3,0)</f>
        <v/>
      </c>
      <c r="N823" s="9">
        <f>VLOOKUP($O823,매칭테이블!$G:$J,4,0)*H823</f>
        <v/>
      </c>
      <c r="O823" s="9">
        <f>F823&amp;E823&amp;G823&amp;J823</f>
        <v/>
      </c>
    </row>
    <row r="824">
      <c r="B824" s="10" t="n">
        <v>44222</v>
      </c>
      <c r="C824" s="9">
        <f>TEXT(B824,"aaa")</f>
        <v/>
      </c>
      <c r="E824" s="9">
        <f>INDEX(매칭테이블!C:C,MATCH(RD!G824,매칭테이블!D:D,0))</f>
        <v/>
      </c>
      <c r="F824" s="9" t="inlineStr">
        <is>
          <t>카페24</t>
        </is>
      </c>
      <c r="G824" s="9" t="inlineStr">
        <is>
          <t>(플친전용)HAIR RÉ:COVERY 15 Nutritious Balm [헤어 리커버리 15 뉴트리셔스 밤]제품선택=뉴트리셔스 밤 2개 세트</t>
        </is>
      </c>
      <c r="H824" s="9" t="n">
        <v>2</v>
      </c>
      <c r="I824" s="9">
        <f>VLOOKUP(G824,매칭테이블!D:E,2,0)</f>
        <v/>
      </c>
      <c r="J824" s="9" t="n">
        <v>201210</v>
      </c>
      <c r="L824" s="9">
        <f>VLOOKUP($O824,매칭테이블!$G:$J,2,0)*H824</f>
        <v/>
      </c>
      <c r="M824" s="9">
        <f>L824-L824*VLOOKUP($O824,매칭테이블!$G:$J,3,0)</f>
        <v/>
      </c>
      <c r="N824" s="9">
        <f>VLOOKUP($O824,매칭테이블!$G:$J,4,0)*H824</f>
        <v/>
      </c>
      <c r="O824" s="9">
        <f>F824&amp;E824&amp;G824&amp;J824</f>
        <v/>
      </c>
    </row>
    <row r="825">
      <c r="B825" s="10" t="n">
        <v>44222</v>
      </c>
      <c r="C825" s="9">
        <f>TEXT(B825,"aaa")</f>
        <v/>
      </c>
      <c r="E825" s="9">
        <f>INDEX(매칭테이블!C:C,MATCH(RD!G825,매칭테이블!D:D,0))</f>
        <v/>
      </c>
      <c r="F825" s="9" t="inlineStr">
        <is>
          <t>카페24</t>
        </is>
      </c>
      <c r="G825" s="9" t="inlineStr">
        <is>
          <t>(플친전용)HAIR RÉ:COVERY 15 Nutritious Balm [헤어 리커버리 15 뉴트리셔스 밤]제품선택=뉴트리셔스 밤 3개 세트</t>
        </is>
      </c>
      <c r="H825" s="9" t="n">
        <v>1</v>
      </c>
      <c r="I825" s="9">
        <f>VLOOKUP(G825,매칭테이블!D:E,2,0)</f>
        <v/>
      </c>
      <c r="J825" s="9" t="n">
        <v>201210</v>
      </c>
      <c r="L825" s="9">
        <f>VLOOKUP($O825,매칭테이블!$G:$J,2,0)*H825</f>
        <v/>
      </c>
      <c r="M825" s="9">
        <f>L825-L825*VLOOKUP($O825,매칭테이블!$G:$J,3,0)</f>
        <v/>
      </c>
      <c r="N825" s="9">
        <f>VLOOKUP($O825,매칭테이블!$G:$J,4,0)*H825</f>
        <v/>
      </c>
      <c r="O825" s="9">
        <f>F825&amp;E825&amp;G825&amp;J825</f>
        <v/>
      </c>
    </row>
    <row r="826">
      <c r="B826" s="10" t="n">
        <v>44222</v>
      </c>
      <c r="C826" s="9">
        <f>TEXT(B826,"aaa")</f>
        <v/>
      </c>
      <c r="E826" s="9">
        <f>INDEX(매칭테이블!C:C,MATCH(RD!G826,매칭테이블!D:D,0))</f>
        <v/>
      </c>
      <c r="F826" s="9" t="inlineStr">
        <is>
          <t>카페24</t>
        </is>
      </c>
      <c r="G826" s="9" t="inlineStr">
        <is>
          <t>(플친전용)HAIR RÉ:COVERY 15 Nutritious Balm [헤어 리커버리 15 뉴트리셔스 밤]제품선택=뉴트리셔스밤 1개 + 헤어팩 트리트먼트 1개 세트</t>
        </is>
      </c>
      <c r="H826" s="9" t="n">
        <v>2</v>
      </c>
      <c r="I826" s="9">
        <f>VLOOKUP(G826,매칭테이블!D:E,2,0)</f>
        <v/>
      </c>
      <c r="J826" s="9" t="n">
        <v>201210</v>
      </c>
      <c r="L826" s="9">
        <f>VLOOKUP($O826,매칭테이블!$G:$J,2,0)*H826</f>
        <v/>
      </c>
      <c r="M826" s="9">
        <f>L826-L826*VLOOKUP($O826,매칭테이블!$G:$J,3,0)</f>
        <v/>
      </c>
      <c r="N826" s="9">
        <f>VLOOKUP($O826,매칭테이블!$G:$J,4,0)*H826</f>
        <v/>
      </c>
      <c r="O826" s="9">
        <f>F826&amp;E826&amp;G826&amp;J826</f>
        <v/>
      </c>
    </row>
    <row r="827">
      <c r="B827" s="10" t="n">
        <v>44222</v>
      </c>
      <c r="C827" s="9">
        <f>TEXT(B827,"aaa")</f>
        <v/>
      </c>
      <c r="E827" s="9">
        <f>INDEX(매칭테이블!C:C,MATCH(RD!G827,매칭테이블!D:D,0))</f>
        <v/>
      </c>
      <c r="F827" s="9" t="inlineStr">
        <is>
          <t>카페24</t>
        </is>
      </c>
      <c r="G827" s="9" t="inlineStr">
        <is>
          <t>라베나 리커버리 15 뉴트리셔스 밤 [HAIR RÉ:COVERY 15 Nutritious Balm]제품선택=헤어 리커버리 15 뉴트리셔스 밤</t>
        </is>
      </c>
      <c r="H827" s="9" t="n">
        <v>7</v>
      </c>
      <c r="I827" s="9">
        <f>VLOOKUP(G827,매칭테이블!D:E,2,0)</f>
        <v/>
      </c>
      <c r="J827" s="9" t="n">
        <v>201210</v>
      </c>
      <c r="L827" s="9">
        <f>VLOOKUP($O827,매칭테이블!$G:$J,2,0)*H827</f>
        <v/>
      </c>
      <c r="M827" s="9">
        <f>L827-L827*VLOOKUP($O827,매칭테이블!$G:$J,3,0)</f>
        <v/>
      </c>
      <c r="N827" s="9">
        <f>VLOOKUP($O827,매칭테이블!$G:$J,4,0)*H827</f>
        <v/>
      </c>
      <c r="O827" s="9">
        <f>F827&amp;E827&amp;G827&amp;J827</f>
        <v/>
      </c>
    </row>
    <row r="828">
      <c r="B828" s="10" t="n">
        <v>44222</v>
      </c>
      <c r="C828" s="9">
        <f>TEXT(B828,"aaa")</f>
        <v/>
      </c>
      <c r="E828" s="9">
        <f>INDEX(매칭테이블!C:C,MATCH(RD!G828,매칭테이블!D:D,0))</f>
        <v/>
      </c>
      <c r="F828" s="9" t="inlineStr">
        <is>
          <t>카페24</t>
        </is>
      </c>
      <c r="G828" s="9" t="inlineStr">
        <is>
          <t>라베나 리커버리 15 뉴트리셔스 밤 [HAIR RÉ:COVERY 15 Nutritious Balm]제품선택=뉴트리셔스 밤 2개 세트 5% 추가할인</t>
        </is>
      </c>
      <c r="H828" s="9" t="n">
        <v>2</v>
      </c>
      <c r="I828" s="9">
        <f>VLOOKUP(G828,매칭테이블!D:E,2,0)</f>
        <v/>
      </c>
      <c r="J828" s="9" t="n">
        <v>201210</v>
      </c>
      <c r="L828" s="9">
        <f>VLOOKUP($O828,매칭테이블!$G:$J,2,0)*H828</f>
        <v/>
      </c>
      <c r="M828" s="9">
        <f>L828-L828*VLOOKUP($O828,매칭테이블!$G:$J,3,0)</f>
        <v/>
      </c>
      <c r="N828" s="9">
        <f>VLOOKUP($O828,매칭테이블!$G:$J,4,0)*H828</f>
        <v/>
      </c>
      <c r="O828" s="9">
        <f>F828&amp;E828&amp;G828&amp;J828</f>
        <v/>
      </c>
    </row>
    <row r="829">
      <c r="B829" s="10" t="n">
        <v>44222</v>
      </c>
      <c r="C829" s="9">
        <f>TEXT(B829,"aaa")</f>
        <v/>
      </c>
      <c r="E829" s="9">
        <f>INDEX(매칭테이블!C:C,MATCH(RD!G829,매칭테이블!D:D,0))</f>
        <v/>
      </c>
      <c r="F829" s="9" t="inlineStr">
        <is>
          <t>카페24</t>
        </is>
      </c>
      <c r="G829" s="9" t="inlineStr">
        <is>
          <t>라베나 리커버리 15 뉴트리셔스 밤 [HAIR RÉ:COVERY 15 Nutritious Balm]제품선택=뉴트리셔스밤 1개 + 헤어팩 트리트먼트 1개 세트 5%추가할인</t>
        </is>
      </c>
      <c r="H829" s="9" t="n">
        <v>2</v>
      </c>
      <c r="I829" s="9">
        <f>VLOOKUP(G829,매칭테이블!D:E,2,0)</f>
        <v/>
      </c>
      <c r="J829" s="9" t="n">
        <v>201210</v>
      </c>
      <c r="L829" s="9">
        <f>VLOOKUP($O829,매칭테이블!$G:$J,2,0)*H829</f>
        <v/>
      </c>
      <c r="M829" s="9">
        <f>L829-L829*VLOOKUP($O829,매칭테이블!$G:$J,3,0)</f>
        <v/>
      </c>
      <c r="N829" s="9">
        <f>VLOOKUP($O829,매칭테이블!$G:$J,4,0)*H829</f>
        <v/>
      </c>
      <c r="O829" s="9">
        <f>F829&amp;E829&amp;G829&amp;J829</f>
        <v/>
      </c>
    </row>
    <row r="830">
      <c r="B830" s="10" t="n">
        <v>44222</v>
      </c>
      <c r="C830" s="9">
        <f>TEXT(B830,"aaa")</f>
        <v/>
      </c>
      <c r="E830" s="9">
        <f>INDEX(매칭테이블!C:C,MATCH(RD!G830,매칭테이블!D:D,0))</f>
        <v/>
      </c>
      <c r="F830" s="9" t="inlineStr">
        <is>
          <t>카페24</t>
        </is>
      </c>
      <c r="G830" s="9" t="inlineStr">
        <is>
          <t>라베나 리커버리 15 리바이탈 샴푸 [HAIR RÉ:COVERY 15 Revital Shampoo]제품선택=헤어 리커버리 15 리바이탈 샴푸 - 500ml</t>
        </is>
      </c>
      <c r="H830" s="9" t="n">
        <v>140</v>
      </c>
      <c r="I830" s="9">
        <f>VLOOKUP(G830,매칭테이블!D:E,2,0)</f>
        <v/>
      </c>
      <c r="J830" s="9" t="n">
        <v>201210</v>
      </c>
      <c r="L830" s="9">
        <f>VLOOKUP($O830,매칭테이블!$G:$J,2,0)*H830</f>
        <v/>
      </c>
      <c r="M830" s="9">
        <f>L830-L830*VLOOKUP($O830,매칭테이블!$G:$J,3,0)</f>
        <v/>
      </c>
      <c r="N830" s="9">
        <f>VLOOKUP($O830,매칭테이블!$G:$J,4,0)*H830</f>
        <v/>
      </c>
      <c r="O830" s="9">
        <f>F830&amp;E830&amp;G830&amp;J830</f>
        <v/>
      </c>
    </row>
    <row r="831">
      <c r="B831" s="10" t="n">
        <v>44222</v>
      </c>
      <c r="C831" s="9">
        <f>TEXT(B831,"aaa")</f>
        <v/>
      </c>
      <c r="E831" s="9">
        <f>INDEX(매칭테이블!C:C,MATCH(RD!G831,매칭테이블!D:D,0))</f>
        <v/>
      </c>
      <c r="F831" s="9" t="inlineStr">
        <is>
          <t>카페24</t>
        </is>
      </c>
      <c r="G831" s="9" t="inlineStr">
        <is>
          <t>라베나 리커버리 15 리바이탈 샴푸 [HAIR RÉ:COVERY 15 Revital Shampoo]제품선택=리바이탈 샴푸 2개 세트 5%추가할인</t>
        </is>
      </c>
      <c r="H831" s="9" t="n">
        <v>39</v>
      </c>
      <c r="I831" s="9">
        <f>VLOOKUP(G831,매칭테이블!D:E,2,0)</f>
        <v/>
      </c>
      <c r="J831" s="9" t="n">
        <v>201210</v>
      </c>
      <c r="L831" s="9">
        <f>VLOOKUP($O831,매칭테이블!$G:$J,2,0)*H831</f>
        <v/>
      </c>
      <c r="M831" s="9">
        <f>L831-L831*VLOOKUP($O831,매칭테이블!$G:$J,3,0)</f>
        <v/>
      </c>
      <c r="N831" s="9">
        <f>VLOOKUP($O831,매칭테이블!$G:$J,4,0)*H831</f>
        <v/>
      </c>
      <c r="O831" s="9">
        <f>F831&amp;E831&amp;G831&amp;J831</f>
        <v/>
      </c>
    </row>
    <row r="832">
      <c r="B832" s="10" t="n">
        <v>44222</v>
      </c>
      <c r="C832" s="9">
        <f>TEXT(B832,"aaa")</f>
        <v/>
      </c>
      <c r="E832" s="9">
        <f>INDEX(매칭테이블!C:C,MATCH(RD!G832,매칭테이블!D:D,0))</f>
        <v/>
      </c>
      <c r="F832" s="9" t="inlineStr">
        <is>
          <t>카페24</t>
        </is>
      </c>
      <c r="G832" s="9" t="inlineStr">
        <is>
          <t>라베나 리커버리 15 리바이탈 샴푸 [HAIR RÉ:COVERY 15 Revital Shampoo]제품선택=리바이탈 샴푸 3개 세트 10% 추가할인</t>
        </is>
      </c>
      <c r="H832" s="9" t="n">
        <v>10</v>
      </c>
      <c r="I832" s="9">
        <f>VLOOKUP(G832,매칭테이블!D:E,2,0)</f>
        <v/>
      </c>
      <c r="J832" s="9" t="n">
        <v>201210</v>
      </c>
      <c r="L832" s="9">
        <f>VLOOKUP($O832,매칭테이블!$G:$J,2,0)*H832</f>
        <v/>
      </c>
      <c r="M832" s="9">
        <f>L832-L832*VLOOKUP($O832,매칭테이블!$G:$J,3,0)</f>
        <v/>
      </c>
      <c r="N832" s="9">
        <f>VLOOKUP($O832,매칭테이블!$G:$J,4,0)*H832</f>
        <v/>
      </c>
      <c r="O832" s="9">
        <f>F832&amp;E832&amp;G832&amp;J832</f>
        <v/>
      </c>
    </row>
    <row r="833">
      <c r="B833" s="10" t="n">
        <v>44222</v>
      </c>
      <c r="C833" s="9">
        <f>TEXT(B833,"aaa")</f>
        <v/>
      </c>
      <c r="E833" s="9">
        <f>INDEX(매칭테이블!C:C,MATCH(RD!G833,매칭테이블!D:D,0))</f>
        <v/>
      </c>
      <c r="F833" s="9" t="inlineStr">
        <is>
          <t>카페24</t>
        </is>
      </c>
      <c r="G833" s="9" t="inlineStr">
        <is>
          <t>라베나 리커버리 15 헤어팩 트리트먼트 [HAIR RÉ:COVERY 15 Hairpack Treatment]제품선택=헤어 리커버리 15 헤어팩 트리트먼트</t>
        </is>
      </c>
      <c r="H833" s="9" t="n">
        <v>9</v>
      </c>
      <c r="I833" s="9">
        <f>VLOOKUP(G833,매칭테이블!D:E,2,0)</f>
        <v/>
      </c>
      <c r="J833" s="9" t="n">
        <v>201210</v>
      </c>
      <c r="L833" s="9">
        <f>VLOOKUP($O833,매칭테이블!$G:$J,2,0)*H833</f>
        <v/>
      </c>
      <c r="M833" s="9">
        <f>L833-L833*VLOOKUP($O833,매칭테이블!$G:$J,3,0)</f>
        <v/>
      </c>
      <c r="N833" s="9">
        <f>VLOOKUP($O833,매칭테이블!$G:$J,4,0)*H833</f>
        <v/>
      </c>
      <c r="O833" s="9">
        <f>F833&amp;E833&amp;G833&amp;J833</f>
        <v/>
      </c>
    </row>
    <row r="834">
      <c r="B834" s="10" t="n">
        <v>44222</v>
      </c>
      <c r="C834" s="9">
        <f>TEXT(B834,"aaa")</f>
        <v/>
      </c>
      <c r="E834" s="9">
        <f>INDEX(매칭테이블!C:C,MATCH(RD!G834,매칭테이블!D:D,0))</f>
        <v/>
      </c>
      <c r="F834" s="9" t="inlineStr">
        <is>
          <t>카페24</t>
        </is>
      </c>
      <c r="G834" s="9" t="inlineStr">
        <is>
          <t>라베나 리커버리 15 헤어팩 트리트먼트 [HAIR RÉ:COVERY 15 Hairpack Treatment]제품선택=헤어팩 트리트먼트 2개 세트 5% 추가할인</t>
        </is>
      </c>
      <c r="H834" s="9" t="n">
        <v>1</v>
      </c>
      <c r="I834" s="9">
        <f>VLOOKUP(G834,매칭테이블!D:E,2,0)</f>
        <v/>
      </c>
      <c r="J834" s="9" t="n">
        <v>201210</v>
      </c>
      <c r="L834" s="9">
        <f>VLOOKUP($O834,매칭테이블!$G:$J,2,0)*H834</f>
        <v/>
      </c>
      <c r="M834" s="9">
        <f>L834-L834*VLOOKUP($O834,매칭테이블!$G:$J,3,0)</f>
        <v/>
      </c>
      <c r="N834" s="9">
        <f>VLOOKUP($O834,매칭테이블!$G:$J,4,0)*H834</f>
        <v/>
      </c>
      <c r="O834" s="9">
        <f>F834&amp;E834&amp;G834&amp;J834</f>
        <v/>
      </c>
    </row>
    <row r="835">
      <c r="B835" s="10" t="n">
        <v>44222</v>
      </c>
      <c r="C835" s="9">
        <f>TEXT(B835,"aaa")</f>
        <v/>
      </c>
      <c r="E835" s="9">
        <f>INDEX(매칭테이블!C:C,MATCH(RD!G835,매칭테이블!D:D,0))</f>
        <v/>
      </c>
      <c r="F835" s="9" t="inlineStr">
        <is>
          <t>카페24</t>
        </is>
      </c>
      <c r="G835" s="9" t="inlineStr">
        <is>
          <t>라베나 리커버리 15 헤어팩 트리트먼트 [HAIR RÉ:COVERY 15 Hairpack Treatment]제품선택=헤어팩 트리트먼트 1개 + 뉴트리셔스밤 1개 세트 5% 추가할인</t>
        </is>
      </c>
      <c r="H835" s="9" t="n">
        <v>1</v>
      </c>
      <c r="I835" s="9">
        <f>VLOOKUP(G835,매칭테이블!D:E,2,0)</f>
        <v/>
      </c>
      <c r="J835" s="9" t="n">
        <v>201210</v>
      </c>
      <c r="L835" s="9">
        <f>VLOOKUP($O835,매칭테이블!$G:$J,2,0)*H835</f>
        <v/>
      </c>
      <c r="M835" s="9">
        <f>L835-L835*VLOOKUP($O835,매칭테이블!$G:$J,3,0)</f>
        <v/>
      </c>
      <c r="N835" s="9">
        <f>VLOOKUP($O835,매칭테이블!$G:$J,4,0)*H835</f>
        <v/>
      </c>
      <c r="O835" s="9">
        <f>F835&amp;E835&amp;G835&amp;J835</f>
        <v/>
      </c>
    </row>
    <row r="836">
      <c r="B836" s="10" t="n">
        <v>44222</v>
      </c>
      <c r="C836" s="9">
        <f>TEXT(B836,"aaa")</f>
        <v/>
      </c>
      <c r="E836" s="9">
        <f>INDEX(매칭테이블!C:C,MATCH(RD!G836,매칭테이블!D:D,0))</f>
        <v/>
      </c>
      <c r="F836" s="9" t="inlineStr">
        <is>
          <t>카페24</t>
        </is>
      </c>
      <c r="G836" s="9" t="inlineStr">
        <is>
          <t>헤어 리커버리 15 리바이탈 샴푸</t>
        </is>
      </c>
      <c r="H836" s="9" t="n">
        <v>3</v>
      </c>
      <c r="I836" s="9">
        <f>VLOOKUP(G836,매칭테이블!D:E,2,0)</f>
        <v/>
      </c>
      <c r="J836" s="9" t="n">
        <v>201210</v>
      </c>
      <c r="L836" s="9">
        <f>VLOOKUP($O836,매칭테이블!$G:$J,2,0)*H836</f>
        <v/>
      </c>
      <c r="M836" s="9">
        <f>L836-L836*VLOOKUP($O836,매칭테이블!$G:$J,3,0)</f>
        <v/>
      </c>
      <c r="N836" s="9">
        <f>VLOOKUP($O836,매칭테이블!$G:$J,4,0)*H836</f>
        <v/>
      </c>
      <c r="O836" s="9">
        <f>F836&amp;E836&amp;G836&amp;J836</f>
        <v/>
      </c>
    </row>
    <row r="837">
      <c r="B837" s="10" t="n">
        <v>44223</v>
      </c>
      <c r="C837" s="9">
        <f>TEXT(B837,"aaa")</f>
        <v/>
      </c>
      <c r="E837" s="9">
        <f>INDEX(매칭테이블!C:C,MATCH(RD!G837,매칭테이블!D:D,0))</f>
        <v/>
      </c>
      <c r="F837" s="9" t="inlineStr">
        <is>
          <t>카페24</t>
        </is>
      </c>
      <c r="G837" s="9" t="inlineStr">
        <is>
          <t>(플친전용)HAIR RÉ:COVERY 15 Hairpack Treatment [헤어 리커버리 15 헤어팩 트리트먼트]제품선택=헤어팩 트리트먼트 2개 세트</t>
        </is>
      </c>
      <c r="H837" s="9" t="n">
        <v>3</v>
      </c>
      <c r="I837" s="9">
        <f>VLOOKUP(G837,매칭테이블!D:E,2,0)</f>
        <v/>
      </c>
      <c r="J837" s="9" t="n">
        <v>201210</v>
      </c>
      <c r="L837" s="9">
        <f>VLOOKUP($O837,매칭테이블!$G:$J,2,0)*H837</f>
        <v/>
      </c>
      <c r="M837" s="9">
        <f>L837-L837*VLOOKUP($O837,매칭테이블!$G:$J,3,0)</f>
        <v/>
      </c>
      <c r="N837" s="9">
        <f>VLOOKUP($O837,매칭테이블!$G:$J,4,0)*H837</f>
        <v/>
      </c>
      <c r="O837" s="9">
        <f>F837&amp;E837&amp;G837&amp;J837</f>
        <v/>
      </c>
    </row>
    <row r="838">
      <c r="B838" s="10" t="n">
        <v>44223</v>
      </c>
      <c r="C838" s="9">
        <f>TEXT(B838,"aaa")</f>
        <v/>
      </c>
      <c r="E838" s="9">
        <f>INDEX(매칭테이블!C:C,MATCH(RD!G838,매칭테이블!D:D,0))</f>
        <v/>
      </c>
      <c r="F838" s="9" t="inlineStr">
        <is>
          <t>카페24</t>
        </is>
      </c>
      <c r="G838" s="9" t="inlineStr">
        <is>
          <t>(플친전용)HAIR RÉ:COVERY 15 Hairpack Treatment [헤어 리커버리 15 헤어팩 트리트먼트]제품선택=헤어팩 트리트먼트 1개 + 뉴트리셔스 밤 1개 세트</t>
        </is>
      </c>
      <c r="H838" s="9" t="n">
        <v>2</v>
      </c>
      <c r="I838" s="9">
        <f>VLOOKUP(G838,매칭테이블!D:E,2,0)</f>
        <v/>
      </c>
      <c r="J838" s="9" t="n">
        <v>201210</v>
      </c>
      <c r="L838" s="9">
        <f>VLOOKUP($O838,매칭테이블!$G:$J,2,0)*H838</f>
        <v/>
      </c>
      <c r="M838" s="9">
        <f>L838-L838*VLOOKUP($O838,매칭테이블!$G:$J,3,0)</f>
        <v/>
      </c>
      <c r="N838" s="9">
        <f>VLOOKUP($O838,매칭테이블!$G:$J,4,0)*H838</f>
        <v/>
      </c>
      <c r="O838" s="9">
        <f>F838&amp;E838&amp;G838&amp;J838</f>
        <v/>
      </c>
    </row>
    <row r="839">
      <c r="B839" s="10" t="n">
        <v>44223</v>
      </c>
      <c r="C839" s="9">
        <f>TEXT(B839,"aaa")</f>
        <v/>
      </c>
      <c r="E839" s="9">
        <f>INDEX(매칭테이블!C:C,MATCH(RD!G839,매칭테이블!D:D,0))</f>
        <v/>
      </c>
      <c r="F839" s="9" t="inlineStr">
        <is>
          <t>카페24</t>
        </is>
      </c>
      <c r="G839" s="9" t="inlineStr">
        <is>
          <t>(플친전용)HAIR RÉ:COVERY 15 Nutritious Balm [헤어 리커버리 15 뉴트리셔스 밤]제품선택=헤어 리커버리 15 뉴트리셔스 밤</t>
        </is>
      </c>
      <c r="H839" s="9" t="n">
        <v>3</v>
      </c>
      <c r="I839" s="9">
        <f>VLOOKUP(G839,매칭테이블!D:E,2,0)</f>
        <v/>
      </c>
      <c r="J839" s="9" t="n">
        <v>201210</v>
      </c>
      <c r="L839" s="9">
        <f>VLOOKUP($O839,매칭테이블!$G:$J,2,0)*H839</f>
        <v/>
      </c>
      <c r="M839" s="9">
        <f>L839-L839*VLOOKUP($O839,매칭테이블!$G:$J,3,0)</f>
        <v/>
      </c>
      <c r="N839" s="9">
        <f>VLOOKUP($O839,매칭테이블!$G:$J,4,0)*H839</f>
        <v/>
      </c>
      <c r="O839" s="9">
        <f>F839&amp;E839&amp;G839&amp;J839</f>
        <v/>
      </c>
    </row>
    <row r="840">
      <c r="B840" s="10" t="n">
        <v>44223</v>
      </c>
      <c r="C840" s="9">
        <f>TEXT(B840,"aaa")</f>
        <v/>
      </c>
      <c r="E840" s="9">
        <f>INDEX(매칭테이블!C:C,MATCH(RD!G840,매칭테이블!D:D,0))</f>
        <v/>
      </c>
      <c r="F840" s="9" t="inlineStr">
        <is>
          <t>카페24</t>
        </is>
      </c>
      <c r="G840" s="9" t="inlineStr">
        <is>
          <t>(플친전용)HAIR RÉ:COVERY 15 Nutritious Balm [헤어 리커버리 15 뉴트리셔스 밤]제품선택=뉴트리셔스 밤 2개 세트</t>
        </is>
      </c>
      <c r="H840" s="9" t="n">
        <v>1</v>
      </c>
      <c r="I840" s="9">
        <f>VLOOKUP(G840,매칭테이블!D:E,2,0)</f>
        <v/>
      </c>
      <c r="J840" s="9" t="n">
        <v>201210</v>
      </c>
      <c r="L840" s="9">
        <f>VLOOKUP($O840,매칭테이블!$G:$J,2,0)*H840</f>
        <v/>
      </c>
      <c r="M840" s="9">
        <f>L840-L840*VLOOKUP($O840,매칭테이블!$G:$J,3,0)</f>
        <v/>
      </c>
      <c r="N840" s="9">
        <f>VLOOKUP($O840,매칭테이블!$G:$J,4,0)*H840</f>
        <v/>
      </c>
      <c r="O840" s="9">
        <f>F840&amp;E840&amp;G840&amp;J840</f>
        <v/>
      </c>
    </row>
    <row r="841">
      <c r="B841" s="10" t="n">
        <v>44223</v>
      </c>
      <c r="C841" s="9">
        <f>TEXT(B841,"aaa")</f>
        <v/>
      </c>
      <c r="E841" s="9">
        <f>INDEX(매칭테이블!C:C,MATCH(RD!G841,매칭테이블!D:D,0))</f>
        <v/>
      </c>
      <c r="F841" s="9" t="inlineStr">
        <is>
          <t>카페24</t>
        </is>
      </c>
      <c r="G841" s="9" t="inlineStr">
        <is>
          <t>(플친전용)HAIR RÉ:COVERY 15 Nutritious Balm [헤어 리커버리 15 뉴트리셔스 밤]제품선택=뉴트리셔스밤 1개 + 헤어팩 트리트먼트 1개 세트</t>
        </is>
      </c>
      <c r="H841" s="9" t="n">
        <v>3</v>
      </c>
      <c r="I841" s="9">
        <f>VLOOKUP(G841,매칭테이블!D:E,2,0)</f>
        <v/>
      </c>
      <c r="J841" s="9" t="n">
        <v>201210</v>
      </c>
      <c r="L841" s="9">
        <f>VLOOKUP($O841,매칭테이블!$G:$J,2,0)*H841</f>
        <v/>
      </c>
      <c r="M841" s="9">
        <f>L841-L841*VLOOKUP($O841,매칭테이블!$G:$J,3,0)</f>
        <v/>
      </c>
      <c r="N841" s="9">
        <f>VLOOKUP($O841,매칭테이블!$G:$J,4,0)*H841</f>
        <v/>
      </c>
      <c r="O841" s="9">
        <f>F841&amp;E841&amp;G841&amp;J841</f>
        <v/>
      </c>
    </row>
    <row r="842">
      <c r="B842" s="10" t="n">
        <v>44223</v>
      </c>
      <c r="C842" s="9">
        <f>TEXT(B842,"aaa")</f>
        <v/>
      </c>
      <c r="E842" s="9">
        <f>INDEX(매칭테이블!C:C,MATCH(RD!G842,매칭테이블!D:D,0))</f>
        <v/>
      </c>
      <c r="F842" s="9" t="inlineStr">
        <is>
          <t>카페24</t>
        </is>
      </c>
      <c r="G842" s="9" t="inlineStr">
        <is>
          <t>라베나 리커버리 15 뉴트리셔스 밤 [HAIR RÉ:COVERY 15 Nutritious Balm]제품선택=헤어 리커버리 15 뉴트리셔스 밤</t>
        </is>
      </c>
      <c r="H842" s="9" t="n">
        <v>6</v>
      </c>
      <c r="I842" s="9">
        <f>VLOOKUP(G842,매칭테이블!D:E,2,0)</f>
        <v/>
      </c>
      <c r="J842" s="9" t="n">
        <v>201210</v>
      </c>
      <c r="L842" s="9">
        <f>VLOOKUP($O842,매칭테이블!$G:$J,2,0)*H842</f>
        <v/>
      </c>
      <c r="M842" s="9">
        <f>L842-L842*VLOOKUP($O842,매칭테이블!$G:$J,3,0)</f>
        <v/>
      </c>
      <c r="N842" s="9">
        <f>VLOOKUP($O842,매칭테이블!$G:$J,4,0)*H842</f>
        <v/>
      </c>
      <c r="O842" s="9">
        <f>F842&amp;E842&amp;G842&amp;J842</f>
        <v/>
      </c>
    </row>
    <row r="843">
      <c r="B843" s="10" t="n">
        <v>44223</v>
      </c>
      <c r="C843" s="9">
        <f>TEXT(B843,"aaa")</f>
        <v/>
      </c>
      <c r="E843" s="9">
        <f>INDEX(매칭테이블!C:C,MATCH(RD!G843,매칭테이블!D:D,0))</f>
        <v/>
      </c>
      <c r="F843" s="9" t="inlineStr">
        <is>
          <t>카페24</t>
        </is>
      </c>
      <c r="G843" s="9" t="inlineStr">
        <is>
          <t>라베나 리커버리 15 리바이탈 샴푸 [HAIR RÉ:COVERY 15 Revital Shampoo]제품선택=헤어 리커버리 15 리바이탈 샴푸 - 500ml</t>
        </is>
      </c>
      <c r="H843" s="9" t="n">
        <v>139</v>
      </c>
      <c r="I843" s="9">
        <f>VLOOKUP(G843,매칭테이블!D:E,2,0)</f>
        <v/>
      </c>
      <c r="J843" s="9" t="n">
        <v>201210</v>
      </c>
      <c r="L843" s="9">
        <f>VLOOKUP($O843,매칭테이블!$G:$J,2,0)*H843</f>
        <v/>
      </c>
      <c r="M843" s="9">
        <f>L843-L843*VLOOKUP($O843,매칭테이블!$G:$J,3,0)</f>
        <v/>
      </c>
      <c r="N843" s="9">
        <f>VLOOKUP($O843,매칭테이블!$G:$J,4,0)*H843</f>
        <v/>
      </c>
      <c r="O843" s="9">
        <f>F843&amp;E843&amp;G843&amp;J843</f>
        <v/>
      </c>
    </row>
    <row r="844">
      <c r="B844" s="10" t="n">
        <v>44223</v>
      </c>
      <c r="C844" s="9">
        <f>TEXT(B844,"aaa")</f>
        <v/>
      </c>
      <c r="E844" s="9">
        <f>INDEX(매칭테이블!C:C,MATCH(RD!G844,매칭테이블!D:D,0))</f>
        <v/>
      </c>
      <c r="F844" s="9" t="inlineStr">
        <is>
          <t>카페24</t>
        </is>
      </c>
      <c r="G844" s="9" t="inlineStr">
        <is>
          <t>라베나 리커버리 15 리바이탈 샴푸 [HAIR RÉ:COVERY 15 Revital Shampoo]제품선택=리바이탈 샴푸 2개 세트 5%추가할인</t>
        </is>
      </c>
      <c r="H844" s="9" t="n">
        <v>45</v>
      </c>
      <c r="I844" s="9">
        <f>VLOOKUP(G844,매칭테이블!D:E,2,0)</f>
        <v/>
      </c>
      <c r="J844" s="9" t="n">
        <v>201210</v>
      </c>
      <c r="L844" s="9">
        <f>VLOOKUP($O844,매칭테이블!$G:$J,2,0)*H844</f>
        <v/>
      </c>
      <c r="M844" s="9">
        <f>L844-L844*VLOOKUP($O844,매칭테이블!$G:$J,3,0)</f>
        <v/>
      </c>
      <c r="N844" s="9">
        <f>VLOOKUP($O844,매칭테이블!$G:$J,4,0)*H844</f>
        <v/>
      </c>
      <c r="O844" s="9">
        <f>F844&amp;E844&amp;G844&amp;J844</f>
        <v/>
      </c>
    </row>
    <row r="845">
      <c r="B845" s="10" t="n">
        <v>44223</v>
      </c>
      <c r="C845" s="9">
        <f>TEXT(B845,"aaa")</f>
        <v/>
      </c>
      <c r="E845" s="9">
        <f>INDEX(매칭테이블!C:C,MATCH(RD!G845,매칭테이블!D:D,0))</f>
        <v/>
      </c>
      <c r="F845" s="9" t="inlineStr">
        <is>
          <t>카페24</t>
        </is>
      </c>
      <c r="G845" s="9" t="inlineStr">
        <is>
          <t>라베나 리커버리 15 리바이탈 샴푸 [HAIR RÉ:COVERY 15 Revital Shampoo]제품선택=리바이탈 샴푸 3개 세트 10% 추가할인</t>
        </is>
      </c>
      <c r="H845" s="9" t="n">
        <v>15</v>
      </c>
      <c r="I845" s="9">
        <f>VLOOKUP(G845,매칭테이블!D:E,2,0)</f>
        <v/>
      </c>
      <c r="J845" s="9" t="n">
        <v>201210</v>
      </c>
      <c r="L845" s="9">
        <f>VLOOKUP($O845,매칭테이블!$G:$J,2,0)*H845</f>
        <v/>
      </c>
      <c r="M845" s="9">
        <f>L845-L845*VLOOKUP($O845,매칭테이블!$G:$J,3,0)</f>
        <v/>
      </c>
      <c r="N845" s="9">
        <f>VLOOKUP($O845,매칭테이블!$G:$J,4,0)*H845</f>
        <v/>
      </c>
      <c r="O845" s="9">
        <f>F845&amp;E845&amp;G845&amp;J845</f>
        <v/>
      </c>
    </row>
    <row r="846">
      <c r="B846" s="10" t="n">
        <v>44223</v>
      </c>
      <c r="C846" s="9">
        <f>TEXT(B846,"aaa")</f>
        <v/>
      </c>
      <c r="E846" s="9">
        <f>INDEX(매칭테이블!C:C,MATCH(RD!G846,매칭테이블!D:D,0))</f>
        <v/>
      </c>
      <c r="F846" s="9" t="inlineStr">
        <is>
          <t>카페24</t>
        </is>
      </c>
      <c r="G846" s="9" t="inlineStr">
        <is>
          <t>라베나 리커버리 15 헤어팩 트리트먼트 [HAIR RÉ:COVERY 15 Hairpack Treatment]제품선택=헤어 리커버리 15 헤어팩 트리트먼트</t>
        </is>
      </c>
      <c r="H846" s="9" t="n">
        <v>5</v>
      </c>
      <c r="I846" s="9">
        <f>VLOOKUP(G846,매칭테이블!D:E,2,0)</f>
        <v/>
      </c>
      <c r="J846" s="9" t="n">
        <v>201210</v>
      </c>
      <c r="L846" s="9">
        <f>VLOOKUP($O846,매칭테이블!$G:$J,2,0)*H846</f>
        <v/>
      </c>
      <c r="M846" s="9">
        <f>L846-L846*VLOOKUP($O846,매칭테이블!$G:$J,3,0)</f>
        <v/>
      </c>
      <c r="N846" s="9">
        <f>VLOOKUP($O846,매칭테이블!$G:$J,4,0)*H846</f>
        <v/>
      </c>
      <c r="O846" s="9">
        <f>F846&amp;E846&amp;G846&amp;J846</f>
        <v/>
      </c>
    </row>
    <row r="847">
      <c r="B847" s="10" t="n">
        <v>44223</v>
      </c>
      <c r="C847" s="9">
        <f>TEXT(B847,"aaa")</f>
        <v/>
      </c>
      <c r="E847" s="9">
        <f>INDEX(매칭테이블!C:C,MATCH(RD!G847,매칭테이블!D:D,0))</f>
        <v/>
      </c>
      <c r="F847" s="9" t="inlineStr">
        <is>
          <t>카페24</t>
        </is>
      </c>
      <c r="G847" s="9" t="inlineStr">
        <is>
          <t>라베나 리커버리 15 헤어팩 트리트먼트 [HAIR RÉ:COVERY 15 Hairpack Treatment]제품선택=헤어팩 트리트먼트 1개 + 뉴트리셔스밤 1개 세트 5% 추가할인</t>
        </is>
      </c>
      <c r="H847" s="9" t="n">
        <v>1</v>
      </c>
      <c r="I847" s="9">
        <f>VLOOKUP(G847,매칭테이블!D:E,2,0)</f>
        <v/>
      </c>
      <c r="J847" s="9" t="n">
        <v>201210</v>
      </c>
      <c r="L847" s="9">
        <f>VLOOKUP($O847,매칭테이블!$G:$J,2,0)*H847</f>
        <v/>
      </c>
      <c r="M847" s="9">
        <f>L847-L847*VLOOKUP($O847,매칭테이블!$G:$J,3,0)</f>
        <v/>
      </c>
      <c r="N847" s="9">
        <f>VLOOKUP($O847,매칭테이블!$G:$J,4,0)*H847</f>
        <v/>
      </c>
      <c r="O847" s="9">
        <f>F847&amp;E847&amp;G847&amp;J847</f>
        <v/>
      </c>
    </row>
    <row r="848">
      <c r="B848" s="10" t="n">
        <v>44223</v>
      </c>
      <c r="C848" s="9">
        <f>TEXT(B848,"aaa")</f>
        <v/>
      </c>
      <c r="E848" s="9">
        <f>INDEX(매칭테이블!C:C,MATCH(RD!G848,매칭테이블!D:D,0))</f>
        <v/>
      </c>
      <c r="F848" s="9" t="inlineStr">
        <is>
          <t>카페24</t>
        </is>
      </c>
      <c r="G848" s="9" t="inlineStr">
        <is>
          <t>헤어 리커버리 15 리바이탈 샴푸</t>
        </is>
      </c>
      <c r="H848" s="9" t="n">
        <v>4</v>
      </c>
      <c r="I848" s="9">
        <f>VLOOKUP(G848,매칭테이블!D:E,2,0)</f>
        <v/>
      </c>
      <c r="J848" s="9" t="n">
        <v>201210</v>
      </c>
      <c r="L848" s="9">
        <f>VLOOKUP($O848,매칭테이블!$G:$J,2,0)*H848</f>
        <v/>
      </c>
      <c r="M848" s="9">
        <f>L848-L848*VLOOKUP($O848,매칭테이블!$G:$J,3,0)</f>
        <v/>
      </c>
      <c r="N848" s="9">
        <f>VLOOKUP($O848,매칭테이블!$G:$J,4,0)*H848</f>
        <v/>
      </c>
      <c r="O848" s="9">
        <f>F848&amp;E848&amp;G848&amp;J848</f>
        <v/>
      </c>
    </row>
    <row r="849">
      <c r="B849" s="10" t="n">
        <v>44224</v>
      </c>
      <c r="C849" s="9">
        <f>TEXT(B849,"aaa")</f>
        <v/>
      </c>
      <c r="E849" s="9">
        <f>INDEX(매칭테이블!C:C,MATCH(RD!G849,매칭테이블!D:D,0))</f>
        <v/>
      </c>
      <c r="F849" s="9" t="inlineStr">
        <is>
          <t>카페24</t>
        </is>
      </c>
      <c r="G849" s="9" t="inlineStr">
        <is>
          <t>(플친전용)HAIR RÉ:COVERY 15 Hairpack Treatment [헤어 리커버리 15 헤어팩 트리트먼트]제품선택=헤어 리커버리 15 헤어팩 트리트먼트</t>
        </is>
      </c>
      <c r="H849" s="9" t="n">
        <v>3</v>
      </c>
      <c r="I849" s="9">
        <f>VLOOKUP(G849,매칭테이블!D:E,2,0)</f>
        <v/>
      </c>
      <c r="J849" s="9" t="n">
        <v>201210</v>
      </c>
      <c r="L849" s="9">
        <f>VLOOKUP($O849,매칭테이블!$G:$J,2,0)*H849</f>
        <v/>
      </c>
      <c r="M849" s="9">
        <f>L849-L849*VLOOKUP($O849,매칭테이블!$G:$J,3,0)</f>
        <v/>
      </c>
      <c r="N849" s="9">
        <f>VLOOKUP($O849,매칭테이블!$G:$J,4,0)*H849</f>
        <v/>
      </c>
      <c r="O849" s="9">
        <f>F849&amp;E849&amp;G849&amp;J849</f>
        <v/>
      </c>
    </row>
    <row r="850">
      <c r="B850" s="10" t="n">
        <v>44224</v>
      </c>
      <c r="C850" s="9">
        <f>TEXT(B850,"aaa")</f>
        <v/>
      </c>
      <c r="E850" s="9">
        <f>INDEX(매칭테이블!C:C,MATCH(RD!G850,매칭테이블!D:D,0))</f>
        <v/>
      </c>
      <c r="F850" s="9" t="inlineStr">
        <is>
          <t>카페24</t>
        </is>
      </c>
      <c r="G850" s="9" t="inlineStr">
        <is>
          <t>(플친전용)HAIR RÉ:COVERY 15 Nutritious Balm [헤어 리커버리 15 뉴트리셔스 밤]제품선택=헤어 리커버리 15 뉴트리셔스 밤</t>
        </is>
      </c>
      <c r="H850" s="9" t="n">
        <v>2</v>
      </c>
      <c r="I850" s="9">
        <f>VLOOKUP(G850,매칭테이블!D:E,2,0)</f>
        <v/>
      </c>
      <c r="J850" s="9" t="n">
        <v>201210</v>
      </c>
      <c r="L850" s="9">
        <f>VLOOKUP($O850,매칭테이블!$G:$J,2,0)*H850</f>
        <v/>
      </c>
      <c r="M850" s="9">
        <f>L850-L850*VLOOKUP($O850,매칭테이블!$G:$J,3,0)</f>
        <v/>
      </c>
      <c r="N850" s="9">
        <f>VLOOKUP($O850,매칭테이블!$G:$J,4,0)*H850</f>
        <v/>
      </c>
      <c r="O850" s="9">
        <f>F850&amp;E850&amp;G850&amp;J850</f>
        <v/>
      </c>
    </row>
    <row r="851">
      <c r="B851" s="10" t="n">
        <v>44224</v>
      </c>
      <c r="C851" s="9">
        <f>TEXT(B851,"aaa")</f>
        <v/>
      </c>
      <c r="E851" s="9">
        <f>INDEX(매칭테이블!C:C,MATCH(RD!G851,매칭테이블!D:D,0))</f>
        <v/>
      </c>
      <c r="F851" s="9" t="inlineStr">
        <is>
          <t>카페24</t>
        </is>
      </c>
      <c r="G851" s="9" t="inlineStr">
        <is>
          <t>(플친전용)HAIR RÉ:COVERY 15 Nutritious Balm [헤어 리커버리 15 뉴트리셔스 밤]제품선택=뉴트리셔스 밤 2개 세트</t>
        </is>
      </c>
      <c r="H851" s="9" t="n">
        <v>1</v>
      </c>
      <c r="I851" s="9">
        <f>VLOOKUP(G851,매칭테이블!D:E,2,0)</f>
        <v/>
      </c>
      <c r="J851" s="9" t="n">
        <v>201210</v>
      </c>
      <c r="L851" s="9">
        <f>VLOOKUP($O851,매칭테이블!$G:$J,2,0)*H851</f>
        <v/>
      </c>
      <c r="M851" s="9">
        <f>L851-L851*VLOOKUP($O851,매칭테이블!$G:$J,3,0)</f>
        <v/>
      </c>
      <c r="N851" s="9">
        <f>VLOOKUP($O851,매칭테이블!$G:$J,4,0)*H851</f>
        <v/>
      </c>
      <c r="O851" s="9">
        <f>F851&amp;E851&amp;G851&amp;J851</f>
        <v/>
      </c>
    </row>
    <row r="852">
      <c r="B852" s="10" t="n">
        <v>44224</v>
      </c>
      <c r="C852" s="9">
        <f>TEXT(B852,"aaa")</f>
        <v/>
      </c>
      <c r="E852" s="9">
        <f>INDEX(매칭테이블!C:C,MATCH(RD!G852,매칭테이블!D:D,0))</f>
        <v/>
      </c>
      <c r="F852" s="9" t="inlineStr">
        <is>
          <t>카페24</t>
        </is>
      </c>
      <c r="G852" s="9" t="inlineStr">
        <is>
          <t>라베나 리커버리 15 뉴트리셔스 밤 [HAIR RÉ:COVERY 15 Nutritious Balm]제품선택=헤어 리커버리 15 뉴트리셔스 밤</t>
        </is>
      </c>
      <c r="H852" s="9" t="n">
        <v>1</v>
      </c>
      <c r="I852" s="9">
        <f>VLOOKUP(G852,매칭테이블!D:E,2,0)</f>
        <v/>
      </c>
      <c r="J852" s="9" t="n">
        <v>201210</v>
      </c>
      <c r="L852" s="9">
        <f>VLOOKUP($O852,매칭테이블!$G:$J,2,0)*H852</f>
        <v/>
      </c>
      <c r="M852" s="9">
        <f>L852-L852*VLOOKUP($O852,매칭테이블!$G:$J,3,0)</f>
        <v/>
      </c>
      <c r="N852" s="9">
        <f>VLOOKUP($O852,매칭테이블!$G:$J,4,0)*H852</f>
        <v/>
      </c>
      <c r="O852" s="9">
        <f>F852&amp;E852&amp;G852&amp;J852</f>
        <v/>
      </c>
    </row>
    <row r="853">
      <c r="B853" s="10" t="n">
        <v>44224</v>
      </c>
      <c r="C853" s="9">
        <f>TEXT(B853,"aaa")</f>
        <v/>
      </c>
      <c r="E853" s="9">
        <f>INDEX(매칭테이블!C:C,MATCH(RD!G853,매칭테이블!D:D,0))</f>
        <v/>
      </c>
      <c r="F853" s="9" t="inlineStr">
        <is>
          <t>카페24</t>
        </is>
      </c>
      <c r="G853" s="9" t="inlineStr">
        <is>
          <t>라베나 리커버리 15 리바이탈 샴푸 [HAIR RÉ:COVERY 15 Revital Shampoo]제품선택=헤어 리커버리 15 리바이탈 샴푸 - 500ml</t>
        </is>
      </c>
      <c r="H853" s="9" t="n">
        <v>146</v>
      </c>
      <c r="I853" s="9">
        <f>VLOOKUP(G853,매칭테이블!D:E,2,0)</f>
        <v/>
      </c>
      <c r="J853" s="9" t="n">
        <v>201210</v>
      </c>
      <c r="L853" s="9">
        <f>VLOOKUP($O853,매칭테이블!$G:$J,2,0)*H853</f>
        <v/>
      </c>
      <c r="M853" s="9">
        <f>L853-L853*VLOOKUP($O853,매칭테이블!$G:$J,3,0)</f>
        <v/>
      </c>
      <c r="N853" s="9">
        <f>VLOOKUP($O853,매칭테이블!$G:$J,4,0)*H853</f>
        <v/>
      </c>
      <c r="O853" s="9">
        <f>F853&amp;E853&amp;G853&amp;J853</f>
        <v/>
      </c>
    </row>
    <row r="854">
      <c r="B854" s="10" t="n">
        <v>44224</v>
      </c>
      <c r="C854" s="9">
        <f>TEXT(B854,"aaa")</f>
        <v/>
      </c>
      <c r="E854" s="9">
        <f>INDEX(매칭테이블!C:C,MATCH(RD!G854,매칭테이블!D:D,0))</f>
        <v/>
      </c>
      <c r="F854" s="9" t="inlineStr">
        <is>
          <t>카페24</t>
        </is>
      </c>
      <c r="G854" s="9" t="inlineStr">
        <is>
          <t>라베나 리커버리 15 리바이탈 샴푸 [HAIR RÉ:COVERY 15 Revital Shampoo]제품선택=리바이탈 샴푸 2개 세트 5%추가할인</t>
        </is>
      </c>
      <c r="H854" s="9" t="n">
        <v>43</v>
      </c>
      <c r="I854" s="9">
        <f>VLOOKUP(G854,매칭테이블!D:E,2,0)</f>
        <v/>
      </c>
      <c r="J854" s="9" t="n">
        <v>201210</v>
      </c>
      <c r="L854" s="9">
        <f>VLOOKUP($O854,매칭테이블!$G:$J,2,0)*H854</f>
        <v/>
      </c>
      <c r="M854" s="9">
        <f>L854-L854*VLOOKUP($O854,매칭테이블!$G:$J,3,0)</f>
        <v/>
      </c>
      <c r="N854" s="9">
        <f>VLOOKUP($O854,매칭테이블!$G:$J,4,0)*H854</f>
        <v/>
      </c>
      <c r="O854" s="9">
        <f>F854&amp;E854&amp;G854&amp;J854</f>
        <v/>
      </c>
    </row>
    <row r="855">
      <c r="B855" s="10" t="n">
        <v>44224</v>
      </c>
      <c r="C855" s="9">
        <f>TEXT(B855,"aaa")</f>
        <v/>
      </c>
      <c r="E855" s="9">
        <f>INDEX(매칭테이블!C:C,MATCH(RD!G855,매칭테이블!D:D,0))</f>
        <v/>
      </c>
      <c r="F855" s="9" t="inlineStr">
        <is>
          <t>카페24</t>
        </is>
      </c>
      <c r="G855" s="9" t="inlineStr">
        <is>
          <t>라베나 리커버리 15 리바이탈 샴푸 [HAIR RÉ:COVERY 15 Revital Shampoo]제품선택=리바이탈 샴푸 3개 세트 10% 추가할인</t>
        </is>
      </c>
      <c r="H855" s="9" t="n">
        <v>24</v>
      </c>
      <c r="I855" s="9">
        <f>VLOOKUP(G855,매칭테이블!D:E,2,0)</f>
        <v/>
      </c>
      <c r="J855" s="9" t="n">
        <v>201210</v>
      </c>
      <c r="L855" s="9">
        <f>VLOOKUP($O855,매칭테이블!$G:$J,2,0)*H855</f>
        <v/>
      </c>
      <c r="M855" s="9">
        <f>L855-L855*VLOOKUP($O855,매칭테이블!$G:$J,3,0)</f>
        <v/>
      </c>
      <c r="N855" s="9">
        <f>VLOOKUP($O855,매칭테이블!$G:$J,4,0)*H855</f>
        <v/>
      </c>
      <c r="O855" s="9">
        <f>F855&amp;E855&amp;G855&amp;J855</f>
        <v/>
      </c>
    </row>
    <row r="856">
      <c r="B856" s="10" t="n">
        <v>44224</v>
      </c>
      <c r="C856" s="9">
        <f>TEXT(B856,"aaa")</f>
        <v/>
      </c>
      <c r="E856" s="9">
        <f>INDEX(매칭테이블!C:C,MATCH(RD!G856,매칭테이블!D:D,0))</f>
        <v/>
      </c>
      <c r="F856" s="9" t="inlineStr">
        <is>
          <t>카페24</t>
        </is>
      </c>
      <c r="G856" s="9" t="inlineStr">
        <is>
          <t>라베나 리커버리 15 헤어팩 트리트먼트 [HAIR RÉ:COVERY 15 Hairpack Treatment]제품선택=헤어 리커버리 15 헤어팩 트리트먼트</t>
        </is>
      </c>
      <c r="H856" s="9" t="n">
        <v>3</v>
      </c>
      <c r="I856" s="9">
        <f>VLOOKUP(G856,매칭테이블!D:E,2,0)</f>
        <v/>
      </c>
      <c r="J856" s="9" t="n">
        <v>201210</v>
      </c>
      <c r="L856" s="9">
        <f>VLOOKUP($O856,매칭테이블!$G:$J,2,0)*H856</f>
        <v/>
      </c>
      <c r="M856" s="9">
        <f>L856-L856*VLOOKUP($O856,매칭테이블!$G:$J,3,0)</f>
        <v/>
      </c>
      <c r="N856" s="9">
        <f>VLOOKUP($O856,매칭테이블!$G:$J,4,0)*H856</f>
        <v/>
      </c>
      <c r="O856" s="9">
        <f>F856&amp;E856&amp;G856&amp;J856</f>
        <v/>
      </c>
    </row>
    <row r="857">
      <c r="B857" s="10" t="n">
        <v>44224</v>
      </c>
      <c r="C857" s="9">
        <f>TEXT(B857,"aaa")</f>
        <v/>
      </c>
      <c r="E857" s="9">
        <f>INDEX(매칭테이블!C:C,MATCH(RD!G857,매칭테이블!D:D,0))</f>
        <v/>
      </c>
      <c r="F857" s="9" t="inlineStr">
        <is>
          <t>카페24</t>
        </is>
      </c>
      <c r="G857" s="9" t="inlineStr">
        <is>
          <t>라베나 리커버리 15 헤어팩 트리트먼트 [HAIR RÉ:COVERY 15 Hairpack Treatment]제품선택=헤어팩 트리트먼트 2개 세트 5% 추가할인</t>
        </is>
      </c>
      <c r="H857" s="9" t="n">
        <v>2</v>
      </c>
      <c r="I857" s="9">
        <f>VLOOKUP(G857,매칭테이블!D:E,2,0)</f>
        <v/>
      </c>
      <c r="J857" s="9" t="n">
        <v>201210</v>
      </c>
      <c r="L857" s="9">
        <f>VLOOKUP($O857,매칭테이블!$G:$J,2,0)*H857</f>
        <v/>
      </c>
      <c r="M857" s="9">
        <f>L857-L857*VLOOKUP($O857,매칭테이블!$G:$J,3,0)</f>
        <v/>
      </c>
      <c r="N857" s="9">
        <f>VLOOKUP($O857,매칭테이블!$G:$J,4,0)*H857</f>
        <v/>
      </c>
      <c r="O857" s="9">
        <f>F857&amp;E857&amp;G857&amp;J857</f>
        <v/>
      </c>
    </row>
    <row r="858">
      <c r="B858" s="10" t="n">
        <v>44224</v>
      </c>
      <c r="C858" s="9">
        <f>TEXT(B858,"aaa")</f>
        <v/>
      </c>
      <c r="E858" s="9">
        <f>INDEX(매칭테이블!C:C,MATCH(RD!G858,매칭테이블!D:D,0))</f>
        <v/>
      </c>
      <c r="F858" s="9" t="inlineStr">
        <is>
          <t>카페24</t>
        </is>
      </c>
      <c r="G858" s="9" t="inlineStr">
        <is>
          <t>라베나 리커버리 15 헤어팩 트리트먼트 [HAIR RÉ:COVERY 15 Hairpack Treatment]제품선택=헤어팩 트리트먼트 3개 세트 10% 추가할인</t>
        </is>
      </c>
      <c r="H858" s="9" t="n">
        <v>2</v>
      </c>
      <c r="I858" s="9">
        <f>VLOOKUP(G858,매칭테이블!D:E,2,0)</f>
        <v/>
      </c>
      <c r="J858" s="9" t="n">
        <v>201210</v>
      </c>
      <c r="L858" s="9">
        <f>VLOOKUP($O858,매칭테이블!$G:$J,2,0)*H858</f>
        <v/>
      </c>
      <c r="M858" s="9">
        <f>L858-L858*VLOOKUP($O858,매칭테이블!$G:$J,3,0)</f>
        <v/>
      </c>
      <c r="N858" s="9">
        <f>VLOOKUP($O858,매칭테이블!$G:$J,4,0)*H858</f>
        <v/>
      </c>
      <c r="O858" s="9">
        <f>F858&amp;E858&amp;G858&amp;J858</f>
        <v/>
      </c>
    </row>
    <row r="859">
      <c r="B859" s="10" t="n">
        <v>44224</v>
      </c>
      <c r="C859" s="9">
        <f>TEXT(B859,"aaa")</f>
        <v/>
      </c>
      <c r="E859" s="9">
        <f>INDEX(매칭테이블!C:C,MATCH(RD!G859,매칭테이블!D:D,0))</f>
        <v/>
      </c>
      <c r="F859" s="9" t="inlineStr">
        <is>
          <t>카페24</t>
        </is>
      </c>
      <c r="G859" s="9" t="inlineStr">
        <is>
          <t>라베나 리커버리 15 헤어팩 트리트먼트 [HAIR RÉ:COVERY 15 Hairpack Treatment]제품선택=헤어팩 트리트먼트 1개 + 뉴트리셔스밤 1개 세트 5% 추가할인</t>
        </is>
      </c>
      <c r="H859" s="9" t="n">
        <v>1</v>
      </c>
      <c r="I859" s="9">
        <f>VLOOKUP(G859,매칭테이블!D:E,2,0)</f>
        <v/>
      </c>
      <c r="J859" s="9" t="n">
        <v>201210</v>
      </c>
      <c r="L859" s="9">
        <f>VLOOKUP($O859,매칭테이블!$G:$J,2,0)*H859</f>
        <v/>
      </c>
      <c r="M859" s="9">
        <f>L859-L859*VLOOKUP($O859,매칭테이블!$G:$J,3,0)</f>
        <v/>
      </c>
      <c r="N859" s="9">
        <f>VLOOKUP($O859,매칭테이블!$G:$J,4,0)*H859</f>
        <v/>
      </c>
      <c r="O859" s="9">
        <f>F859&amp;E859&amp;G859&amp;J859</f>
        <v/>
      </c>
    </row>
    <row r="860">
      <c r="B860" s="10" t="n">
        <v>44224</v>
      </c>
      <c r="C860" s="9">
        <f>TEXT(B860,"aaa")</f>
        <v/>
      </c>
      <c r="E860" s="9">
        <f>INDEX(매칭테이블!C:C,MATCH(RD!G860,매칭테이블!D:D,0))</f>
        <v/>
      </c>
      <c r="F860" s="9" t="inlineStr">
        <is>
          <t>카페24</t>
        </is>
      </c>
      <c r="G860" s="9" t="inlineStr">
        <is>
          <t>헤어 리커버리 15 리바이탈 샴푸</t>
        </is>
      </c>
      <c r="H860" s="9" t="n">
        <v>4</v>
      </c>
      <c r="I860" s="9">
        <f>VLOOKUP(G860,매칭테이블!D:E,2,0)</f>
        <v/>
      </c>
      <c r="J860" s="9" t="n">
        <v>201210</v>
      </c>
      <c r="L860" s="9">
        <f>VLOOKUP($O860,매칭테이블!$G:$J,2,0)*H860</f>
        <v/>
      </c>
      <c r="M860" s="9">
        <f>L860-L860*VLOOKUP($O860,매칭테이블!$G:$J,3,0)</f>
        <v/>
      </c>
      <c r="N860" s="9">
        <f>VLOOKUP($O860,매칭테이블!$G:$J,4,0)*H860</f>
        <v/>
      </c>
      <c r="O860" s="9">
        <f>F860&amp;E860&amp;G860&amp;J860</f>
        <v/>
      </c>
    </row>
    <row r="861">
      <c r="B861" s="10" t="n">
        <v>44225</v>
      </c>
      <c r="C861" s="9">
        <f>TEXT(B861,"aaa")</f>
        <v/>
      </c>
      <c r="E861" s="9">
        <f>INDEX(매칭테이블!C:C,MATCH(RD!G861,매칭테이블!D:D,0))</f>
        <v/>
      </c>
      <c r="F861" s="9" t="inlineStr">
        <is>
          <t>카페24</t>
        </is>
      </c>
      <c r="G861" s="9" t="inlineStr">
        <is>
          <t>(플친전용)HAIR RÉ:COVERY 15 Hairpack Treatment [헤어 리커버리 15 헤어팩 트리트먼트]제품선택=헤어 리커버리 15 헤어팩 트리트먼트</t>
        </is>
      </c>
      <c r="H861" s="9" t="n">
        <v>9</v>
      </c>
      <c r="I861" s="9">
        <f>VLOOKUP(G861,매칭테이블!D:E,2,0)</f>
        <v/>
      </c>
      <c r="J861" s="9" t="n">
        <v>201210</v>
      </c>
      <c r="L861" s="9">
        <f>VLOOKUP($O861,매칭테이블!$G:$J,2,0)*H861</f>
        <v/>
      </c>
      <c r="M861" s="9">
        <f>L861-L861*VLOOKUP($O861,매칭테이블!$G:$J,3,0)</f>
        <v/>
      </c>
      <c r="N861" s="9">
        <f>VLOOKUP($O861,매칭테이블!$G:$J,4,0)*H861</f>
        <v/>
      </c>
      <c r="O861" s="9">
        <f>F861&amp;E861&amp;G861&amp;J861</f>
        <v/>
      </c>
    </row>
    <row r="862">
      <c r="B862" s="10" t="n">
        <v>44225</v>
      </c>
      <c r="C862" s="9">
        <f>TEXT(B862,"aaa")</f>
        <v/>
      </c>
      <c r="E862" s="9">
        <f>INDEX(매칭테이블!C:C,MATCH(RD!G862,매칭테이블!D:D,0))</f>
        <v/>
      </c>
      <c r="F862" s="9" t="inlineStr">
        <is>
          <t>카페24</t>
        </is>
      </c>
      <c r="G862" s="9" t="inlineStr">
        <is>
          <t>(플친전용)HAIR RÉ:COVERY 15 Hairpack Treatment [헤어 리커버리 15 헤어팩 트리트먼트]제품선택=헤어팩 트리트먼트 2개 세트</t>
        </is>
      </c>
      <c r="H862" s="9" t="n">
        <v>6</v>
      </c>
      <c r="I862" s="9">
        <f>VLOOKUP(G862,매칭테이블!D:E,2,0)</f>
        <v/>
      </c>
      <c r="J862" s="9" t="n">
        <v>201210</v>
      </c>
      <c r="L862" s="9">
        <f>VLOOKUP($O862,매칭테이블!$G:$J,2,0)*H862</f>
        <v/>
      </c>
      <c r="M862" s="9">
        <f>L862-L862*VLOOKUP($O862,매칭테이블!$G:$J,3,0)</f>
        <v/>
      </c>
      <c r="N862" s="9">
        <f>VLOOKUP($O862,매칭테이블!$G:$J,4,0)*H862</f>
        <v/>
      </c>
      <c r="O862" s="9">
        <f>F862&amp;E862&amp;G862&amp;J862</f>
        <v/>
      </c>
    </row>
    <row r="863">
      <c r="B863" s="10" t="n">
        <v>44225</v>
      </c>
      <c r="C863" s="9">
        <f>TEXT(B863,"aaa")</f>
        <v/>
      </c>
      <c r="E863" s="9">
        <f>INDEX(매칭테이블!C:C,MATCH(RD!G863,매칭테이블!D:D,0))</f>
        <v/>
      </c>
      <c r="F863" s="9" t="inlineStr">
        <is>
          <t>카페24</t>
        </is>
      </c>
      <c r="G863" s="9" t="inlineStr">
        <is>
          <t>(플친전용)HAIR RÉ:COVERY 15 Hairpack Treatment [헤어 리커버리 15 헤어팩 트리트먼트]제품선택=헤어팩 트리트먼트 3개 세트</t>
        </is>
      </c>
      <c r="H863" s="9" t="n">
        <v>4</v>
      </c>
      <c r="I863" s="9">
        <f>VLOOKUP(G863,매칭테이블!D:E,2,0)</f>
        <v/>
      </c>
      <c r="J863" s="9" t="n">
        <v>201210</v>
      </c>
      <c r="L863" s="9">
        <f>VLOOKUP($O863,매칭테이블!$G:$J,2,0)*H863</f>
        <v/>
      </c>
      <c r="M863" s="9">
        <f>L863-L863*VLOOKUP($O863,매칭테이블!$G:$J,3,0)</f>
        <v/>
      </c>
      <c r="N863" s="9">
        <f>VLOOKUP($O863,매칭테이블!$G:$J,4,0)*H863</f>
        <v/>
      </c>
      <c r="O863" s="9">
        <f>F863&amp;E863&amp;G863&amp;J863</f>
        <v/>
      </c>
    </row>
    <row r="864">
      <c r="B864" s="10" t="n">
        <v>44225</v>
      </c>
      <c r="C864" s="9">
        <f>TEXT(B864,"aaa")</f>
        <v/>
      </c>
      <c r="E864" s="9">
        <f>INDEX(매칭테이블!C:C,MATCH(RD!G864,매칭테이블!D:D,0))</f>
        <v/>
      </c>
      <c r="F864" s="9" t="inlineStr">
        <is>
          <t>카페24</t>
        </is>
      </c>
      <c r="G864" s="9" t="inlineStr">
        <is>
          <t>(플친전용)HAIR RÉ:COVERY 15 Hairpack Treatment [헤어 리커버리 15 헤어팩 트리트먼트]제품선택=헤어팩 트리트먼트 1개 + 뉴트리셔스 밤 1개 세트</t>
        </is>
      </c>
      <c r="H864" s="9" t="n">
        <v>2</v>
      </c>
      <c r="I864" s="9">
        <f>VLOOKUP(G864,매칭테이블!D:E,2,0)</f>
        <v/>
      </c>
      <c r="J864" s="9" t="n">
        <v>201210</v>
      </c>
      <c r="L864" s="9">
        <f>VLOOKUP($O864,매칭테이블!$G:$J,2,0)*H864</f>
        <v/>
      </c>
      <c r="M864" s="9">
        <f>L864-L864*VLOOKUP($O864,매칭테이블!$G:$J,3,0)</f>
        <v/>
      </c>
      <c r="N864" s="9">
        <f>VLOOKUP($O864,매칭테이블!$G:$J,4,0)*H864</f>
        <v/>
      </c>
      <c r="O864" s="9">
        <f>F864&amp;E864&amp;G864&amp;J864</f>
        <v/>
      </c>
    </row>
    <row r="865">
      <c r="B865" s="10" t="n">
        <v>44225</v>
      </c>
      <c r="C865" s="9">
        <f>TEXT(B865,"aaa")</f>
        <v/>
      </c>
      <c r="E865" s="9">
        <f>INDEX(매칭테이블!C:C,MATCH(RD!G865,매칭테이블!D:D,0))</f>
        <v/>
      </c>
      <c r="F865" s="9" t="inlineStr">
        <is>
          <t>카페24</t>
        </is>
      </c>
      <c r="G865" s="9" t="inlineStr">
        <is>
          <t>(플친전용)HAIR RÉ:COVERY 15 Nutritious Balm [헤어 리커버리 15 뉴트리셔스 밤]제품선택=헤어 리커버리 15 뉴트리셔스 밤</t>
        </is>
      </c>
      <c r="H865" s="9" t="n">
        <v>7</v>
      </c>
      <c r="I865" s="9">
        <f>VLOOKUP(G865,매칭테이블!D:E,2,0)</f>
        <v/>
      </c>
      <c r="J865" s="9" t="n">
        <v>201210</v>
      </c>
      <c r="L865" s="9">
        <f>VLOOKUP($O865,매칭테이블!$G:$J,2,0)*H865</f>
        <v/>
      </c>
      <c r="M865" s="9">
        <f>L865-L865*VLOOKUP($O865,매칭테이블!$G:$J,3,0)</f>
        <v/>
      </c>
      <c r="N865" s="9">
        <f>VLOOKUP($O865,매칭테이블!$G:$J,4,0)*H865</f>
        <v/>
      </c>
      <c r="O865" s="9">
        <f>F865&amp;E865&amp;G865&amp;J865</f>
        <v/>
      </c>
    </row>
    <row r="866">
      <c r="B866" s="10" t="n">
        <v>44225</v>
      </c>
      <c r="C866" s="9">
        <f>TEXT(B866,"aaa")</f>
        <v/>
      </c>
      <c r="E866" s="9">
        <f>INDEX(매칭테이블!C:C,MATCH(RD!G866,매칭테이블!D:D,0))</f>
        <v/>
      </c>
      <c r="F866" s="9" t="inlineStr">
        <is>
          <t>카페24</t>
        </is>
      </c>
      <c r="G866" s="9" t="inlineStr">
        <is>
          <t>(플친전용)HAIR RÉ:COVERY 15 Nutritious Balm [헤어 리커버리 15 뉴트리셔스 밤]제품선택=뉴트리셔스 밤 2개 세트</t>
        </is>
      </c>
      <c r="H866" s="9" t="n">
        <v>1</v>
      </c>
      <c r="I866" s="9">
        <f>VLOOKUP(G866,매칭테이블!D:E,2,0)</f>
        <v/>
      </c>
      <c r="J866" s="9" t="n">
        <v>201210</v>
      </c>
      <c r="L866" s="9">
        <f>VLOOKUP($O866,매칭테이블!$G:$J,2,0)*H866</f>
        <v/>
      </c>
      <c r="M866" s="9">
        <f>L866-L866*VLOOKUP($O866,매칭테이블!$G:$J,3,0)</f>
        <v/>
      </c>
      <c r="N866" s="9">
        <f>VLOOKUP($O866,매칭테이블!$G:$J,4,0)*H866</f>
        <v/>
      </c>
      <c r="O866" s="9">
        <f>F866&amp;E866&amp;G866&amp;J866</f>
        <v/>
      </c>
    </row>
    <row r="867">
      <c r="B867" s="10" t="n">
        <v>44225</v>
      </c>
      <c r="C867" s="9">
        <f>TEXT(B867,"aaa")</f>
        <v/>
      </c>
      <c r="E867" s="9">
        <f>INDEX(매칭테이블!C:C,MATCH(RD!G867,매칭테이블!D:D,0))</f>
        <v/>
      </c>
      <c r="F867" s="9" t="inlineStr">
        <is>
          <t>카페24</t>
        </is>
      </c>
      <c r="G867" s="9" t="inlineStr">
        <is>
          <t>(플친전용)HAIR RÉ:COVERY 15 Nutritious Balm [헤어 리커버리 15 뉴트리셔스 밤]제품선택=뉴트리셔스 밤 3개 세트</t>
        </is>
      </c>
      <c r="H867" s="9" t="n">
        <v>1</v>
      </c>
      <c r="I867" s="9">
        <f>VLOOKUP(G867,매칭테이블!D:E,2,0)</f>
        <v/>
      </c>
      <c r="J867" s="9" t="n">
        <v>201210</v>
      </c>
      <c r="L867" s="9">
        <f>VLOOKUP($O867,매칭테이블!$G:$J,2,0)*H867</f>
        <v/>
      </c>
      <c r="M867" s="9">
        <f>L867-L867*VLOOKUP($O867,매칭테이블!$G:$J,3,0)</f>
        <v/>
      </c>
      <c r="N867" s="9">
        <f>VLOOKUP($O867,매칭테이블!$G:$J,4,0)*H867</f>
        <v/>
      </c>
      <c r="O867" s="9">
        <f>F867&amp;E867&amp;G867&amp;J867</f>
        <v/>
      </c>
    </row>
    <row r="868">
      <c r="B868" s="10" t="n">
        <v>44225</v>
      </c>
      <c r="C868" s="9">
        <f>TEXT(B868,"aaa")</f>
        <v/>
      </c>
      <c r="E868" s="9">
        <f>INDEX(매칭테이블!C:C,MATCH(RD!G868,매칭테이블!D:D,0))</f>
        <v/>
      </c>
      <c r="F868" s="9" t="inlineStr">
        <is>
          <t>카페24</t>
        </is>
      </c>
      <c r="G868" s="9" t="inlineStr">
        <is>
          <t>(플친전용)HAIR RÉ:COVERY 15 Nutritious Balm [헤어 리커버리 15 뉴트리셔스 밤]제품선택=뉴트리셔스밤 1개 + 헤어팩 트리트먼트 1개 세트</t>
        </is>
      </c>
      <c r="H868" s="9" t="n">
        <v>2</v>
      </c>
      <c r="I868" s="9">
        <f>VLOOKUP(G868,매칭테이블!D:E,2,0)</f>
        <v/>
      </c>
      <c r="J868" s="9" t="n">
        <v>201210</v>
      </c>
      <c r="L868" s="9">
        <f>VLOOKUP($O868,매칭테이블!$G:$J,2,0)*H868</f>
        <v/>
      </c>
      <c r="M868" s="9">
        <f>L868-L868*VLOOKUP($O868,매칭테이블!$G:$J,3,0)</f>
        <v/>
      </c>
      <c r="N868" s="9">
        <f>VLOOKUP($O868,매칭테이블!$G:$J,4,0)*H868</f>
        <v/>
      </c>
      <c r="O868" s="9">
        <f>F868&amp;E868&amp;G868&amp;J868</f>
        <v/>
      </c>
    </row>
    <row r="869">
      <c r="B869" s="10" t="n">
        <v>44225</v>
      </c>
      <c r="C869" s="9">
        <f>TEXT(B869,"aaa")</f>
        <v/>
      </c>
      <c r="E869" s="9">
        <f>INDEX(매칭테이블!C:C,MATCH(RD!G869,매칭테이블!D:D,0))</f>
        <v/>
      </c>
      <c r="F869" s="9" t="inlineStr">
        <is>
          <t>카페24</t>
        </is>
      </c>
      <c r="G869" s="9" t="inlineStr">
        <is>
          <t>라베나 리커버리 15 뉴트리셔스 밤 [HAIR RÉ:COVERY 15 Nutritious Balm]제품선택=헤어 리커버리 15 뉴트리셔스 밤</t>
        </is>
      </c>
      <c r="H869" s="9" t="n">
        <v>4</v>
      </c>
      <c r="I869" s="9">
        <f>VLOOKUP(G869,매칭테이블!D:E,2,0)</f>
        <v/>
      </c>
      <c r="J869" s="9" t="n">
        <v>201210</v>
      </c>
      <c r="L869" s="9">
        <f>VLOOKUP($O869,매칭테이블!$G:$J,2,0)*H869</f>
        <v/>
      </c>
      <c r="M869" s="9">
        <f>L869-L869*VLOOKUP($O869,매칭테이블!$G:$J,3,0)</f>
        <v/>
      </c>
      <c r="N869" s="9">
        <f>VLOOKUP($O869,매칭테이블!$G:$J,4,0)*H869</f>
        <v/>
      </c>
      <c r="O869" s="9">
        <f>F869&amp;E869&amp;G869&amp;J869</f>
        <v/>
      </c>
    </row>
    <row r="870">
      <c r="B870" s="10" t="n">
        <v>44225</v>
      </c>
      <c r="C870" s="9">
        <f>TEXT(B870,"aaa")</f>
        <v/>
      </c>
      <c r="E870" s="9">
        <f>INDEX(매칭테이블!C:C,MATCH(RD!G870,매칭테이블!D:D,0))</f>
        <v/>
      </c>
      <c r="F870" s="9" t="inlineStr">
        <is>
          <t>카페24</t>
        </is>
      </c>
      <c r="G870" s="9" t="inlineStr">
        <is>
          <t>라베나 리커버리 15 뉴트리셔스 밤 [HAIR RÉ:COVERY 15 Nutritious Balm]제품선택=뉴트리셔스밤 1개 + 헤어팩 트리트먼트 1개 세트 5%추가할인</t>
        </is>
      </c>
      <c r="H870" s="9" t="n">
        <v>1</v>
      </c>
      <c r="I870" s="9">
        <f>VLOOKUP(G870,매칭테이블!D:E,2,0)</f>
        <v/>
      </c>
      <c r="J870" s="9" t="n">
        <v>201210</v>
      </c>
      <c r="L870" s="9">
        <f>VLOOKUP($O870,매칭테이블!$G:$J,2,0)*H870</f>
        <v/>
      </c>
      <c r="M870" s="9">
        <f>L870-L870*VLOOKUP($O870,매칭테이블!$G:$J,3,0)</f>
        <v/>
      </c>
      <c r="N870" s="9">
        <f>VLOOKUP($O870,매칭테이블!$G:$J,4,0)*H870</f>
        <v/>
      </c>
      <c r="O870" s="9">
        <f>F870&amp;E870&amp;G870&amp;J870</f>
        <v/>
      </c>
    </row>
    <row r="871">
      <c r="B871" s="10" t="n">
        <v>44225</v>
      </c>
      <c r="C871" s="9">
        <f>TEXT(B871,"aaa")</f>
        <v/>
      </c>
      <c r="E871" s="9">
        <f>INDEX(매칭테이블!C:C,MATCH(RD!G871,매칭테이블!D:D,0))</f>
        <v/>
      </c>
      <c r="F871" s="9" t="inlineStr">
        <is>
          <t>카페24</t>
        </is>
      </c>
      <c r="G871" s="9" t="inlineStr">
        <is>
          <t>라베나 리커버리 15 리바이탈 바이오플라보노이드샴푸 [HAIR RÉ:COVERY 15 Revital Shampoo]제품선택=헤어 리커버리 15 리바이탈 샴푸 - 500ml</t>
        </is>
      </c>
      <c r="H871" s="9" t="n">
        <v>110</v>
      </c>
      <c r="I871" s="9">
        <f>VLOOKUP(G871,매칭테이블!D:E,2,0)</f>
        <v/>
      </c>
      <c r="J871" s="9" t="n">
        <v>201210</v>
      </c>
      <c r="L871" s="9">
        <f>VLOOKUP($O871,매칭테이블!$G:$J,2,0)*H871</f>
        <v/>
      </c>
      <c r="M871" s="9">
        <f>L871-L871*VLOOKUP($O871,매칭테이블!$G:$J,3,0)</f>
        <v/>
      </c>
      <c r="N871" s="9">
        <f>VLOOKUP($O871,매칭테이블!$G:$J,4,0)*H871</f>
        <v/>
      </c>
      <c r="O871" s="9">
        <f>F871&amp;E871&amp;G871&amp;J871</f>
        <v/>
      </c>
    </row>
    <row r="872">
      <c r="B872" s="10" t="n">
        <v>44225</v>
      </c>
      <c r="C872" s="9">
        <f>TEXT(B872,"aaa")</f>
        <v/>
      </c>
      <c r="E872" s="9">
        <f>INDEX(매칭테이블!C:C,MATCH(RD!G872,매칭테이블!D:D,0))</f>
        <v/>
      </c>
      <c r="F872" s="9" t="inlineStr">
        <is>
          <t>카페24</t>
        </is>
      </c>
      <c r="G872" s="9" t="inlineStr">
        <is>
          <t>라베나 리커버리 15 리바이탈 바이오플라보노이드샴푸 [HAIR RÉ:COVERY 15 Revital Shampoo]제품선택=리바이탈 샴푸 2개 세트 5%추가할인</t>
        </is>
      </c>
      <c r="H872" s="9" t="n">
        <v>35</v>
      </c>
      <c r="I872" s="9">
        <f>VLOOKUP(G872,매칭테이블!D:E,2,0)</f>
        <v/>
      </c>
      <c r="J872" s="9" t="n">
        <v>201210</v>
      </c>
      <c r="L872" s="9">
        <f>VLOOKUP($O872,매칭테이블!$G:$J,2,0)*H872</f>
        <v/>
      </c>
      <c r="M872" s="9">
        <f>L872-L872*VLOOKUP($O872,매칭테이블!$G:$J,3,0)</f>
        <v/>
      </c>
      <c r="N872" s="9">
        <f>VLOOKUP($O872,매칭테이블!$G:$J,4,0)*H872</f>
        <v/>
      </c>
      <c r="O872" s="9">
        <f>F872&amp;E872&amp;G872&amp;J872</f>
        <v/>
      </c>
    </row>
    <row r="873">
      <c r="B873" s="10" t="n">
        <v>44225</v>
      </c>
      <c r="C873" s="9">
        <f>TEXT(B873,"aaa")</f>
        <v/>
      </c>
      <c r="E873" s="9">
        <f>INDEX(매칭테이블!C:C,MATCH(RD!G873,매칭테이블!D:D,0))</f>
        <v/>
      </c>
      <c r="F873" s="9" t="inlineStr">
        <is>
          <t>카페24</t>
        </is>
      </c>
      <c r="G873" s="9" t="inlineStr">
        <is>
          <t>라베나 리커버리 15 리바이탈 바이오플라보노이드샴푸 [HAIR RÉ:COVERY 15 Revital Shampoo]제품선택=리바이탈 샴푸 3개 세트 10% 추가할인</t>
        </is>
      </c>
      <c r="H873" s="9" t="n">
        <v>15</v>
      </c>
      <c r="I873" s="9">
        <f>VLOOKUP(G873,매칭테이블!D:E,2,0)</f>
        <v/>
      </c>
      <c r="J873" s="9" t="n">
        <v>201210</v>
      </c>
      <c r="L873" s="9">
        <f>VLOOKUP($O873,매칭테이블!$G:$J,2,0)*H873</f>
        <v/>
      </c>
      <c r="M873" s="9">
        <f>L873-L873*VLOOKUP($O873,매칭테이블!$G:$J,3,0)</f>
        <v/>
      </c>
      <c r="N873" s="9">
        <f>VLOOKUP($O873,매칭테이블!$G:$J,4,0)*H873</f>
        <v/>
      </c>
      <c r="O873" s="9">
        <f>F873&amp;E873&amp;G873&amp;J873</f>
        <v/>
      </c>
    </row>
    <row r="874">
      <c r="B874" s="10" t="n">
        <v>44225</v>
      </c>
      <c r="C874" s="9">
        <f>TEXT(B874,"aaa")</f>
        <v/>
      </c>
      <c r="E874" s="9">
        <f>INDEX(매칭테이블!C:C,MATCH(RD!G874,매칭테이블!D:D,0))</f>
        <v/>
      </c>
      <c r="F874" s="9" t="inlineStr">
        <is>
          <t>카페24</t>
        </is>
      </c>
      <c r="G874" s="9" t="inlineStr">
        <is>
          <t>라베나 리커버리 15 리바이탈 샴푸 [HAIR RÉ:COVERY 15 Revital Shampoo]제품선택=헤어 리커버리 15 리바이탈 샴푸 - 500ml</t>
        </is>
      </c>
      <c r="H874" s="9" t="n">
        <v>53</v>
      </c>
      <c r="I874" s="9">
        <f>VLOOKUP(G874,매칭테이블!D:E,2,0)</f>
        <v/>
      </c>
      <c r="J874" s="9" t="n">
        <v>201210</v>
      </c>
      <c r="L874" s="9">
        <f>VLOOKUP($O874,매칭테이블!$G:$J,2,0)*H874</f>
        <v/>
      </c>
      <c r="M874" s="9">
        <f>L874-L874*VLOOKUP($O874,매칭테이블!$G:$J,3,0)</f>
        <v/>
      </c>
      <c r="N874" s="9">
        <f>VLOOKUP($O874,매칭테이블!$G:$J,4,0)*H874</f>
        <v/>
      </c>
      <c r="O874" s="9">
        <f>F874&amp;E874&amp;G874&amp;J874</f>
        <v/>
      </c>
    </row>
    <row r="875">
      <c r="B875" s="10" t="n">
        <v>44225</v>
      </c>
      <c r="C875" s="9">
        <f>TEXT(B875,"aaa")</f>
        <v/>
      </c>
      <c r="E875" s="9">
        <f>INDEX(매칭테이블!C:C,MATCH(RD!G875,매칭테이블!D:D,0))</f>
        <v/>
      </c>
      <c r="F875" s="9" t="inlineStr">
        <is>
          <t>카페24</t>
        </is>
      </c>
      <c r="G875" s="9" t="inlineStr">
        <is>
          <t>라베나 리커버리 15 리바이탈 샴푸 [HAIR RÉ:COVERY 15 Revital Shampoo]제품선택=리바이탈 샴푸 2개 세트 5%추가할인</t>
        </is>
      </c>
      <c r="H875" s="9" t="n">
        <v>14</v>
      </c>
      <c r="I875" s="9">
        <f>VLOOKUP(G875,매칭테이블!D:E,2,0)</f>
        <v/>
      </c>
      <c r="J875" s="9" t="n">
        <v>201210</v>
      </c>
      <c r="L875" s="9">
        <f>VLOOKUP($O875,매칭테이블!$G:$J,2,0)*H875</f>
        <v/>
      </c>
      <c r="M875" s="9">
        <f>L875-L875*VLOOKUP($O875,매칭테이블!$G:$J,3,0)</f>
        <v/>
      </c>
      <c r="N875" s="9">
        <f>VLOOKUP($O875,매칭테이블!$G:$J,4,0)*H875</f>
        <v/>
      </c>
      <c r="O875" s="9">
        <f>F875&amp;E875&amp;G875&amp;J875</f>
        <v/>
      </c>
    </row>
    <row r="876">
      <c r="B876" s="10" t="n">
        <v>44225</v>
      </c>
      <c r="C876" s="9">
        <f>TEXT(B876,"aaa")</f>
        <v/>
      </c>
      <c r="E876" s="9">
        <f>INDEX(매칭테이블!C:C,MATCH(RD!G876,매칭테이블!D:D,0))</f>
        <v/>
      </c>
      <c r="F876" s="9" t="inlineStr">
        <is>
          <t>카페24</t>
        </is>
      </c>
      <c r="G876" s="9" t="inlineStr">
        <is>
          <t>라베나 리커버리 15 리바이탈 샴푸 [HAIR RÉ:COVERY 15 Revital Shampoo]제품선택=리바이탈 샴푸 3개 세트 10% 추가할인</t>
        </is>
      </c>
      <c r="H876" s="9" t="n">
        <v>8</v>
      </c>
      <c r="I876" s="9">
        <f>VLOOKUP(G876,매칭테이블!D:E,2,0)</f>
        <v/>
      </c>
      <c r="J876" s="9" t="n">
        <v>201210</v>
      </c>
      <c r="L876" s="9">
        <f>VLOOKUP($O876,매칭테이블!$G:$J,2,0)*H876</f>
        <v/>
      </c>
      <c r="M876" s="9">
        <f>L876-L876*VLOOKUP($O876,매칭테이블!$G:$J,3,0)</f>
        <v/>
      </c>
      <c r="N876" s="9">
        <f>VLOOKUP($O876,매칭테이블!$G:$J,4,0)*H876</f>
        <v/>
      </c>
      <c r="O876" s="9">
        <f>F876&amp;E876&amp;G876&amp;J876</f>
        <v/>
      </c>
    </row>
    <row r="877">
      <c r="B877" s="10" t="n">
        <v>44225</v>
      </c>
      <c r="C877" s="9">
        <f>TEXT(B877,"aaa")</f>
        <v/>
      </c>
      <c r="E877" s="9">
        <f>INDEX(매칭테이블!C:C,MATCH(RD!G877,매칭테이블!D:D,0))</f>
        <v/>
      </c>
      <c r="F877" s="9" t="inlineStr">
        <is>
          <t>카페24</t>
        </is>
      </c>
      <c r="G877" s="9" t="inlineStr">
        <is>
          <t>라베나 리커버리 15 헤어팩 트리트먼트 [HAIR RÉ:COVERY 15 Hairpack Treatment]제품선택=헤어 리커버리 15 헤어팩 트리트먼트</t>
        </is>
      </c>
      <c r="H877" s="9" t="n">
        <v>6</v>
      </c>
      <c r="I877" s="9">
        <f>VLOOKUP(G877,매칭테이블!D:E,2,0)</f>
        <v/>
      </c>
      <c r="J877" s="9" t="n">
        <v>201210</v>
      </c>
      <c r="L877" s="9">
        <f>VLOOKUP($O877,매칭테이블!$G:$J,2,0)*H877</f>
        <v/>
      </c>
      <c r="M877" s="9">
        <f>L877-L877*VLOOKUP($O877,매칭테이블!$G:$J,3,0)</f>
        <v/>
      </c>
      <c r="N877" s="9">
        <f>VLOOKUP($O877,매칭테이블!$G:$J,4,0)*H877</f>
        <v/>
      </c>
      <c r="O877" s="9">
        <f>F877&amp;E877&amp;G877&amp;J877</f>
        <v/>
      </c>
    </row>
    <row r="878">
      <c r="B878" s="10" t="n">
        <v>44225</v>
      </c>
      <c r="C878" s="9">
        <f>TEXT(B878,"aaa")</f>
        <v/>
      </c>
      <c r="E878" s="9">
        <f>INDEX(매칭테이블!C:C,MATCH(RD!G878,매칭테이블!D:D,0))</f>
        <v/>
      </c>
      <c r="F878" s="9" t="inlineStr">
        <is>
          <t>카페24</t>
        </is>
      </c>
      <c r="G878" s="9" t="inlineStr">
        <is>
          <t>라베나 리커버리 15 헤어팩 트리트먼트 [HAIR RÉ:COVERY 15 Hairpack Treatment]제품선택=헤어팩 트리트먼트 2개 세트 5% 추가할인</t>
        </is>
      </c>
      <c r="H878" s="9" t="n">
        <v>1</v>
      </c>
      <c r="I878" s="9">
        <f>VLOOKUP(G878,매칭테이블!D:E,2,0)</f>
        <v/>
      </c>
      <c r="J878" s="9" t="n">
        <v>201210</v>
      </c>
      <c r="L878" s="9">
        <f>VLOOKUP($O878,매칭테이블!$G:$J,2,0)*H878</f>
        <v/>
      </c>
      <c r="M878" s="9">
        <f>L878-L878*VLOOKUP($O878,매칭테이블!$G:$J,3,0)</f>
        <v/>
      </c>
      <c r="N878" s="9">
        <f>VLOOKUP($O878,매칭테이블!$G:$J,4,0)*H878</f>
        <v/>
      </c>
      <c r="O878" s="9">
        <f>F878&amp;E878&amp;G878&amp;J878</f>
        <v/>
      </c>
    </row>
    <row r="879">
      <c r="B879" s="10" t="n">
        <v>44225</v>
      </c>
      <c r="C879" s="9">
        <f>TEXT(B879,"aaa")</f>
        <v/>
      </c>
      <c r="E879" s="9">
        <f>INDEX(매칭테이블!C:C,MATCH(RD!G879,매칭테이블!D:D,0))</f>
        <v/>
      </c>
      <c r="F879" s="9" t="inlineStr">
        <is>
          <t>카페24</t>
        </is>
      </c>
      <c r="G879" s="9" t="inlineStr">
        <is>
          <t>라베나 리커버리 15 헤어팩 트리트먼트 [HAIR RÉ:COVERY 15 Hairpack Treatment]제품선택=헤어팩 트리트먼트 3개 세트 10% 추가할인</t>
        </is>
      </c>
      <c r="H879" s="9" t="n">
        <v>3</v>
      </c>
      <c r="I879" s="9">
        <f>VLOOKUP(G879,매칭테이블!D:E,2,0)</f>
        <v/>
      </c>
      <c r="J879" s="9" t="n">
        <v>201210</v>
      </c>
      <c r="L879" s="9">
        <f>VLOOKUP($O879,매칭테이블!$G:$J,2,0)*H879</f>
        <v/>
      </c>
      <c r="M879" s="9">
        <f>L879-L879*VLOOKUP($O879,매칭테이블!$G:$J,3,0)</f>
        <v/>
      </c>
      <c r="N879" s="9">
        <f>VLOOKUP($O879,매칭테이블!$G:$J,4,0)*H879</f>
        <v/>
      </c>
      <c r="O879" s="9">
        <f>F879&amp;E879&amp;G879&amp;J879</f>
        <v/>
      </c>
    </row>
    <row r="880">
      <c r="B880" s="10" t="n">
        <v>44225</v>
      </c>
      <c r="C880" s="9">
        <f>TEXT(B880,"aaa")</f>
        <v/>
      </c>
      <c r="E880" s="9">
        <f>INDEX(매칭테이블!C:C,MATCH(RD!G880,매칭테이블!D:D,0))</f>
        <v/>
      </c>
      <c r="F880" s="9" t="inlineStr">
        <is>
          <t>카페24</t>
        </is>
      </c>
      <c r="G880" s="9" t="inlineStr">
        <is>
          <t>헤어 리커버리 15 리바이탈 샴푸</t>
        </is>
      </c>
      <c r="H880" s="9" t="n">
        <v>3</v>
      </c>
      <c r="I880" s="9">
        <f>VLOOKUP(G880,매칭테이블!D:E,2,0)</f>
        <v/>
      </c>
      <c r="J880" s="9" t="n">
        <v>201210</v>
      </c>
      <c r="L880" s="9">
        <f>VLOOKUP($O880,매칭테이블!$G:$J,2,0)*H880</f>
        <v/>
      </c>
      <c r="M880" s="9">
        <f>L880-L880*VLOOKUP($O880,매칭테이블!$G:$J,3,0)</f>
        <v/>
      </c>
      <c r="N880" s="9">
        <f>VLOOKUP($O880,매칭테이블!$G:$J,4,0)*H880</f>
        <v/>
      </c>
      <c r="O880" s="9">
        <f>F880&amp;E880&amp;G880&amp;J880</f>
        <v/>
      </c>
    </row>
    <row r="881">
      <c r="B881" s="10" t="n">
        <v>44226</v>
      </c>
      <c r="C881" s="9">
        <f>TEXT(B881,"aaa")</f>
        <v/>
      </c>
      <c r="E881" s="9">
        <f>INDEX(매칭테이블!C:C,MATCH(RD!G881,매칭테이블!D:D,0))</f>
        <v/>
      </c>
      <c r="F881" s="9" t="inlineStr">
        <is>
          <t>카페24</t>
        </is>
      </c>
      <c r="G881" s="9" t="inlineStr">
        <is>
          <t>라베나 리커버리 15 뉴트리셔스 밤 [HAIR RÉ:COVERY 15 Nutritious Balm]제품선택=헤어 리커버리 15 뉴트리셔스 밤</t>
        </is>
      </c>
      <c r="H881" s="9" t="n">
        <v>4</v>
      </c>
      <c r="I881" s="9">
        <f>VLOOKUP(G881,매칭테이블!D:E,2,0)</f>
        <v/>
      </c>
      <c r="J881" s="9" t="n">
        <v>201210</v>
      </c>
      <c r="L881" s="9">
        <f>VLOOKUP($O881,매칭테이블!$G:$J,2,0)*H881</f>
        <v/>
      </c>
      <c r="M881" s="9">
        <f>L881-L881*VLOOKUP($O881,매칭테이블!$G:$J,3,0)</f>
        <v/>
      </c>
      <c r="N881" s="9">
        <f>VLOOKUP($O881,매칭테이블!$G:$J,4,0)*H881</f>
        <v/>
      </c>
      <c r="O881" s="9">
        <f>F881&amp;E881&amp;G881&amp;J881</f>
        <v/>
      </c>
    </row>
    <row r="882">
      <c r="B882" s="10" t="n">
        <v>44226</v>
      </c>
      <c r="C882" s="9">
        <f>TEXT(B882,"aaa")</f>
        <v/>
      </c>
      <c r="E882" s="9">
        <f>INDEX(매칭테이블!C:C,MATCH(RD!G882,매칭테이블!D:D,0))</f>
        <v/>
      </c>
      <c r="F882" s="9" t="inlineStr">
        <is>
          <t>카페24</t>
        </is>
      </c>
      <c r="G882" s="9" t="inlineStr">
        <is>
          <t>라베나 리커버리 15 뉴트리셔스 밤 [HAIR RÉ:COVERY 15 Nutritious Balm]제품선택=뉴트리셔스 밤 3개 세트 10% 추가할인</t>
        </is>
      </c>
      <c r="H882" s="9" t="n">
        <v>2</v>
      </c>
      <c r="I882" s="9">
        <f>VLOOKUP(G882,매칭테이블!D:E,2,0)</f>
        <v/>
      </c>
      <c r="J882" s="9" t="n">
        <v>201210</v>
      </c>
      <c r="L882" s="9">
        <f>VLOOKUP($O882,매칭테이블!$G:$J,2,0)*H882</f>
        <v/>
      </c>
      <c r="M882" s="9">
        <f>L882-L882*VLOOKUP($O882,매칭테이블!$G:$J,3,0)</f>
        <v/>
      </c>
      <c r="N882" s="9">
        <f>VLOOKUP($O882,매칭테이블!$G:$J,4,0)*H882</f>
        <v/>
      </c>
      <c r="O882" s="9">
        <f>F882&amp;E882&amp;G882&amp;J882</f>
        <v/>
      </c>
    </row>
    <row r="883">
      <c r="B883" s="10" t="n">
        <v>44226</v>
      </c>
      <c r="C883" s="9">
        <f>TEXT(B883,"aaa")</f>
        <v/>
      </c>
      <c r="E883" s="9">
        <f>INDEX(매칭테이블!C:C,MATCH(RD!G883,매칭테이블!D:D,0))</f>
        <v/>
      </c>
      <c r="F883" s="9" t="inlineStr">
        <is>
          <t>카페24</t>
        </is>
      </c>
      <c r="G883" s="9" t="inlineStr">
        <is>
          <t>라베나 리커버리 15 리바이탈 바이오플라보노이드샴푸 [HAIR RÉ:COVERY 15 Revital Shampoo]제품선택=헤어 리커버리 15 리바이탈 샴푸 - 500ml</t>
        </is>
      </c>
      <c r="H883" s="9" t="n">
        <v>140</v>
      </c>
      <c r="I883" s="9">
        <f>VLOOKUP(G883,매칭테이블!D:E,2,0)</f>
        <v/>
      </c>
      <c r="J883" s="9" t="n">
        <v>201210</v>
      </c>
      <c r="L883" s="9">
        <f>VLOOKUP($O883,매칭테이블!$G:$J,2,0)*H883</f>
        <v/>
      </c>
      <c r="M883" s="9">
        <f>L883-L883*VLOOKUP($O883,매칭테이블!$G:$J,3,0)</f>
        <v/>
      </c>
      <c r="N883" s="9">
        <f>VLOOKUP($O883,매칭테이블!$G:$J,4,0)*H883</f>
        <v/>
      </c>
      <c r="O883" s="9">
        <f>F883&amp;E883&amp;G883&amp;J883</f>
        <v/>
      </c>
    </row>
    <row r="884">
      <c r="B884" s="10" t="n">
        <v>44226</v>
      </c>
      <c r="C884" s="9">
        <f>TEXT(B884,"aaa")</f>
        <v/>
      </c>
      <c r="E884" s="9">
        <f>INDEX(매칭테이블!C:C,MATCH(RD!G884,매칭테이블!D:D,0))</f>
        <v/>
      </c>
      <c r="F884" s="9" t="inlineStr">
        <is>
          <t>카페24</t>
        </is>
      </c>
      <c r="G884" s="9" t="inlineStr">
        <is>
          <t>라베나 리커버리 15 리바이탈 바이오플라보노이드샴푸 [HAIR RÉ:COVERY 15 Revital Shampoo]제품선택=리바이탈 샴푸 2개 세트 5%추가할인</t>
        </is>
      </c>
      <c r="H884" s="9" t="n">
        <v>38</v>
      </c>
      <c r="I884" s="9">
        <f>VLOOKUP(G884,매칭테이블!D:E,2,0)</f>
        <v/>
      </c>
      <c r="J884" s="9" t="n">
        <v>201210</v>
      </c>
      <c r="L884" s="9">
        <f>VLOOKUP($O884,매칭테이블!$G:$J,2,0)*H884</f>
        <v/>
      </c>
      <c r="M884" s="9">
        <f>L884-L884*VLOOKUP($O884,매칭테이블!$G:$J,3,0)</f>
        <v/>
      </c>
      <c r="N884" s="9">
        <f>VLOOKUP($O884,매칭테이블!$G:$J,4,0)*H884</f>
        <v/>
      </c>
      <c r="O884" s="9">
        <f>F884&amp;E884&amp;G884&amp;J884</f>
        <v/>
      </c>
    </row>
    <row r="885">
      <c r="B885" s="10" t="n">
        <v>44226</v>
      </c>
      <c r="C885" s="9">
        <f>TEXT(B885,"aaa")</f>
        <v/>
      </c>
      <c r="E885" s="9">
        <f>INDEX(매칭테이블!C:C,MATCH(RD!G885,매칭테이블!D:D,0))</f>
        <v/>
      </c>
      <c r="F885" s="9" t="inlineStr">
        <is>
          <t>카페24</t>
        </is>
      </c>
      <c r="G885" s="9" t="inlineStr">
        <is>
          <t>라베나 리커버리 15 리바이탈 바이오플라보노이드샴푸 [HAIR RÉ:COVERY 15 Revital Shampoo]제품선택=리바이탈 샴푸 3개 세트 10% 추가할인</t>
        </is>
      </c>
      <c r="H885" s="9" t="n">
        <v>15</v>
      </c>
      <c r="I885" s="9">
        <f>VLOOKUP(G885,매칭테이블!D:E,2,0)</f>
        <v/>
      </c>
      <c r="J885" s="9" t="n">
        <v>201210</v>
      </c>
      <c r="L885" s="9">
        <f>VLOOKUP($O885,매칭테이블!$G:$J,2,0)*H885</f>
        <v/>
      </c>
      <c r="M885" s="9">
        <f>L885-L885*VLOOKUP($O885,매칭테이블!$G:$J,3,0)</f>
        <v/>
      </c>
      <c r="N885" s="9">
        <f>VLOOKUP($O885,매칭테이블!$G:$J,4,0)*H885</f>
        <v/>
      </c>
      <c r="O885" s="9">
        <f>F885&amp;E885&amp;G885&amp;J885</f>
        <v/>
      </c>
    </row>
    <row r="886">
      <c r="B886" s="10" t="n">
        <v>44226</v>
      </c>
      <c r="C886" s="9">
        <f>TEXT(B886,"aaa")</f>
        <v/>
      </c>
      <c r="E886" s="9">
        <f>INDEX(매칭테이블!C:C,MATCH(RD!G886,매칭테이블!D:D,0))</f>
        <v/>
      </c>
      <c r="F886" s="9" t="inlineStr">
        <is>
          <t>카페24</t>
        </is>
      </c>
      <c r="G886" s="9" t="inlineStr">
        <is>
          <t>라베나 리커버리 15 리바이탈 샴푸 [HAIR RÉ:COVERY 15 Revital Shampoo]제품선택=헤어 리커버리 15 리바이탈 샴푸 - 500ml</t>
        </is>
      </c>
      <c r="H886" s="9" t="n">
        <v>2</v>
      </c>
      <c r="I886" s="9">
        <f>VLOOKUP(G886,매칭테이블!D:E,2,0)</f>
        <v/>
      </c>
      <c r="J886" s="9" t="n">
        <v>201210</v>
      </c>
      <c r="L886" s="9">
        <f>VLOOKUP($O886,매칭테이블!$G:$J,2,0)*H886</f>
        <v/>
      </c>
      <c r="M886" s="9">
        <f>L886-L886*VLOOKUP($O886,매칭테이블!$G:$J,3,0)</f>
        <v/>
      </c>
      <c r="N886" s="9">
        <f>VLOOKUP($O886,매칭테이블!$G:$J,4,0)*H886</f>
        <v/>
      </c>
      <c r="O886" s="9">
        <f>F886&amp;E886&amp;G886&amp;J886</f>
        <v/>
      </c>
    </row>
    <row r="887">
      <c r="B887" s="10" t="n">
        <v>44226</v>
      </c>
      <c r="C887" s="9">
        <f>TEXT(B887,"aaa")</f>
        <v/>
      </c>
      <c r="E887" s="9">
        <f>INDEX(매칭테이블!C:C,MATCH(RD!G887,매칭테이블!D:D,0))</f>
        <v/>
      </c>
      <c r="F887" s="9" t="inlineStr">
        <is>
          <t>카페24</t>
        </is>
      </c>
      <c r="G887" s="9" t="inlineStr">
        <is>
          <t>라베나 리커버리 15 헤어팩 트리트먼트 [HAIR RÉ:COVERY 15 Hairpack Treatment]제품선택=헤어 리커버리 15 헤어팩 트리트먼트</t>
        </is>
      </c>
      <c r="H887" s="9" t="n">
        <v>2</v>
      </c>
      <c r="I887" s="9">
        <f>VLOOKUP(G887,매칭테이블!D:E,2,0)</f>
        <v/>
      </c>
      <c r="J887" s="9" t="n">
        <v>201210</v>
      </c>
      <c r="L887" s="9">
        <f>VLOOKUP($O887,매칭테이블!$G:$J,2,0)*H887</f>
        <v/>
      </c>
      <c r="M887" s="9">
        <f>L887-L887*VLOOKUP($O887,매칭테이블!$G:$J,3,0)</f>
        <v/>
      </c>
      <c r="N887" s="9">
        <f>VLOOKUP($O887,매칭테이블!$G:$J,4,0)*H887</f>
        <v/>
      </c>
      <c r="O887" s="9">
        <f>F887&amp;E887&amp;G887&amp;J887</f>
        <v/>
      </c>
    </row>
    <row r="888">
      <c r="B888" s="10" t="n">
        <v>44227</v>
      </c>
      <c r="C888" s="9">
        <f>TEXT(B888,"aaa")</f>
        <v/>
      </c>
      <c r="E888" s="9">
        <f>INDEX(매칭테이블!C:C,MATCH(RD!G888,매칭테이블!D:D,0))</f>
        <v/>
      </c>
      <c r="F888" s="9" t="inlineStr">
        <is>
          <t>카페24</t>
        </is>
      </c>
      <c r="G888" s="9" t="inlineStr">
        <is>
          <t>라베나 리커버리 15 뉴트리셔스 밤 [HAIR RÉ:COVERY 15 Nutritious Balm]제품선택=헤어 리커버리 15 뉴트리셔스 밤</t>
        </is>
      </c>
      <c r="H888" s="9" t="n">
        <v>7</v>
      </c>
      <c r="I888" s="9">
        <f>VLOOKUP(G888,매칭테이블!D:E,2,0)</f>
        <v/>
      </c>
      <c r="J888" s="9" t="n">
        <v>201210</v>
      </c>
      <c r="L888" s="9">
        <f>VLOOKUP($O888,매칭테이블!$G:$J,2,0)*H888</f>
        <v/>
      </c>
      <c r="M888" s="9">
        <f>L888-L888*VLOOKUP($O888,매칭테이블!$G:$J,3,0)</f>
        <v/>
      </c>
      <c r="N888" s="9">
        <f>VLOOKUP($O888,매칭테이블!$G:$J,4,0)*H888</f>
        <v/>
      </c>
      <c r="O888" s="9">
        <f>F888&amp;E888&amp;G888&amp;J888</f>
        <v/>
      </c>
    </row>
    <row r="889">
      <c r="B889" s="10" t="n">
        <v>44227</v>
      </c>
      <c r="C889" s="9">
        <f>TEXT(B889,"aaa")</f>
        <v/>
      </c>
      <c r="E889" s="9">
        <f>INDEX(매칭테이블!C:C,MATCH(RD!G889,매칭테이블!D:D,0))</f>
        <v/>
      </c>
      <c r="F889" s="9" t="inlineStr">
        <is>
          <t>카페24</t>
        </is>
      </c>
      <c r="G889" s="9" t="inlineStr">
        <is>
          <t>라베나 리커버리 15 뉴트리셔스 밤 [HAIR RÉ:COVERY 15 Nutritious Balm]제품선택=뉴트리셔스 밤 2개 세트 5% 추가할인</t>
        </is>
      </c>
      <c r="H889" s="9" t="n">
        <v>1</v>
      </c>
      <c r="I889" s="9">
        <f>VLOOKUP(G889,매칭테이블!D:E,2,0)</f>
        <v/>
      </c>
      <c r="J889" s="9" t="n">
        <v>201210</v>
      </c>
      <c r="L889" s="9">
        <f>VLOOKUP($O889,매칭테이블!$G:$J,2,0)*H889</f>
        <v/>
      </c>
      <c r="M889" s="9">
        <f>L889-L889*VLOOKUP($O889,매칭테이블!$G:$J,3,0)</f>
        <v/>
      </c>
      <c r="N889" s="9">
        <f>VLOOKUP($O889,매칭테이블!$G:$J,4,0)*H889</f>
        <v/>
      </c>
      <c r="O889" s="9">
        <f>F889&amp;E889&amp;G889&amp;J889</f>
        <v/>
      </c>
    </row>
    <row r="890">
      <c r="B890" s="10" t="n">
        <v>44227</v>
      </c>
      <c r="C890" s="9">
        <f>TEXT(B890,"aaa")</f>
        <v/>
      </c>
      <c r="E890" s="9">
        <f>INDEX(매칭테이블!C:C,MATCH(RD!G890,매칭테이블!D:D,0))</f>
        <v/>
      </c>
      <c r="F890" s="9" t="inlineStr">
        <is>
          <t>카페24</t>
        </is>
      </c>
      <c r="G890" s="9" t="inlineStr">
        <is>
          <t>라베나 리커버리 15 리바이탈 바이오플라보노이드샴푸 [HAIR RÉ:COVERY 15 Revital Shampoo]제품선택=헤어 리커버리 15 리바이탈 샴푸 - 500ml</t>
        </is>
      </c>
      <c r="H890" s="9" t="n">
        <v>172</v>
      </c>
      <c r="I890" s="9">
        <f>VLOOKUP(G890,매칭테이블!D:E,2,0)</f>
        <v/>
      </c>
      <c r="J890" s="9" t="n">
        <v>201210</v>
      </c>
      <c r="L890" s="9">
        <f>VLOOKUP($O890,매칭테이블!$G:$J,2,0)*H890</f>
        <v/>
      </c>
      <c r="M890" s="9">
        <f>L890-L890*VLOOKUP($O890,매칭테이블!$G:$J,3,0)</f>
        <v/>
      </c>
      <c r="N890" s="9">
        <f>VLOOKUP($O890,매칭테이블!$G:$J,4,0)*H890</f>
        <v/>
      </c>
      <c r="O890" s="9">
        <f>F890&amp;E890&amp;G890&amp;J890</f>
        <v/>
      </c>
    </row>
    <row r="891">
      <c r="B891" s="10" t="n">
        <v>44227</v>
      </c>
      <c r="C891" s="9">
        <f>TEXT(B891,"aaa")</f>
        <v/>
      </c>
      <c r="E891" s="9">
        <f>INDEX(매칭테이블!C:C,MATCH(RD!G891,매칭테이블!D:D,0))</f>
        <v/>
      </c>
      <c r="F891" s="9" t="inlineStr">
        <is>
          <t>카페24</t>
        </is>
      </c>
      <c r="G891" s="9" t="inlineStr">
        <is>
          <t>라베나 리커버리 15 리바이탈 바이오플라보노이드샴푸 [HAIR RÉ:COVERY 15 Revital Shampoo]제품선택=리바이탈 샴푸 2개 세트 5%추가할인</t>
        </is>
      </c>
      <c r="H891" s="9" t="n">
        <v>45</v>
      </c>
      <c r="I891" s="9">
        <f>VLOOKUP(G891,매칭테이블!D:E,2,0)</f>
        <v/>
      </c>
      <c r="J891" s="9" t="n">
        <v>201210</v>
      </c>
      <c r="L891" s="9">
        <f>VLOOKUP($O891,매칭테이블!$G:$J,2,0)*H891</f>
        <v/>
      </c>
      <c r="M891" s="9">
        <f>L891-L891*VLOOKUP($O891,매칭테이블!$G:$J,3,0)</f>
        <v/>
      </c>
      <c r="N891" s="9">
        <f>VLOOKUP($O891,매칭테이블!$G:$J,4,0)*H891</f>
        <v/>
      </c>
      <c r="O891" s="9">
        <f>F891&amp;E891&amp;G891&amp;J891</f>
        <v/>
      </c>
    </row>
    <row r="892">
      <c r="B892" s="10" t="n">
        <v>44227</v>
      </c>
      <c r="C892" s="9">
        <f>TEXT(B892,"aaa")</f>
        <v/>
      </c>
      <c r="E892" s="9">
        <f>INDEX(매칭테이블!C:C,MATCH(RD!G892,매칭테이블!D:D,0))</f>
        <v/>
      </c>
      <c r="F892" s="9" t="inlineStr">
        <is>
          <t>카페24</t>
        </is>
      </c>
      <c r="G892" s="9" t="inlineStr">
        <is>
          <t>라베나 리커버리 15 리바이탈 바이오플라보노이드샴푸 [HAIR RÉ:COVERY 15 Revital Shampoo]제품선택=리바이탈 샴푸 3개 세트 10% 추가할인</t>
        </is>
      </c>
      <c r="H892" s="9" t="n">
        <v>21</v>
      </c>
      <c r="I892" s="9">
        <f>VLOOKUP(G892,매칭테이블!D:E,2,0)</f>
        <v/>
      </c>
      <c r="J892" s="9" t="n">
        <v>201210</v>
      </c>
      <c r="L892" s="9">
        <f>VLOOKUP($O892,매칭테이블!$G:$J,2,0)*H892</f>
        <v/>
      </c>
      <c r="M892" s="9">
        <f>L892-L892*VLOOKUP($O892,매칭테이블!$G:$J,3,0)</f>
        <v/>
      </c>
      <c r="N892" s="9">
        <f>VLOOKUP($O892,매칭테이블!$G:$J,4,0)*H892</f>
        <v/>
      </c>
      <c r="O892" s="9">
        <f>F892&amp;E892&amp;G892&amp;J892</f>
        <v/>
      </c>
    </row>
    <row r="893">
      <c r="B893" s="10" t="n">
        <v>44227</v>
      </c>
      <c r="C893" s="9">
        <f>TEXT(B893,"aaa")</f>
        <v/>
      </c>
      <c r="E893" s="9">
        <f>INDEX(매칭테이블!C:C,MATCH(RD!G893,매칭테이블!D:D,0))</f>
        <v/>
      </c>
      <c r="F893" s="9" t="inlineStr">
        <is>
          <t>카페24</t>
        </is>
      </c>
      <c r="G893" s="9" t="inlineStr">
        <is>
          <t>라베나 리커버리 15 리바이탈 샴푸 [HAIR RÉ:COVERY 15 Revital Shampoo]제품선택=헤어 리커버리 15 리바이탈 샴푸 - 500ml</t>
        </is>
      </c>
      <c r="H893" s="9" t="n">
        <v>1</v>
      </c>
      <c r="I893" s="9">
        <f>VLOOKUP(G893,매칭테이블!D:E,2,0)</f>
        <v/>
      </c>
      <c r="J893" s="9" t="n">
        <v>201210</v>
      </c>
      <c r="L893" s="9">
        <f>VLOOKUP($O893,매칭테이블!$G:$J,2,0)*H893</f>
        <v/>
      </c>
      <c r="M893" s="9">
        <f>L893-L893*VLOOKUP($O893,매칭테이블!$G:$J,3,0)</f>
        <v/>
      </c>
      <c r="N893" s="9">
        <f>VLOOKUP($O893,매칭테이블!$G:$J,4,0)*H893</f>
        <v/>
      </c>
      <c r="O893" s="9">
        <f>F893&amp;E893&amp;G893&amp;J893</f>
        <v/>
      </c>
    </row>
    <row r="894">
      <c r="B894" s="10" t="n">
        <v>44227</v>
      </c>
      <c r="C894" s="9">
        <f>TEXT(B894,"aaa")</f>
        <v/>
      </c>
      <c r="E894" s="9">
        <f>INDEX(매칭테이블!C:C,MATCH(RD!G894,매칭테이블!D:D,0))</f>
        <v/>
      </c>
      <c r="F894" s="9" t="inlineStr">
        <is>
          <t>카페24</t>
        </is>
      </c>
      <c r="G894" s="9" t="inlineStr">
        <is>
          <t>라베나 리커버리 15 리바이탈 샴푸 [HAIR RÉ:COVERY 15 Revital Shampoo]제품선택=리바이탈 샴푸 2개 세트 5%추가할인</t>
        </is>
      </c>
      <c r="H894" s="9" t="n">
        <v>1</v>
      </c>
      <c r="I894" s="9">
        <f>VLOOKUP(G894,매칭테이블!D:E,2,0)</f>
        <v/>
      </c>
      <c r="J894" s="9" t="n">
        <v>201210</v>
      </c>
      <c r="L894" s="9">
        <f>VLOOKUP($O894,매칭테이블!$G:$J,2,0)*H894</f>
        <v/>
      </c>
      <c r="M894" s="9">
        <f>L894-L894*VLOOKUP($O894,매칭테이블!$G:$J,3,0)</f>
        <v/>
      </c>
      <c r="N894" s="9">
        <f>VLOOKUP($O894,매칭테이블!$G:$J,4,0)*H894</f>
        <v/>
      </c>
      <c r="O894" s="9">
        <f>F894&amp;E894&amp;G894&amp;J894</f>
        <v/>
      </c>
    </row>
    <row r="895">
      <c r="B895" s="10" t="n">
        <v>44227</v>
      </c>
      <c r="C895" s="9">
        <f>TEXT(B895,"aaa")</f>
        <v/>
      </c>
      <c r="E895" s="9">
        <f>INDEX(매칭테이블!C:C,MATCH(RD!G895,매칭테이블!D:D,0))</f>
        <v/>
      </c>
      <c r="F895" s="9" t="inlineStr">
        <is>
          <t>카페24</t>
        </is>
      </c>
      <c r="G895" s="9" t="inlineStr">
        <is>
          <t>라베나 리커버리 15 헤어팩 트리트먼트 [HAIR RÉ:COVERY 15 Hairpack Treatment]제품선택=헤어 리커버리 15 헤어팩 트리트먼트</t>
        </is>
      </c>
      <c r="H895" s="9" t="n">
        <v>9</v>
      </c>
      <c r="I895" s="9">
        <f>VLOOKUP(G895,매칭테이블!D:E,2,0)</f>
        <v/>
      </c>
      <c r="J895" s="9" t="n">
        <v>201210</v>
      </c>
      <c r="L895" s="9">
        <f>VLOOKUP($O895,매칭테이블!$G:$J,2,0)*H895</f>
        <v/>
      </c>
      <c r="M895" s="9">
        <f>L895-L895*VLOOKUP($O895,매칭테이블!$G:$J,3,0)</f>
        <v/>
      </c>
      <c r="N895" s="9">
        <f>VLOOKUP($O895,매칭테이블!$G:$J,4,0)*H895</f>
        <v/>
      </c>
      <c r="O895" s="9">
        <f>F895&amp;E895&amp;G895&amp;J895</f>
        <v/>
      </c>
    </row>
    <row r="896">
      <c r="B896" s="10" t="n">
        <v>44227</v>
      </c>
      <c r="C896" s="9">
        <f>TEXT(B896,"aaa")</f>
        <v/>
      </c>
      <c r="E896" s="9">
        <f>INDEX(매칭테이블!C:C,MATCH(RD!G896,매칭테이블!D:D,0))</f>
        <v/>
      </c>
      <c r="F896" s="9" t="inlineStr">
        <is>
          <t>카페24</t>
        </is>
      </c>
      <c r="G896" s="9" t="inlineStr">
        <is>
          <t>라베나 리커버리 15 헤어팩 트리트먼트 [HAIR RÉ:COVERY 15 Hairpack Treatment]제품선택=헤어팩 트리트먼트 2개 세트 5% 추가할인</t>
        </is>
      </c>
      <c r="H896" s="9" t="n">
        <v>1</v>
      </c>
      <c r="I896" s="9">
        <f>VLOOKUP(G896,매칭테이블!D:E,2,0)</f>
        <v/>
      </c>
      <c r="J896" s="9" t="n">
        <v>201210</v>
      </c>
      <c r="L896" s="9">
        <f>VLOOKUP($O896,매칭테이블!$G:$J,2,0)*H896</f>
        <v/>
      </c>
      <c r="M896" s="9">
        <f>L896-L896*VLOOKUP($O896,매칭테이블!$G:$J,3,0)</f>
        <v/>
      </c>
      <c r="N896" s="9">
        <f>VLOOKUP($O896,매칭테이블!$G:$J,4,0)*H896</f>
        <v/>
      </c>
      <c r="O896" s="9">
        <f>F896&amp;E896&amp;G896&amp;J896</f>
        <v/>
      </c>
    </row>
    <row r="897">
      <c r="B897" s="10" t="n">
        <v>44228</v>
      </c>
      <c r="C897" s="9">
        <f>TEXT(B897,"aaa")</f>
        <v/>
      </c>
      <c r="E897" s="9">
        <f>INDEX(매칭테이블!C:C,MATCH(RD!G897,매칭테이블!D:D,0))</f>
        <v/>
      </c>
      <c r="F897" s="9" t="inlineStr">
        <is>
          <t>카페24</t>
        </is>
      </c>
      <c r="G897" s="9" t="inlineStr">
        <is>
          <t>라베나 리커버리 15 뉴트리셔스 밤 [HAIR RÉ:COVERY 15 Nutritious Balm]제품선택=헤어 리커버리 15 뉴트리셔스 밤</t>
        </is>
      </c>
      <c r="H897" s="9" t="n">
        <v>5</v>
      </c>
      <c r="I897" s="9">
        <f>VLOOKUP(G897,매칭테이블!D:E,2,0)</f>
        <v/>
      </c>
      <c r="J897" s="9" t="n">
        <v>210201</v>
      </c>
      <c r="L897" s="9">
        <f>VLOOKUP($O897,매칭테이블!$G:$J,2,0)*H897</f>
        <v/>
      </c>
      <c r="M897" s="9">
        <f>L897-L897*VLOOKUP($O897,매칭테이블!$G:$J,3,0)</f>
        <v/>
      </c>
      <c r="N897" s="9">
        <f>VLOOKUP($O897,매칭테이블!$G:$J,4,0)*H897</f>
        <v/>
      </c>
      <c r="O897" s="9">
        <f>F897&amp;E897&amp;G897&amp;J897</f>
        <v/>
      </c>
    </row>
    <row r="898">
      <c r="B898" s="10" t="n">
        <v>44228</v>
      </c>
      <c r="C898" s="9">
        <f>TEXT(B898,"aaa")</f>
        <v/>
      </c>
      <c r="E898" s="9">
        <f>INDEX(매칭테이블!C:C,MATCH(RD!G898,매칭테이블!D:D,0))</f>
        <v/>
      </c>
      <c r="F898" s="9" t="inlineStr">
        <is>
          <t>카페24</t>
        </is>
      </c>
      <c r="G898" s="9" t="inlineStr">
        <is>
          <t>라베나 리커버리 15 뉴트리셔스 밤 [HAIR RÉ:COVERY 15 Nutritious Balm]제품선택=뉴트리셔스 밤 2개 세트 5% 추가할인</t>
        </is>
      </c>
      <c r="H898" s="9" t="n">
        <v>2</v>
      </c>
      <c r="I898" s="9">
        <f>VLOOKUP(G898,매칭테이블!D:E,2,0)</f>
        <v/>
      </c>
      <c r="J898" s="9" t="n">
        <v>210201</v>
      </c>
      <c r="L898" s="9">
        <f>VLOOKUP($O898,매칭테이블!$G:$J,2,0)*H898</f>
        <v/>
      </c>
      <c r="M898" s="9">
        <f>L898-L898*VLOOKUP($O898,매칭테이블!$G:$J,3,0)</f>
        <v/>
      </c>
      <c r="N898" s="9">
        <f>VLOOKUP($O898,매칭테이블!$G:$J,4,0)*H898</f>
        <v/>
      </c>
      <c r="O898" s="9">
        <f>F898&amp;E898&amp;G898&amp;J898</f>
        <v/>
      </c>
    </row>
    <row r="899">
      <c r="B899" s="10" t="n">
        <v>44228</v>
      </c>
      <c r="C899" s="9">
        <f>TEXT(B899,"aaa")</f>
        <v/>
      </c>
      <c r="E899" s="9">
        <f>INDEX(매칭테이블!C:C,MATCH(RD!G899,매칭테이블!D:D,0))</f>
        <v/>
      </c>
      <c r="F899" s="9" t="inlineStr">
        <is>
          <t>카페24</t>
        </is>
      </c>
      <c r="G899" s="9" t="inlineStr">
        <is>
          <t>라베나 리커버리 15 뉴트리셔스 밤 [HAIR RÉ:COVERY 15 Nutritious Balm]제품선택=뉴트리셔스 밤 3개 세트 10% 추가할인</t>
        </is>
      </c>
      <c r="H899" s="9" t="n">
        <v>1</v>
      </c>
      <c r="I899" s="9">
        <f>VLOOKUP(G899,매칭테이블!D:E,2,0)</f>
        <v/>
      </c>
      <c r="J899" s="9" t="n">
        <v>210201</v>
      </c>
      <c r="L899" s="9">
        <f>VLOOKUP($O899,매칭테이블!$G:$J,2,0)*H899</f>
        <v/>
      </c>
      <c r="M899" s="9">
        <f>L899-L899*VLOOKUP($O899,매칭테이블!$G:$J,3,0)</f>
        <v/>
      </c>
      <c r="N899" s="9">
        <f>VLOOKUP($O899,매칭테이블!$G:$J,4,0)*H899</f>
        <v/>
      </c>
      <c r="O899" s="9">
        <f>F899&amp;E899&amp;G899&amp;J899</f>
        <v/>
      </c>
    </row>
    <row r="900">
      <c r="B900" s="10" t="n">
        <v>44228</v>
      </c>
      <c r="C900" s="9">
        <f>TEXT(B900,"aaa")</f>
        <v/>
      </c>
      <c r="E900" s="9">
        <f>INDEX(매칭테이블!C:C,MATCH(RD!G900,매칭테이블!D:D,0))</f>
        <v/>
      </c>
      <c r="F900" s="9" t="inlineStr">
        <is>
          <t>카페24</t>
        </is>
      </c>
      <c r="G900" s="9" t="inlineStr">
        <is>
          <t>라베나 리커버리 15 리바이탈 바이오플라보노이드샴푸 [HAIR RÉ:COVERY 15 Revital Shampoo]제품선택=헤어 리커버리 15 리바이탈 샴푸 - 500ml</t>
        </is>
      </c>
      <c r="H900" s="9" t="n">
        <v>244</v>
      </c>
      <c r="I900" s="9">
        <f>VLOOKUP(G900,매칭테이블!D:E,2,0)</f>
        <v/>
      </c>
      <c r="J900" s="9" t="n">
        <v>210201</v>
      </c>
      <c r="L900" s="9">
        <f>VLOOKUP($O900,매칭테이블!$G:$J,2,0)*H900</f>
        <v/>
      </c>
      <c r="M900" s="9">
        <f>L900-L900*VLOOKUP($O900,매칭테이블!$G:$J,3,0)</f>
        <v/>
      </c>
      <c r="N900" s="9">
        <f>VLOOKUP($O900,매칭테이블!$G:$J,4,0)*H900</f>
        <v/>
      </c>
      <c r="O900" s="9">
        <f>F900&amp;E900&amp;G900&amp;J900</f>
        <v/>
      </c>
    </row>
    <row r="901">
      <c r="B901" s="10" t="n">
        <v>44228</v>
      </c>
      <c r="C901" s="9">
        <f>TEXT(B901,"aaa")</f>
        <v/>
      </c>
      <c r="E901" s="9">
        <f>INDEX(매칭테이블!C:C,MATCH(RD!G901,매칭테이블!D:D,0))</f>
        <v/>
      </c>
      <c r="F901" s="9" t="inlineStr">
        <is>
          <t>카페24</t>
        </is>
      </c>
      <c r="G901" s="9" t="inlineStr">
        <is>
          <t>라베나 리커버리 15 리바이탈 바이오플라보노이드샴푸 [HAIR RÉ:COVERY 15 Revital Shampoo]제품선택=리바이탈 샴푸 2개 세트 5%추가할인</t>
        </is>
      </c>
      <c r="H901" s="9" t="n">
        <v>60</v>
      </c>
      <c r="I901" s="9">
        <f>VLOOKUP(G901,매칭테이블!D:E,2,0)</f>
        <v/>
      </c>
      <c r="J901" s="9" t="n">
        <v>210201</v>
      </c>
      <c r="L901" s="9">
        <f>VLOOKUP($O901,매칭테이블!$G:$J,2,0)*H901</f>
        <v/>
      </c>
      <c r="M901" s="9">
        <f>L901-L901*VLOOKUP($O901,매칭테이블!$G:$J,3,0)</f>
        <v/>
      </c>
      <c r="N901" s="9">
        <f>VLOOKUP($O901,매칭테이블!$G:$J,4,0)*H901</f>
        <v/>
      </c>
      <c r="O901" s="9">
        <f>F901&amp;E901&amp;G901&amp;J901</f>
        <v/>
      </c>
    </row>
    <row r="902">
      <c r="B902" s="10" t="n">
        <v>44228</v>
      </c>
      <c r="C902" s="9">
        <f>TEXT(B902,"aaa")</f>
        <v/>
      </c>
      <c r="E902" s="9">
        <f>INDEX(매칭테이블!C:C,MATCH(RD!G902,매칭테이블!D:D,0))</f>
        <v/>
      </c>
      <c r="F902" s="9" t="inlineStr">
        <is>
          <t>카페24</t>
        </is>
      </c>
      <c r="G902" s="9" t="inlineStr">
        <is>
          <t>라베나 리커버리 15 리바이탈 바이오플라보노이드샴푸 [HAIR RÉ:COVERY 15 Revital Shampoo]제품선택=리바이탈 샴푸 3개 세트 10% 추가할인</t>
        </is>
      </c>
      <c r="H902" s="9" t="n">
        <v>24</v>
      </c>
      <c r="I902" s="9">
        <f>VLOOKUP(G902,매칭테이블!D:E,2,0)</f>
        <v/>
      </c>
      <c r="J902" s="9" t="n">
        <v>210201</v>
      </c>
      <c r="L902" s="9">
        <f>VLOOKUP($O902,매칭테이블!$G:$J,2,0)*H902</f>
        <v/>
      </c>
      <c r="M902" s="9">
        <f>L902-L902*VLOOKUP($O902,매칭테이블!$G:$J,3,0)</f>
        <v/>
      </c>
      <c r="N902" s="9">
        <f>VLOOKUP($O902,매칭테이블!$G:$J,4,0)*H902</f>
        <v/>
      </c>
      <c r="O902" s="9">
        <f>F902&amp;E902&amp;G902&amp;J902</f>
        <v/>
      </c>
    </row>
    <row r="903">
      <c r="B903" s="10" t="n">
        <v>44228</v>
      </c>
      <c r="C903" s="9">
        <f>TEXT(B903,"aaa")</f>
        <v/>
      </c>
      <c r="E903" s="9">
        <f>INDEX(매칭테이블!C:C,MATCH(RD!G903,매칭테이블!D:D,0))</f>
        <v/>
      </c>
      <c r="F903" s="9" t="inlineStr">
        <is>
          <t>카페24</t>
        </is>
      </c>
      <c r="G903" s="9" t="inlineStr">
        <is>
          <t>라베나 리커버리 15 리바이탈 샴푸 [HAIR RÉ:COVERY 15 Revital Shampoo]제품선택=헤어 리커버리 15 리바이탈 샴푸 - 500ml</t>
        </is>
      </c>
      <c r="H903" s="9" t="n">
        <v>5</v>
      </c>
      <c r="I903" s="9">
        <f>VLOOKUP(G903,매칭테이블!D:E,2,0)</f>
        <v/>
      </c>
      <c r="J903" s="9" t="n">
        <v>210201</v>
      </c>
      <c r="L903" s="9">
        <f>VLOOKUP($O903,매칭테이블!$G:$J,2,0)*H903</f>
        <v/>
      </c>
      <c r="M903" s="9">
        <f>L903-L903*VLOOKUP($O903,매칭테이블!$G:$J,3,0)</f>
        <v/>
      </c>
      <c r="N903" s="9">
        <f>VLOOKUP($O903,매칭테이블!$G:$J,4,0)*H903</f>
        <v/>
      </c>
      <c r="O903" s="9">
        <f>F903&amp;E903&amp;G903&amp;J903</f>
        <v/>
      </c>
    </row>
    <row r="904">
      <c r="B904" s="10" t="n">
        <v>44228</v>
      </c>
      <c r="C904" s="9">
        <f>TEXT(B904,"aaa")</f>
        <v/>
      </c>
      <c r="E904" s="9">
        <f>INDEX(매칭테이블!C:C,MATCH(RD!G904,매칭테이블!D:D,0))</f>
        <v/>
      </c>
      <c r="F904" s="9" t="inlineStr">
        <is>
          <t>카페24</t>
        </is>
      </c>
      <c r="G904" s="9" t="inlineStr">
        <is>
          <t>라베나 리커버리 15 헤어팩 트리트먼트 [HAIR RÉ:COVERY 15 Hairpack Treatment]제품선택=헤어 리커버리 15 헤어팩 트리트먼트</t>
        </is>
      </c>
      <c r="H904" s="9" t="n">
        <v>5</v>
      </c>
      <c r="I904" s="9">
        <f>VLOOKUP(G904,매칭테이블!D:E,2,0)</f>
        <v/>
      </c>
      <c r="J904" s="9" t="n">
        <v>210201</v>
      </c>
      <c r="L904" s="9">
        <f>VLOOKUP($O904,매칭테이블!$G:$J,2,0)*H904</f>
        <v/>
      </c>
      <c r="M904" s="9">
        <f>L904-L904*VLOOKUP($O904,매칭테이블!$G:$J,3,0)</f>
        <v/>
      </c>
      <c r="N904" s="9">
        <f>VLOOKUP($O904,매칭테이블!$G:$J,4,0)*H904</f>
        <v/>
      </c>
      <c r="O904" s="9">
        <f>F904&amp;E904&amp;G904&amp;J904</f>
        <v/>
      </c>
    </row>
    <row r="905">
      <c r="B905" s="10" t="n">
        <v>44228</v>
      </c>
      <c r="C905" s="9">
        <f>TEXT(B905,"aaa")</f>
        <v/>
      </c>
      <c r="E905" s="9">
        <f>INDEX(매칭테이블!C:C,MATCH(RD!G905,매칭테이블!D:D,0))</f>
        <v/>
      </c>
      <c r="F905" s="9" t="inlineStr">
        <is>
          <t>카페24</t>
        </is>
      </c>
      <c r="G905" s="9" t="inlineStr">
        <is>
          <t>라베나 리커버리 15 헤어팩 트리트먼트 [HAIR RÉ:COVERY 15 Hairpack Treatment]제품선택=헤어팩 트리트먼트 2개 세트 5% 추가할인</t>
        </is>
      </c>
      <c r="H905" s="9" t="n">
        <v>4</v>
      </c>
      <c r="I905" s="9">
        <f>VLOOKUP(G905,매칭테이블!D:E,2,0)</f>
        <v/>
      </c>
      <c r="J905" s="9" t="n">
        <v>210201</v>
      </c>
      <c r="L905" s="9">
        <f>VLOOKUP($O905,매칭테이블!$G:$J,2,0)*H905</f>
        <v/>
      </c>
      <c r="M905" s="9">
        <f>L905-L905*VLOOKUP($O905,매칭테이블!$G:$J,3,0)</f>
        <v/>
      </c>
      <c r="N905" s="9">
        <f>VLOOKUP($O905,매칭테이블!$G:$J,4,0)*H905</f>
        <v/>
      </c>
      <c r="O905" s="9">
        <f>F905&amp;E905&amp;G905&amp;J905</f>
        <v/>
      </c>
    </row>
    <row r="906">
      <c r="B906" s="10" t="n">
        <v>44228</v>
      </c>
      <c r="C906" s="9">
        <f>TEXT(B906,"aaa")</f>
        <v/>
      </c>
      <c r="E906" s="9">
        <f>INDEX(매칭테이블!C:C,MATCH(RD!G906,매칭테이블!D:D,0))</f>
        <v/>
      </c>
      <c r="F906" s="9" t="inlineStr">
        <is>
          <t>카페24</t>
        </is>
      </c>
      <c r="G906" s="9" t="inlineStr">
        <is>
          <t>라베나 리커버리 15 헤어팩 트리트먼트 [HAIR RÉ:COVERY 15 Hairpack Treatment]제품선택=헤어팩 트리트먼트 3개 세트 10% 추가할인</t>
        </is>
      </c>
      <c r="H906" s="9" t="n">
        <v>2</v>
      </c>
      <c r="I906" s="9">
        <f>VLOOKUP(G906,매칭테이블!D:E,2,0)</f>
        <v/>
      </c>
      <c r="J906" s="9" t="n">
        <v>210201</v>
      </c>
      <c r="L906" s="9">
        <f>VLOOKUP($O906,매칭테이블!$G:$J,2,0)*H906</f>
        <v/>
      </c>
      <c r="M906" s="9">
        <f>L906-L906*VLOOKUP($O906,매칭테이블!$G:$J,3,0)</f>
        <v/>
      </c>
      <c r="N906" s="9">
        <f>VLOOKUP($O906,매칭테이블!$G:$J,4,0)*H906</f>
        <v/>
      </c>
      <c r="O906" s="9">
        <f>F906&amp;E906&amp;G906&amp;J906</f>
        <v/>
      </c>
    </row>
    <row r="907">
      <c r="B907" s="10" t="n">
        <v>44228</v>
      </c>
      <c r="C907" s="9">
        <f>TEXT(B907,"aaa")</f>
        <v/>
      </c>
      <c r="E907" s="9">
        <f>INDEX(매칭테이블!C:C,MATCH(RD!G907,매칭테이블!D:D,0))</f>
        <v/>
      </c>
      <c r="F907" s="9" t="inlineStr">
        <is>
          <t>카페24</t>
        </is>
      </c>
      <c r="G907" s="9" t="inlineStr">
        <is>
          <t>헤어 리커버리 15 리바이탈 샴푸</t>
        </is>
      </c>
      <c r="H907" s="9" t="n">
        <v>1</v>
      </c>
      <c r="I907" s="9">
        <f>VLOOKUP(G907,매칭테이블!D:E,2,0)</f>
        <v/>
      </c>
      <c r="J907" s="9" t="n">
        <v>210201</v>
      </c>
      <c r="L907" s="9">
        <f>VLOOKUP($O907,매칭테이블!$G:$J,2,0)*H907</f>
        <v/>
      </c>
      <c r="M907" s="9">
        <f>L907-L907*VLOOKUP($O907,매칭테이블!$G:$J,3,0)</f>
        <v/>
      </c>
      <c r="N907" s="9">
        <f>VLOOKUP($O907,매칭테이블!$G:$J,4,0)*H907</f>
        <v/>
      </c>
      <c r="O907" s="9">
        <f>F907&amp;E907&amp;G907&amp;J907</f>
        <v/>
      </c>
    </row>
    <row r="908">
      <c r="B908" s="10" t="n">
        <v>44229</v>
      </c>
      <c r="C908" s="9">
        <f>TEXT(B908,"aaa")</f>
        <v/>
      </c>
      <c r="E908" s="9">
        <f>INDEX(매칭테이블!C:C,MATCH(RD!G908,매칭테이블!D:D,0))</f>
        <v/>
      </c>
      <c r="F908" s="9" t="inlineStr">
        <is>
          <t>카페24</t>
        </is>
      </c>
      <c r="G908" s="9" t="inlineStr">
        <is>
          <t>라베나 리커버리 15 뉴트리셔스 밤 [HAIR RÉ:COVERY 15 Nutritious Balm]제품선택=헤어 리커버리 15 뉴트리셔스 밤</t>
        </is>
      </c>
      <c r="H908" s="9" t="n">
        <v>9</v>
      </c>
      <c r="I908" s="9">
        <f>VLOOKUP(G908,매칭테이블!D:E,2,0)</f>
        <v/>
      </c>
      <c r="J908" s="9" t="n">
        <v>210201</v>
      </c>
      <c r="L908" s="9">
        <f>VLOOKUP($O908,매칭테이블!$G:$J,2,0)*H908</f>
        <v/>
      </c>
      <c r="M908" s="9">
        <f>L908-L908*VLOOKUP($O908,매칭테이블!$G:$J,3,0)</f>
        <v/>
      </c>
      <c r="N908" s="9">
        <f>VLOOKUP($O908,매칭테이블!$G:$J,4,0)*H908</f>
        <v/>
      </c>
      <c r="O908" s="9">
        <f>F908&amp;E908&amp;G908&amp;J908</f>
        <v/>
      </c>
    </row>
    <row r="909">
      <c r="B909" s="10" t="n">
        <v>44229</v>
      </c>
      <c r="C909" s="9">
        <f>TEXT(B909,"aaa")</f>
        <v/>
      </c>
      <c r="E909" s="9">
        <f>INDEX(매칭테이블!C:C,MATCH(RD!G909,매칭테이블!D:D,0))</f>
        <v/>
      </c>
      <c r="F909" s="9" t="inlineStr">
        <is>
          <t>카페24</t>
        </is>
      </c>
      <c r="G909" s="9" t="inlineStr">
        <is>
          <t>라베나 리커버리 15 리바이탈 바이오플라보노이드샴푸 [HAIR RÉ:COVERY 15 Revital Shampoo]제품선택=헤어 리커버리 15 리바이탈 샴푸 - 500ml</t>
        </is>
      </c>
      <c r="H909" s="9" t="n">
        <v>231</v>
      </c>
      <c r="I909" s="9">
        <f>VLOOKUP(G909,매칭테이블!D:E,2,0)</f>
        <v/>
      </c>
      <c r="J909" s="9" t="n">
        <v>210201</v>
      </c>
      <c r="L909" s="9">
        <f>VLOOKUP($O909,매칭테이블!$G:$J,2,0)*H909</f>
        <v/>
      </c>
      <c r="M909" s="9">
        <f>L909-L909*VLOOKUP($O909,매칭테이블!$G:$J,3,0)</f>
        <v/>
      </c>
      <c r="N909" s="9">
        <f>VLOOKUP($O909,매칭테이블!$G:$J,4,0)*H909</f>
        <v/>
      </c>
      <c r="O909" s="9">
        <f>F909&amp;E909&amp;G909&amp;J909</f>
        <v/>
      </c>
    </row>
    <row r="910">
      <c r="B910" s="10" t="n">
        <v>44229</v>
      </c>
      <c r="C910" s="9">
        <f>TEXT(B910,"aaa")</f>
        <v/>
      </c>
      <c r="E910" s="9">
        <f>INDEX(매칭테이블!C:C,MATCH(RD!G910,매칭테이블!D:D,0))</f>
        <v/>
      </c>
      <c r="F910" s="9" t="inlineStr">
        <is>
          <t>카페24</t>
        </is>
      </c>
      <c r="G910" s="9" t="inlineStr">
        <is>
          <t>라베나 리커버리 15 리바이탈 바이오플라보노이드샴푸 [HAIR RÉ:COVERY 15 Revital Shampoo]제품선택=리바이탈 샴푸 2개 세트 5%추가할인</t>
        </is>
      </c>
      <c r="H910" s="9" t="n">
        <v>71</v>
      </c>
      <c r="I910" s="9">
        <f>VLOOKUP(G910,매칭테이블!D:E,2,0)</f>
        <v/>
      </c>
      <c r="J910" s="9" t="n">
        <v>210201</v>
      </c>
      <c r="L910" s="9">
        <f>VLOOKUP($O910,매칭테이블!$G:$J,2,0)*H910</f>
        <v/>
      </c>
      <c r="M910" s="9">
        <f>L910-L910*VLOOKUP($O910,매칭테이블!$G:$J,3,0)</f>
        <v/>
      </c>
      <c r="N910" s="9">
        <f>VLOOKUP($O910,매칭테이블!$G:$J,4,0)*H910</f>
        <v/>
      </c>
      <c r="O910" s="9">
        <f>F910&amp;E910&amp;G910&amp;J910</f>
        <v/>
      </c>
    </row>
    <row r="911">
      <c r="B911" s="10" t="n">
        <v>44229</v>
      </c>
      <c r="C911" s="9">
        <f>TEXT(B911,"aaa")</f>
        <v/>
      </c>
      <c r="E911" s="9">
        <f>INDEX(매칭테이블!C:C,MATCH(RD!G911,매칭테이블!D:D,0))</f>
        <v/>
      </c>
      <c r="F911" s="9" t="inlineStr">
        <is>
          <t>카페24</t>
        </is>
      </c>
      <c r="G911" s="9" t="inlineStr">
        <is>
          <t>라베나 리커버리 15 리바이탈 바이오플라보노이드샴푸 [HAIR RÉ:COVERY 15 Revital Shampoo]제품선택=리바이탈 샴푸 3개 세트 10% 추가할인</t>
        </is>
      </c>
      <c r="H911" s="9" t="n">
        <v>16</v>
      </c>
      <c r="I911" s="9">
        <f>VLOOKUP(G911,매칭테이블!D:E,2,0)</f>
        <v/>
      </c>
      <c r="J911" s="9" t="n">
        <v>210201</v>
      </c>
      <c r="L911" s="9">
        <f>VLOOKUP($O911,매칭테이블!$G:$J,2,0)*H911</f>
        <v/>
      </c>
      <c r="M911" s="9">
        <f>L911-L911*VLOOKUP($O911,매칭테이블!$G:$J,3,0)</f>
        <v/>
      </c>
      <c r="N911" s="9">
        <f>VLOOKUP($O911,매칭테이블!$G:$J,4,0)*H911</f>
        <v/>
      </c>
      <c r="O911" s="9">
        <f>F911&amp;E911&amp;G911&amp;J911</f>
        <v/>
      </c>
    </row>
    <row r="912">
      <c r="B912" s="10" t="n">
        <v>44229</v>
      </c>
      <c r="C912" s="9">
        <f>TEXT(B912,"aaa")</f>
        <v/>
      </c>
      <c r="E912" s="9">
        <f>INDEX(매칭테이블!C:C,MATCH(RD!G912,매칭테이블!D:D,0))</f>
        <v/>
      </c>
      <c r="F912" s="9" t="inlineStr">
        <is>
          <t>카페24</t>
        </is>
      </c>
      <c r="G912" s="9" t="inlineStr">
        <is>
          <t>라베나 리커버리 15 헤어팩 트리트먼트 [HAIR RÉ:COVERY 15 Hairpack Treatment]제품선택=헤어 리커버리 15 헤어팩 트리트먼트</t>
        </is>
      </c>
      <c r="H912" s="9" t="n">
        <v>6</v>
      </c>
      <c r="I912" s="9">
        <f>VLOOKUP(G912,매칭테이블!D:E,2,0)</f>
        <v/>
      </c>
      <c r="J912" s="9" t="n">
        <v>210201</v>
      </c>
      <c r="L912" s="9">
        <f>VLOOKUP($O912,매칭테이블!$G:$J,2,0)*H912</f>
        <v/>
      </c>
      <c r="M912" s="9">
        <f>L912-L912*VLOOKUP($O912,매칭테이블!$G:$J,3,0)</f>
        <v/>
      </c>
      <c r="N912" s="9">
        <f>VLOOKUP($O912,매칭테이블!$G:$J,4,0)*H912</f>
        <v/>
      </c>
      <c r="O912" s="9">
        <f>F912&amp;E912&amp;G912&amp;J912</f>
        <v/>
      </c>
    </row>
    <row r="913">
      <c r="B913" s="10" t="n">
        <v>44229</v>
      </c>
      <c r="C913" s="9">
        <f>TEXT(B913,"aaa")</f>
        <v/>
      </c>
      <c r="E913" s="9">
        <f>INDEX(매칭테이블!C:C,MATCH(RD!G913,매칭테이블!D:D,0))</f>
        <v/>
      </c>
      <c r="F913" s="9" t="inlineStr">
        <is>
          <t>카페24</t>
        </is>
      </c>
      <c r="G913" s="9" t="inlineStr">
        <is>
          <t>라베나 리커버리 15 헤어팩 트리트먼트 [HAIR RÉ:COVERY 15 Hairpack Treatment]제품선택=헤어팩 트리트먼트 2개 세트 5% 추가할인</t>
        </is>
      </c>
      <c r="H913" s="9" t="n">
        <v>1</v>
      </c>
      <c r="I913" s="9">
        <f>VLOOKUP(G913,매칭테이블!D:E,2,0)</f>
        <v/>
      </c>
      <c r="J913" s="9" t="n">
        <v>210201</v>
      </c>
      <c r="L913" s="9">
        <f>VLOOKUP($O913,매칭테이블!$G:$J,2,0)*H913</f>
        <v/>
      </c>
      <c r="M913" s="9">
        <f>L913-L913*VLOOKUP($O913,매칭테이블!$G:$J,3,0)</f>
        <v/>
      </c>
      <c r="N913" s="9">
        <f>VLOOKUP($O913,매칭테이블!$G:$J,4,0)*H913</f>
        <v/>
      </c>
      <c r="O913" s="9">
        <f>F913&amp;E913&amp;G913&amp;J913</f>
        <v/>
      </c>
    </row>
    <row r="914">
      <c r="B914" s="10" t="n">
        <v>44229</v>
      </c>
      <c r="C914" s="9">
        <f>TEXT(B914,"aaa")</f>
        <v/>
      </c>
      <c r="E914" s="9">
        <f>INDEX(매칭테이블!C:C,MATCH(RD!G914,매칭테이블!D:D,0))</f>
        <v/>
      </c>
      <c r="F914" s="9" t="inlineStr">
        <is>
          <t>카페24</t>
        </is>
      </c>
      <c r="G914" s="9" t="inlineStr">
        <is>
          <t>라베나 리커버리 15 헤어팩 트리트먼트 [HAIR RÉ:COVERY 15 Hairpack Treatment]제품선택=헤어팩 트리트먼트 3개 세트 10% 추가할인</t>
        </is>
      </c>
      <c r="H914" s="9" t="n">
        <v>1</v>
      </c>
      <c r="I914" s="9">
        <f>VLOOKUP(G914,매칭테이블!D:E,2,0)</f>
        <v/>
      </c>
      <c r="J914" s="9" t="n">
        <v>210201</v>
      </c>
      <c r="L914" s="9">
        <f>VLOOKUP($O914,매칭테이블!$G:$J,2,0)*H914</f>
        <v/>
      </c>
      <c r="M914" s="9">
        <f>L914-L914*VLOOKUP($O914,매칭테이블!$G:$J,3,0)</f>
        <v/>
      </c>
      <c r="N914" s="9">
        <f>VLOOKUP($O914,매칭테이블!$G:$J,4,0)*H914</f>
        <v/>
      </c>
      <c r="O914" s="9">
        <f>F914&amp;E914&amp;G914&amp;J914</f>
        <v/>
      </c>
    </row>
    <row r="915">
      <c r="B915" s="10" t="n">
        <v>44229</v>
      </c>
      <c r="C915" s="9">
        <f>TEXT(B915,"aaa")</f>
        <v/>
      </c>
      <c r="E915" s="9">
        <f>INDEX(매칭테이블!C:C,MATCH(RD!G915,매칭테이블!D:D,0))</f>
        <v/>
      </c>
      <c r="F915" s="9" t="inlineStr">
        <is>
          <t>카페24</t>
        </is>
      </c>
      <c r="G915" s="9" t="inlineStr">
        <is>
          <t>라베나 리커버리 15 헤어팩 트리트먼트 [HAIR RÉ:COVERY 15 Hairpack Treatment]제품선택=헤어팩 트리트먼트 1개 + 뉴트리셔스밤 1개 세트 5% 추가할인</t>
        </is>
      </c>
      <c r="H915" s="9" t="n">
        <v>4</v>
      </c>
      <c r="I915" s="9">
        <f>VLOOKUP(G915,매칭테이블!D:E,2,0)</f>
        <v/>
      </c>
      <c r="J915" s="9" t="n">
        <v>210201</v>
      </c>
      <c r="L915" s="9">
        <f>VLOOKUP($O915,매칭테이블!$G:$J,2,0)*H915</f>
        <v/>
      </c>
      <c r="M915" s="9">
        <f>L915-L915*VLOOKUP($O915,매칭테이블!$G:$J,3,0)</f>
        <v/>
      </c>
      <c r="N915" s="9">
        <f>VLOOKUP($O915,매칭테이블!$G:$J,4,0)*H915</f>
        <v/>
      </c>
      <c r="O915" s="9">
        <f>F915&amp;E915&amp;G915&amp;J915</f>
        <v/>
      </c>
    </row>
    <row r="916">
      <c r="B916" s="10" t="n">
        <v>44229</v>
      </c>
      <c r="C916" s="9">
        <f>TEXT(B916,"aaa")</f>
        <v/>
      </c>
      <c r="E916" s="9">
        <f>INDEX(매칭테이블!C:C,MATCH(RD!G916,매칭테이블!D:D,0))</f>
        <v/>
      </c>
      <c r="F916" s="9" t="inlineStr">
        <is>
          <t>카페24</t>
        </is>
      </c>
      <c r="G916" s="9" t="inlineStr">
        <is>
          <t>헤어 리커버리 15 리바이탈 샴푸</t>
        </is>
      </c>
      <c r="H916" s="9" t="n">
        <v>2</v>
      </c>
      <c r="I916" s="9">
        <f>VLOOKUP(G916,매칭테이블!D:E,2,0)</f>
        <v/>
      </c>
      <c r="J916" s="9" t="n">
        <v>210201</v>
      </c>
      <c r="L916" s="9">
        <f>VLOOKUP($O916,매칭테이블!$G:$J,2,0)*H916</f>
        <v/>
      </c>
      <c r="M916" s="9">
        <f>L916-L916*VLOOKUP($O916,매칭테이블!$G:$J,3,0)</f>
        <v/>
      </c>
      <c r="N916" s="9">
        <f>VLOOKUP($O916,매칭테이블!$G:$J,4,0)*H916</f>
        <v/>
      </c>
      <c r="O916" s="9">
        <f>F916&amp;E916&amp;G916&amp;J916</f>
        <v/>
      </c>
    </row>
    <row r="917">
      <c r="B917" s="10" t="n">
        <v>44230</v>
      </c>
      <c r="C917" s="9">
        <f>TEXT(B917,"aaa")</f>
        <v/>
      </c>
      <c r="E917" s="9">
        <f>INDEX(매칭테이블!C:C,MATCH(RD!G917,매칭테이블!D:D,0))</f>
        <v/>
      </c>
      <c r="F917" s="9" t="inlineStr">
        <is>
          <t>카페24</t>
        </is>
      </c>
      <c r="G917" s="9" t="inlineStr">
        <is>
          <t>라베나 리커버리 15 뉴트리셔스 밤 [HAIR RÉ:COVERY 15 Nutritious Balm]제품선택=헤어 리커버리 15 뉴트리셔스 밤</t>
        </is>
      </c>
      <c r="H917" s="9" t="n">
        <v>3</v>
      </c>
      <c r="I917" s="9">
        <f>VLOOKUP(G917,매칭테이블!D:E,2,0)</f>
        <v/>
      </c>
      <c r="J917" s="9" t="n">
        <v>210201</v>
      </c>
      <c r="L917" s="9">
        <f>VLOOKUP($O917,매칭테이블!$G:$J,2,0)*H917</f>
        <v/>
      </c>
      <c r="M917" s="9">
        <f>L917-L917*VLOOKUP($O917,매칭테이블!$G:$J,3,0)</f>
        <v/>
      </c>
      <c r="N917" s="9">
        <f>VLOOKUP($O917,매칭테이블!$G:$J,4,0)*H917</f>
        <v/>
      </c>
      <c r="O917" s="9">
        <f>F917&amp;E917&amp;G917&amp;J917</f>
        <v/>
      </c>
    </row>
    <row r="918">
      <c r="B918" s="10" t="n">
        <v>44230</v>
      </c>
      <c r="C918" s="9">
        <f>TEXT(B918,"aaa")</f>
        <v/>
      </c>
      <c r="E918" s="9">
        <f>INDEX(매칭테이블!C:C,MATCH(RD!G918,매칭테이블!D:D,0))</f>
        <v/>
      </c>
      <c r="F918" s="9" t="inlineStr">
        <is>
          <t>카페24</t>
        </is>
      </c>
      <c r="G918" s="9" t="inlineStr">
        <is>
          <t>라베나 리커버리 15 리바이탈 바이오플라보노이드샴푸 [HAIR RÉ:COVERY 15 Revital Shampoo]제품선택=헤어 리커버리 15 리바이탈 샴푸 - 500ml</t>
        </is>
      </c>
      <c r="H918" s="9" t="n">
        <v>162</v>
      </c>
      <c r="I918" s="9">
        <f>VLOOKUP(G918,매칭테이블!D:E,2,0)</f>
        <v/>
      </c>
      <c r="J918" s="9" t="n">
        <v>210201</v>
      </c>
      <c r="L918" s="9">
        <f>VLOOKUP($O918,매칭테이블!$G:$J,2,0)*H918</f>
        <v/>
      </c>
      <c r="M918" s="9">
        <f>L918-L918*VLOOKUP($O918,매칭테이블!$G:$J,3,0)</f>
        <v/>
      </c>
      <c r="N918" s="9">
        <f>VLOOKUP($O918,매칭테이블!$G:$J,4,0)*H918</f>
        <v/>
      </c>
      <c r="O918" s="9">
        <f>F918&amp;E918&amp;G918&amp;J918</f>
        <v/>
      </c>
    </row>
    <row r="919">
      <c r="B919" s="10" t="n">
        <v>44230</v>
      </c>
      <c r="C919" s="9">
        <f>TEXT(B919,"aaa")</f>
        <v/>
      </c>
      <c r="E919" s="9">
        <f>INDEX(매칭테이블!C:C,MATCH(RD!G919,매칭테이블!D:D,0))</f>
        <v/>
      </c>
      <c r="F919" s="9" t="inlineStr">
        <is>
          <t>카페24</t>
        </is>
      </c>
      <c r="G919" s="9" t="inlineStr">
        <is>
          <t>라베나 리커버리 15 리바이탈 바이오플라보노이드샴푸 [HAIR RÉ:COVERY 15 Revital Shampoo]제품선택=리바이탈 샴푸 2개 세트 5%추가할인</t>
        </is>
      </c>
      <c r="H919" s="9" t="n">
        <v>39</v>
      </c>
      <c r="I919" s="9">
        <f>VLOOKUP(G919,매칭테이블!D:E,2,0)</f>
        <v/>
      </c>
      <c r="J919" s="9" t="n">
        <v>210201</v>
      </c>
      <c r="L919" s="9">
        <f>VLOOKUP($O919,매칭테이블!$G:$J,2,0)*H919</f>
        <v/>
      </c>
      <c r="M919" s="9">
        <f>L919-L919*VLOOKUP($O919,매칭테이블!$G:$J,3,0)</f>
        <v/>
      </c>
      <c r="N919" s="9">
        <f>VLOOKUP($O919,매칭테이블!$G:$J,4,0)*H919</f>
        <v/>
      </c>
      <c r="O919" s="9">
        <f>F919&amp;E919&amp;G919&amp;J919</f>
        <v/>
      </c>
    </row>
    <row r="920">
      <c r="B920" s="10" t="n">
        <v>44230</v>
      </c>
      <c r="C920" s="9">
        <f>TEXT(B920,"aaa")</f>
        <v/>
      </c>
      <c r="E920" s="9">
        <f>INDEX(매칭테이블!C:C,MATCH(RD!G920,매칭테이블!D:D,0))</f>
        <v/>
      </c>
      <c r="F920" s="9" t="inlineStr">
        <is>
          <t>카페24</t>
        </is>
      </c>
      <c r="G920" s="9" t="inlineStr">
        <is>
          <t>라베나 리커버리 15 리바이탈 바이오플라보노이드샴푸 [HAIR RÉ:COVERY 15 Revital Shampoo]제품선택=리바이탈 샴푸 3개 세트 10% 추가할인</t>
        </is>
      </c>
      <c r="H920" s="9" t="n">
        <v>19</v>
      </c>
      <c r="I920" s="9">
        <f>VLOOKUP(G920,매칭테이블!D:E,2,0)</f>
        <v/>
      </c>
      <c r="J920" s="9" t="n">
        <v>210201</v>
      </c>
      <c r="L920" s="9">
        <f>VLOOKUP($O920,매칭테이블!$G:$J,2,0)*H920</f>
        <v/>
      </c>
      <c r="M920" s="9">
        <f>L920-L920*VLOOKUP($O920,매칭테이블!$G:$J,3,0)</f>
        <v/>
      </c>
      <c r="N920" s="9">
        <f>VLOOKUP($O920,매칭테이블!$G:$J,4,0)*H920</f>
        <v/>
      </c>
      <c r="O920" s="9">
        <f>F920&amp;E920&amp;G920&amp;J920</f>
        <v/>
      </c>
    </row>
    <row r="921">
      <c r="B921" s="10" t="n">
        <v>44230</v>
      </c>
      <c r="C921" s="9">
        <f>TEXT(B921,"aaa")</f>
        <v/>
      </c>
      <c r="E921" s="9">
        <f>INDEX(매칭테이블!C:C,MATCH(RD!G921,매칭테이블!D:D,0))</f>
        <v/>
      </c>
      <c r="F921" s="9" t="inlineStr">
        <is>
          <t>카페24</t>
        </is>
      </c>
      <c r="G921" s="9" t="inlineStr">
        <is>
          <t>라베나 리커버리 15 헤어팩 트리트먼트 [HAIR RÉ:COVERY 15 Hairpack Treatment]제품선택=헤어 리커버리 15 헤어팩 트리트먼트</t>
        </is>
      </c>
      <c r="H921" s="9" t="n">
        <v>7</v>
      </c>
      <c r="I921" s="9">
        <f>VLOOKUP(G921,매칭테이블!D:E,2,0)</f>
        <v/>
      </c>
      <c r="J921" s="9" t="n">
        <v>210201</v>
      </c>
      <c r="L921" s="9">
        <f>VLOOKUP($O921,매칭테이블!$G:$J,2,0)*H921</f>
        <v/>
      </c>
      <c r="M921" s="9">
        <f>L921-L921*VLOOKUP($O921,매칭테이블!$G:$J,3,0)</f>
        <v/>
      </c>
      <c r="N921" s="9">
        <f>VLOOKUP($O921,매칭테이블!$G:$J,4,0)*H921</f>
        <v/>
      </c>
      <c r="O921" s="9">
        <f>F921&amp;E921&amp;G921&amp;J921</f>
        <v/>
      </c>
    </row>
    <row r="922">
      <c r="B922" s="10" t="n">
        <v>44230</v>
      </c>
      <c r="C922" s="9">
        <f>TEXT(B922,"aaa")</f>
        <v/>
      </c>
      <c r="E922" s="9">
        <f>INDEX(매칭테이블!C:C,MATCH(RD!G922,매칭테이블!D:D,0))</f>
        <v/>
      </c>
      <c r="F922" s="9" t="inlineStr">
        <is>
          <t>카페24</t>
        </is>
      </c>
      <c r="G922" s="9" t="inlineStr">
        <is>
          <t>라베나 리커버리 15 헤어팩 트리트먼트 [HAIR RÉ:COVERY 15 Hairpack Treatment]제품선택=헤어팩 트리트먼트 2개 세트 5% 추가할인</t>
        </is>
      </c>
      <c r="H922" s="9" t="n">
        <v>1</v>
      </c>
      <c r="I922" s="9">
        <f>VLOOKUP(G922,매칭테이블!D:E,2,0)</f>
        <v/>
      </c>
      <c r="J922" s="9" t="n">
        <v>210201</v>
      </c>
      <c r="L922" s="9">
        <f>VLOOKUP($O922,매칭테이블!$G:$J,2,0)*H922</f>
        <v/>
      </c>
      <c r="M922" s="9">
        <f>L922-L922*VLOOKUP($O922,매칭테이블!$G:$J,3,0)</f>
        <v/>
      </c>
      <c r="N922" s="9">
        <f>VLOOKUP($O922,매칭테이블!$G:$J,4,0)*H922</f>
        <v/>
      </c>
      <c r="O922" s="9">
        <f>F922&amp;E922&amp;G922&amp;J922</f>
        <v/>
      </c>
    </row>
    <row r="923">
      <c r="B923" s="10" t="n">
        <v>44230</v>
      </c>
      <c r="C923" s="9">
        <f>TEXT(B923,"aaa")</f>
        <v/>
      </c>
      <c r="E923" s="9">
        <f>INDEX(매칭테이블!C:C,MATCH(RD!G923,매칭테이블!D:D,0))</f>
        <v/>
      </c>
      <c r="F923" s="9" t="inlineStr">
        <is>
          <t>카페24</t>
        </is>
      </c>
      <c r="G923" s="9" t="inlineStr">
        <is>
          <t>라베나 리커버리 15 헤어팩 트리트먼트 [HAIR RÉ:COVERY 15 Hairpack Treatment]제품선택=헤어팩 트리트먼트 3개 세트 10% 추가할인</t>
        </is>
      </c>
      <c r="H923" s="9" t="n">
        <v>1</v>
      </c>
      <c r="I923" s="9">
        <f>VLOOKUP(G923,매칭테이블!D:E,2,0)</f>
        <v/>
      </c>
      <c r="J923" s="9" t="n">
        <v>210201</v>
      </c>
      <c r="L923" s="9">
        <f>VLOOKUP($O923,매칭테이블!$G:$J,2,0)*H923</f>
        <v/>
      </c>
      <c r="M923" s="9">
        <f>L923-L923*VLOOKUP($O923,매칭테이블!$G:$J,3,0)</f>
        <v/>
      </c>
      <c r="N923" s="9">
        <f>VLOOKUP($O923,매칭테이블!$G:$J,4,0)*H923</f>
        <v/>
      </c>
      <c r="O923" s="9">
        <f>F923&amp;E923&amp;G923&amp;J923</f>
        <v/>
      </c>
    </row>
    <row r="924">
      <c r="B924" s="10" t="n">
        <v>44230</v>
      </c>
      <c r="C924" s="9">
        <f>TEXT(B924,"aaa")</f>
        <v/>
      </c>
      <c r="E924" s="9">
        <f>INDEX(매칭테이블!C:C,MATCH(RD!G924,매칭테이블!D:D,0))</f>
        <v/>
      </c>
      <c r="F924" s="9" t="inlineStr">
        <is>
          <t>카페24</t>
        </is>
      </c>
      <c r="G924" s="9" t="inlineStr">
        <is>
          <t>라베나 리커버리 15 헤어팩 트리트먼트 [HAIR RÉ:COVERY 15 Hairpack Treatment]제품선택=헤어팩 트리트먼트 1개 + 뉴트리셔스밤 1개 세트 5% 추가할인</t>
        </is>
      </c>
      <c r="H924" s="9" t="n">
        <v>1</v>
      </c>
      <c r="I924" s="9">
        <f>VLOOKUP(G924,매칭테이블!D:E,2,0)</f>
        <v/>
      </c>
      <c r="J924" s="9" t="n">
        <v>210201</v>
      </c>
      <c r="L924" s="9">
        <f>VLOOKUP($O924,매칭테이블!$G:$J,2,0)*H924</f>
        <v/>
      </c>
      <c r="M924" s="9">
        <f>L924-L924*VLOOKUP($O924,매칭테이블!$G:$J,3,0)</f>
        <v/>
      </c>
      <c r="N924" s="9">
        <f>VLOOKUP($O924,매칭테이블!$G:$J,4,0)*H924</f>
        <v/>
      </c>
      <c r="O924" s="9">
        <f>F924&amp;E924&amp;G924&amp;J924</f>
        <v/>
      </c>
    </row>
    <row r="925">
      <c r="B925" s="10" t="n">
        <v>44230</v>
      </c>
      <c r="C925" s="9">
        <f>TEXT(B925,"aaa")</f>
        <v/>
      </c>
      <c r="E925" s="9">
        <f>INDEX(매칭테이블!C:C,MATCH(RD!G925,매칭테이블!D:D,0))</f>
        <v/>
      </c>
      <c r="F925" s="9" t="inlineStr">
        <is>
          <t>카페24</t>
        </is>
      </c>
      <c r="G925" s="9" t="inlineStr">
        <is>
          <t>헤어 리커버리 15 리바이탈 샴푸</t>
        </is>
      </c>
      <c r="H925" s="9" t="n">
        <v>2</v>
      </c>
      <c r="I925" s="9">
        <f>VLOOKUP(G925,매칭테이블!D:E,2,0)</f>
        <v/>
      </c>
      <c r="J925" s="9" t="n">
        <v>210201</v>
      </c>
      <c r="L925" s="9">
        <f>VLOOKUP($O925,매칭테이블!$G:$J,2,0)*H925</f>
        <v/>
      </c>
      <c r="M925" s="9">
        <f>L925-L925*VLOOKUP($O925,매칭테이블!$G:$J,3,0)</f>
        <v/>
      </c>
      <c r="N925" s="9">
        <f>VLOOKUP($O925,매칭테이블!$G:$J,4,0)*H925</f>
        <v/>
      </c>
      <c r="O925" s="9">
        <f>F925&amp;E925&amp;G925&amp;J925</f>
        <v/>
      </c>
    </row>
    <row r="926">
      <c r="B926" s="10" t="n">
        <v>44231</v>
      </c>
      <c r="C926" s="9">
        <f>TEXT(B926,"aaa")</f>
        <v/>
      </c>
      <c r="E926" s="9">
        <f>INDEX(매칭테이블!C:C,MATCH(RD!G926,매칭테이블!D:D,0))</f>
        <v/>
      </c>
      <c r="F926" s="9" t="inlineStr">
        <is>
          <t>라베나 CS</t>
        </is>
      </c>
      <c r="G926" s="9" t="inlineStr">
        <is>
          <t>헤어 리커버리 15 리바이탈 샴푸</t>
        </is>
      </c>
      <c r="H926" s="9" t="n">
        <v>1</v>
      </c>
      <c r="I926" s="9">
        <f>VLOOKUP(G926,매칭테이블!D:E,2,0)</f>
        <v/>
      </c>
      <c r="J926" s="9" t="n">
        <v>210201</v>
      </c>
      <c r="L926" s="9">
        <f>VLOOKUP($O926,매칭테이블!$G:$J,2,0)*H926</f>
        <v/>
      </c>
      <c r="M926" s="9">
        <f>L926-L926*VLOOKUP($O926,매칭테이블!$G:$J,3,0)</f>
        <v/>
      </c>
      <c r="N926" s="9">
        <f>VLOOKUP($O926,매칭테이블!$G:$J,4,0)*H926</f>
        <v/>
      </c>
      <c r="O926" s="9">
        <f>F926&amp;E926&amp;G926&amp;J926</f>
        <v/>
      </c>
    </row>
    <row r="927">
      <c r="B927" s="10" t="n">
        <v>44231</v>
      </c>
      <c r="C927" s="9">
        <f>TEXT(B927,"aaa")</f>
        <v/>
      </c>
      <c r="E927" s="9">
        <f>INDEX(매칭테이블!C:C,MATCH(RD!G927,매칭테이블!D:D,0))</f>
        <v/>
      </c>
      <c r="F927" s="9" t="inlineStr">
        <is>
          <t>카페24</t>
        </is>
      </c>
      <c r="G927" s="9" t="inlineStr">
        <is>
          <t>라베나 리커버리 15 뉴트리셔스 밤 [HAIR RÉ:COVERY 15 Nutritious Balm]제품선택=헤어 리커버리 15 뉴트리셔스 밤</t>
        </is>
      </c>
      <c r="H927" s="9" t="n">
        <v>5</v>
      </c>
      <c r="I927" s="9">
        <f>VLOOKUP(G927,매칭테이블!D:E,2,0)</f>
        <v/>
      </c>
      <c r="J927" s="9" t="n">
        <v>210201</v>
      </c>
      <c r="L927" s="9">
        <f>VLOOKUP($O927,매칭테이블!$G:$J,2,0)*H927</f>
        <v/>
      </c>
      <c r="M927" s="9">
        <f>L927-L927*VLOOKUP($O927,매칭테이블!$G:$J,3,0)</f>
        <v/>
      </c>
      <c r="N927" s="9">
        <f>VLOOKUP($O927,매칭테이블!$G:$J,4,0)*H927</f>
        <v/>
      </c>
      <c r="O927" s="9">
        <f>F927&amp;E927&amp;G927&amp;J927</f>
        <v/>
      </c>
    </row>
    <row r="928">
      <c r="B928" s="10" t="n">
        <v>44231</v>
      </c>
      <c r="C928" s="9">
        <f>TEXT(B928,"aaa")</f>
        <v/>
      </c>
      <c r="E928" s="9">
        <f>INDEX(매칭테이블!C:C,MATCH(RD!G928,매칭테이블!D:D,0))</f>
        <v/>
      </c>
      <c r="F928" s="9" t="inlineStr">
        <is>
          <t>카페24</t>
        </is>
      </c>
      <c r="G928" s="9" t="inlineStr">
        <is>
          <t>라베나 리커버리 15 뉴트리셔스 밤 [HAIR RÉ:COVERY 15 Nutritious Balm]제품선택=뉴트리셔스 밤 2개 세트 5% 추가할인</t>
        </is>
      </c>
      <c r="H928" s="9" t="n">
        <v>2</v>
      </c>
      <c r="I928" s="9">
        <f>VLOOKUP(G928,매칭테이블!D:E,2,0)</f>
        <v/>
      </c>
      <c r="J928" s="9" t="n">
        <v>210201</v>
      </c>
      <c r="L928" s="9">
        <f>VLOOKUP($O928,매칭테이블!$G:$J,2,0)*H928</f>
        <v/>
      </c>
      <c r="M928" s="9">
        <f>L928-L928*VLOOKUP($O928,매칭테이블!$G:$J,3,0)</f>
        <v/>
      </c>
      <c r="N928" s="9">
        <f>VLOOKUP($O928,매칭테이블!$G:$J,4,0)*H928</f>
        <v/>
      </c>
      <c r="O928" s="9">
        <f>F928&amp;E928&amp;G928&amp;J928</f>
        <v/>
      </c>
    </row>
    <row r="929">
      <c r="B929" s="10" t="n">
        <v>44231</v>
      </c>
      <c r="C929" s="9">
        <f>TEXT(B929,"aaa")</f>
        <v/>
      </c>
      <c r="E929" s="9">
        <f>INDEX(매칭테이블!C:C,MATCH(RD!G929,매칭테이블!D:D,0))</f>
        <v/>
      </c>
      <c r="F929" s="9" t="inlineStr">
        <is>
          <t>카페24</t>
        </is>
      </c>
      <c r="G929" s="9" t="inlineStr">
        <is>
          <t>라베나 리커버리 15 뉴트리셔스 밤 [HAIR RÉ:COVERY 15 Nutritious Balm]제품선택=뉴트리셔스 밤 3개 세트 10% 추가할인</t>
        </is>
      </c>
      <c r="H929" s="9" t="n">
        <v>1</v>
      </c>
      <c r="I929" s="9">
        <f>VLOOKUP(G929,매칭테이블!D:E,2,0)</f>
        <v/>
      </c>
      <c r="J929" s="9" t="n">
        <v>210201</v>
      </c>
      <c r="L929" s="9">
        <f>VLOOKUP($O929,매칭테이블!$G:$J,2,0)*H929</f>
        <v/>
      </c>
      <c r="M929" s="9">
        <f>L929-L929*VLOOKUP($O929,매칭테이블!$G:$J,3,0)</f>
        <v/>
      </c>
      <c r="N929" s="9">
        <f>VLOOKUP($O929,매칭테이블!$G:$J,4,0)*H929</f>
        <v/>
      </c>
      <c r="O929" s="9">
        <f>F929&amp;E929&amp;G929&amp;J929</f>
        <v/>
      </c>
    </row>
    <row r="930">
      <c r="B930" s="10" t="n">
        <v>44231</v>
      </c>
      <c r="C930" s="9">
        <f>TEXT(B930,"aaa")</f>
        <v/>
      </c>
      <c r="E930" s="9">
        <f>INDEX(매칭테이블!C:C,MATCH(RD!G930,매칭테이블!D:D,0))</f>
        <v/>
      </c>
      <c r="F930" s="9" t="inlineStr">
        <is>
          <t>카페24</t>
        </is>
      </c>
      <c r="G930" s="9" t="inlineStr">
        <is>
          <t>라베나 리커버리 15 리바이탈 바이오플라보노이드샴푸 [HAIR RÉ:COVERY 15 Revital Shampoo]제품선택=헤어 리커버리 15 리바이탈 샴푸 - 500ml</t>
        </is>
      </c>
      <c r="H930" s="9" t="n">
        <v>151</v>
      </c>
      <c r="I930" s="9">
        <f>VLOOKUP(G930,매칭테이블!D:E,2,0)</f>
        <v/>
      </c>
      <c r="J930" s="9" t="n">
        <v>210201</v>
      </c>
      <c r="L930" s="9">
        <f>VLOOKUP($O930,매칭테이블!$G:$J,2,0)*H930</f>
        <v/>
      </c>
      <c r="M930" s="9">
        <f>L930-L930*VLOOKUP($O930,매칭테이블!$G:$J,3,0)</f>
        <v/>
      </c>
      <c r="N930" s="9">
        <f>VLOOKUP($O930,매칭테이블!$G:$J,4,0)*H930</f>
        <v/>
      </c>
      <c r="O930" s="9">
        <f>F930&amp;E930&amp;G930&amp;J930</f>
        <v/>
      </c>
    </row>
    <row r="931">
      <c r="B931" s="10" t="n">
        <v>44231</v>
      </c>
      <c r="C931" s="9">
        <f>TEXT(B931,"aaa")</f>
        <v/>
      </c>
      <c r="E931" s="9">
        <f>INDEX(매칭테이블!C:C,MATCH(RD!G931,매칭테이블!D:D,0))</f>
        <v/>
      </c>
      <c r="F931" s="9" t="inlineStr">
        <is>
          <t>카페24</t>
        </is>
      </c>
      <c r="G931" s="9" t="inlineStr">
        <is>
          <t>라베나 리커버리 15 리바이탈 바이오플라보노이드샴푸 [HAIR RÉ:COVERY 15 Revital Shampoo]제품선택=리바이탈 샴푸 2개 세트 5%추가할인</t>
        </is>
      </c>
      <c r="H931" s="9" t="n">
        <v>41</v>
      </c>
      <c r="I931" s="9">
        <f>VLOOKUP(G931,매칭테이블!D:E,2,0)</f>
        <v/>
      </c>
      <c r="J931" s="9" t="n">
        <v>210201</v>
      </c>
      <c r="L931" s="9">
        <f>VLOOKUP($O931,매칭테이블!$G:$J,2,0)*H931</f>
        <v/>
      </c>
      <c r="M931" s="9">
        <f>L931-L931*VLOOKUP($O931,매칭테이블!$G:$J,3,0)</f>
        <v/>
      </c>
      <c r="N931" s="9">
        <f>VLOOKUP($O931,매칭테이블!$G:$J,4,0)*H931</f>
        <v/>
      </c>
      <c r="O931" s="9">
        <f>F931&amp;E931&amp;G931&amp;J931</f>
        <v/>
      </c>
    </row>
    <row r="932">
      <c r="B932" s="10" t="n">
        <v>44231</v>
      </c>
      <c r="C932" s="9">
        <f>TEXT(B932,"aaa")</f>
        <v/>
      </c>
      <c r="E932" s="9">
        <f>INDEX(매칭테이블!C:C,MATCH(RD!G932,매칭테이블!D:D,0))</f>
        <v/>
      </c>
      <c r="F932" s="9" t="inlineStr">
        <is>
          <t>카페24</t>
        </is>
      </c>
      <c r="G932" s="9" t="inlineStr">
        <is>
          <t>라베나 리커버리 15 리바이탈 바이오플라보노이드샴푸 [HAIR RÉ:COVERY 15 Revital Shampoo]제품선택=리바이탈 샴푸 3개 세트 10% 추가할인</t>
        </is>
      </c>
      <c r="H932" s="9" t="n">
        <v>16</v>
      </c>
      <c r="I932" s="9">
        <f>VLOOKUP(G932,매칭테이블!D:E,2,0)</f>
        <v/>
      </c>
      <c r="J932" s="9" t="n">
        <v>210201</v>
      </c>
      <c r="L932" s="9">
        <f>VLOOKUP($O932,매칭테이블!$G:$J,2,0)*H932</f>
        <v/>
      </c>
      <c r="M932" s="9">
        <f>L932-L932*VLOOKUP($O932,매칭테이블!$G:$J,3,0)</f>
        <v/>
      </c>
      <c r="N932" s="9">
        <f>VLOOKUP($O932,매칭테이블!$G:$J,4,0)*H932</f>
        <v/>
      </c>
      <c r="O932" s="9">
        <f>F932&amp;E932&amp;G932&amp;J932</f>
        <v/>
      </c>
    </row>
    <row r="933">
      <c r="B933" s="10" t="n">
        <v>44231</v>
      </c>
      <c r="C933" s="9">
        <f>TEXT(B933,"aaa")</f>
        <v/>
      </c>
      <c r="E933" s="9">
        <f>INDEX(매칭테이블!C:C,MATCH(RD!G933,매칭테이블!D:D,0))</f>
        <v/>
      </c>
      <c r="F933" s="9" t="inlineStr">
        <is>
          <t>카페24</t>
        </is>
      </c>
      <c r="G933" s="9" t="inlineStr">
        <is>
          <t>라베나 리커버리 15 헤어팩 트리트먼트 [HAIR RÉ:COVERY 15 Hairpack Treatment]제품선택=헤어 리커버리 15 헤어팩 트리트먼트</t>
        </is>
      </c>
      <c r="H933" s="9" t="n">
        <v>5</v>
      </c>
      <c r="I933" s="9">
        <f>VLOOKUP(G933,매칭테이블!D:E,2,0)</f>
        <v/>
      </c>
      <c r="J933" s="9" t="n">
        <v>210201</v>
      </c>
      <c r="L933" s="9">
        <f>VLOOKUP($O933,매칭테이블!$G:$J,2,0)*H933</f>
        <v/>
      </c>
      <c r="M933" s="9">
        <f>L933-L933*VLOOKUP($O933,매칭테이블!$G:$J,3,0)</f>
        <v/>
      </c>
      <c r="N933" s="9">
        <f>VLOOKUP($O933,매칭테이블!$G:$J,4,0)*H933</f>
        <v/>
      </c>
      <c r="O933" s="9">
        <f>F933&amp;E933&amp;G933&amp;J933</f>
        <v/>
      </c>
    </row>
    <row r="934">
      <c r="B934" s="10" t="n">
        <v>44231</v>
      </c>
      <c r="C934" s="9">
        <f>TEXT(B934,"aaa")</f>
        <v/>
      </c>
      <c r="E934" s="9">
        <f>INDEX(매칭테이블!C:C,MATCH(RD!G934,매칭테이블!D:D,0))</f>
        <v/>
      </c>
      <c r="F934" s="9" t="inlineStr">
        <is>
          <t>카페24</t>
        </is>
      </c>
      <c r="G934" s="9" t="inlineStr">
        <is>
          <t>라베나 리커버리 15 헤어팩 트리트먼트 [HAIR RÉ:COVERY 15 Hairpack Treatment]제품선택=헤어팩 트리트먼트 3개 세트 10% 추가할인</t>
        </is>
      </c>
      <c r="H934" s="9" t="n">
        <v>1</v>
      </c>
      <c r="I934" s="9">
        <f>VLOOKUP(G934,매칭테이블!D:E,2,0)</f>
        <v/>
      </c>
      <c r="J934" s="9" t="n">
        <v>210201</v>
      </c>
      <c r="L934" s="9">
        <f>VLOOKUP($O934,매칭테이블!$G:$J,2,0)*H934</f>
        <v/>
      </c>
      <c r="M934" s="9">
        <f>L934-L934*VLOOKUP($O934,매칭테이블!$G:$J,3,0)</f>
        <v/>
      </c>
      <c r="N934" s="9">
        <f>VLOOKUP($O934,매칭테이블!$G:$J,4,0)*H934</f>
        <v/>
      </c>
      <c r="O934" s="9">
        <f>F934&amp;E934&amp;G934&amp;J934</f>
        <v/>
      </c>
    </row>
    <row r="935">
      <c r="B935" s="10" t="n">
        <v>44231</v>
      </c>
      <c r="C935" s="9">
        <f>TEXT(B935,"aaa")</f>
        <v/>
      </c>
      <c r="E935" s="9">
        <f>INDEX(매칭테이블!C:C,MATCH(RD!G935,매칭테이블!D:D,0))</f>
        <v/>
      </c>
      <c r="F935" s="9" t="inlineStr">
        <is>
          <t>카페24</t>
        </is>
      </c>
      <c r="G935" s="9" t="inlineStr">
        <is>
          <t>라베나 리커버리 15 헤어팩 트리트먼트 [HAIR RÉ:COVERY 15 Hairpack Treatment]제품선택=헤어팩 트리트먼트 1개 + 뉴트리셔스밤 1개 세트 5% 추가할인</t>
        </is>
      </c>
      <c r="H935" s="9" t="n">
        <v>1</v>
      </c>
      <c r="I935" s="9">
        <f>VLOOKUP(G935,매칭테이블!D:E,2,0)</f>
        <v/>
      </c>
      <c r="J935" s="9" t="n">
        <v>210201</v>
      </c>
      <c r="L935" s="9">
        <f>VLOOKUP($O935,매칭테이블!$G:$J,2,0)*H935</f>
        <v/>
      </c>
      <c r="M935" s="9">
        <f>L935-L935*VLOOKUP($O935,매칭테이블!$G:$J,3,0)</f>
        <v/>
      </c>
      <c r="N935" s="9">
        <f>VLOOKUP($O935,매칭테이블!$G:$J,4,0)*H935</f>
        <v/>
      </c>
      <c r="O935" s="9">
        <f>F935&amp;E935&amp;G935&amp;J935</f>
        <v/>
      </c>
    </row>
    <row r="936">
      <c r="B936" s="10" t="n">
        <v>44232</v>
      </c>
      <c r="C936" s="9">
        <f>TEXT(B936,"aaa")</f>
        <v/>
      </c>
      <c r="E936" s="9">
        <f>INDEX(매칭테이블!C:C,MATCH(RD!G936,매칭테이블!D:D,0))</f>
        <v/>
      </c>
      <c r="F936" s="9" t="inlineStr">
        <is>
          <t>라베나 CS</t>
        </is>
      </c>
      <c r="G936" s="9" t="inlineStr">
        <is>
          <t>라베나 리커버리 15 리바이탈 바이오플라보노이드샴푸 [HAIR RÉ:COVERY 15 Revital Shampoo]제품선택=리바이탈 샴푸 2개 세트 5%추가할인</t>
        </is>
      </c>
      <c r="H936" s="9" t="n">
        <v>1</v>
      </c>
      <c r="I936" s="9">
        <f>VLOOKUP(G936,매칭테이블!D:E,2,0)</f>
        <v/>
      </c>
      <c r="J936" s="9" t="n">
        <v>210201</v>
      </c>
      <c r="L936" s="9">
        <f>VLOOKUP($O936,매칭테이블!$G:$J,2,0)*H936</f>
        <v/>
      </c>
      <c r="M936" s="9">
        <f>L936-L936*VLOOKUP($O936,매칭테이블!$G:$J,3,0)</f>
        <v/>
      </c>
      <c r="N936" s="9">
        <f>VLOOKUP($O936,매칭테이블!$G:$J,4,0)*H936</f>
        <v/>
      </c>
      <c r="O936" s="9">
        <f>F936&amp;E936&amp;G936&amp;J936</f>
        <v/>
      </c>
    </row>
    <row r="937">
      <c r="B937" s="10" t="n">
        <v>44232</v>
      </c>
      <c r="C937" s="9">
        <f>TEXT(B937,"aaa")</f>
        <v/>
      </c>
      <c r="E937" s="9">
        <f>INDEX(매칭테이블!C:C,MATCH(RD!G937,매칭테이블!D:D,0))</f>
        <v/>
      </c>
      <c r="F937" s="9" t="inlineStr">
        <is>
          <t>카페24</t>
        </is>
      </c>
      <c r="G937" s="9" t="inlineStr">
        <is>
          <t>라베나 리커버리 15 뉴트리셔스 밤 [HAIR RÉ:COVERY 15 Nutritious Balm]제품선택=헤어 리커버리 15 뉴트리셔스 밤</t>
        </is>
      </c>
      <c r="H937" s="9" t="n">
        <v>3</v>
      </c>
      <c r="I937" s="9">
        <f>VLOOKUP(G937,매칭테이블!D:E,2,0)</f>
        <v/>
      </c>
      <c r="J937" s="9" t="n">
        <v>210201</v>
      </c>
      <c r="L937" s="9">
        <f>VLOOKUP($O937,매칭테이블!$G:$J,2,0)*H937</f>
        <v/>
      </c>
      <c r="M937" s="9">
        <f>L937-L937*VLOOKUP($O937,매칭테이블!$G:$J,3,0)</f>
        <v/>
      </c>
      <c r="N937" s="9">
        <f>VLOOKUP($O937,매칭테이블!$G:$J,4,0)*H937</f>
        <v/>
      </c>
      <c r="O937" s="9">
        <f>F937&amp;E937&amp;G937&amp;J937</f>
        <v/>
      </c>
    </row>
    <row r="938">
      <c r="B938" s="10" t="n">
        <v>44232</v>
      </c>
      <c r="C938" s="9">
        <f>TEXT(B938,"aaa")</f>
        <v/>
      </c>
      <c r="E938" s="9">
        <f>INDEX(매칭테이블!C:C,MATCH(RD!G938,매칭테이블!D:D,0))</f>
        <v/>
      </c>
      <c r="F938" s="9" t="inlineStr">
        <is>
          <t>카페24</t>
        </is>
      </c>
      <c r="G938" s="9" t="inlineStr">
        <is>
          <t>라베나 리커버리 15 리바이탈 바이오플라보노이드샴푸 [HAIR RÉ:COVERY 15 Revital Shampoo]제품선택=헤어 리커버리 15 리바이탈 샴푸 - 500ml</t>
        </is>
      </c>
      <c r="H938" s="9" t="n">
        <v>145</v>
      </c>
      <c r="I938" s="9">
        <f>VLOOKUP(G938,매칭테이블!D:E,2,0)</f>
        <v/>
      </c>
      <c r="J938" s="9" t="n">
        <v>210201</v>
      </c>
      <c r="L938" s="9">
        <f>VLOOKUP($O938,매칭테이블!$G:$J,2,0)*H938</f>
        <v/>
      </c>
      <c r="M938" s="9">
        <f>L938-L938*VLOOKUP($O938,매칭테이블!$G:$J,3,0)</f>
        <v/>
      </c>
      <c r="N938" s="9">
        <f>VLOOKUP($O938,매칭테이블!$G:$J,4,0)*H938</f>
        <v/>
      </c>
      <c r="O938" s="9">
        <f>F938&amp;E938&amp;G938&amp;J938</f>
        <v/>
      </c>
    </row>
    <row r="939">
      <c r="B939" s="10" t="n">
        <v>44232</v>
      </c>
      <c r="C939" s="9">
        <f>TEXT(B939,"aaa")</f>
        <v/>
      </c>
      <c r="E939" s="9">
        <f>INDEX(매칭테이블!C:C,MATCH(RD!G939,매칭테이블!D:D,0))</f>
        <v/>
      </c>
      <c r="F939" s="9" t="inlineStr">
        <is>
          <t>카페24</t>
        </is>
      </c>
      <c r="G939" s="9" t="inlineStr">
        <is>
          <t>라베나 리커버리 15 리바이탈 바이오플라보노이드샴푸 [HAIR RÉ:COVERY 15 Revital Shampoo]제품선택=리바이탈 샴푸 2개 세트 5%추가할인</t>
        </is>
      </c>
      <c r="H939" s="9" t="n">
        <v>41</v>
      </c>
      <c r="I939" s="9">
        <f>VLOOKUP(G939,매칭테이블!D:E,2,0)</f>
        <v/>
      </c>
      <c r="J939" s="9" t="n">
        <v>210201</v>
      </c>
      <c r="L939" s="9">
        <f>VLOOKUP($O939,매칭테이블!$G:$J,2,0)*H939</f>
        <v/>
      </c>
      <c r="M939" s="9">
        <f>L939-L939*VLOOKUP($O939,매칭테이블!$G:$J,3,0)</f>
        <v/>
      </c>
      <c r="N939" s="9">
        <f>VLOOKUP($O939,매칭테이블!$G:$J,4,0)*H939</f>
        <v/>
      </c>
      <c r="O939" s="9">
        <f>F939&amp;E939&amp;G939&amp;J939</f>
        <v/>
      </c>
    </row>
    <row r="940">
      <c r="B940" s="10" t="n">
        <v>44232</v>
      </c>
      <c r="C940" s="9">
        <f>TEXT(B940,"aaa")</f>
        <v/>
      </c>
      <c r="E940" s="9">
        <f>INDEX(매칭테이블!C:C,MATCH(RD!G940,매칭테이블!D:D,0))</f>
        <v/>
      </c>
      <c r="F940" s="9" t="inlineStr">
        <is>
          <t>카페24</t>
        </is>
      </c>
      <c r="G940" s="9" t="inlineStr">
        <is>
          <t>라베나 리커버리 15 리바이탈 바이오플라보노이드샴푸 [HAIR RÉ:COVERY 15 Revital Shampoo]제품선택=리바이탈 샴푸 3개 세트 10% 추가할인</t>
        </is>
      </c>
      <c r="H940" s="9" t="n">
        <v>6</v>
      </c>
      <c r="I940" s="9">
        <f>VLOOKUP(G940,매칭테이블!D:E,2,0)</f>
        <v/>
      </c>
      <c r="J940" s="9" t="n">
        <v>210201</v>
      </c>
      <c r="L940" s="9">
        <f>VLOOKUP($O940,매칭테이블!$G:$J,2,0)*H940</f>
        <v/>
      </c>
      <c r="M940" s="9">
        <f>L940-L940*VLOOKUP($O940,매칭테이블!$G:$J,3,0)</f>
        <v/>
      </c>
      <c r="N940" s="9">
        <f>VLOOKUP($O940,매칭테이블!$G:$J,4,0)*H940</f>
        <v/>
      </c>
      <c r="O940" s="9">
        <f>F940&amp;E940&amp;G940&amp;J940</f>
        <v/>
      </c>
    </row>
    <row r="941">
      <c r="B941" s="10" t="n">
        <v>44232</v>
      </c>
      <c r="C941" s="9">
        <f>TEXT(B941,"aaa")</f>
        <v/>
      </c>
      <c r="E941" s="9">
        <f>INDEX(매칭테이블!C:C,MATCH(RD!G941,매칭테이블!D:D,0))</f>
        <v/>
      </c>
      <c r="F941" s="9" t="inlineStr">
        <is>
          <t>카페24</t>
        </is>
      </c>
      <c r="G941" s="9" t="inlineStr">
        <is>
          <t>라베나 리커버리 15 리바이탈 샴푸 [HAIR RÉ:COVERY 15 Revital Shampoo]제품선택=헤어 리커버리 15 리바이탈 샴푸 - 500ml</t>
        </is>
      </c>
      <c r="H941" s="9" t="n">
        <v>1</v>
      </c>
      <c r="I941" s="9">
        <f>VLOOKUP(G941,매칭테이블!D:E,2,0)</f>
        <v/>
      </c>
      <c r="J941" s="9" t="n">
        <v>210201</v>
      </c>
      <c r="L941" s="9">
        <f>VLOOKUP($O941,매칭테이블!$G:$J,2,0)*H941</f>
        <v/>
      </c>
      <c r="M941" s="9">
        <f>L941-L941*VLOOKUP($O941,매칭테이블!$G:$J,3,0)</f>
        <v/>
      </c>
      <c r="N941" s="9">
        <f>VLOOKUP($O941,매칭테이블!$G:$J,4,0)*H941</f>
        <v/>
      </c>
      <c r="O941" s="9">
        <f>F941&amp;E941&amp;G941&amp;J941</f>
        <v/>
      </c>
    </row>
    <row r="942">
      <c r="B942" s="10" t="n">
        <v>44232</v>
      </c>
      <c r="C942" s="9">
        <f>TEXT(B942,"aaa")</f>
        <v/>
      </c>
      <c r="E942" s="9">
        <f>INDEX(매칭테이블!C:C,MATCH(RD!G942,매칭테이블!D:D,0))</f>
        <v/>
      </c>
      <c r="F942" s="9" t="inlineStr">
        <is>
          <t>카페24</t>
        </is>
      </c>
      <c r="G942" s="9" t="inlineStr">
        <is>
          <t>라베나 리커버리 15 리바이탈 샴푸 [HAIR RÉ:COVERY 15 Revital Shampoo]제품선택=리바이탈 샴푸 2개 세트 5%추가할인</t>
        </is>
      </c>
      <c r="H942" s="9" t="n">
        <v>1</v>
      </c>
      <c r="I942" s="9">
        <f>VLOOKUP(G942,매칭테이블!D:E,2,0)</f>
        <v/>
      </c>
      <c r="J942" s="9" t="n">
        <v>210201</v>
      </c>
      <c r="L942" s="9">
        <f>VLOOKUP($O942,매칭테이블!$G:$J,2,0)*H942</f>
        <v/>
      </c>
      <c r="M942" s="9">
        <f>L942-L942*VLOOKUP($O942,매칭테이블!$G:$J,3,0)</f>
        <v/>
      </c>
      <c r="N942" s="9">
        <f>VLOOKUP($O942,매칭테이블!$G:$J,4,0)*H942</f>
        <v/>
      </c>
      <c r="O942" s="9">
        <f>F942&amp;E942&amp;G942&amp;J942</f>
        <v/>
      </c>
    </row>
    <row r="943">
      <c r="B943" s="10" t="n">
        <v>44232</v>
      </c>
      <c r="C943" s="9">
        <f>TEXT(B943,"aaa")</f>
        <v/>
      </c>
      <c r="E943" s="9">
        <f>INDEX(매칭테이블!C:C,MATCH(RD!G943,매칭테이블!D:D,0))</f>
        <v/>
      </c>
      <c r="F943" s="9" t="inlineStr">
        <is>
          <t>카페24</t>
        </is>
      </c>
      <c r="G943" s="9" t="inlineStr">
        <is>
          <t>라베나 리커버리 15 헤어팩 트리트먼트 [HAIR RÉ:COVERY 15 Hairpack Treatment]제품선택=헤어 리커버리 15 헤어팩 트리트먼트</t>
        </is>
      </c>
      <c r="H943" s="9" t="n">
        <v>4</v>
      </c>
      <c r="I943" s="9">
        <f>VLOOKUP(G943,매칭테이블!D:E,2,0)</f>
        <v/>
      </c>
      <c r="J943" s="9" t="n">
        <v>210201</v>
      </c>
      <c r="L943" s="9">
        <f>VLOOKUP($O943,매칭테이블!$G:$J,2,0)*H943</f>
        <v/>
      </c>
      <c r="M943" s="9">
        <f>L943-L943*VLOOKUP($O943,매칭테이블!$G:$J,3,0)</f>
        <v/>
      </c>
      <c r="N943" s="9">
        <f>VLOOKUP($O943,매칭테이블!$G:$J,4,0)*H943</f>
        <v/>
      </c>
      <c r="O943" s="9">
        <f>F943&amp;E943&amp;G943&amp;J943</f>
        <v/>
      </c>
    </row>
    <row r="944">
      <c r="B944" s="10" t="n">
        <v>44232</v>
      </c>
      <c r="C944" s="9">
        <f>TEXT(B944,"aaa")</f>
        <v/>
      </c>
      <c r="E944" s="9">
        <f>INDEX(매칭테이블!C:C,MATCH(RD!G944,매칭테이블!D:D,0))</f>
        <v/>
      </c>
      <c r="F944" s="9" t="inlineStr">
        <is>
          <t>카페24</t>
        </is>
      </c>
      <c r="G944" s="9" t="inlineStr">
        <is>
          <t>라베나 리커버리 15 헤어팩 트리트먼트 [HAIR RÉ:COVERY 15 Hairpack Treatment]제품선택=헤어팩 트리트먼트 2개 세트 5% 추가할인</t>
        </is>
      </c>
      <c r="H944" s="9" t="n">
        <v>3</v>
      </c>
      <c r="I944" s="9">
        <f>VLOOKUP(G944,매칭테이블!D:E,2,0)</f>
        <v/>
      </c>
      <c r="J944" s="9" t="n">
        <v>210201</v>
      </c>
      <c r="L944" s="9">
        <f>VLOOKUP($O944,매칭테이블!$G:$J,2,0)*H944</f>
        <v/>
      </c>
      <c r="M944" s="9">
        <f>L944-L944*VLOOKUP($O944,매칭테이블!$G:$J,3,0)</f>
        <v/>
      </c>
      <c r="N944" s="9">
        <f>VLOOKUP($O944,매칭테이블!$G:$J,4,0)*H944</f>
        <v/>
      </c>
      <c r="O944" s="9">
        <f>F944&amp;E944&amp;G944&amp;J944</f>
        <v/>
      </c>
    </row>
    <row r="945">
      <c r="B945" s="10" t="n">
        <v>44232</v>
      </c>
      <c r="C945" s="9">
        <f>TEXT(B945,"aaa")</f>
        <v/>
      </c>
      <c r="E945" s="9">
        <f>INDEX(매칭테이블!C:C,MATCH(RD!G945,매칭테이블!D:D,0))</f>
        <v/>
      </c>
      <c r="F945" s="9" t="inlineStr">
        <is>
          <t>카페24</t>
        </is>
      </c>
      <c r="G945" s="9" t="inlineStr">
        <is>
          <t>라베나 리커버리 15 헤어팩 트리트먼트 [HAIR RÉ:COVERY 15 Hairpack Treatment]제품선택=헤어팩 트리트먼트 1개 + 뉴트리셔스밤 1개 세트 5% 추가할인</t>
        </is>
      </c>
      <c r="H945" s="9" t="n">
        <v>2</v>
      </c>
      <c r="I945" s="9">
        <f>VLOOKUP(G945,매칭테이블!D:E,2,0)</f>
        <v/>
      </c>
      <c r="J945" s="9" t="n">
        <v>210201</v>
      </c>
      <c r="L945" s="9">
        <f>VLOOKUP($O945,매칭테이블!$G:$J,2,0)*H945</f>
        <v/>
      </c>
      <c r="M945" s="9">
        <f>L945-L945*VLOOKUP($O945,매칭테이블!$G:$J,3,0)</f>
        <v/>
      </c>
      <c r="N945" s="9">
        <f>VLOOKUP($O945,매칭테이블!$G:$J,4,0)*H945</f>
        <v/>
      </c>
      <c r="O945" s="9">
        <f>F945&amp;E945&amp;G945&amp;J945</f>
        <v/>
      </c>
    </row>
    <row r="946">
      <c r="B946" s="10" t="n">
        <v>44233</v>
      </c>
      <c r="C946" s="9">
        <f>TEXT(B946,"aaa")</f>
        <v/>
      </c>
      <c r="E946" s="9">
        <f>INDEX(매칭테이블!C:C,MATCH(RD!G946,매칭테이블!D:D,0))</f>
        <v/>
      </c>
      <c r="F946" s="9" t="inlineStr">
        <is>
          <t>카페24</t>
        </is>
      </c>
      <c r="G946" s="9" t="inlineStr">
        <is>
          <t>라베나 리커버리 15 뉴트리셔스 밤 [HAIR RÉ:COVERY 15 Nutritious Balm]제품선택=헤어 리커버리 15 뉴트리셔스 밤</t>
        </is>
      </c>
      <c r="H946" s="9" t="n">
        <v>3</v>
      </c>
      <c r="I946" s="9">
        <f>VLOOKUP(G946,매칭테이블!D:E,2,0)</f>
        <v/>
      </c>
      <c r="J946" s="9" t="n">
        <v>210201</v>
      </c>
      <c r="L946" s="9">
        <f>VLOOKUP($O946,매칭테이블!$G:$J,2,0)*H946</f>
        <v/>
      </c>
      <c r="M946" s="9">
        <f>L946-L946*VLOOKUP($O946,매칭테이블!$G:$J,3,0)</f>
        <v/>
      </c>
      <c r="N946" s="9">
        <f>VLOOKUP($O946,매칭테이블!$G:$J,4,0)*H946</f>
        <v/>
      </c>
      <c r="O946" s="9">
        <f>F946&amp;E946&amp;G946&amp;J946</f>
        <v/>
      </c>
    </row>
    <row r="947">
      <c r="B947" s="10" t="n">
        <v>44233</v>
      </c>
      <c r="C947" s="9">
        <f>TEXT(B947,"aaa")</f>
        <v/>
      </c>
      <c r="E947" s="9">
        <f>INDEX(매칭테이블!C:C,MATCH(RD!G947,매칭테이블!D:D,0))</f>
        <v/>
      </c>
      <c r="F947" s="9" t="inlineStr">
        <is>
          <t>카페24</t>
        </is>
      </c>
      <c r="G947" s="9" t="inlineStr">
        <is>
          <t>라베나 리커버리 15 뉴트리셔스 밤 [HAIR RÉ:COVERY 15 Nutritious Balm]제품선택=뉴트리셔스 밤 2개 세트 5% 추가할인</t>
        </is>
      </c>
      <c r="H947" s="9" t="n">
        <v>2</v>
      </c>
      <c r="I947" s="9">
        <f>VLOOKUP(G947,매칭테이블!D:E,2,0)</f>
        <v/>
      </c>
      <c r="J947" s="9" t="n">
        <v>210201</v>
      </c>
      <c r="L947" s="9">
        <f>VLOOKUP($O947,매칭테이블!$G:$J,2,0)*H947</f>
        <v/>
      </c>
      <c r="M947" s="9">
        <f>L947-L947*VLOOKUP($O947,매칭테이블!$G:$J,3,0)</f>
        <v/>
      </c>
      <c r="N947" s="9">
        <f>VLOOKUP($O947,매칭테이블!$G:$J,4,0)*H947</f>
        <v/>
      </c>
      <c r="O947" s="9">
        <f>F947&amp;E947&amp;G947&amp;J947</f>
        <v/>
      </c>
    </row>
    <row r="948">
      <c r="B948" s="10" t="n">
        <v>44233</v>
      </c>
      <c r="C948" s="9">
        <f>TEXT(B948,"aaa")</f>
        <v/>
      </c>
      <c r="E948" s="9">
        <f>INDEX(매칭테이블!C:C,MATCH(RD!G948,매칭테이블!D:D,0))</f>
        <v/>
      </c>
      <c r="F948" s="9" t="inlineStr">
        <is>
          <t>카페24</t>
        </is>
      </c>
      <c r="G948" s="9" t="inlineStr">
        <is>
          <t>라베나 리커버리 15 뉴트리셔스 밤 [HAIR RÉ:COVERY 15 Nutritious Balm]제품선택=뉴트리셔스밤 1개 + 헤어팩 트리트먼트 1개 세트 5%추가할인</t>
        </is>
      </c>
      <c r="H948" s="9" t="n">
        <v>1</v>
      </c>
      <c r="I948" s="9">
        <f>VLOOKUP(G948,매칭테이블!D:E,2,0)</f>
        <v/>
      </c>
      <c r="J948" s="9" t="n">
        <v>210201</v>
      </c>
      <c r="L948" s="9">
        <f>VLOOKUP($O948,매칭테이블!$G:$J,2,0)*H948</f>
        <v/>
      </c>
      <c r="M948" s="9">
        <f>L948-L948*VLOOKUP($O948,매칭테이블!$G:$J,3,0)</f>
        <v/>
      </c>
      <c r="N948" s="9">
        <f>VLOOKUP($O948,매칭테이블!$G:$J,4,0)*H948</f>
        <v/>
      </c>
      <c r="O948" s="9">
        <f>F948&amp;E948&amp;G948&amp;J948</f>
        <v/>
      </c>
    </row>
    <row r="949">
      <c r="B949" s="10" t="n">
        <v>44233</v>
      </c>
      <c r="C949" s="9">
        <f>TEXT(B949,"aaa")</f>
        <v/>
      </c>
      <c r="E949" s="9">
        <f>INDEX(매칭테이블!C:C,MATCH(RD!G949,매칭테이블!D:D,0))</f>
        <v/>
      </c>
      <c r="F949" s="9" t="inlineStr">
        <is>
          <t>카페24</t>
        </is>
      </c>
      <c r="G949" s="9" t="inlineStr">
        <is>
          <t>라베나 리커버리 15 리바이탈 바이오플라보노이드샴푸 [HAIR RÉ:COVERY 15 Revital Shampoo]제품선택=헤어 리커버리 15 리바이탈 샴푸 - 500ml</t>
        </is>
      </c>
      <c r="H949" s="9" t="n">
        <v>130</v>
      </c>
      <c r="I949" s="9">
        <f>VLOOKUP(G949,매칭테이블!D:E,2,0)</f>
        <v/>
      </c>
      <c r="J949" s="9" t="n">
        <v>210201</v>
      </c>
      <c r="L949" s="9">
        <f>VLOOKUP($O949,매칭테이블!$G:$J,2,0)*H949</f>
        <v/>
      </c>
      <c r="M949" s="9">
        <f>L949-L949*VLOOKUP($O949,매칭테이블!$G:$J,3,0)</f>
        <v/>
      </c>
      <c r="N949" s="9">
        <f>VLOOKUP($O949,매칭테이블!$G:$J,4,0)*H949</f>
        <v/>
      </c>
      <c r="O949" s="9">
        <f>F949&amp;E949&amp;G949&amp;J949</f>
        <v/>
      </c>
    </row>
    <row r="950">
      <c r="B950" s="10" t="n">
        <v>44233</v>
      </c>
      <c r="C950" s="9">
        <f>TEXT(B950,"aaa")</f>
        <v/>
      </c>
      <c r="E950" s="9">
        <f>INDEX(매칭테이블!C:C,MATCH(RD!G950,매칭테이블!D:D,0))</f>
        <v/>
      </c>
      <c r="F950" s="9" t="inlineStr">
        <is>
          <t>카페24</t>
        </is>
      </c>
      <c r="G950" s="9" t="inlineStr">
        <is>
          <t>라베나 리커버리 15 리바이탈 바이오플라보노이드샴푸 [HAIR RÉ:COVERY 15 Revital Shampoo]제품선택=리바이탈 샴푸 2개 세트 5%추가할인</t>
        </is>
      </c>
      <c r="H950" s="9" t="n">
        <v>55</v>
      </c>
      <c r="I950" s="9">
        <f>VLOOKUP(G950,매칭테이블!D:E,2,0)</f>
        <v/>
      </c>
      <c r="J950" s="9" t="n">
        <v>210201</v>
      </c>
      <c r="L950" s="9">
        <f>VLOOKUP($O950,매칭테이블!$G:$J,2,0)*H950</f>
        <v/>
      </c>
      <c r="M950" s="9">
        <f>L950-L950*VLOOKUP($O950,매칭테이블!$G:$J,3,0)</f>
        <v/>
      </c>
      <c r="N950" s="9">
        <f>VLOOKUP($O950,매칭테이블!$G:$J,4,0)*H950</f>
        <v/>
      </c>
      <c r="O950" s="9">
        <f>F950&amp;E950&amp;G950&amp;J950</f>
        <v/>
      </c>
    </row>
    <row r="951">
      <c r="B951" s="10" t="n">
        <v>44233</v>
      </c>
      <c r="C951" s="9">
        <f>TEXT(B951,"aaa")</f>
        <v/>
      </c>
      <c r="E951" s="9">
        <f>INDEX(매칭테이블!C:C,MATCH(RD!G951,매칭테이블!D:D,0))</f>
        <v/>
      </c>
      <c r="F951" s="9" t="inlineStr">
        <is>
          <t>카페24</t>
        </is>
      </c>
      <c r="G951" s="9" t="inlineStr">
        <is>
          <t>라베나 리커버리 15 리바이탈 바이오플라보노이드샴푸 [HAIR RÉ:COVERY 15 Revital Shampoo]제품선택=리바이탈 샴푸 3개 세트 10% 추가할인</t>
        </is>
      </c>
      <c r="H951" s="9" t="n">
        <v>25</v>
      </c>
      <c r="I951" s="9">
        <f>VLOOKUP(G951,매칭테이블!D:E,2,0)</f>
        <v/>
      </c>
      <c r="J951" s="9" t="n">
        <v>210201</v>
      </c>
      <c r="L951" s="9">
        <f>VLOOKUP($O951,매칭테이블!$G:$J,2,0)*H951</f>
        <v/>
      </c>
      <c r="M951" s="9">
        <f>L951-L951*VLOOKUP($O951,매칭테이블!$G:$J,3,0)</f>
        <v/>
      </c>
      <c r="N951" s="9">
        <f>VLOOKUP($O951,매칭테이블!$G:$J,4,0)*H951</f>
        <v/>
      </c>
      <c r="O951" s="9">
        <f>F951&amp;E951&amp;G951&amp;J951</f>
        <v/>
      </c>
    </row>
    <row r="952">
      <c r="B952" s="10" t="n">
        <v>44233</v>
      </c>
      <c r="C952" s="9">
        <f>TEXT(B952,"aaa")</f>
        <v/>
      </c>
      <c r="E952" s="9">
        <f>INDEX(매칭테이블!C:C,MATCH(RD!G952,매칭테이블!D:D,0))</f>
        <v/>
      </c>
      <c r="F952" s="9" t="inlineStr">
        <is>
          <t>카페24</t>
        </is>
      </c>
      <c r="G952" s="9" t="inlineStr">
        <is>
          <t>라베나 리커버리 15 헤어팩 트리트먼트 [HAIR RÉ:COVERY 15 Hairpack Treatment]제품선택=헤어 리커버리 15 헤어팩 트리트먼트</t>
        </is>
      </c>
      <c r="H952" s="9" t="n">
        <v>6</v>
      </c>
      <c r="I952" s="9">
        <f>VLOOKUP(G952,매칭테이블!D:E,2,0)</f>
        <v/>
      </c>
      <c r="J952" s="9" t="n">
        <v>210201</v>
      </c>
      <c r="L952" s="9">
        <f>VLOOKUP($O952,매칭테이블!$G:$J,2,0)*H952</f>
        <v/>
      </c>
      <c r="M952" s="9">
        <f>L952-L952*VLOOKUP($O952,매칭테이블!$G:$J,3,0)</f>
        <v/>
      </c>
      <c r="N952" s="9">
        <f>VLOOKUP($O952,매칭테이블!$G:$J,4,0)*H952</f>
        <v/>
      </c>
      <c r="O952" s="9">
        <f>F952&amp;E952&amp;G952&amp;J952</f>
        <v/>
      </c>
    </row>
    <row r="953">
      <c r="B953" s="10" t="n">
        <v>44233</v>
      </c>
      <c r="C953" s="9">
        <f>TEXT(B953,"aaa")</f>
        <v/>
      </c>
      <c r="E953" s="9">
        <f>INDEX(매칭테이블!C:C,MATCH(RD!G953,매칭테이블!D:D,0))</f>
        <v/>
      </c>
      <c r="F953" s="9" t="inlineStr">
        <is>
          <t>카페24</t>
        </is>
      </c>
      <c r="G953" s="9" t="inlineStr">
        <is>
          <t>라베나 리커버리 15 헤어팩 트리트먼트 [HAIR RÉ:COVERY 15 Hairpack Treatment]제품선택=헤어팩 트리트먼트 2개 세트 5% 추가할인</t>
        </is>
      </c>
      <c r="H953" s="9" t="n">
        <v>1</v>
      </c>
      <c r="I953" s="9">
        <f>VLOOKUP(G953,매칭테이블!D:E,2,0)</f>
        <v/>
      </c>
      <c r="J953" s="9" t="n">
        <v>210201</v>
      </c>
      <c r="L953" s="9">
        <f>VLOOKUP($O953,매칭테이블!$G:$J,2,0)*H953</f>
        <v/>
      </c>
      <c r="M953" s="9">
        <f>L953-L953*VLOOKUP($O953,매칭테이블!$G:$J,3,0)</f>
        <v/>
      </c>
      <c r="N953" s="9">
        <f>VLOOKUP($O953,매칭테이블!$G:$J,4,0)*H953</f>
        <v/>
      </c>
      <c r="O953" s="9">
        <f>F953&amp;E953&amp;G953&amp;J953</f>
        <v/>
      </c>
    </row>
    <row r="954">
      <c r="B954" s="10" t="n">
        <v>44233</v>
      </c>
      <c r="C954" s="9">
        <f>TEXT(B954,"aaa")</f>
        <v/>
      </c>
      <c r="E954" s="9">
        <f>INDEX(매칭테이블!C:C,MATCH(RD!G954,매칭테이블!D:D,0))</f>
        <v/>
      </c>
      <c r="F954" s="9" t="inlineStr">
        <is>
          <t>카페24</t>
        </is>
      </c>
      <c r="G954" s="9" t="inlineStr">
        <is>
          <t>라베나 리커버리 15 헤어팩 트리트먼트 [HAIR RÉ:COVERY 15 Hairpack Treatment]제품선택=헤어팩 트리트먼트 3개 세트 10% 추가할인</t>
        </is>
      </c>
      <c r="H954" s="9" t="n">
        <v>2</v>
      </c>
      <c r="I954" s="9">
        <f>VLOOKUP(G954,매칭테이블!D:E,2,0)</f>
        <v/>
      </c>
      <c r="J954" s="9" t="n">
        <v>210201</v>
      </c>
      <c r="L954" s="9">
        <f>VLOOKUP($O954,매칭테이블!$G:$J,2,0)*H954</f>
        <v/>
      </c>
      <c r="M954" s="9">
        <f>L954-L954*VLOOKUP($O954,매칭테이블!$G:$J,3,0)</f>
        <v/>
      </c>
      <c r="N954" s="9">
        <f>VLOOKUP($O954,매칭테이블!$G:$J,4,0)*H954</f>
        <v/>
      </c>
      <c r="O954" s="9">
        <f>F954&amp;E954&amp;G954&amp;J954</f>
        <v/>
      </c>
    </row>
    <row r="955">
      <c r="B955" s="10" t="n">
        <v>44233</v>
      </c>
      <c r="C955" s="9">
        <f>TEXT(B955,"aaa")</f>
        <v/>
      </c>
      <c r="E955" s="9">
        <f>INDEX(매칭테이블!C:C,MATCH(RD!G955,매칭테이블!D:D,0))</f>
        <v/>
      </c>
      <c r="F955" s="9" t="inlineStr">
        <is>
          <t>카페24</t>
        </is>
      </c>
      <c r="G955" s="9" t="inlineStr">
        <is>
          <t>라베나 리커버리 15 헤어팩 트리트먼트 [HAIR RÉ:COVERY 15 Hairpack Treatment]제품선택=헤어팩 트리트먼트 1개 + 뉴트리셔스밤 1개 세트 5% 추가할인</t>
        </is>
      </c>
      <c r="H955" s="9" t="n">
        <v>1</v>
      </c>
      <c r="I955" s="9">
        <f>VLOOKUP(G955,매칭테이블!D:E,2,0)</f>
        <v/>
      </c>
      <c r="J955" s="9" t="n">
        <v>210201</v>
      </c>
      <c r="L955" s="9">
        <f>VLOOKUP($O955,매칭테이블!$G:$J,2,0)*H955</f>
        <v/>
      </c>
      <c r="M955" s="9">
        <f>L955-L955*VLOOKUP($O955,매칭테이블!$G:$J,3,0)</f>
        <v/>
      </c>
      <c r="N955" s="9">
        <f>VLOOKUP($O955,매칭테이블!$G:$J,4,0)*H955</f>
        <v/>
      </c>
      <c r="O955" s="9">
        <f>F955&amp;E955&amp;G955&amp;J955</f>
        <v/>
      </c>
    </row>
    <row r="956">
      <c r="B956" s="10" t="n">
        <v>44234</v>
      </c>
      <c r="C956" s="9">
        <f>TEXT(B956,"aaa")</f>
        <v/>
      </c>
      <c r="E956" s="9">
        <f>INDEX(매칭테이블!C:C,MATCH(RD!G956,매칭테이블!D:D,0))</f>
        <v/>
      </c>
      <c r="F956" s="9" t="inlineStr">
        <is>
          <t>카페24</t>
        </is>
      </c>
      <c r="G956" s="9" t="inlineStr">
        <is>
          <t>라베나 리커버리 15 뉴트리셔스 밤 [HAIR RÉ:COVERY 15 Nutritious Balm]제품선택=헤어 리커버리 15 뉴트리셔스 밤</t>
        </is>
      </c>
      <c r="H956" s="9" t="n">
        <v>7</v>
      </c>
      <c r="I956" s="9">
        <f>VLOOKUP(G956,매칭테이블!D:E,2,0)</f>
        <v/>
      </c>
      <c r="J956" s="9" t="n">
        <v>210201</v>
      </c>
      <c r="L956" s="9">
        <f>VLOOKUP($O956,매칭테이블!$G:$J,2,0)*H956</f>
        <v/>
      </c>
      <c r="M956" s="9">
        <f>L956-L956*VLOOKUP($O956,매칭테이블!$G:$J,3,0)</f>
        <v/>
      </c>
      <c r="N956" s="9">
        <f>VLOOKUP($O956,매칭테이블!$G:$J,4,0)*H956</f>
        <v/>
      </c>
      <c r="O956" s="9">
        <f>F956&amp;E956&amp;G956&amp;J956</f>
        <v/>
      </c>
    </row>
    <row r="957">
      <c r="B957" s="10" t="n">
        <v>44234</v>
      </c>
      <c r="C957" s="9">
        <f>TEXT(B957,"aaa")</f>
        <v/>
      </c>
      <c r="E957" s="9">
        <f>INDEX(매칭테이블!C:C,MATCH(RD!G957,매칭테이블!D:D,0))</f>
        <v/>
      </c>
      <c r="F957" s="9" t="inlineStr">
        <is>
          <t>카페24</t>
        </is>
      </c>
      <c r="G957" s="9" t="inlineStr">
        <is>
          <t>라베나 리커버리 15 뉴트리셔스 밤 [HAIR RÉ:COVERY 15 Nutritious Balm]제품선택=뉴트리셔스 밤 2개 세트 5% 추가할인</t>
        </is>
      </c>
      <c r="H957" s="9" t="n">
        <v>5</v>
      </c>
      <c r="I957" s="9">
        <f>VLOOKUP(G957,매칭테이블!D:E,2,0)</f>
        <v/>
      </c>
      <c r="J957" s="9" t="n">
        <v>210201</v>
      </c>
      <c r="L957" s="9">
        <f>VLOOKUP($O957,매칭테이블!$G:$J,2,0)*H957</f>
        <v/>
      </c>
      <c r="M957" s="9">
        <f>L957-L957*VLOOKUP($O957,매칭테이블!$G:$J,3,0)</f>
        <v/>
      </c>
      <c r="N957" s="9">
        <f>VLOOKUP($O957,매칭테이블!$G:$J,4,0)*H957</f>
        <v/>
      </c>
      <c r="O957" s="9">
        <f>F957&amp;E957&amp;G957&amp;J957</f>
        <v/>
      </c>
    </row>
    <row r="958">
      <c r="B958" s="10" t="n">
        <v>44234</v>
      </c>
      <c r="C958" s="9">
        <f>TEXT(B958,"aaa")</f>
        <v/>
      </c>
      <c r="E958" s="9">
        <f>INDEX(매칭테이블!C:C,MATCH(RD!G958,매칭테이블!D:D,0))</f>
        <v/>
      </c>
      <c r="F958" s="9" t="inlineStr">
        <is>
          <t>카페24</t>
        </is>
      </c>
      <c r="G958" s="9" t="inlineStr">
        <is>
          <t>라베나 리커버리 15 리바이탈 바이오플라보노이드샴푸 [HAIR RÉ:COVERY 15 Revital Shampoo]제품선택=헤어 리커버리 15 리바이탈 샴푸 - 500ml</t>
        </is>
      </c>
      <c r="H958" s="9" t="n">
        <v>188</v>
      </c>
      <c r="I958" s="9">
        <f>VLOOKUP(G958,매칭테이블!D:E,2,0)</f>
        <v/>
      </c>
      <c r="J958" s="9" t="n">
        <v>210201</v>
      </c>
      <c r="L958" s="9">
        <f>VLOOKUP($O958,매칭테이블!$G:$J,2,0)*H958</f>
        <v/>
      </c>
      <c r="M958" s="9">
        <f>L958-L958*VLOOKUP($O958,매칭테이블!$G:$J,3,0)</f>
        <v/>
      </c>
      <c r="N958" s="9">
        <f>VLOOKUP($O958,매칭테이블!$G:$J,4,0)*H958</f>
        <v/>
      </c>
      <c r="O958" s="9">
        <f>F958&amp;E958&amp;G958&amp;J958</f>
        <v/>
      </c>
    </row>
    <row r="959">
      <c r="B959" s="10" t="n">
        <v>44234</v>
      </c>
      <c r="C959" s="9">
        <f>TEXT(B959,"aaa")</f>
        <v/>
      </c>
      <c r="E959" s="9">
        <f>INDEX(매칭테이블!C:C,MATCH(RD!G959,매칭테이블!D:D,0))</f>
        <v/>
      </c>
      <c r="F959" s="9" t="inlineStr">
        <is>
          <t>카페24</t>
        </is>
      </c>
      <c r="G959" s="9" t="inlineStr">
        <is>
          <t>라베나 리커버리 15 리바이탈 바이오플라보노이드샴푸 [HAIR RÉ:COVERY 15 Revital Shampoo]제품선택=리바이탈 샴푸 2개 세트 5%추가할인</t>
        </is>
      </c>
      <c r="H959" s="9" t="n">
        <v>53</v>
      </c>
      <c r="I959" s="9">
        <f>VLOOKUP(G959,매칭테이블!D:E,2,0)</f>
        <v/>
      </c>
      <c r="J959" s="9" t="n">
        <v>210201</v>
      </c>
      <c r="L959" s="9">
        <f>VLOOKUP($O959,매칭테이블!$G:$J,2,0)*H959</f>
        <v/>
      </c>
      <c r="M959" s="9">
        <f>L959-L959*VLOOKUP($O959,매칭테이블!$G:$J,3,0)</f>
        <v/>
      </c>
      <c r="N959" s="9">
        <f>VLOOKUP($O959,매칭테이블!$G:$J,4,0)*H959</f>
        <v/>
      </c>
      <c r="O959" s="9">
        <f>F959&amp;E959&amp;G959&amp;J959</f>
        <v/>
      </c>
    </row>
    <row r="960">
      <c r="B960" s="10" t="n">
        <v>44234</v>
      </c>
      <c r="C960" s="9">
        <f>TEXT(B960,"aaa")</f>
        <v/>
      </c>
      <c r="E960" s="9">
        <f>INDEX(매칭테이블!C:C,MATCH(RD!G960,매칭테이블!D:D,0))</f>
        <v/>
      </c>
      <c r="F960" s="9" t="inlineStr">
        <is>
          <t>카페24</t>
        </is>
      </c>
      <c r="G960" s="9" t="inlineStr">
        <is>
          <t>라베나 리커버리 15 리바이탈 바이오플라보노이드샴푸 [HAIR RÉ:COVERY 15 Revital Shampoo]제품선택=리바이탈 샴푸 3개 세트 10% 추가할인</t>
        </is>
      </c>
      <c r="H960" s="9" t="n">
        <v>13</v>
      </c>
      <c r="I960" s="9">
        <f>VLOOKUP(G960,매칭테이블!D:E,2,0)</f>
        <v/>
      </c>
      <c r="J960" s="9" t="n">
        <v>210201</v>
      </c>
      <c r="L960" s="9">
        <f>VLOOKUP($O960,매칭테이블!$G:$J,2,0)*H960</f>
        <v/>
      </c>
      <c r="M960" s="9">
        <f>L960-L960*VLOOKUP($O960,매칭테이블!$G:$J,3,0)</f>
        <v/>
      </c>
      <c r="N960" s="9">
        <f>VLOOKUP($O960,매칭테이블!$G:$J,4,0)*H960</f>
        <v/>
      </c>
      <c r="O960" s="9">
        <f>F960&amp;E960&amp;G960&amp;J960</f>
        <v/>
      </c>
    </row>
    <row r="961">
      <c r="B961" s="10" t="n">
        <v>44234</v>
      </c>
      <c r="C961" s="9">
        <f>TEXT(B961,"aaa")</f>
        <v/>
      </c>
      <c r="E961" s="9">
        <f>INDEX(매칭테이블!C:C,MATCH(RD!G961,매칭테이블!D:D,0))</f>
        <v/>
      </c>
      <c r="F961" s="9" t="inlineStr">
        <is>
          <t>카페24</t>
        </is>
      </c>
      <c r="G961" s="9" t="inlineStr">
        <is>
          <t>라베나 리커버리 15 헤어팩 트리트먼트 [HAIR RÉ:COVERY 15 Hairpack Treatment]제품선택=헤어 리커버리 15 헤어팩 트리트먼트</t>
        </is>
      </c>
      <c r="H961" s="9" t="n">
        <v>6</v>
      </c>
      <c r="I961" s="9">
        <f>VLOOKUP(G961,매칭테이블!D:E,2,0)</f>
        <v/>
      </c>
      <c r="J961" s="9" t="n">
        <v>210201</v>
      </c>
      <c r="L961" s="9">
        <f>VLOOKUP($O961,매칭테이블!$G:$J,2,0)*H961</f>
        <v/>
      </c>
      <c r="M961" s="9">
        <f>L961-L961*VLOOKUP($O961,매칭테이블!$G:$J,3,0)</f>
        <v/>
      </c>
      <c r="N961" s="9">
        <f>VLOOKUP($O961,매칭테이블!$G:$J,4,0)*H961</f>
        <v/>
      </c>
      <c r="O961" s="9">
        <f>F961&amp;E961&amp;G961&amp;J961</f>
        <v/>
      </c>
    </row>
    <row r="962">
      <c r="B962" s="10" t="n">
        <v>44234</v>
      </c>
      <c r="C962" s="9">
        <f>TEXT(B962,"aaa")</f>
        <v/>
      </c>
      <c r="E962" s="9">
        <f>INDEX(매칭테이블!C:C,MATCH(RD!G962,매칭테이블!D:D,0))</f>
        <v/>
      </c>
      <c r="F962" s="9" t="inlineStr">
        <is>
          <t>카페24</t>
        </is>
      </c>
      <c r="G962" s="9" t="inlineStr">
        <is>
          <t>라베나 리커버리 15 헤어팩 트리트먼트 [HAIR RÉ:COVERY 15 Hairpack Treatment]제품선택=헤어팩 트리트먼트 2개 세트 5% 추가할인</t>
        </is>
      </c>
      <c r="H962" s="9" t="n">
        <v>1</v>
      </c>
      <c r="I962" s="9">
        <f>VLOOKUP(G962,매칭테이블!D:E,2,0)</f>
        <v/>
      </c>
      <c r="J962" s="9" t="n">
        <v>210201</v>
      </c>
      <c r="L962" s="9">
        <f>VLOOKUP($O962,매칭테이블!$G:$J,2,0)*H962</f>
        <v/>
      </c>
      <c r="M962" s="9">
        <f>L962-L962*VLOOKUP($O962,매칭테이블!$G:$J,3,0)</f>
        <v/>
      </c>
      <c r="N962" s="9">
        <f>VLOOKUP($O962,매칭테이블!$G:$J,4,0)*H962</f>
        <v/>
      </c>
      <c r="O962" s="9">
        <f>F962&amp;E962&amp;G962&amp;J962</f>
        <v/>
      </c>
    </row>
    <row r="963">
      <c r="B963" s="10" t="n">
        <v>44234</v>
      </c>
      <c r="C963" s="9">
        <f>TEXT(B963,"aaa")</f>
        <v/>
      </c>
      <c r="E963" s="9">
        <f>INDEX(매칭테이블!C:C,MATCH(RD!G963,매칭테이블!D:D,0))</f>
        <v/>
      </c>
      <c r="F963" s="9" t="inlineStr">
        <is>
          <t>카페24</t>
        </is>
      </c>
      <c r="G963" s="9" t="inlineStr">
        <is>
          <t>라베나 리커버리 15 헤어팩 트리트먼트 [HAIR RÉ:COVERY 15 Hairpack Treatment]제품선택=헤어팩 트리트먼트 3개 세트 10% 추가할인</t>
        </is>
      </c>
      <c r="H963" s="9" t="n">
        <v>2</v>
      </c>
      <c r="I963" s="9">
        <f>VLOOKUP(G963,매칭테이블!D:E,2,0)</f>
        <v/>
      </c>
      <c r="J963" s="9" t="n">
        <v>210201</v>
      </c>
      <c r="L963" s="9">
        <f>VLOOKUP($O963,매칭테이블!$G:$J,2,0)*H963</f>
        <v/>
      </c>
      <c r="M963" s="9">
        <f>L963-L963*VLOOKUP($O963,매칭테이블!$G:$J,3,0)</f>
        <v/>
      </c>
      <c r="N963" s="9">
        <f>VLOOKUP($O963,매칭테이블!$G:$J,4,0)*H963</f>
        <v/>
      </c>
      <c r="O963" s="9">
        <f>F963&amp;E963&amp;G963&amp;J963</f>
        <v/>
      </c>
    </row>
    <row r="964">
      <c r="B964" s="10" t="n">
        <v>44235</v>
      </c>
      <c r="C964" s="9">
        <f>TEXT(B964,"aaa")</f>
        <v/>
      </c>
      <c r="E964" s="9">
        <f>INDEX(매칭테이블!C:C,MATCH(RD!G964,매칭테이블!D:D,0))</f>
        <v/>
      </c>
      <c r="F964" s="9" t="inlineStr">
        <is>
          <t>라베나 CS</t>
        </is>
      </c>
      <c r="G964" s="9" t="inlineStr">
        <is>
          <t>헤어 리커버리 15 리바이탈 샴푸</t>
        </is>
      </c>
      <c r="H964" s="9" t="n">
        <v>2</v>
      </c>
      <c r="I964" s="9">
        <f>VLOOKUP(G964,매칭테이블!D:E,2,0)</f>
        <v/>
      </c>
      <c r="J964" s="9" t="n">
        <v>210201</v>
      </c>
      <c r="L964" s="9">
        <f>VLOOKUP($O964,매칭테이블!$G:$J,2,0)*H964</f>
        <v/>
      </c>
      <c r="M964" s="9">
        <f>L964-L964*VLOOKUP($O964,매칭테이블!$G:$J,3,0)</f>
        <v/>
      </c>
      <c r="N964" s="9">
        <f>VLOOKUP($O964,매칭테이블!$G:$J,4,0)*H964</f>
        <v/>
      </c>
      <c r="O964" s="9">
        <f>F964&amp;E964&amp;G964&amp;J964</f>
        <v/>
      </c>
    </row>
    <row r="965">
      <c r="B965" s="10" t="n">
        <v>44235</v>
      </c>
      <c r="C965" s="9">
        <f>TEXT(B965,"aaa")</f>
        <v/>
      </c>
      <c r="E965" s="9">
        <f>INDEX(매칭테이블!C:C,MATCH(RD!G965,매칭테이블!D:D,0))</f>
        <v/>
      </c>
      <c r="F965" s="9" t="inlineStr">
        <is>
          <t>카페24</t>
        </is>
      </c>
      <c r="G965" s="9" t="inlineStr">
        <is>
          <t>라베나 리커버리 15 뉴트리셔스 밤 [HAIR RÉ:COVERY 15 Nutritious Balm]제품선택=헤어 리커버리 15 뉴트리셔스 밤</t>
        </is>
      </c>
      <c r="H965" s="9" t="n">
        <v>5</v>
      </c>
      <c r="I965" s="9">
        <f>VLOOKUP(G965,매칭테이블!D:E,2,0)</f>
        <v/>
      </c>
      <c r="J965" s="9" t="n">
        <v>210201</v>
      </c>
      <c r="L965" s="9">
        <f>VLOOKUP($O965,매칭테이블!$G:$J,2,0)*H965</f>
        <v/>
      </c>
      <c r="M965" s="9">
        <f>L965-L965*VLOOKUP($O965,매칭테이블!$G:$J,3,0)</f>
        <v/>
      </c>
      <c r="N965" s="9">
        <f>VLOOKUP($O965,매칭테이블!$G:$J,4,0)*H965</f>
        <v/>
      </c>
      <c r="O965" s="9">
        <f>F965&amp;E965&amp;G965&amp;J965</f>
        <v/>
      </c>
    </row>
    <row r="966">
      <c r="B966" s="10" t="n">
        <v>44235</v>
      </c>
      <c r="C966" s="9">
        <f>TEXT(B966,"aaa")</f>
        <v/>
      </c>
      <c r="E966" s="9">
        <f>INDEX(매칭테이블!C:C,MATCH(RD!G966,매칭테이블!D:D,0))</f>
        <v/>
      </c>
      <c r="F966" s="9" t="inlineStr">
        <is>
          <t>카페24</t>
        </is>
      </c>
      <c r="G966" s="9" t="inlineStr">
        <is>
          <t>라베나 리커버리 15 뉴트리셔스 밤 [HAIR RÉ:COVERY 15 Nutritious Balm]제품선택=뉴트리셔스 밤 2개 세트 5% 추가할인</t>
        </is>
      </c>
      <c r="H966" s="9" t="n">
        <v>2</v>
      </c>
      <c r="I966" s="9">
        <f>VLOOKUP(G966,매칭테이블!D:E,2,0)</f>
        <v/>
      </c>
      <c r="J966" s="9" t="n">
        <v>210201</v>
      </c>
      <c r="L966" s="9">
        <f>VLOOKUP($O966,매칭테이블!$G:$J,2,0)*H966</f>
        <v/>
      </c>
      <c r="M966" s="9">
        <f>L966-L966*VLOOKUP($O966,매칭테이블!$G:$J,3,0)</f>
        <v/>
      </c>
      <c r="N966" s="9">
        <f>VLOOKUP($O966,매칭테이블!$G:$J,4,0)*H966</f>
        <v/>
      </c>
      <c r="O966" s="9">
        <f>F966&amp;E966&amp;G966&amp;J966</f>
        <v/>
      </c>
    </row>
    <row r="967">
      <c r="B967" s="10" t="n">
        <v>44235</v>
      </c>
      <c r="C967" s="9">
        <f>TEXT(B967,"aaa")</f>
        <v/>
      </c>
      <c r="E967" s="9">
        <f>INDEX(매칭테이블!C:C,MATCH(RD!G967,매칭테이블!D:D,0))</f>
        <v/>
      </c>
      <c r="F967" s="9" t="inlineStr">
        <is>
          <t>카페24</t>
        </is>
      </c>
      <c r="G967" s="9" t="inlineStr">
        <is>
          <t>라베나 리커버리 15 뉴트리셔스 밤 [HAIR RÉ:COVERY 15 Nutritious Balm]제품선택=뉴트리셔스밤 1개 + 헤어팩 트리트먼트 1개 세트 5%추가할인</t>
        </is>
      </c>
      <c r="H967" s="9" t="n">
        <v>2</v>
      </c>
      <c r="I967" s="9">
        <f>VLOOKUP(G967,매칭테이블!D:E,2,0)</f>
        <v/>
      </c>
      <c r="J967" s="9" t="n">
        <v>210201</v>
      </c>
      <c r="L967" s="9">
        <f>VLOOKUP($O967,매칭테이블!$G:$J,2,0)*H967</f>
        <v/>
      </c>
      <c r="M967" s="9">
        <f>L967-L967*VLOOKUP($O967,매칭테이블!$G:$J,3,0)</f>
        <v/>
      </c>
      <c r="N967" s="9">
        <f>VLOOKUP($O967,매칭테이블!$G:$J,4,0)*H967</f>
        <v/>
      </c>
      <c r="O967" s="9">
        <f>F967&amp;E967&amp;G967&amp;J967</f>
        <v/>
      </c>
    </row>
    <row r="968">
      <c r="B968" s="10" t="n">
        <v>44235</v>
      </c>
      <c r="C968" s="9">
        <f>TEXT(B968,"aaa")</f>
        <v/>
      </c>
      <c r="E968" s="9">
        <f>INDEX(매칭테이블!C:C,MATCH(RD!G968,매칭테이블!D:D,0))</f>
        <v/>
      </c>
      <c r="F968" s="9" t="inlineStr">
        <is>
          <t>카페24</t>
        </is>
      </c>
      <c r="G968" s="9" t="inlineStr">
        <is>
          <t>라베나 리커버리 15 리바이탈 바이오플라보노이드샴푸 [HAIR RÉ:COVERY 15 Revital Shampoo]제품선택=헤어 리커버리 15 리바이탈 샴푸 - 500ml</t>
        </is>
      </c>
      <c r="H968" s="9" t="n">
        <v>167</v>
      </c>
      <c r="I968" s="9">
        <f>VLOOKUP(G968,매칭테이블!D:E,2,0)</f>
        <v/>
      </c>
      <c r="J968" s="9" t="n">
        <v>210201</v>
      </c>
      <c r="L968" s="9">
        <f>VLOOKUP($O968,매칭테이블!$G:$J,2,0)*H968</f>
        <v/>
      </c>
      <c r="M968" s="9">
        <f>L968-L968*VLOOKUP($O968,매칭테이블!$G:$J,3,0)</f>
        <v/>
      </c>
      <c r="N968" s="9">
        <f>VLOOKUP($O968,매칭테이블!$G:$J,4,0)*H968</f>
        <v/>
      </c>
      <c r="O968" s="9">
        <f>F968&amp;E968&amp;G968&amp;J968</f>
        <v/>
      </c>
    </row>
    <row r="969">
      <c r="B969" s="10" t="n">
        <v>44235</v>
      </c>
      <c r="C969" s="9">
        <f>TEXT(B969,"aaa")</f>
        <v/>
      </c>
      <c r="E969" s="9">
        <f>INDEX(매칭테이블!C:C,MATCH(RD!G969,매칭테이블!D:D,0))</f>
        <v/>
      </c>
      <c r="F969" s="9" t="inlineStr">
        <is>
          <t>카페24</t>
        </is>
      </c>
      <c r="G969" s="9" t="inlineStr">
        <is>
          <t>라베나 리커버리 15 리바이탈 바이오플라보노이드샴푸 [HAIR RÉ:COVERY 15 Revital Shampoo]제품선택=리바이탈 샴푸 2개 세트 5%추가할인</t>
        </is>
      </c>
      <c r="H969" s="9" t="n">
        <v>48</v>
      </c>
      <c r="I969" s="9">
        <f>VLOOKUP(G969,매칭테이블!D:E,2,0)</f>
        <v/>
      </c>
      <c r="J969" s="9" t="n">
        <v>210201</v>
      </c>
      <c r="L969" s="9">
        <f>VLOOKUP($O969,매칭테이블!$G:$J,2,0)*H969</f>
        <v/>
      </c>
      <c r="M969" s="9">
        <f>L969-L969*VLOOKUP($O969,매칭테이블!$G:$J,3,0)</f>
        <v/>
      </c>
      <c r="N969" s="9">
        <f>VLOOKUP($O969,매칭테이블!$G:$J,4,0)*H969</f>
        <v/>
      </c>
      <c r="O969" s="9">
        <f>F969&amp;E969&amp;G969&amp;J969</f>
        <v/>
      </c>
    </row>
    <row r="970">
      <c r="B970" s="10" t="n">
        <v>44235</v>
      </c>
      <c r="C970" s="9">
        <f>TEXT(B970,"aaa")</f>
        <v/>
      </c>
      <c r="E970" s="9">
        <f>INDEX(매칭테이블!C:C,MATCH(RD!G970,매칭테이블!D:D,0))</f>
        <v/>
      </c>
      <c r="F970" s="9" t="inlineStr">
        <is>
          <t>카페24</t>
        </is>
      </c>
      <c r="G970" s="9" t="inlineStr">
        <is>
          <t>라베나 리커버리 15 리바이탈 바이오플라보노이드샴푸 [HAIR RÉ:COVERY 15 Revital Shampoo]제품선택=리바이탈 샴푸 3개 세트 10% 추가할인</t>
        </is>
      </c>
      <c r="H970" s="9" t="n">
        <v>15</v>
      </c>
      <c r="I970" s="9">
        <f>VLOOKUP(G970,매칭테이블!D:E,2,0)</f>
        <v/>
      </c>
      <c r="J970" s="9" t="n">
        <v>210201</v>
      </c>
      <c r="L970" s="9">
        <f>VLOOKUP($O970,매칭테이블!$G:$J,2,0)*H970</f>
        <v/>
      </c>
      <c r="M970" s="9">
        <f>L970-L970*VLOOKUP($O970,매칭테이블!$G:$J,3,0)</f>
        <v/>
      </c>
      <c r="N970" s="9">
        <f>VLOOKUP($O970,매칭테이블!$G:$J,4,0)*H970</f>
        <v/>
      </c>
      <c r="O970" s="9">
        <f>F970&amp;E970&amp;G970&amp;J970</f>
        <v/>
      </c>
    </row>
    <row r="971">
      <c r="B971" s="10" t="n">
        <v>44235</v>
      </c>
      <c r="C971" s="9">
        <f>TEXT(B971,"aaa")</f>
        <v/>
      </c>
      <c r="E971" s="9">
        <f>INDEX(매칭테이블!C:C,MATCH(RD!G971,매칭테이블!D:D,0))</f>
        <v/>
      </c>
      <c r="F971" s="9" t="inlineStr">
        <is>
          <t>카페24</t>
        </is>
      </c>
      <c r="G971" s="9" t="inlineStr">
        <is>
          <t>라베나 리커버리 15 헤어팩 트리트먼트 [HAIR RÉ:COVERY 15 Hairpack Treatment]제품선택=헤어 리커버리 15 헤어팩 트리트먼트</t>
        </is>
      </c>
      <c r="H971" s="9" t="n">
        <v>5</v>
      </c>
      <c r="I971" s="9">
        <f>VLOOKUP(G971,매칭테이블!D:E,2,0)</f>
        <v/>
      </c>
      <c r="J971" s="9" t="n">
        <v>210201</v>
      </c>
      <c r="L971" s="9">
        <f>VLOOKUP($O971,매칭테이블!$G:$J,2,0)*H971</f>
        <v/>
      </c>
      <c r="M971" s="9">
        <f>L971-L971*VLOOKUP($O971,매칭테이블!$G:$J,3,0)</f>
        <v/>
      </c>
      <c r="N971" s="9">
        <f>VLOOKUP($O971,매칭테이블!$G:$J,4,0)*H971</f>
        <v/>
      </c>
      <c r="O971" s="9">
        <f>F971&amp;E971&amp;G971&amp;J971</f>
        <v/>
      </c>
    </row>
    <row r="972">
      <c r="B972" s="10" t="n">
        <v>44235</v>
      </c>
      <c r="C972" s="9">
        <f>TEXT(B972,"aaa")</f>
        <v/>
      </c>
      <c r="E972" s="9">
        <f>INDEX(매칭테이블!C:C,MATCH(RD!G972,매칭테이블!D:D,0))</f>
        <v/>
      </c>
      <c r="F972" s="9" t="inlineStr">
        <is>
          <t>카페24</t>
        </is>
      </c>
      <c r="G972" s="9" t="inlineStr">
        <is>
          <t>라베나 리커버리 15 헤어팩 트리트먼트 [HAIR RÉ:COVERY 15 Hairpack Treatment]제품선택=헤어팩 트리트먼트 3개 세트 10% 추가할인</t>
        </is>
      </c>
      <c r="H972" s="9" t="n">
        <v>1</v>
      </c>
      <c r="I972" s="9">
        <f>VLOOKUP(G972,매칭테이블!D:E,2,0)</f>
        <v/>
      </c>
      <c r="J972" s="9" t="n">
        <v>210201</v>
      </c>
      <c r="L972" s="9">
        <f>VLOOKUP($O972,매칭테이블!$G:$J,2,0)*H972</f>
        <v/>
      </c>
      <c r="M972" s="9">
        <f>L972-L972*VLOOKUP($O972,매칭테이블!$G:$J,3,0)</f>
        <v/>
      </c>
      <c r="N972" s="9">
        <f>VLOOKUP($O972,매칭테이블!$G:$J,4,0)*H972</f>
        <v/>
      </c>
      <c r="O972" s="9">
        <f>F972&amp;E972&amp;G972&amp;J972</f>
        <v/>
      </c>
    </row>
    <row r="973">
      <c r="B973" s="10" t="n">
        <v>44235</v>
      </c>
      <c r="C973" s="9">
        <f>TEXT(B973,"aaa")</f>
        <v/>
      </c>
      <c r="E973" s="9">
        <f>INDEX(매칭테이블!C:C,MATCH(RD!G973,매칭테이블!D:D,0))</f>
        <v/>
      </c>
      <c r="F973" s="9" t="inlineStr">
        <is>
          <t>카페24</t>
        </is>
      </c>
      <c r="G973" s="9" t="inlineStr">
        <is>
          <t>라베나 리커버리 15 헤어팩 트리트먼트 [HAIR RÉ:COVERY 15 Hairpack Treatment]제품선택=헤어팩 트리트먼트 1개 + 뉴트리셔스밤 1개 세트 5% 추가할인</t>
        </is>
      </c>
      <c r="H973" s="9" t="n">
        <v>2</v>
      </c>
      <c r="I973" s="9">
        <f>VLOOKUP(G973,매칭테이블!D:E,2,0)</f>
        <v/>
      </c>
      <c r="J973" s="9" t="n">
        <v>210201</v>
      </c>
      <c r="L973" s="9">
        <f>VLOOKUP($O973,매칭테이블!$G:$J,2,0)*H973</f>
        <v/>
      </c>
      <c r="M973" s="9">
        <f>L973-L973*VLOOKUP($O973,매칭테이블!$G:$J,3,0)</f>
        <v/>
      </c>
      <c r="N973" s="9">
        <f>VLOOKUP($O973,매칭테이블!$G:$J,4,0)*H973</f>
        <v/>
      </c>
      <c r="O973" s="9">
        <f>F973&amp;E973&amp;G973&amp;J973</f>
        <v/>
      </c>
    </row>
    <row r="974">
      <c r="B974" s="10" t="n">
        <v>44236</v>
      </c>
      <c r="C974" s="9">
        <f>TEXT(B974,"aaa")</f>
        <v/>
      </c>
      <c r="E974" s="9">
        <f>INDEX(매칭테이블!C:C,MATCH(RD!G974,매칭테이블!D:D,0))</f>
        <v/>
      </c>
      <c r="F974" s="9" t="inlineStr">
        <is>
          <t>카페24</t>
        </is>
      </c>
      <c r="G974" s="9" t="inlineStr">
        <is>
          <t>라베나 리커버리 15 뉴트리셔스 밤 [HAIR RÉ:COVERY 15 Nutritious Balm]제품선택=헤어 리커버리 15 뉴트리셔스 밤</t>
        </is>
      </c>
      <c r="H974" s="9" t="n">
        <v>5</v>
      </c>
      <c r="I974" s="9">
        <f>VLOOKUP(G974,매칭테이블!D:E,2,0)</f>
        <v/>
      </c>
      <c r="J974" s="9" t="n">
        <v>210201</v>
      </c>
      <c r="L974" s="9">
        <f>VLOOKUP($O974,매칭테이블!$G:$J,2,0)*H974</f>
        <v/>
      </c>
      <c r="M974" s="9">
        <f>L974-L974*VLOOKUP($O974,매칭테이블!$G:$J,3,0)</f>
        <v/>
      </c>
      <c r="N974" s="9">
        <f>VLOOKUP($O974,매칭테이블!$G:$J,4,0)*H974</f>
        <v/>
      </c>
      <c r="O974" s="9">
        <f>F974&amp;E974&amp;G974&amp;J974</f>
        <v/>
      </c>
    </row>
    <row r="975">
      <c r="B975" s="10" t="n">
        <v>44236</v>
      </c>
      <c r="C975" s="9">
        <f>TEXT(B975,"aaa")</f>
        <v/>
      </c>
      <c r="E975" s="9">
        <f>INDEX(매칭테이블!C:C,MATCH(RD!G975,매칭테이블!D:D,0))</f>
        <v/>
      </c>
      <c r="F975" s="9" t="inlineStr">
        <is>
          <t>카페24</t>
        </is>
      </c>
      <c r="G975" s="9" t="inlineStr">
        <is>
          <t>라베나 리커버리 15 뉴트리셔스 밤 [HAIR RÉ:COVERY 15 Nutritious Balm]제품선택=뉴트리셔스 밤 3개 세트 10% 추가할인</t>
        </is>
      </c>
      <c r="H975" s="9" t="n">
        <v>1</v>
      </c>
      <c r="I975" s="9">
        <f>VLOOKUP(G975,매칭테이블!D:E,2,0)</f>
        <v/>
      </c>
      <c r="J975" s="9" t="n">
        <v>210201</v>
      </c>
      <c r="L975" s="9">
        <f>VLOOKUP($O975,매칭테이블!$G:$J,2,0)*H975</f>
        <v/>
      </c>
      <c r="M975" s="9">
        <f>L975-L975*VLOOKUP($O975,매칭테이블!$G:$J,3,0)</f>
        <v/>
      </c>
      <c r="N975" s="9">
        <f>VLOOKUP($O975,매칭테이블!$G:$J,4,0)*H975</f>
        <v/>
      </c>
      <c r="O975" s="9">
        <f>F975&amp;E975&amp;G975&amp;J975</f>
        <v/>
      </c>
    </row>
    <row r="976">
      <c r="B976" s="10" t="n">
        <v>44236</v>
      </c>
      <c r="C976" s="9">
        <f>TEXT(B976,"aaa")</f>
        <v/>
      </c>
      <c r="E976" s="9">
        <f>INDEX(매칭테이블!C:C,MATCH(RD!G976,매칭테이블!D:D,0))</f>
        <v/>
      </c>
      <c r="F976" s="9" t="inlineStr">
        <is>
          <t>카페24</t>
        </is>
      </c>
      <c r="G976" s="9" t="inlineStr">
        <is>
          <t>라베나 리커버리 15 뉴트리셔스 밤 [HAIR RÉ:COVERY 15 Nutritious Balm]제품선택=뉴트리셔스밤 1개 + 헤어팩 트리트먼트 1개 세트 5%추가할인</t>
        </is>
      </c>
      <c r="H976" s="9" t="n">
        <v>1</v>
      </c>
      <c r="I976" s="9">
        <f>VLOOKUP(G976,매칭테이블!D:E,2,0)</f>
        <v/>
      </c>
      <c r="J976" s="9" t="n">
        <v>210201</v>
      </c>
      <c r="L976" s="9">
        <f>VLOOKUP($O976,매칭테이블!$G:$J,2,0)*H976</f>
        <v/>
      </c>
      <c r="M976" s="9">
        <f>L976-L976*VLOOKUP($O976,매칭테이블!$G:$J,3,0)</f>
        <v/>
      </c>
      <c r="N976" s="9">
        <f>VLOOKUP($O976,매칭테이블!$G:$J,4,0)*H976</f>
        <v/>
      </c>
      <c r="O976" s="9">
        <f>F976&amp;E976&amp;G976&amp;J976</f>
        <v/>
      </c>
    </row>
    <row r="977">
      <c r="B977" s="10" t="n">
        <v>44236</v>
      </c>
      <c r="C977" s="9">
        <f>TEXT(B977,"aaa")</f>
        <v/>
      </c>
      <c r="E977" s="9">
        <f>INDEX(매칭테이블!C:C,MATCH(RD!G977,매칭테이블!D:D,0))</f>
        <v/>
      </c>
      <c r="F977" s="9" t="inlineStr">
        <is>
          <t>카페24</t>
        </is>
      </c>
      <c r="G977" s="9" t="inlineStr">
        <is>
          <t>라베나 리커버리 15 리바이탈 바이오플라보노이드샴푸 [HAIR RÉ:COVERY 15 Revital Shampoo]제품선택=헤어 리커버리 15 리바이탈 샴푸 - 500ml</t>
        </is>
      </c>
      <c r="H977" s="9" t="n">
        <v>163</v>
      </c>
      <c r="I977" s="9">
        <f>VLOOKUP(G977,매칭테이블!D:E,2,0)</f>
        <v/>
      </c>
      <c r="J977" s="9" t="n">
        <v>210201</v>
      </c>
      <c r="L977" s="9">
        <f>VLOOKUP($O977,매칭테이블!$G:$J,2,0)*H977</f>
        <v/>
      </c>
      <c r="M977" s="9">
        <f>L977-L977*VLOOKUP($O977,매칭테이블!$G:$J,3,0)</f>
        <v/>
      </c>
      <c r="N977" s="9">
        <f>VLOOKUP($O977,매칭테이블!$G:$J,4,0)*H977</f>
        <v/>
      </c>
      <c r="O977" s="9">
        <f>F977&amp;E977&amp;G977&amp;J977</f>
        <v/>
      </c>
    </row>
    <row r="978">
      <c r="B978" s="10" t="n">
        <v>44236</v>
      </c>
      <c r="C978" s="9">
        <f>TEXT(B978,"aaa")</f>
        <v/>
      </c>
      <c r="E978" s="9">
        <f>INDEX(매칭테이블!C:C,MATCH(RD!G978,매칭테이블!D:D,0))</f>
        <v/>
      </c>
      <c r="F978" s="9" t="inlineStr">
        <is>
          <t>카페24</t>
        </is>
      </c>
      <c r="G978" s="9" t="inlineStr">
        <is>
          <t>라베나 리커버리 15 리바이탈 바이오플라보노이드샴푸 [HAIR RÉ:COVERY 15 Revital Shampoo]제품선택=리바이탈 샴푸 2개 세트 5%추가할인</t>
        </is>
      </c>
      <c r="H978" s="9" t="n">
        <v>47</v>
      </c>
      <c r="I978" s="9">
        <f>VLOOKUP(G978,매칭테이블!D:E,2,0)</f>
        <v/>
      </c>
      <c r="J978" s="9" t="n">
        <v>210201</v>
      </c>
      <c r="L978" s="9">
        <f>VLOOKUP($O978,매칭테이블!$G:$J,2,0)*H978</f>
        <v/>
      </c>
      <c r="M978" s="9">
        <f>L978-L978*VLOOKUP($O978,매칭테이블!$G:$J,3,0)</f>
        <v/>
      </c>
      <c r="N978" s="9">
        <f>VLOOKUP($O978,매칭테이블!$G:$J,4,0)*H978</f>
        <v/>
      </c>
      <c r="O978" s="9">
        <f>F978&amp;E978&amp;G978&amp;J978</f>
        <v/>
      </c>
    </row>
    <row r="979">
      <c r="B979" s="10" t="n">
        <v>44236</v>
      </c>
      <c r="C979" s="9">
        <f>TEXT(B979,"aaa")</f>
        <v/>
      </c>
      <c r="E979" s="9">
        <f>INDEX(매칭테이블!C:C,MATCH(RD!G979,매칭테이블!D:D,0))</f>
        <v/>
      </c>
      <c r="F979" s="9" t="inlineStr">
        <is>
          <t>카페24</t>
        </is>
      </c>
      <c r="G979" s="9" t="inlineStr">
        <is>
          <t>라베나 리커버리 15 리바이탈 바이오플라보노이드샴푸 [HAIR RÉ:COVERY 15 Revital Shampoo]제품선택=리바이탈 샴푸 3개 세트 10% 추가할인</t>
        </is>
      </c>
      <c r="H979" s="9" t="n">
        <v>12</v>
      </c>
      <c r="I979" s="9">
        <f>VLOOKUP(G979,매칭테이블!D:E,2,0)</f>
        <v/>
      </c>
      <c r="J979" s="9" t="n">
        <v>210201</v>
      </c>
      <c r="L979" s="9">
        <f>VLOOKUP($O979,매칭테이블!$G:$J,2,0)*H979</f>
        <v/>
      </c>
      <c r="M979" s="9">
        <f>L979-L979*VLOOKUP($O979,매칭테이블!$G:$J,3,0)</f>
        <v/>
      </c>
      <c r="N979" s="9">
        <f>VLOOKUP($O979,매칭테이블!$G:$J,4,0)*H979</f>
        <v/>
      </c>
      <c r="O979" s="9">
        <f>F979&amp;E979&amp;G979&amp;J979</f>
        <v/>
      </c>
    </row>
    <row r="980">
      <c r="B980" s="10" t="n">
        <v>44236</v>
      </c>
      <c r="C980" s="9">
        <f>TEXT(B980,"aaa")</f>
        <v/>
      </c>
      <c r="E980" s="9">
        <f>INDEX(매칭테이블!C:C,MATCH(RD!G980,매칭테이블!D:D,0))</f>
        <v/>
      </c>
      <c r="F980" s="9" t="inlineStr">
        <is>
          <t>카페24</t>
        </is>
      </c>
      <c r="G980" s="9" t="inlineStr">
        <is>
          <t>라베나 리커버리 15 헤어팩 트리트먼트 [HAIR RÉ:COVERY 15 Hairpack Treatment]제품선택=헤어 리커버리 15 헤어팩 트리트먼트</t>
        </is>
      </c>
      <c r="H980" s="9" t="n">
        <v>4</v>
      </c>
      <c r="I980" s="9">
        <f>VLOOKUP(G980,매칭테이블!D:E,2,0)</f>
        <v/>
      </c>
      <c r="J980" s="9" t="n">
        <v>210201</v>
      </c>
      <c r="L980" s="9">
        <f>VLOOKUP($O980,매칭테이블!$G:$J,2,0)*H980</f>
        <v/>
      </c>
      <c r="M980" s="9">
        <f>L980-L980*VLOOKUP($O980,매칭테이블!$G:$J,3,0)</f>
        <v/>
      </c>
      <c r="N980" s="9">
        <f>VLOOKUP($O980,매칭테이블!$G:$J,4,0)*H980</f>
        <v/>
      </c>
      <c r="O980" s="9">
        <f>F980&amp;E980&amp;G980&amp;J980</f>
        <v/>
      </c>
    </row>
    <row r="981">
      <c r="B981" s="10" t="n">
        <v>44237</v>
      </c>
      <c r="C981" s="9">
        <f>TEXT(B981,"aaa")</f>
        <v/>
      </c>
      <c r="E981" s="9">
        <f>INDEX(매칭테이블!C:C,MATCH(RD!G981,매칭테이블!D:D,0))</f>
        <v/>
      </c>
      <c r="F981" s="9" t="inlineStr">
        <is>
          <t>카페24</t>
        </is>
      </c>
      <c r="G981" s="9" t="inlineStr">
        <is>
          <t>라베나 리커버리 15 뉴트리셔스 밤 [HAIR RÉ:COVERY 15 Nutritious Balm]제품선택=헤어 리커버리 15 뉴트리셔스 밤</t>
        </is>
      </c>
      <c r="H981" s="9" t="n">
        <v>10</v>
      </c>
      <c r="I981" s="9">
        <f>VLOOKUP(G981,매칭테이블!D:E,2,0)</f>
        <v/>
      </c>
      <c r="J981" s="9" t="n">
        <v>210201</v>
      </c>
      <c r="L981" s="9">
        <f>VLOOKUP($O981,매칭테이블!$G:$J,2,0)*H981</f>
        <v/>
      </c>
      <c r="M981" s="9">
        <f>L981-L981*VLOOKUP($O981,매칭테이블!$G:$J,3,0)</f>
        <v/>
      </c>
      <c r="N981" s="9">
        <f>VLOOKUP($O981,매칭테이블!$G:$J,4,0)*H981</f>
        <v/>
      </c>
      <c r="O981" s="9">
        <f>F981&amp;E981&amp;G981&amp;J981</f>
        <v/>
      </c>
    </row>
    <row r="982">
      <c r="B982" s="10" t="n">
        <v>44237</v>
      </c>
      <c r="C982" s="9">
        <f>TEXT(B982,"aaa")</f>
        <v/>
      </c>
      <c r="E982" s="9">
        <f>INDEX(매칭테이블!C:C,MATCH(RD!G982,매칭테이블!D:D,0))</f>
        <v/>
      </c>
      <c r="F982" s="9" t="inlineStr">
        <is>
          <t>카페24</t>
        </is>
      </c>
      <c r="G982" s="9" t="inlineStr">
        <is>
          <t>라베나 리커버리 15 뉴트리셔스 밤 [HAIR RÉ:COVERY 15 Nutritious Balm]제품선택=뉴트리셔스 밤 3개 세트 10% 추가할인</t>
        </is>
      </c>
      <c r="H982" s="9" t="n">
        <v>2</v>
      </c>
      <c r="I982" s="9">
        <f>VLOOKUP(G982,매칭테이블!D:E,2,0)</f>
        <v/>
      </c>
      <c r="J982" s="9" t="n">
        <v>210201</v>
      </c>
      <c r="L982" s="9">
        <f>VLOOKUP($O982,매칭테이블!$G:$J,2,0)*H982</f>
        <v/>
      </c>
      <c r="M982" s="9">
        <f>L982-L982*VLOOKUP($O982,매칭테이블!$G:$J,3,0)</f>
        <v/>
      </c>
      <c r="N982" s="9">
        <f>VLOOKUP($O982,매칭테이블!$G:$J,4,0)*H982</f>
        <v/>
      </c>
      <c r="O982" s="9">
        <f>F982&amp;E982&amp;G982&amp;J982</f>
        <v/>
      </c>
    </row>
    <row r="983">
      <c r="B983" s="10" t="n">
        <v>44237</v>
      </c>
      <c r="C983" s="9">
        <f>TEXT(B983,"aaa")</f>
        <v/>
      </c>
      <c r="E983" s="9">
        <f>INDEX(매칭테이블!C:C,MATCH(RD!G983,매칭테이블!D:D,0))</f>
        <v/>
      </c>
      <c r="F983" s="9" t="inlineStr">
        <is>
          <t>카페24</t>
        </is>
      </c>
      <c r="G983" s="9" t="inlineStr">
        <is>
          <t>라베나 리커버리 15 뉴트리셔스 밤 [HAIR RÉ:COVERY 15 Nutritious Balm]제품선택=뉴트리셔스밤 1개 + 헤어팩 트리트먼트 1개 세트 5%추가할인</t>
        </is>
      </c>
      <c r="H983" s="9" t="n">
        <v>2</v>
      </c>
      <c r="I983" s="9">
        <f>VLOOKUP(G983,매칭테이블!D:E,2,0)</f>
        <v/>
      </c>
      <c r="J983" s="9" t="n">
        <v>210201</v>
      </c>
      <c r="L983" s="9">
        <f>VLOOKUP($O983,매칭테이블!$G:$J,2,0)*H983</f>
        <v/>
      </c>
      <c r="M983" s="9">
        <f>L983-L983*VLOOKUP($O983,매칭테이블!$G:$J,3,0)</f>
        <v/>
      </c>
      <c r="N983" s="9">
        <f>VLOOKUP($O983,매칭테이블!$G:$J,4,0)*H983</f>
        <v/>
      </c>
      <c r="O983" s="9">
        <f>F983&amp;E983&amp;G983&amp;J983</f>
        <v/>
      </c>
    </row>
    <row r="984">
      <c r="B984" s="10" t="n">
        <v>44237</v>
      </c>
      <c r="C984" s="9">
        <f>TEXT(B984,"aaa")</f>
        <v/>
      </c>
      <c r="E984" s="9">
        <f>INDEX(매칭테이블!C:C,MATCH(RD!G984,매칭테이블!D:D,0))</f>
        <v/>
      </c>
      <c r="F984" s="9" t="inlineStr">
        <is>
          <t>카페24</t>
        </is>
      </c>
      <c r="G984" s="9" t="inlineStr">
        <is>
          <t>라베나 리커버리 15 리바이탈 바이오플라보노이드샴푸 [HAIR RÉ:COVERY 15 Revital Shampoo]제품선택=헤어 리커버리 15 리바이탈 샴푸 - 500ml</t>
        </is>
      </c>
      <c r="H984" s="9" t="n">
        <v>85</v>
      </c>
      <c r="I984" s="9">
        <f>VLOOKUP(G984,매칭테이블!D:E,2,0)</f>
        <v/>
      </c>
      <c r="J984" s="9" t="n">
        <v>210201</v>
      </c>
      <c r="L984" s="9">
        <f>VLOOKUP($O984,매칭테이블!$G:$J,2,0)*H984</f>
        <v/>
      </c>
      <c r="M984" s="9">
        <f>L984-L984*VLOOKUP($O984,매칭테이블!$G:$J,3,0)</f>
        <v/>
      </c>
      <c r="N984" s="9">
        <f>VLOOKUP($O984,매칭테이블!$G:$J,4,0)*H984</f>
        <v/>
      </c>
      <c r="O984" s="9">
        <f>F984&amp;E984&amp;G984&amp;J984</f>
        <v/>
      </c>
    </row>
    <row r="985">
      <c r="B985" s="10" t="n">
        <v>44237</v>
      </c>
      <c r="C985" s="9">
        <f>TEXT(B985,"aaa")</f>
        <v/>
      </c>
      <c r="E985" s="9">
        <f>INDEX(매칭테이블!C:C,MATCH(RD!G985,매칭테이블!D:D,0))</f>
        <v/>
      </c>
      <c r="F985" s="9" t="inlineStr">
        <is>
          <t>카페24</t>
        </is>
      </c>
      <c r="G985" s="9" t="inlineStr">
        <is>
          <t>라베나 리커버리 15 리바이탈 바이오플라보노이드샴푸 [HAIR RÉ:COVERY 15 Revital Shampoo]제품선택=리바이탈 샴푸 2개 세트 5%추가할인</t>
        </is>
      </c>
      <c r="H985" s="9" t="n">
        <v>26</v>
      </c>
      <c r="I985" s="9">
        <f>VLOOKUP(G985,매칭테이블!D:E,2,0)</f>
        <v/>
      </c>
      <c r="J985" s="9" t="n">
        <v>210201</v>
      </c>
      <c r="L985" s="9">
        <f>VLOOKUP($O985,매칭테이블!$G:$J,2,0)*H985</f>
        <v/>
      </c>
      <c r="M985" s="9">
        <f>L985-L985*VLOOKUP($O985,매칭테이블!$G:$J,3,0)</f>
        <v/>
      </c>
      <c r="N985" s="9">
        <f>VLOOKUP($O985,매칭테이블!$G:$J,4,0)*H985</f>
        <v/>
      </c>
      <c r="O985" s="9">
        <f>F985&amp;E985&amp;G985&amp;J985</f>
        <v/>
      </c>
    </row>
    <row r="986">
      <c r="B986" s="10" t="n">
        <v>44237</v>
      </c>
      <c r="C986" s="9">
        <f>TEXT(B986,"aaa")</f>
        <v/>
      </c>
      <c r="E986" s="9">
        <f>INDEX(매칭테이블!C:C,MATCH(RD!G986,매칭테이블!D:D,0))</f>
        <v/>
      </c>
      <c r="F986" s="9" t="inlineStr">
        <is>
          <t>카페24</t>
        </is>
      </c>
      <c r="G986" s="9" t="inlineStr">
        <is>
          <t>라베나 리커버리 15 리바이탈 바이오플라보노이드샴푸 [HAIR RÉ:COVERY 15 Revital Shampoo]제품선택=리바이탈 샴푸 3개 세트 10% 추가할인</t>
        </is>
      </c>
      <c r="H986" s="9" t="n">
        <v>6</v>
      </c>
      <c r="I986" s="9">
        <f>VLOOKUP(G986,매칭테이블!D:E,2,0)</f>
        <v/>
      </c>
      <c r="J986" s="9" t="n">
        <v>210201</v>
      </c>
      <c r="L986" s="9">
        <f>VLOOKUP($O986,매칭테이블!$G:$J,2,0)*H986</f>
        <v/>
      </c>
      <c r="M986" s="9">
        <f>L986-L986*VLOOKUP($O986,매칭테이블!$G:$J,3,0)</f>
        <v/>
      </c>
      <c r="N986" s="9">
        <f>VLOOKUP($O986,매칭테이블!$G:$J,4,0)*H986</f>
        <v/>
      </c>
      <c r="O986" s="9">
        <f>F986&amp;E986&amp;G986&amp;J986</f>
        <v/>
      </c>
    </row>
    <row r="987">
      <c r="B987" s="10" t="n">
        <v>44237</v>
      </c>
      <c r="C987" s="9">
        <f>TEXT(B987,"aaa")</f>
        <v/>
      </c>
      <c r="E987" s="9">
        <f>INDEX(매칭테이블!C:C,MATCH(RD!G987,매칭테이블!D:D,0))</f>
        <v/>
      </c>
      <c r="F987" s="9" t="inlineStr">
        <is>
          <t>카페24</t>
        </is>
      </c>
      <c r="G987" s="9" t="inlineStr">
        <is>
          <t>라베나 리커버리 15 헤어팩 트리트먼트 [HAIR RÉ:COVERY 15 Hairpack Treatment]제품선택=헤어 리커버리 15 헤어팩 트리트먼트</t>
        </is>
      </c>
      <c r="H987" s="9" t="n">
        <v>3</v>
      </c>
      <c r="I987" s="9">
        <f>VLOOKUP(G987,매칭테이블!D:E,2,0)</f>
        <v/>
      </c>
      <c r="J987" s="9" t="n">
        <v>210201</v>
      </c>
      <c r="L987" s="9">
        <f>VLOOKUP($O987,매칭테이블!$G:$J,2,0)*H987</f>
        <v/>
      </c>
      <c r="M987" s="9">
        <f>L987-L987*VLOOKUP($O987,매칭테이블!$G:$J,3,0)</f>
        <v/>
      </c>
      <c r="N987" s="9">
        <f>VLOOKUP($O987,매칭테이블!$G:$J,4,0)*H987</f>
        <v/>
      </c>
      <c r="O987" s="9">
        <f>F987&amp;E987&amp;G987&amp;J987</f>
        <v/>
      </c>
    </row>
    <row r="988">
      <c r="B988" s="10" t="n">
        <v>44237</v>
      </c>
      <c r="C988" s="9">
        <f>TEXT(B988,"aaa")</f>
        <v/>
      </c>
      <c r="E988" s="9">
        <f>INDEX(매칭테이블!C:C,MATCH(RD!G988,매칭테이블!D:D,0))</f>
        <v/>
      </c>
      <c r="F988" s="9" t="inlineStr">
        <is>
          <t>카페24</t>
        </is>
      </c>
      <c r="G988" s="9" t="inlineStr">
        <is>
          <t>라베나 리커버리 15 헤어팩 트리트먼트 [HAIR RÉ:COVERY 15 Hairpack Treatment]제품선택=헤어팩 트리트먼트 2개 세트 5% 추가할인</t>
        </is>
      </c>
      <c r="H988" s="9" t="n">
        <v>1</v>
      </c>
      <c r="I988" s="9">
        <f>VLOOKUP(G988,매칭테이블!D:E,2,0)</f>
        <v/>
      </c>
      <c r="J988" s="9" t="n">
        <v>210201</v>
      </c>
      <c r="L988" s="9">
        <f>VLOOKUP($O988,매칭테이블!$G:$J,2,0)*H988</f>
        <v/>
      </c>
      <c r="M988" s="9">
        <f>L988-L988*VLOOKUP($O988,매칭테이블!$G:$J,3,0)</f>
        <v/>
      </c>
      <c r="N988" s="9">
        <f>VLOOKUP($O988,매칭테이블!$G:$J,4,0)*H988</f>
        <v/>
      </c>
      <c r="O988" s="9">
        <f>F988&amp;E988&amp;G988&amp;J988</f>
        <v/>
      </c>
    </row>
    <row r="989">
      <c r="B989" s="10" t="n">
        <v>44237</v>
      </c>
      <c r="C989" s="9">
        <f>TEXT(B989,"aaa")</f>
        <v/>
      </c>
      <c r="E989" s="9">
        <f>INDEX(매칭테이블!C:C,MATCH(RD!G989,매칭테이블!D:D,0))</f>
        <v/>
      </c>
      <c r="F989" s="9" t="inlineStr">
        <is>
          <t>카페24</t>
        </is>
      </c>
      <c r="G989" s="9" t="inlineStr">
        <is>
          <t>라베나 리커버리 15 헤어팩 트리트먼트 [HAIR RÉ:COVERY 15 Hairpack Treatment]제품선택=헤어팩 트리트먼트 1개 + 뉴트리셔스밤 1개 세트 5% 추가할인</t>
        </is>
      </c>
      <c r="H989" s="9" t="n">
        <v>1</v>
      </c>
      <c r="I989" s="9">
        <f>VLOOKUP(G989,매칭테이블!D:E,2,0)</f>
        <v/>
      </c>
      <c r="J989" s="9" t="n">
        <v>210201</v>
      </c>
      <c r="L989" s="9">
        <f>VLOOKUP($O989,매칭테이블!$G:$J,2,0)*H989</f>
        <v/>
      </c>
      <c r="M989" s="9">
        <f>L989-L989*VLOOKUP($O989,매칭테이블!$G:$J,3,0)</f>
        <v/>
      </c>
      <c r="N989" s="9">
        <f>VLOOKUP($O989,매칭테이블!$G:$J,4,0)*H989</f>
        <v/>
      </c>
      <c r="O989" s="9">
        <f>F989&amp;E989&amp;G989&amp;J989</f>
        <v/>
      </c>
    </row>
    <row r="990">
      <c r="B990" s="10" t="n">
        <v>44238</v>
      </c>
      <c r="C990" s="9">
        <f>TEXT(B990,"aaa")</f>
        <v/>
      </c>
      <c r="E990" s="9">
        <f>INDEX(매칭테이블!C:C,MATCH(RD!G990,매칭테이블!D:D,0))</f>
        <v/>
      </c>
      <c r="F990" s="9" t="inlineStr">
        <is>
          <t>카페24</t>
        </is>
      </c>
      <c r="G990" s="9" t="inlineStr">
        <is>
          <t>라베나 리커버리 15 뉴트리셔스 밤 [HAIR RÉ:COVERY 15 Nutritious Balm]제품선택=헤어 리커버리 15 뉴트리셔스 밤</t>
        </is>
      </c>
      <c r="H990" s="9" t="n">
        <v>13</v>
      </c>
      <c r="I990" s="9">
        <f>VLOOKUP(G990,매칭테이블!D:E,2,0)</f>
        <v/>
      </c>
      <c r="J990" s="9" t="n">
        <v>210201</v>
      </c>
      <c r="L990" s="9">
        <f>VLOOKUP($O990,매칭테이블!$G:$J,2,0)*H990</f>
        <v/>
      </c>
      <c r="M990" s="9">
        <f>L990-L990*VLOOKUP($O990,매칭테이블!$G:$J,3,0)</f>
        <v/>
      </c>
      <c r="N990" s="9">
        <f>VLOOKUP($O990,매칭테이블!$G:$J,4,0)*H990</f>
        <v/>
      </c>
      <c r="O990" s="9">
        <f>F990&amp;E990&amp;G990&amp;J990</f>
        <v/>
      </c>
    </row>
    <row r="991">
      <c r="B991" s="10" t="n">
        <v>44238</v>
      </c>
      <c r="C991" s="9">
        <f>TEXT(B991,"aaa")</f>
        <v/>
      </c>
      <c r="E991" s="9">
        <f>INDEX(매칭테이블!C:C,MATCH(RD!G991,매칭테이블!D:D,0))</f>
        <v/>
      </c>
      <c r="F991" s="9" t="inlineStr">
        <is>
          <t>카페24</t>
        </is>
      </c>
      <c r="G991" s="9" t="inlineStr">
        <is>
          <t>라베나 리커버리 15 뉴트리셔스 밤 [HAIR RÉ:COVERY 15 Nutritious Balm]제품선택=뉴트리셔스 밤 3개 세트 10% 추가할인</t>
        </is>
      </c>
      <c r="H991" s="9" t="n">
        <v>1</v>
      </c>
      <c r="I991" s="9">
        <f>VLOOKUP(G991,매칭테이블!D:E,2,0)</f>
        <v/>
      </c>
      <c r="J991" s="9" t="n">
        <v>210201</v>
      </c>
      <c r="L991" s="9">
        <f>VLOOKUP($O991,매칭테이블!$G:$J,2,0)*H991</f>
        <v/>
      </c>
      <c r="M991" s="9">
        <f>L991-L991*VLOOKUP($O991,매칭테이블!$G:$J,3,0)</f>
        <v/>
      </c>
      <c r="N991" s="9">
        <f>VLOOKUP($O991,매칭테이블!$G:$J,4,0)*H991</f>
        <v/>
      </c>
      <c r="O991" s="9">
        <f>F991&amp;E991&amp;G991&amp;J991</f>
        <v/>
      </c>
    </row>
    <row r="992">
      <c r="B992" s="10" t="n">
        <v>44238</v>
      </c>
      <c r="C992" s="9">
        <f>TEXT(B992,"aaa")</f>
        <v/>
      </c>
      <c r="E992" s="9">
        <f>INDEX(매칭테이블!C:C,MATCH(RD!G992,매칭테이블!D:D,0))</f>
        <v/>
      </c>
      <c r="F992" s="9" t="inlineStr">
        <is>
          <t>카페24</t>
        </is>
      </c>
      <c r="G992" s="9" t="inlineStr">
        <is>
          <t>라베나 리커버리 15 리바이탈 바이오플라보노이드샴푸 [HAIR RÉ:COVERY 15 Revital Shampoo]제품선택=헤어 리커버리 15 리바이탈 샴푸 - 500ml</t>
        </is>
      </c>
      <c r="H992" s="9" t="n">
        <v>107</v>
      </c>
      <c r="I992" s="9">
        <f>VLOOKUP(G992,매칭테이블!D:E,2,0)</f>
        <v/>
      </c>
      <c r="J992" s="9" t="n">
        <v>210201</v>
      </c>
      <c r="L992" s="9">
        <f>VLOOKUP($O992,매칭테이블!$G:$J,2,0)*H992</f>
        <v/>
      </c>
      <c r="M992" s="9">
        <f>L992-L992*VLOOKUP($O992,매칭테이블!$G:$J,3,0)</f>
        <v/>
      </c>
      <c r="N992" s="9">
        <f>VLOOKUP($O992,매칭테이블!$G:$J,4,0)*H992</f>
        <v/>
      </c>
      <c r="O992" s="9">
        <f>F992&amp;E992&amp;G992&amp;J992</f>
        <v/>
      </c>
    </row>
    <row r="993">
      <c r="B993" s="10" t="n">
        <v>44238</v>
      </c>
      <c r="C993" s="9">
        <f>TEXT(B993,"aaa")</f>
        <v/>
      </c>
      <c r="E993" s="9">
        <f>INDEX(매칭테이블!C:C,MATCH(RD!G993,매칭테이블!D:D,0))</f>
        <v/>
      </c>
      <c r="F993" s="9" t="inlineStr">
        <is>
          <t>카페24</t>
        </is>
      </c>
      <c r="G993" s="9" t="inlineStr">
        <is>
          <t>라베나 리커버리 15 리바이탈 바이오플라보노이드샴푸 [HAIR RÉ:COVERY 15 Revital Shampoo]제품선택=리바이탈 샴푸 2개 세트 5%추가할인</t>
        </is>
      </c>
      <c r="H993" s="9" t="n">
        <v>34</v>
      </c>
      <c r="I993" s="9">
        <f>VLOOKUP(G993,매칭테이블!D:E,2,0)</f>
        <v/>
      </c>
      <c r="J993" s="9" t="n">
        <v>210201</v>
      </c>
      <c r="L993" s="9">
        <f>VLOOKUP($O993,매칭테이블!$G:$J,2,0)*H993</f>
        <v/>
      </c>
      <c r="M993" s="9">
        <f>L993-L993*VLOOKUP($O993,매칭테이블!$G:$J,3,0)</f>
        <v/>
      </c>
      <c r="N993" s="9">
        <f>VLOOKUP($O993,매칭테이블!$G:$J,4,0)*H993</f>
        <v/>
      </c>
      <c r="O993" s="9">
        <f>F993&amp;E993&amp;G993&amp;J993</f>
        <v/>
      </c>
    </row>
    <row r="994">
      <c r="B994" s="10" t="n">
        <v>44238</v>
      </c>
      <c r="C994" s="9">
        <f>TEXT(B994,"aaa")</f>
        <v/>
      </c>
      <c r="E994" s="9">
        <f>INDEX(매칭테이블!C:C,MATCH(RD!G994,매칭테이블!D:D,0))</f>
        <v/>
      </c>
      <c r="F994" s="9" t="inlineStr">
        <is>
          <t>카페24</t>
        </is>
      </c>
      <c r="G994" s="9" t="inlineStr">
        <is>
          <t>라베나 리커버리 15 리바이탈 바이오플라보노이드샴푸 [HAIR RÉ:COVERY 15 Revital Shampoo]제품선택=리바이탈 샴푸 3개 세트 10% 추가할인</t>
        </is>
      </c>
      <c r="H994" s="9" t="n">
        <v>5</v>
      </c>
      <c r="I994" s="9">
        <f>VLOOKUP(G994,매칭테이블!D:E,2,0)</f>
        <v/>
      </c>
      <c r="J994" s="9" t="n">
        <v>210201</v>
      </c>
      <c r="L994" s="9">
        <f>VLOOKUP($O994,매칭테이블!$G:$J,2,0)*H994</f>
        <v/>
      </c>
      <c r="M994" s="9">
        <f>L994-L994*VLOOKUP($O994,매칭테이블!$G:$J,3,0)</f>
        <v/>
      </c>
      <c r="N994" s="9">
        <f>VLOOKUP($O994,매칭테이블!$G:$J,4,0)*H994</f>
        <v/>
      </c>
      <c r="O994" s="9">
        <f>F994&amp;E994&amp;G994&amp;J994</f>
        <v/>
      </c>
    </row>
    <row r="995">
      <c r="B995" s="10" t="n">
        <v>44238</v>
      </c>
      <c r="C995" s="9">
        <f>TEXT(B995,"aaa")</f>
        <v/>
      </c>
      <c r="E995" s="9">
        <f>INDEX(매칭테이블!C:C,MATCH(RD!G995,매칭테이블!D:D,0))</f>
        <v/>
      </c>
      <c r="F995" s="9" t="inlineStr">
        <is>
          <t>카페24</t>
        </is>
      </c>
      <c r="G995" s="9" t="inlineStr">
        <is>
          <t>라베나 리커버리 15 헤어팩 트리트먼트 [HAIR RÉ:COVERY 15 Hairpack Treatment]제품선택=헤어 리커버리 15 헤어팩 트리트먼트</t>
        </is>
      </c>
      <c r="H995" s="9" t="n">
        <v>7</v>
      </c>
      <c r="I995" s="9">
        <f>VLOOKUP(G995,매칭테이블!D:E,2,0)</f>
        <v/>
      </c>
      <c r="J995" s="9" t="n">
        <v>210201</v>
      </c>
      <c r="L995" s="9">
        <f>VLOOKUP($O995,매칭테이블!$G:$J,2,0)*H995</f>
        <v/>
      </c>
      <c r="M995" s="9">
        <f>L995-L995*VLOOKUP($O995,매칭테이블!$G:$J,3,0)</f>
        <v/>
      </c>
      <c r="N995" s="9">
        <f>VLOOKUP($O995,매칭테이블!$G:$J,4,0)*H995</f>
        <v/>
      </c>
      <c r="O995" s="9">
        <f>F995&amp;E995&amp;G995&amp;J995</f>
        <v/>
      </c>
    </row>
    <row r="996">
      <c r="B996" s="10" t="n">
        <v>44238</v>
      </c>
      <c r="C996" s="9">
        <f>TEXT(B996,"aaa")</f>
        <v/>
      </c>
      <c r="E996" s="9">
        <f>INDEX(매칭테이블!C:C,MATCH(RD!G996,매칭테이블!D:D,0))</f>
        <v/>
      </c>
      <c r="F996" s="9" t="inlineStr">
        <is>
          <t>카페24</t>
        </is>
      </c>
      <c r="G996" s="9" t="inlineStr">
        <is>
          <t>라베나 리커버리 15 헤어팩 트리트먼트 [HAIR RÉ:COVERY 15 Hairpack Treatment]제품선택=헤어팩 트리트먼트 2개 세트 5% 추가할인</t>
        </is>
      </c>
      <c r="H996" s="9" t="n">
        <v>1</v>
      </c>
      <c r="I996" s="9">
        <f>VLOOKUP(G996,매칭테이블!D:E,2,0)</f>
        <v/>
      </c>
      <c r="J996" s="9" t="n">
        <v>210201</v>
      </c>
      <c r="L996" s="9">
        <f>VLOOKUP($O996,매칭테이블!$G:$J,2,0)*H996</f>
        <v/>
      </c>
      <c r="M996" s="9">
        <f>L996-L996*VLOOKUP($O996,매칭테이블!$G:$J,3,0)</f>
        <v/>
      </c>
      <c r="N996" s="9">
        <f>VLOOKUP($O996,매칭테이블!$G:$J,4,0)*H996</f>
        <v/>
      </c>
      <c r="O996" s="9">
        <f>F996&amp;E996&amp;G996&amp;J996</f>
        <v/>
      </c>
    </row>
    <row r="997">
      <c r="B997" s="10" t="n">
        <v>44238</v>
      </c>
      <c r="C997" s="9">
        <f>TEXT(B997,"aaa")</f>
        <v/>
      </c>
      <c r="E997" s="9">
        <f>INDEX(매칭테이블!C:C,MATCH(RD!G997,매칭테이블!D:D,0))</f>
        <v/>
      </c>
      <c r="F997" s="9" t="inlineStr">
        <is>
          <t>카페24</t>
        </is>
      </c>
      <c r="G997" s="9" t="inlineStr">
        <is>
          <t>라베나 리커버리 15 헤어팩 트리트먼트 [HAIR RÉ:COVERY 15 Hairpack Treatment]제품선택=헤어팩 트리트먼트 3개 세트 10% 추가할인</t>
        </is>
      </c>
      <c r="H997" s="9" t="n">
        <v>1</v>
      </c>
      <c r="I997" s="9">
        <f>VLOOKUP(G997,매칭테이블!D:E,2,0)</f>
        <v/>
      </c>
      <c r="J997" s="9" t="n">
        <v>210201</v>
      </c>
      <c r="L997" s="9">
        <f>VLOOKUP($O997,매칭테이블!$G:$J,2,0)*H997</f>
        <v/>
      </c>
      <c r="M997" s="9">
        <f>L997-L997*VLOOKUP($O997,매칭테이블!$G:$J,3,0)</f>
        <v/>
      </c>
      <c r="N997" s="9">
        <f>VLOOKUP($O997,매칭테이블!$G:$J,4,0)*H997</f>
        <v/>
      </c>
      <c r="O997" s="9">
        <f>F997&amp;E997&amp;G997&amp;J997</f>
        <v/>
      </c>
    </row>
    <row r="998">
      <c r="B998" s="10" t="n">
        <v>44238</v>
      </c>
      <c r="C998" s="9">
        <f>TEXT(B998,"aaa")</f>
        <v/>
      </c>
      <c r="E998" s="9">
        <f>INDEX(매칭테이블!C:C,MATCH(RD!G998,매칭테이블!D:D,0))</f>
        <v/>
      </c>
      <c r="F998" s="9" t="inlineStr">
        <is>
          <t>카페24</t>
        </is>
      </c>
      <c r="G998" s="9" t="inlineStr">
        <is>
          <t>라베나 리커버리 15 헤어팩 트리트먼트 [HAIR RÉ:COVERY 15 Hairpack Treatment]제품선택=헤어팩 트리트먼트 1개 + 뉴트리셔스밤 1개 세트 5% 추가할인</t>
        </is>
      </c>
      <c r="H998" s="9" t="n">
        <v>1</v>
      </c>
      <c r="I998" s="9">
        <f>VLOOKUP(G998,매칭테이블!D:E,2,0)</f>
        <v/>
      </c>
      <c r="J998" s="9" t="n">
        <v>210201</v>
      </c>
      <c r="L998" s="9">
        <f>VLOOKUP($O998,매칭테이블!$G:$J,2,0)*H998</f>
        <v/>
      </c>
      <c r="M998" s="9">
        <f>L998-L998*VLOOKUP($O998,매칭테이블!$G:$J,3,0)</f>
        <v/>
      </c>
      <c r="N998" s="9">
        <f>VLOOKUP($O998,매칭테이블!$G:$J,4,0)*H998</f>
        <v/>
      </c>
      <c r="O998" s="9">
        <f>F998&amp;E998&amp;G998&amp;J998</f>
        <v/>
      </c>
    </row>
    <row r="999">
      <c r="B999" s="10" t="n">
        <v>44239</v>
      </c>
      <c r="C999" s="9">
        <f>TEXT(B999,"aaa")</f>
        <v/>
      </c>
      <c r="E999" s="9">
        <f>INDEX(매칭테이블!C:C,MATCH(RD!G999,매칭테이블!D:D,0))</f>
        <v/>
      </c>
      <c r="F999" s="9" t="inlineStr">
        <is>
          <t>카페24</t>
        </is>
      </c>
      <c r="G999" s="9" t="inlineStr">
        <is>
          <t>라베나 리커버리 15 뉴트리셔스 밤 [HAIR RÉ:COVERY 15 Nutritious Balm]제품선택=헤어 리커버리 15 뉴트리셔스 밤</t>
        </is>
      </c>
      <c r="H999" s="9" t="n">
        <v>7</v>
      </c>
      <c r="I999" s="9">
        <f>VLOOKUP(G999,매칭테이블!D:E,2,0)</f>
        <v/>
      </c>
      <c r="J999" s="9" t="n">
        <v>210201</v>
      </c>
      <c r="L999" s="9">
        <f>VLOOKUP($O999,매칭테이블!$G:$J,2,0)*H999</f>
        <v/>
      </c>
      <c r="M999" s="9">
        <f>L999-L999*VLOOKUP($O999,매칭테이블!$G:$J,3,0)</f>
        <v/>
      </c>
      <c r="N999" s="9">
        <f>VLOOKUP($O999,매칭테이블!$G:$J,4,0)*H999</f>
        <v/>
      </c>
      <c r="O999" s="9">
        <f>F999&amp;E999&amp;G999&amp;J999</f>
        <v/>
      </c>
    </row>
    <row r="1000">
      <c r="B1000" s="10" t="n">
        <v>44239</v>
      </c>
      <c r="C1000" s="9">
        <f>TEXT(B1000,"aaa")</f>
        <v/>
      </c>
      <c r="E1000" s="9">
        <f>INDEX(매칭테이블!C:C,MATCH(RD!G1000,매칭테이블!D:D,0))</f>
        <v/>
      </c>
      <c r="F1000" s="9" t="inlineStr">
        <is>
          <t>카페24</t>
        </is>
      </c>
      <c r="G1000" s="9" t="inlineStr">
        <is>
          <t>라베나 리커버리 15 뉴트리셔스 밤 [HAIR RÉ:COVERY 15 Nutritious Balm]제품선택=뉴트리셔스 밤 2개 세트 5% 추가할인</t>
        </is>
      </c>
      <c r="H1000" s="9" t="n">
        <v>2</v>
      </c>
      <c r="I1000" s="9">
        <f>VLOOKUP(G1000,매칭테이블!D:E,2,0)</f>
        <v/>
      </c>
      <c r="J1000" s="9" t="n">
        <v>210201</v>
      </c>
      <c r="L1000" s="9">
        <f>VLOOKUP($O1000,매칭테이블!$G:$J,2,0)*H1000</f>
        <v/>
      </c>
      <c r="M1000" s="9">
        <f>L1000-L1000*VLOOKUP($O1000,매칭테이블!$G:$J,3,0)</f>
        <v/>
      </c>
      <c r="N1000" s="9">
        <f>VLOOKUP($O1000,매칭테이블!$G:$J,4,0)*H1000</f>
        <v/>
      </c>
      <c r="O1000" s="9">
        <f>F1000&amp;E1000&amp;G1000&amp;J1000</f>
        <v/>
      </c>
    </row>
    <row r="1001">
      <c r="B1001" s="10" t="n">
        <v>44239</v>
      </c>
      <c r="C1001" s="9">
        <f>TEXT(B1001,"aaa")</f>
        <v/>
      </c>
      <c r="E1001" s="9">
        <f>INDEX(매칭테이블!C:C,MATCH(RD!G1001,매칭테이블!D:D,0))</f>
        <v/>
      </c>
      <c r="F1001" s="9" t="inlineStr">
        <is>
          <t>카페24</t>
        </is>
      </c>
      <c r="G1001" s="9" t="inlineStr">
        <is>
          <t>라베나 리커버리 15 리바이탈 바이오플라보노이드샴푸 [HAIR RÉ:COVERY 15 Revital Shampoo]제품선택=헤어 리커버리 15 리바이탈 샴푸 - 500ml</t>
        </is>
      </c>
      <c r="H1001" s="9" t="n">
        <v>137</v>
      </c>
      <c r="I1001" s="9">
        <f>VLOOKUP(G1001,매칭테이블!D:E,2,0)</f>
        <v/>
      </c>
      <c r="J1001" s="9" t="n">
        <v>210201</v>
      </c>
      <c r="L1001" s="9">
        <f>VLOOKUP($O1001,매칭테이블!$G:$J,2,0)*H1001</f>
        <v/>
      </c>
      <c r="M1001" s="9">
        <f>L1001-L1001*VLOOKUP($O1001,매칭테이블!$G:$J,3,0)</f>
        <v/>
      </c>
      <c r="N1001" s="9">
        <f>VLOOKUP($O1001,매칭테이블!$G:$J,4,0)*H1001</f>
        <v/>
      </c>
      <c r="O1001" s="9">
        <f>F1001&amp;E1001&amp;G1001&amp;J1001</f>
        <v/>
      </c>
    </row>
    <row r="1002">
      <c r="B1002" s="10" t="n">
        <v>44239</v>
      </c>
      <c r="C1002" s="9">
        <f>TEXT(B1002,"aaa")</f>
        <v/>
      </c>
      <c r="E1002" s="9">
        <f>INDEX(매칭테이블!C:C,MATCH(RD!G1002,매칭테이블!D:D,0))</f>
        <v/>
      </c>
      <c r="F1002" s="9" t="inlineStr">
        <is>
          <t>카페24</t>
        </is>
      </c>
      <c r="G1002" s="9" t="inlineStr">
        <is>
          <t>라베나 리커버리 15 리바이탈 바이오플라보노이드샴푸 [HAIR RÉ:COVERY 15 Revital Shampoo]제품선택=리바이탈 샴푸 2개 세트 5%추가할인</t>
        </is>
      </c>
      <c r="H1002" s="9" t="n">
        <v>42</v>
      </c>
      <c r="I1002" s="9">
        <f>VLOOKUP(G1002,매칭테이블!D:E,2,0)</f>
        <v/>
      </c>
      <c r="J1002" s="9" t="n">
        <v>210201</v>
      </c>
      <c r="L1002" s="9">
        <f>VLOOKUP($O1002,매칭테이블!$G:$J,2,0)*H1002</f>
        <v/>
      </c>
      <c r="M1002" s="9">
        <f>L1002-L1002*VLOOKUP($O1002,매칭테이블!$G:$J,3,0)</f>
        <v/>
      </c>
      <c r="N1002" s="9">
        <f>VLOOKUP($O1002,매칭테이블!$G:$J,4,0)*H1002</f>
        <v/>
      </c>
      <c r="O1002" s="9">
        <f>F1002&amp;E1002&amp;G1002&amp;J1002</f>
        <v/>
      </c>
    </row>
    <row r="1003">
      <c r="B1003" s="10" t="n">
        <v>44239</v>
      </c>
      <c r="C1003" s="9">
        <f>TEXT(B1003,"aaa")</f>
        <v/>
      </c>
      <c r="E1003" s="9">
        <f>INDEX(매칭테이블!C:C,MATCH(RD!G1003,매칭테이블!D:D,0))</f>
        <v/>
      </c>
      <c r="F1003" s="9" t="inlineStr">
        <is>
          <t>카페24</t>
        </is>
      </c>
      <c r="G1003" s="9" t="inlineStr">
        <is>
          <t>라베나 리커버리 15 리바이탈 바이오플라보노이드샴푸 [HAIR RÉ:COVERY 15 Revital Shampoo]제품선택=리바이탈 샴푸 3개 세트 10% 추가할인</t>
        </is>
      </c>
      <c r="H1003" s="9" t="n">
        <v>13</v>
      </c>
      <c r="I1003" s="9">
        <f>VLOOKUP(G1003,매칭테이블!D:E,2,0)</f>
        <v/>
      </c>
      <c r="J1003" s="9" t="n">
        <v>210201</v>
      </c>
      <c r="L1003" s="9">
        <f>VLOOKUP($O1003,매칭테이블!$G:$J,2,0)*H1003</f>
        <v/>
      </c>
      <c r="M1003" s="9">
        <f>L1003-L1003*VLOOKUP($O1003,매칭테이블!$G:$J,3,0)</f>
        <v/>
      </c>
      <c r="N1003" s="9">
        <f>VLOOKUP($O1003,매칭테이블!$G:$J,4,0)*H1003</f>
        <v/>
      </c>
      <c r="O1003" s="9">
        <f>F1003&amp;E1003&amp;G1003&amp;J1003</f>
        <v/>
      </c>
    </row>
    <row r="1004">
      <c r="B1004" s="10" t="n">
        <v>44239</v>
      </c>
      <c r="C1004" s="9">
        <f>TEXT(B1004,"aaa")</f>
        <v/>
      </c>
      <c r="E1004" s="9">
        <f>INDEX(매칭테이블!C:C,MATCH(RD!G1004,매칭테이블!D:D,0))</f>
        <v/>
      </c>
      <c r="F1004" s="9" t="inlineStr">
        <is>
          <t>카페24</t>
        </is>
      </c>
      <c r="G1004" s="9" t="inlineStr">
        <is>
          <t>라베나 리커버리 15 헤어팩 트리트먼트 [HAIR RÉ:COVERY 15 Hairpack Treatment]제품선택=헤어 리커버리 15 헤어팩 트리트먼트</t>
        </is>
      </c>
      <c r="H1004" s="9" t="n">
        <v>8</v>
      </c>
      <c r="I1004" s="9">
        <f>VLOOKUP(G1004,매칭테이블!D:E,2,0)</f>
        <v/>
      </c>
      <c r="J1004" s="9" t="n">
        <v>210201</v>
      </c>
      <c r="L1004" s="9">
        <f>VLOOKUP($O1004,매칭테이블!$G:$J,2,0)*H1004</f>
        <v/>
      </c>
      <c r="M1004" s="9">
        <f>L1004-L1004*VLOOKUP($O1004,매칭테이블!$G:$J,3,0)</f>
        <v/>
      </c>
      <c r="N1004" s="9">
        <f>VLOOKUP($O1004,매칭테이블!$G:$J,4,0)*H1004</f>
        <v/>
      </c>
      <c r="O1004" s="9">
        <f>F1004&amp;E1004&amp;G1004&amp;J1004</f>
        <v/>
      </c>
    </row>
    <row r="1005">
      <c r="B1005" s="10" t="n">
        <v>44239</v>
      </c>
      <c r="C1005" s="9">
        <f>TEXT(B1005,"aaa")</f>
        <v/>
      </c>
      <c r="E1005" s="9">
        <f>INDEX(매칭테이블!C:C,MATCH(RD!G1005,매칭테이블!D:D,0))</f>
        <v/>
      </c>
      <c r="F1005" s="9" t="inlineStr">
        <is>
          <t>카페24</t>
        </is>
      </c>
      <c r="G1005" s="9" t="inlineStr">
        <is>
          <t>라베나 리커버리 15 헤어팩 트리트먼트 [HAIR RÉ:COVERY 15 Hairpack Treatment]제품선택=헤어팩 트리트먼트 2개 세트 5% 추가할인</t>
        </is>
      </c>
      <c r="H1005" s="9" t="n">
        <v>3</v>
      </c>
      <c r="I1005" s="9">
        <f>VLOOKUP(G1005,매칭테이블!D:E,2,0)</f>
        <v/>
      </c>
      <c r="J1005" s="9" t="n">
        <v>210201</v>
      </c>
      <c r="L1005" s="9">
        <f>VLOOKUP($O1005,매칭테이블!$G:$J,2,0)*H1005</f>
        <v/>
      </c>
      <c r="M1005" s="9">
        <f>L1005-L1005*VLOOKUP($O1005,매칭테이블!$G:$J,3,0)</f>
        <v/>
      </c>
      <c r="N1005" s="9">
        <f>VLOOKUP($O1005,매칭테이블!$G:$J,4,0)*H1005</f>
        <v/>
      </c>
      <c r="O1005" s="9">
        <f>F1005&amp;E1005&amp;G1005&amp;J1005</f>
        <v/>
      </c>
    </row>
    <row r="1006">
      <c r="B1006" s="10" t="n">
        <v>44239</v>
      </c>
      <c r="C1006" s="9">
        <f>TEXT(B1006,"aaa")</f>
        <v/>
      </c>
      <c r="E1006" s="9">
        <f>INDEX(매칭테이블!C:C,MATCH(RD!G1006,매칭테이블!D:D,0))</f>
        <v/>
      </c>
      <c r="F1006" s="9" t="inlineStr">
        <is>
          <t>카페24</t>
        </is>
      </c>
      <c r="G1006" s="9" t="inlineStr">
        <is>
          <t>라베나 리커버리 15 헤어팩 트리트먼트 [HAIR RÉ:COVERY 15 Hairpack Treatment]제품선택=헤어팩 트리트먼트 1개 + 뉴트리셔스밤 1개 세트 5% 추가할인</t>
        </is>
      </c>
      <c r="H1006" s="9" t="n">
        <v>2</v>
      </c>
      <c r="I1006" s="9">
        <f>VLOOKUP(G1006,매칭테이블!D:E,2,0)</f>
        <v/>
      </c>
      <c r="J1006" s="9" t="n">
        <v>210201</v>
      </c>
      <c r="L1006" s="9">
        <f>VLOOKUP($O1006,매칭테이블!$G:$J,2,0)*H1006</f>
        <v/>
      </c>
      <c r="M1006" s="9">
        <f>L1006-L1006*VLOOKUP($O1006,매칭테이블!$G:$J,3,0)</f>
        <v/>
      </c>
      <c r="N1006" s="9">
        <f>VLOOKUP($O1006,매칭테이블!$G:$J,4,0)*H1006</f>
        <v/>
      </c>
      <c r="O1006" s="9">
        <f>F1006&amp;E1006&amp;G1006&amp;J1006</f>
        <v/>
      </c>
    </row>
    <row r="1007">
      <c r="B1007" s="10" t="n">
        <v>44240</v>
      </c>
      <c r="C1007" s="9">
        <f>TEXT(B1007,"aaa")</f>
        <v/>
      </c>
      <c r="E1007" s="9">
        <f>INDEX(매칭테이블!C:C,MATCH(RD!G1007,매칭테이블!D:D,0))</f>
        <v/>
      </c>
      <c r="F1007" s="9" t="inlineStr">
        <is>
          <t>카페24</t>
        </is>
      </c>
      <c r="G1007" s="9" t="inlineStr">
        <is>
          <t>라베나 리커버리 15 뉴트리셔스 밤 [HAIR RÉ:COVERY 15 Nutritious Balm]제품선택=헤어 리커버리 15 뉴트리셔스 밤</t>
        </is>
      </c>
      <c r="H1007" s="9" t="n">
        <v>8</v>
      </c>
      <c r="I1007" s="9">
        <f>VLOOKUP(G1007,매칭테이블!D:E,2,0)</f>
        <v/>
      </c>
      <c r="J1007" s="9" t="n">
        <v>210201</v>
      </c>
      <c r="L1007" s="9">
        <f>VLOOKUP($O1007,매칭테이블!$G:$J,2,0)*H1007</f>
        <v/>
      </c>
      <c r="M1007" s="9">
        <f>L1007-L1007*VLOOKUP($O1007,매칭테이블!$G:$J,3,0)</f>
        <v/>
      </c>
      <c r="N1007" s="9">
        <f>VLOOKUP($O1007,매칭테이블!$G:$J,4,0)*H1007</f>
        <v/>
      </c>
      <c r="O1007" s="9">
        <f>F1007&amp;E1007&amp;G1007&amp;J1007</f>
        <v/>
      </c>
    </row>
    <row r="1008">
      <c r="B1008" s="10" t="n">
        <v>44240</v>
      </c>
      <c r="C1008" s="9">
        <f>TEXT(B1008,"aaa")</f>
        <v/>
      </c>
      <c r="E1008" s="9">
        <f>INDEX(매칭테이블!C:C,MATCH(RD!G1008,매칭테이블!D:D,0))</f>
        <v/>
      </c>
      <c r="F1008" s="9" t="inlineStr">
        <is>
          <t>카페24</t>
        </is>
      </c>
      <c r="G1008" s="9" t="inlineStr">
        <is>
          <t>라베나 리커버리 15 뉴트리셔스 밤 [HAIR RÉ:COVERY 15 Nutritious Balm]제품선택=뉴트리셔스 밤 2개 세트 5% 추가할인</t>
        </is>
      </c>
      <c r="H1008" s="9" t="n">
        <v>2</v>
      </c>
      <c r="I1008" s="9">
        <f>VLOOKUP(G1008,매칭테이블!D:E,2,0)</f>
        <v/>
      </c>
      <c r="J1008" s="9" t="n">
        <v>210201</v>
      </c>
      <c r="L1008" s="9">
        <f>VLOOKUP($O1008,매칭테이블!$G:$J,2,0)*H1008</f>
        <v/>
      </c>
      <c r="M1008" s="9">
        <f>L1008-L1008*VLOOKUP($O1008,매칭테이블!$G:$J,3,0)</f>
        <v/>
      </c>
      <c r="N1008" s="9">
        <f>VLOOKUP($O1008,매칭테이블!$G:$J,4,0)*H1008</f>
        <v/>
      </c>
      <c r="O1008" s="9">
        <f>F1008&amp;E1008&amp;G1008&amp;J1008</f>
        <v/>
      </c>
    </row>
    <row r="1009">
      <c r="B1009" s="10" t="n">
        <v>44240</v>
      </c>
      <c r="C1009" s="9">
        <f>TEXT(B1009,"aaa")</f>
        <v/>
      </c>
      <c r="E1009" s="9">
        <f>INDEX(매칭테이블!C:C,MATCH(RD!G1009,매칭테이블!D:D,0))</f>
        <v/>
      </c>
      <c r="F1009" s="9" t="inlineStr">
        <is>
          <t>카페24</t>
        </is>
      </c>
      <c r="G1009" s="9" t="inlineStr">
        <is>
          <t>라베나 리커버리 15 뉴트리셔스 밤 [HAIR RÉ:COVERY 15 Nutritious Balm]제품선택=뉴트리셔스밤 1개 + 헤어팩 트리트먼트 1개 세트 5%추가할인</t>
        </is>
      </c>
      <c r="H1009" s="9" t="n">
        <v>1</v>
      </c>
      <c r="I1009" s="9">
        <f>VLOOKUP(G1009,매칭테이블!D:E,2,0)</f>
        <v/>
      </c>
      <c r="J1009" s="9" t="n">
        <v>210201</v>
      </c>
      <c r="L1009" s="9">
        <f>VLOOKUP($O1009,매칭테이블!$G:$J,2,0)*H1009</f>
        <v/>
      </c>
      <c r="M1009" s="9">
        <f>L1009-L1009*VLOOKUP($O1009,매칭테이블!$G:$J,3,0)</f>
        <v/>
      </c>
      <c r="N1009" s="9">
        <f>VLOOKUP($O1009,매칭테이블!$G:$J,4,0)*H1009</f>
        <v/>
      </c>
      <c r="O1009" s="9">
        <f>F1009&amp;E1009&amp;G1009&amp;J1009</f>
        <v/>
      </c>
    </row>
    <row r="1010">
      <c r="B1010" s="10" t="n">
        <v>44240</v>
      </c>
      <c r="C1010" s="9">
        <f>TEXT(B1010,"aaa")</f>
        <v/>
      </c>
      <c r="E1010" s="9">
        <f>INDEX(매칭테이블!C:C,MATCH(RD!G1010,매칭테이블!D:D,0))</f>
        <v/>
      </c>
      <c r="F1010" s="9" t="inlineStr">
        <is>
          <t>카페24</t>
        </is>
      </c>
      <c r="G1010" s="9" t="inlineStr">
        <is>
          <t>라베나 리커버리 15 리바이탈 바이오플라보노이드샴푸 [HAIR RÉ:COVERY 15 Revital Shampoo]제품선택=헤어 리커버리 15 리바이탈 샴푸 - 500ml</t>
        </is>
      </c>
      <c r="H1010" s="9" t="n">
        <v>173</v>
      </c>
      <c r="I1010" s="9">
        <f>VLOOKUP(G1010,매칭테이블!D:E,2,0)</f>
        <v/>
      </c>
      <c r="J1010" s="9" t="n">
        <v>210201</v>
      </c>
      <c r="L1010" s="9">
        <f>VLOOKUP($O1010,매칭테이블!$G:$J,2,0)*H1010</f>
        <v/>
      </c>
      <c r="M1010" s="9">
        <f>L1010-L1010*VLOOKUP($O1010,매칭테이블!$G:$J,3,0)</f>
        <v/>
      </c>
      <c r="N1010" s="9">
        <f>VLOOKUP($O1010,매칭테이블!$G:$J,4,0)*H1010</f>
        <v/>
      </c>
      <c r="O1010" s="9">
        <f>F1010&amp;E1010&amp;G1010&amp;J1010</f>
        <v/>
      </c>
    </row>
    <row r="1011">
      <c r="B1011" s="10" t="n">
        <v>44240</v>
      </c>
      <c r="C1011" s="9">
        <f>TEXT(B1011,"aaa")</f>
        <v/>
      </c>
      <c r="E1011" s="9">
        <f>INDEX(매칭테이블!C:C,MATCH(RD!G1011,매칭테이블!D:D,0))</f>
        <v/>
      </c>
      <c r="F1011" s="9" t="inlineStr">
        <is>
          <t>카페24</t>
        </is>
      </c>
      <c r="G1011" s="9" t="inlineStr">
        <is>
          <t>라베나 리커버리 15 리바이탈 바이오플라보노이드샴푸 [HAIR RÉ:COVERY 15 Revital Shampoo]제품선택=리바이탈 샴푸 2개 세트 5%추가할인</t>
        </is>
      </c>
      <c r="H1011" s="9" t="n">
        <v>43</v>
      </c>
      <c r="I1011" s="9">
        <f>VLOOKUP(G1011,매칭테이블!D:E,2,0)</f>
        <v/>
      </c>
      <c r="J1011" s="9" t="n">
        <v>210201</v>
      </c>
      <c r="L1011" s="9">
        <f>VLOOKUP($O1011,매칭테이블!$G:$J,2,0)*H1011</f>
        <v/>
      </c>
      <c r="M1011" s="9">
        <f>L1011-L1011*VLOOKUP($O1011,매칭테이블!$G:$J,3,0)</f>
        <v/>
      </c>
      <c r="N1011" s="9">
        <f>VLOOKUP($O1011,매칭테이블!$G:$J,4,0)*H1011</f>
        <v/>
      </c>
      <c r="O1011" s="9">
        <f>F1011&amp;E1011&amp;G1011&amp;J1011</f>
        <v/>
      </c>
    </row>
    <row r="1012">
      <c r="B1012" s="10" t="n">
        <v>44240</v>
      </c>
      <c r="C1012" s="9">
        <f>TEXT(B1012,"aaa")</f>
        <v/>
      </c>
      <c r="E1012" s="9">
        <f>INDEX(매칭테이블!C:C,MATCH(RD!G1012,매칭테이블!D:D,0))</f>
        <v/>
      </c>
      <c r="F1012" s="9" t="inlineStr">
        <is>
          <t>카페24</t>
        </is>
      </c>
      <c r="G1012" s="9" t="inlineStr">
        <is>
          <t>라베나 리커버리 15 리바이탈 바이오플라보노이드샴푸 [HAIR RÉ:COVERY 15 Revital Shampoo]제품선택=리바이탈 샴푸 3개 세트 10% 추가할인</t>
        </is>
      </c>
      <c r="H1012" s="9" t="n">
        <v>18</v>
      </c>
      <c r="I1012" s="9">
        <f>VLOOKUP(G1012,매칭테이블!D:E,2,0)</f>
        <v/>
      </c>
      <c r="J1012" s="9" t="n">
        <v>210201</v>
      </c>
      <c r="L1012" s="9">
        <f>VLOOKUP($O1012,매칭테이블!$G:$J,2,0)*H1012</f>
        <v/>
      </c>
      <c r="M1012" s="9">
        <f>L1012-L1012*VLOOKUP($O1012,매칭테이블!$G:$J,3,0)</f>
        <v/>
      </c>
      <c r="N1012" s="9">
        <f>VLOOKUP($O1012,매칭테이블!$G:$J,4,0)*H1012</f>
        <v/>
      </c>
      <c r="O1012" s="9">
        <f>F1012&amp;E1012&amp;G1012&amp;J1012</f>
        <v/>
      </c>
    </row>
    <row r="1013">
      <c r="B1013" s="10" t="n">
        <v>44240</v>
      </c>
      <c r="C1013" s="9">
        <f>TEXT(B1013,"aaa")</f>
        <v/>
      </c>
      <c r="E1013" s="9">
        <f>INDEX(매칭테이블!C:C,MATCH(RD!G1013,매칭테이블!D:D,0))</f>
        <v/>
      </c>
      <c r="F1013" s="9" t="inlineStr">
        <is>
          <t>카페24</t>
        </is>
      </c>
      <c r="G1013" s="9" t="inlineStr">
        <is>
          <t>라베나 리커버리 15 헤어팩 트리트먼트 [HAIR RÉ:COVERY 15 Hairpack Treatment]제품선택=헤어 리커버리 15 헤어팩 트리트먼트</t>
        </is>
      </c>
      <c r="H1013" s="9" t="n">
        <v>8</v>
      </c>
      <c r="I1013" s="9">
        <f>VLOOKUP(G1013,매칭테이블!D:E,2,0)</f>
        <v/>
      </c>
      <c r="J1013" s="9" t="n">
        <v>210201</v>
      </c>
      <c r="L1013" s="9">
        <f>VLOOKUP($O1013,매칭테이블!$G:$J,2,0)*H1013</f>
        <v/>
      </c>
      <c r="M1013" s="9">
        <f>L1013-L1013*VLOOKUP($O1013,매칭테이블!$G:$J,3,0)</f>
        <v/>
      </c>
      <c r="N1013" s="9">
        <f>VLOOKUP($O1013,매칭테이블!$G:$J,4,0)*H1013</f>
        <v/>
      </c>
      <c r="O1013" s="9">
        <f>F1013&amp;E1013&amp;G1013&amp;J1013</f>
        <v/>
      </c>
    </row>
    <row r="1014">
      <c r="B1014" s="10" t="n">
        <v>44240</v>
      </c>
      <c r="C1014" s="9">
        <f>TEXT(B1014,"aaa")</f>
        <v/>
      </c>
      <c r="E1014" s="9">
        <f>INDEX(매칭테이블!C:C,MATCH(RD!G1014,매칭테이블!D:D,0))</f>
        <v/>
      </c>
      <c r="F1014" s="9" t="inlineStr">
        <is>
          <t>카페24</t>
        </is>
      </c>
      <c r="G1014" s="9" t="inlineStr">
        <is>
          <t>라베나 리커버리 15 헤어팩 트리트먼트 [HAIR RÉ:COVERY 15 Hairpack Treatment]제품선택=헤어팩 트리트먼트 2개 세트 5% 추가할인</t>
        </is>
      </c>
      <c r="H1014" s="9" t="n">
        <v>3</v>
      </c>
      <c r="I1014" s="9">
        <f>VLOOKUP(G1014,매칭테이블!D:E,2,0)</f>
        <v/>
      </c>
      <c r="J1014" s="9" t="n">
        <v>210201</v>
      </c>
      <c r="L1014" s="9">
        <f>VLOOKUP($O1014,매칭테이블!$G:$J,2,0)*H1014</f>
        <v/>
      </c>
      <c r="M1014" s="9">
        <f>L1014-L1014*VLOOKUP($O1014,매칭테이블!$G:$J,3,0)</f>
        <v/>
      </c>
      <c r="N1014" s="9">
        <f>VLOOKUP($O1014,매칭테이블!$G:$J,4,0)*H1014</f>
        <v/>
      </c>
      <c r="O1014" s="9">
        <f>F1014&amp;E1014&amp;G1014&amp;J1014</f>
        <v/>
      </c>
    </row>
    <row r="1015">
      <c r="B1015" s="10" t="n">
        <v>44240</v>
      </c>
      <c r="C1015" s="9">
        <f>TEXT(B1015,"aaa")</f>
        <v/>
      </c>
      <c r="E1015" s="9">
        <f>INDEX(매칭테이블!C:C,MATCH(RD!G1015,매칭테이블!D:D,0))</f>
        <v/>
      </c>
      <c r="F1015" s="9" t="inlineStr">
        <is>
          <t>카페24</t>
        </is>
      </c>
      <c r="G1015" s="9" t="inlineStr">
        <is>
          <t>라베나 리커버리 15 헤어팩 트리트먼트 [HAIR RÉ:COVERY 15 Hairpack Treatment]제품선택=헤어팩 트리트먼트 3개 세트 10% 추가할인</t>
        </is>
      </c>
      <c r="H1015" s="9" t="n">
        <v>1</v>
      </c>
      <c r="I1015" s="9">
        <f>VLOOKUP(G1015,매칭테이블!D:E,2,0)</f>
        <v/>
      </c>
      <c r="J1015" s="9" t="n">
        <v>210201</v>
      </c>
      <c r="L1015" s="9">
        <f>VLOOKUP($O1015,매칭테이블!$G:$J,2,0)*H1015</f>
        <v/>
      </c>
      <c r="M1015" s="9">
        <f>L1015-L1015*VLOOKUP($O1015,매칭테이블!$G:$J,3,0)</f>
        <v/>
      </c>
      <c r="N1015" s="9">
        <f>VLOOKUP($O1015,매칭테이블!$G:$J,4,0)*H1015</f>
        <v/>
      </c>
      <c r="O1015" s="9">
        <f>F1015&amp;E1015&amp;G1015&amp;J1015</f>
        <v/>
      </c>
    </row>
    <row r="1016">
      <c r="B1016" s="10" t="n">
        <v>44240</v>
      </c>
      <c r="C1016" s="9">
        <f>TEXT(B1016,"aaa")</f>
        <v/>
      </c>
      <c r="E1016" s="9">
        <f>INDEX(매칭테이블!C:C,MATCH(RD!G1016,매칭테이블!D:D,0))</f>
        <v/>
      </c>
      <c r="F1016" s="9" t="inlineStr">
        <is>
          <t>카페24</t>
        </is>
      </c>
      <c r="G1016" s="9" t="inlineStr">
        <is>
          <t>라베나 리커버리 15 헤어팩 트리트먼트 [HAIR RÉ:COVERY 15 Hairpack Treatment]제품선택=헤어팩 트리트먼트 1개 + 뉴트리셔스밤 1개 세트 5% 추가할인</t>
        </is>
      </c>
      <c r="H1016" s="9" t="n">
        <v>1</v>
      </c>
      <c r="I1016" s="9">
        <f>VLOOKUP(G1016,매칭테이블!D:E,2,0)</f>
        <v/>
      </c>
      <c r="J1016" s="9" t="n">
        <v>210201</v>
      </c>
      <c r="L1016" s="9">
        <f>VLOOKUP($O1016,매칭테이블!$G:$J,2,0)*H1016</f>
        <v/>
      </c>
      <c r="M1016" s="9">
        <f>L1016-L1016*VLOOKUP($O1016,매칭테이블!$G:$J,3,0)</f>
        <v/>
      </c>
      <c r="N1016" s="9">
        <f>VLOOKUP($O1016,매칭테이블!$G:$J,4,0)*H1016</f>
        <v/>
      </c>
      <c r="O1016" s="9">
        <f>F1016&amp;E1016&amp;G1016&amp;J1016</f>
        <v/>
      </c>
    </row>
    <row r="1017">
      <c r="B1017" s="10" t="n">
        <v>44241</v>
      </c>
      <c r="C1017" s="9">
        <f>TEXT(B1017,"aaa")</f>
        <v/>
      </c>
      <c r="E1017" s="9">
        <f>INDEX(매칭테이블!C:C,MATCH(RD!G1017,매칭테이블!D:D,0))</f>
        <v/>
      </c>
      <c r="F1017" s="9" t="inlineStr">
        <is>
          <t>카페24</t>
        </is>
      </c>
      <c r="G1017" s="9" t="inlineStr">
        <is>
          <t>라베나 리커버리 15 뉴트리셔스 밤 [HAIR RÉ:COVERY 15 Nutritious Balm]제품선택=헤어 리커버리 15 뉴트리셔스 밤</t>
        </is>
      </c>
      <c r="H1017" s="9" t="n">
        <v>5</v>
      </c>
      <c r="I1017" s="9">
        <f>VLOOKUP(G1017,매칭테이블!D:E,2,0)</f>
        <v/>
      </c>
      <c r="J1017" s="9" t="n">
        <v>210201</v>
      </c>
      <c r="L1017" s="9">
        <f>VLOOKUP($O1017,매칭테이블!$G:$J,2,0)*H1017</f>
        <v/>
      </c>
      <c r="M1017" s="9">
        <f>L1017-L1017*VLOOKUP($O1017,매칭테이블!$G:$J,3,0)</f>
        <v/>
      </c>
      <c r="N1017" s="9">
        <f>VLOOKUP($O1017,매칭테이블!$G:$J,4,0)*H1017</f>
        <v/>
      </c>
      <c r="O1017" s="9">
        <f>F1017&amp;E1017&amp;G1017&amp;J1017</f>
        <v/>
      </c>
    </row>
    <row r="1018">
      <c r="B1018" s="10" t="n">
        <v>44241</v>
      </c>
      <c r="C1018" s="9">
        <f>TEXT(B1018,"aaa")</f>
        <v/>
      </c>
      <c r="E1018" s="9">
        <f>INDEX(매칭테이블!C:C,MATCH(RD!G1018,매칭테이블!D:D,0))</f>
        <v/>
      </c>
      <c r="F1018" s="9" t="inlineStr">
        <is>
          <t>카페24</t>
        </is>
      </c>
      <c r="G1018" s="9" t="inlineStr">
        <is>
          <t>라베나 리커버리 15 뉴트리셔스 밤 [HAIR RÉ:COVERY 15 Nutritious Balm]제품선택=뉴트리셔스 밤 2개 세트 5% 추가할인</t>
        </is>
      </c>
      <c r="H1018" s="9" t="n">
        <v>2</v>
      </c>
      <c r="I1018" s="9">
        <f>VLOOKUP(G1018,매칭테이블!D:E,2,0)</f>
        <v/>
      </c>
      <c r="J1018" s="9" t="n">
        <v>210201</v>
      </c>
      <c r="L1018" s="9">
        <f>VLOOKUP($O1018,매칭테이블!$G:$J,2,0)*H1018</f>
        <v/>
      </c>
      <c r="M1018" s="9">
        <f>L1018-L1018*VLOOKUP($O1018,매칭테이블!$G:$J,3,0)</f>
        <v/>
      </c>
      <c r="N1018" s="9">
        <f>VLOOKUP($O1018,매칭테이블!$G:$J,4,0)*H1018</f>
        <v/>
      </c>
      <c r="O1018" s="9">
        <f>F1018&amp;E1018&amp;G1018&amp;J1018</f>
        <v/>
      </c>
    </row>
    <row r="1019">
      <c r="B1019" s="10" t="n">
        <v>44241</v>
      </c>
      <c r="C1019" s="9">
        <f>TEXT(B1019,"aaa")</f>
        <v/>
      </c>
      <c r="E1019" s="9">
        <f>INDEX(매칭테이블!C:C,MATCH(RD!G1019,매칭테이블!D:D,0))</f>
        <v/>
      </c>
      <c r="F1019" s="9" t="inlineStr">
        <is>
          <t>카페24</t>
        </is>
      </c>
      <c r="G1019" s="9" t="inlineStr">
        <is>
          <t>라베나 리커버리 15 뉴트리셔스 밤 [HAIR RÉ:COVERY 15 Nutritious Balm]제품선택=뉴트리셔스밤 1개 + 헤어팩 트리트먼트 1개 세트 5%추가할인</t>
        </is>
      </c>
      <c r="H1019" s="9" t="n">
        <v>1</v>
      </c>
      <c r="I1019" s="9">
        <f>VLOOKUP(G1019,매칭테이블!D:E,2,0)</f>
        <v/>
      </c>
      <c r="J1019" s="9" t="n">
        <v>210201</v>
      </c>
      <c r="L1019" s="9">
        <f>VLOOKUP($O1019,매칭테이블!$G:$J,2,0)*H1019</f>
        <v/>
      </c>
      <c r="M1019" s="9">
        <f>L1019-L1019*VLOOKUP($O1019,매칭테이블!$G:$J,3,0)</f>
        <v/>
      </c>
      <c r="N1019" s="9">
        <f>VLOOKUP($O1019,매칭테이블!$G:$J,4,0)*H1019</f>
        <v/>
      </c>
      <c r="O1019" s="9">
        <f>F1019&amp;E1019&amp;G1019&amp;J1019</f>
        <v/>
      </c>
    </row>
    <row r="1020">
      <c r="B1020" s="10" t="n">
        <v>44241</v>
      </c>
      <c r="C1020" s="9">
        <f>TEXT(B1020,"aaa")</f>
        <v/>
      </c>
      <c r="E1020" s="9">
        <f>INDEX(매칭테이블!C:C,MATCH(RD!G1020,매칭테이블!D:D,0))</f>
        <v/>
      </c>
      <c r="F1020" s="9" t="inlineStr">
        <is>
          <t>카페24</t>
        </is>
      </c>
      <c r="G1020" s="9" t="inlineStr">
        <is>
          <t>라베나 리커버리 15 리바이탈 바이오플라보노이드샴푸 [HAIR RÉ:COVERY 15 Revital Shampoo]제품선택=헤어 리커버리 15 리바이탈 샴푸 - 500ml</t>
        </is>
      </c>
      <c r="H1020" s="9" t="n">
        <v>193</v>
      </c>
      <c r="I1020" s="9">
        <f>VLOOKUP(G1020,매칭테이블!D:E,2,0)</f>
        <v/>
      </c>
      <c r="J1020" s="9" t="n">
        <v>210201</v>
      </c>
      <c r="L1020" s="9">
        <f>VLOOKUP($O1020,매칭테이블!$G:$J,2,0)*H1020</f>
        <v/>
      </c>
      <c r="M1020" s="9">
        <f>L1020-L1020*VLOOKUP($O1020,매칭테이블!$G:$J,3,0)</f>
        <v/>
      </c>
      <c r="N1020" s="9">
        <f>VLOOKUP($O1020,매칭테이블!$G:$J,4,0)*H1020</f>
        <v/>
      </c>
      <c r="O1020" s="9">
        <f>F1020&amp;E1020&amp;G1020&amp;J1020</f>
        <v/>
      </c>
    </row>
    <row r="1021">
      <c r="B1021" s="10" t="n">
        <v>44241</v>
      </c>
      <c r="C1021" s="9">
        <f>TEXT(B1021,"aaa")</f>
        <v/>
      </c>
      <c r="E1021" s="9">
        <f>INDEX(매칭테이블!C:C,MATCH(RD!G1021,매칭테이블!D:D,0))</f>
        <v/>
      </c>
      <c r="F1021" s="9" t="inlineStr">
        <is>
          <t>카페24</t>
        </is>
      </c>
      <c r="G1021" s="9" t="inlineStr">
        <is>
          <t>라베나 리커버리 15 리바이탈 바이오플라보노이드샴푸 [HAIR RÉ:COVERY 15 Revital Shampoo]제품선택=리바이탈 샴푸 2개 세트 5%추가할인</t>
        </is>
      </c>
      <c r="H1021" s="9" t="n">
        <v>75</v>
      </c>
      <c r="I1021" s="9">
        <f>VLOOKUP(G1021,매칭테이블!D:E,2,0)</f>
        <v/>
      </c>
      <c r="J1021" s="9" t="n">
        <v>210201</v>
      </c>
      <c r="L1021" s="9">
        <f>VLOOKUP($O1021,매칭테이블!$G:$J,2,0)*H1021</f>
        <v/>
      </c>
      <c r="M1021" s="9">
        <f>L1021-L1021*VLOOKUP($O1021,매칭테이블!$G:$J,3,0)</f>
        <v/>
      </c>
      <c r="N1021" s="9">
        <f>VLOOKUP($O1021,매칭테이블!$G:$J,4,0)*H1021</f>
        <v/>
      </c>
      <c r="O1021" s="9">
        <f>F1021&amp;E1021&amp;G1021&amp;J1021</f>
        <v/>
      </c>
    </row>
    <row r="1022">
      <c r="B1022" s="10" t="n">
        <v>44241</v>
      </c>
      <c r="C1022" s="9">
        <f>TEXT(B1022,"aaa")</f>
        <v/>
      </c>
      <c r="E1022" s="9">
        <f>INDEX(매칭테이블!C:C,MATCH(RD!G1022,매칭테이블!D:D,0))</f>
        <v/>
      </c>
      <c r="F1022" s="9" t="inlineStr">
        <is>
          <t>카페24</t>
        </is>
      </c>
      <c r="G1022" s="9" t="inlineStr">
        <is>
          <t>라베나 리커버리 15 리바이탈 바이오플라보노이드샴푸 [HAIR RÉ:COVERY 15 Revital Shampoo]제품선택=리바이탈 샴푸 3개 세트 10% 추가할인</t>
        </is>
      </c>
      <c r="H1022" s="9" t="n">
        <v>32</v>
      </c>
      <c r="I1022" s="9">
        <f>VLOOKUP(G1022,매칭테이블!D:E,2,0)</f>
        <v/>
      </c>
      <c r="J1022" s="9" t="n">
        <v>210201</v>
      </c>
      <c r="L1022" s="9">
        <f>VLOOKUP($O1022,매칭테이블!$G:$J,2,0)*H1022</f>
        <v/>
      </c>
      <c r="M1022" s="9">
        <f>L1022-L1022*VLOOKUP($O1022,매칭테이블!$G:$J,3,0)</f>
        <v/>
      </c>
      <c r="N1022" s="9">
        <f>VLOOKUP($O1022,매칭테이블!$G:$J,4,0)*H1022</f>
        <v/>
      </c>
      <c r="O1022" s="9">
        <f>F1022&amp;E1022&amp;G1022&amp;J1022</f>
        <v/>
      </c>
    </row>
    <row r="1023">
      <c r="B1023" s="10" t="n">
        <v>44241</v>
      </c>
      <c r="C1023" s="9">
        <f>TEXT(B1023,"aaa")</f>
        <v/>
      </c>
      <c r="E1023" s="9">
        <f>INDEX(매칭테이블!C:C,MATCH(RD!G1023,매칭테이블!D:D,0))</f>
        <v/>
      </c>
      <c r="F1023" s="9" t="inlineStr">
        <is>
          <t>카페24</t>
        </is>
      </c>
      <c r="G1023" s="9" t="inlineStr">
        <is>
          <t>라베나 리커버리 15 헤어팩 트리트먼트 [HAIR RÉ:COVERY 15 Hairpack Treatment]제품선택=헤어 리커버리 15 헤어팩 트리트먼트</t>
        </is>
      </c>
      <c r="H1023" s="9" t="n">
        <v>11</v>
      </c>
      <c r="I1023" s="9">
        <f>VLOOKUP(G1023,매칭테이블!D:E,2,0)</f>
        <v/>
      </c>
      <c r="J1023" s="9" t="n">
        <v>210201</v>
      </c>
      <c r="L1023" s="9">
        <f>VLOOKUP($O1023,매칭테이블!$G:$J,2,0)*H1023</f>
        <v/>
      </c>
      <c r="M1023" s="9">
        <f>L1023-L1023*VLOOKUP($O1023,매칭테이블!$G:$J,3,0)</f>
        <v/>
      </c>
      <c r="N1023" s="9">
        <f>VLOOKUP($O1023,매칭테이블!$G:$J,4,0)*H1023</f>
        <v/>
      </c>
      <c r="O1023" s="9">
        <f>F1023&amp;E1023&amp;G1023&amp;J1023</f>
        <v/>
      </c>
    </row>
    <row r="1024">
      <c r="B1024" s="10" t="n">
        <v>44241</v>
      </c>
      <c r="C1024" s="9">
        <f>TEXT(B1024,"aaa")</f>
        <v/>
      </c>
      <c r="E1024" s="9">
        <f>INDEX(매칭테이블!C:C,MATCH(RD!G1024,매칭테이블!D:D,0))</f>
        <v/>
      </c>
      <c r="F1024" s="9" t="inlineStr">
        <is>
          <t>카페24</t>
        </is>
      </c>
      <c r="G1024" s="9" t="inlineStr">
        <is>
          <t>라베나 리커버리 15 헤어팩 트리트먼트 [HAIR RÉ:COVERY 15 Hairpack Treatment]제품선택=헤어팩 트리트먼트 2개 세트 5% 추가할인</t>
        </is>
      </c>
      <c r="H1024" s="9" t="n">
        <v>5</v>
      </c>
      <c r="I1024" s="9">
        <f>VLOOKUP(G1024,매칭테이블!D:E,2,0)</f>
        <v/>
      </c>
      <c r="J1024" s="9" t="n">
        <v>210201</v>
      </c>
      <c r="L1024" s="9">
        <f>VLOOKUP($O1024,매칭테이블!$G:$J,2,0)*H1024</f>
        <v/>
      </c>
      <c r="M1024" s="9">
        <f>L1024-L1024*VLOOKUP($O1024,매칭테이블!$G:$J,3,0)</f>
        <v/>
      </c>
      <c r="N1024" s="9">
        <f>VLOOKUP($O1024,매칭테이블!$G:$J,4,0)*H1024</f>
        <v/>
      </c>
      <c r="O1024" s="9">
        <f>F1024&amp;E1024&amp;G1024&amp;J1024</f>
        <v/>
      </c>
    </row>
    <row r="1025">
      <c r="B1025" s="10" t="n">
        <v>44241</v>
      </c>
      <c r="C1025" s="9">
        <f>TEXT(B1025,"aaa")</f>
        <v/>
      </c>
      <c r="E1025" s="9">
        <f>INDEX(매칭테이블!C:C,MATCH(RD!G1025,매칭테이블!D:D,0))</f>
        <v/>
      </c>
      <c r="F1025" s="9" t="inlineStr">
        <is>
          <t>카페24</t>
        </is>
      </c>
      <c r="G1025" s="9" t="inlineStr">
        <is>
          <t>라베나 리커버리 15 헤어팩 트리트먼트 [HAIR RÉ:COVERY 15 Hairpack Treatment]제품선택=헤어팩 트리트먼트 3개 세트 10% 추가할인</t>
        </is>
      </c>
      <c r="H1025" s="9" t="n">
        <v>1</v>
      </c>
      <c r="I1025" s="9">
        <f>VLOOKUP(G1025,매칭테이블!D:E,2,0)</f>
        <v/>
      </c>
      <c r="J1025" s="9" t="n">
        <v>210201</v>
      </c>
      <c r="L1025" s="9">
        <f>VLOOKUP($O1025,매칭테이블!$G:$J,2,0)*H1025</f>
        <v/>
      </c>
      <c r="M1025" s="9">
        <f>L1025-L1025*VLOOKUP($O1025,매칭테이블!$G:$J,3,0)</f>
        <v/>
      </c>
      <c r="N1025" s="9">
        <f>VLOOKUP($O1025,매칭테이블!$G:$J,4,0)*H1025</f>
        <v/>
      </c>
      <c r="O1025" s="9">
        <f>F1025&amp;E1025&amp;G1025&amp;J1025</f>
        <v/>
      </c>
    </row>
    <row r="1026">
      <c r="B1026" s="10" t="n">
        <v>44241</v>
      </c>
      <c r="C1026" s="9">
        <f>TEXT(B1026,"aaa")</f>
        <v/>
      </c>
      <c r="E1026" s="9">
        <f>INDEX(매칭테이블!C:C,MATCH(RD!G1026,매칭테이블!D:D,0))</f>
        <v/>
      </c>
      <c r="F1026" s="9" t="inlineStr">
        <is>
          <t>카페24</t>
        </is>
      </c>
      <c r="G1026" s="9" t="inlineStr">
        <is>
          <t>라베나 리커버리 15 헤어팩 트리트먼트 [HAIR RÉ:COVERY 15 Hairpack Treatment]제품선택=헤어팩 트리트먼트 1개 + 뉴트리셔스밤 1개 세트 5% 추가할인</t>
        </is>
      </c>
      <c r="H1026" s="9" t="n">
        <v>2</v>
      </c>
      <c r="I1026" s="9">
        <f>VLOOKUP(G1026,매칭테이블!D:E,2,0)</f>
        <v/>
      </c>
      <c r="J1026" s="9" t="n">
        <v>210201</v>
      </c>
      <c r="L1026" s="9">
        <f>VLOOKUP($O1026,매칭테이블!$G:$J,2,0)*H1026</f>
        <v/>
      </c>
      <c r="M1026" s="9">
        <f>L1026-L1026*VLOOKUP($O1026,매칭테이블!$G:$J,3,0)</f>
        <v/>
      </c>
      <c r="N1026" s="9">
        <f>VLOOKUP($O1026,매칭테이블!$G:$J,4,0)*H1026</f>
        <v/>
      </c>
      <c r="O1026" s="9">
        <f>F1026&amp;E1026&amp;G1026&amp;J1026</f>
        <v/>
      </c>
    </row>
    <row r="1027">
      <c r="B1027" s="10" t="n">
        <v>44242</v>
      </c>
      <c r="C1027" s="9">
        <f>TEXT(B1027,"aaa")</f>
        <v/>
      </c>
      <c r="E1027" s="9">
        <f>INDEX(매칭테이블!C:C,MATCH(RD!G1027,매칭테이블!D:D,0))</f>
        <v/>
      </c>
      <c r="F1027" s="9" t="inlineStr">
        <is>
          <t>카페24</t>
        </is>
      </c>
      <c r="G1027" s="9" t="inlineStr">
        <is>
          <t>라베나 리커버리 15 뉴트리셔스 밤 [HAIR RÉ:COVERY 15 Nutritious Balm]제품선택=헤어 리커버리 15 뉴트리셔스 밤</t>
        </is>
      </c>
      <c r="H1027" s="9" t="n">
        <v>4</v>
      </c>
      <c r="I1027" s="9">
        <f>VLOOKUP(G1027,매칭테이블!D:E,2,0)</f>
        <v/>
      </c>
      <c r="J1027" s="9" t="n">
        <v>210201</v>
      </c>
      <c r="L1027" s="9">
        <f>VLOOKUP($O1027,매칭테이블!$G:$J,2,0)*H1027</f>
        <v/>
      </c>
      <c r="M1027" s="9">
        <f>L1027-L1027*VLOOKUP($O1027,매칭테이블!$G:$J,3,0)</f>
        <v/>
      </c>
      <c r="N1027" s="9">
        <f>VLOOKUP($O1027,매칭테이블!$G:$J,4,0)*H1027</f>
        <v/>
      </c>
      <c r="O1027" s="9">
        <f>F1027&amp;E1027&amp;G1027&amp;J1027</f>
        <v/>
      </c>
    </row>
    <row r="1028">
      <c r="B1028" s="10" t="n">
        <v>44242</v>
      </c>
      <c r="C1028" s="9">
        <f>TEXT(B1028,"aaa")</f>
        <v/>
      </c>
      <c r="E1028" s="9">
        <f>INDEX(매칭테이블!C:C,MATCH(RD!G1028,매칭테이블!D:D,0))</f>
        <v/>
      </c>
      <c r="F1028" s="9" t="inlineStr">
        <is>
          <t>카페24</t>
        </is>
      </c>
      <c r="G1028" s="9" t="inlineStr">
        <is>
          <t>라베나 리커버리 15 뉴트리셔스 밤 [HAIR RÉ:COVERY 15 Nutritious Balm]제품선택=뉴트리셔스 밤 2개 세트 5% 추가할인</t>
        </is>
      </c>
      <c r="H1028" s="9" t="n">
        <v>1</v>
      </c>
      <c r="I1028" s="9">
        <f>VLOOKUP(G1028,매칭테이블!D:E,2,0)</f>
        <v/>
      </c>
      <c r="J1028" s="9" t="n">
        <v>210201</v>
      </c>
      <c r="L1028" s="9">
        <f>VLOOKUP($O1028,매칭테이블!$G:$J,2,0)*H1028</f>
        <v/>
      </c>
      <c r="M1028" s="9">
        <f>L1028-L1028*VLOOKUP($O1028,매칭테이블!$G:$J,3,0)</f>
        <v/>
      </c>
      <c r="N1028" s="9">
        <f>VLOOKUP($O1028,매칭테이블!$G:$J,4,0)*H1028</f>
        <v/>
      </c>
      <c r="O1028" s="9">
        <f>F1028&amp;E1028&amp;G1028&amp;J1028</f>
        <v/>
      </c>
    </row>
    <row r="1029">
      <c r="B1029" s="10" t="n">
        <v>44242</v>
      </c>
      <c r="C1029" s="9">
        <f>TEXT(B1029,"aaa")</f>
        <v/>
      </c>
      <c r="E1029" s="9">
        <f>INDEX(매칭테이블!C:C,MATCH(RD!G1029,매칭테이블!D:D,0))</f>
        <v/>
      </c>
      <c r="F1029" s="9" t="inlineStr">
        <is>
          <t>카페24</t>
        </is>
      </c>
      <c r="G1029" s="9" t="inlineStr">
        <is>
          <t>라베나 리커버리 15 뉴트리셔스 밤 [HAIR RÉ:COVERY 15 Nutritious Balm]제품선택=뉴트리셔스 밤 3개 세트 10% 추가할인</t>
        </is>
      </c>
      <c r="H1029" s="9" t="n">
        <v>3</v>
      </c>
      <c r="I1029" s="9">
        <f>VLOOKUP(G1029,매칭테이블!D:E,2,0)</f>
        <v/>
      </c>
      <c r="J1029" s="9" t="n">
        <v>210201</v>
      </c>
      <c r="L1029" s="9">
        <f>VLOOKUP($O1029,매칭테이블!$G:$J,2,0)*H1029</f>
        <v/>
      </c>
      <c r="M1029" s="9">
        <f>L1029-L1029*VLOOKUP($O1029,매칭테이블!$G:$J,3,0)</f>
        <v/>
      </c>
      <c r="N1029" s="9">
        <f>VLOOKUP($O1029,매칭테이블!$G:$J,4,0)*H1029</f>
        <v/>
      </c>
      <c r="O1029" s="9">
        <f>F1029&amp;E1029&amp;G1029&amp;J1029</f>
        <v/>
      </c>
    </row>
    <row r="1030">
      <c r="B1030" s="10" t="n">
        <v>44242</v>
      </c>
      <c r="C1030" s="9">
        <f>TEXT(B1030,"aaa")</f>
        <v/>
      </c>
      <c r="E1030" s="9">
        <f>INDEX(매칭테이블!C:C,MATCH(RD!G1030,매칭테이블!D:D,0))</f>
        <v/>
      </c>
      <c r="F1030" s="9" t="inlineStr">
        <is>
          <t>카페24</t>
        </is>
      </c>
      <c r="G1030" s="9" t="inlineStr">
        <is>
          <t>라베나 리커버리 15 뉴트리셔스 밤 [HAIR RÉ:COVERY 15 Nutritious Balm]제품선택=뉴트리셔스밤 1개 + 헤어팩 트리트먼트 1개 세트 5%추가할인</t>
        </is>
      </c>
      <c r="H1030" s="9" t="n">
        <v>1</v>
      </c>
      <c r="I1030" s="9">
        <f>VLOOKUP(G1030,매칭테이블!D:E,2,0)</f>
        <v/>
      </c>
      <c r="J1030" s="9" t="n">
        <v>210201</v>
      </c>
      <c r="L1030" s="9">
        <f>VLOOKUP($O1030,매칭테이블!$G:$J,2,0)*H1030</f>
        <v/>
      </c>
      <c r="M1030" s="9">
        <f>L1030-L1030*VLOOKUP($O1030,매칭테이블!$G:$J,3,0)</f>
        <v/>
      </c>
      <c r="N1030" s="9">
        <f>VLOOKUP($O1030,매칭테이블!$G:$J,4,0)*H1030</f>
        <v/>
      </c>
      <c r="O1030" s="9">
        <f>F1030&amp;E1030&amp;G1030&amp;J1030</f>
        <v/>
      </c>
    </row>
    <row r="1031">
      <c r="B1031" s="10" t="n">
        <v>44242</v>
      </c>
      <c r="C1031" s="9">
        <f>TEXT(B1031,"aaa")</f>
        <v/>
      </c>
      <c r="E1031" s="9">
        <f>INDEX(매칭테이블!C:C,MATCH(RD!G1031,매칭테이블!D:D,0))</f>
        <v/>
      </c>
      <c r="F1031" s="9" t="inlineStr">
        <is>
          <t>카페24</t>
        </is>
      </c>
      <c r="G1031" s="9" t="inlineStr">
        <is>
          <t>라베나 리커버리 15 리바이탈 바이오플라보노이드샴푸 [HAIR RÉ:COVERY 15 Revital Shampoo]제품선택=헤어 리커버리 15 리바이탈 샴푸 - 500ml</t>
        </is>
      </c>
      <c r="H1031" s="9" t="n">
        <v>258</v>
      </c>
      <c r="I1031" s="9">
        <f>VLOOKUP(G1031,매칭테이블!D:E,2,0)</f>
        <v/>
      </c>
      <c r="J1031" s="9" t="n">
        <v>210201</v>
      </c>
      <c r="L1031" s="9">
        <f>VLOOKUP($O1031,매칭테이블!$G:$J,2,0)*H1031</f>
        <v/>
      </c>
      <c r="M1031" s="9">
        <f>L1031-L1031*VLOOKUP($O1031,매칭테이블!$G:$J,3,0)</f>
        <v/>
      </c>
      <c r="N1031" s="9">
        <f>VLOOKUP($O1031,매칭테이블!$G:$J,4,0)*H1031</f>
        <v/>
      </c>
      <c r="O1031" s="9">
        <f>F1031&amp;E1031&amp;G1031&amp;J1031</f>
        <v/>
      </c>
    </row>
    <row r="1032">
      <c r="B1032" s="10" t="n">
        <v>44242</v>
      </c>
      <c r="C1032" s="9">
        <f>TEXT(B1032,"aaa")</f>
        <v/>
      </c>
      <c r="E1032" s="9">
        <f>INDEX(매칭테이블!C:C,MATCH(RD!G1032,매칭테이블!D:D,0))</f>
        <v/>
      </c>
      <c r="F1032" s="9" t="inlineStr">
        <is>
          <t>카페24</t>
        </is>
      </c>
      <c r="G1032" s="9" t="inlineStr">
        <is>
          <t>라베나 리커버리 15 리바이탈 바이오플라보노이드샴푸 [HAIR RÉ:COVERY 15 Revital Shampoo]제품선택=리바이탈 샴푸 2개 세트 5%추가할인</t>
        </is>
      </c>
      <c r="H1032" s="9" t="n">
        <v>69</v>
      </c>
      <c r="I1032" s="9">
        <f>VLOOKUP(G1032,매칭테이블!D:E,2,0)</f>
        <v/>
      </c>
      <c r="J1032" s="9" t="n">
        <v>210201</v>
      </c>
      <c r="L1032" s="9">
        <f>VLOOKUP($O1032,매칭테이블!$G:$J,2,0)*H1032</f>
        <v/>
      </c>
      <c r="M1032" s="9">
        <f>L1032-L1032*VLOOKUP($O1032,매칭테이블!$G:$J,3,0)</f>
        <v/>
      </c>
      <c r="N1032" s="9">
        <f>VLOOKUP($O1032,매칭테이블!$G:$J,4,0)*H1032</f>
        <v/>
      </c>
      <c r="O1032" s="9">
        <f>F1032&amp;E1032&amp;G1032&amp;J1032</f>
        <v/>
      </c>
    </row>
    <row r="1033">
      <c r="B1033" s="10" t="n">
        <v>44242</v>
      </c>
      <c r="C1033" s="9">
        <f>TEXT(B1033,"aaa")</f>
        <v/>
      </c>
      <c r="E1033" s="9">
        <f>INDEX(매칭테이블!C:C,MATCH(RD!G1033,매칭테이블!D:D,0))</f>
        <v/>
      </c>
      <c r="F1033" s="9" t="inlineStr">
        <is>
          <t>카페24</t>
        </is>
      </c>
      <c r="G1033" s="9" t="inlineStr">
        <is>
          <t>라베나 리커버리 15 리바이탈 바이오플라보노이드샴푸 [HAIR RÉ:COVERY 15 Revital Shampoo]제품선택=리바이탈 샴푸 3개 세트 10% 추가할인</t>
        </is>
      </c>
      <c r="H1033" s="9" t="n">
        <v>26</v>
      </c>
      <c r="I1033" s="9">
        <f>VLOOKUP(G1033,매칭테이블!D:E,2,0)</f>
        <v/>
      </c>
      <c r="J1033" s="9" t="n">
        <v>210201</v>
      </c>
      <c r="L1033" s="9">
        <f>VLOOKUP($O1033,매칭테이블!$G:$J,2,0)*H1033</f>
        <v/>
      </c>
      <c r="M1033" s="9">
        <f>L1033-L1033*VLOOKUP($O1033,매칭테이블!$G:$J,3,0)</f>
        <v/>
      </c>
      <c r="N1033" s="9">
        <f>VLOOKUP($O1033,매칭테이블!$G:$J,4,0)*H1033</f>
        <v/>
      </c>
      <c r="O1033" s="9">
        <f>F1033&amp;E1033&amp;G1033&amp;J1033</f>
        <v/>
      </c>
    </row>
    <row r="1034">
      <c r="B1034" s="10" t="n">
        <v>44242</v>
      </c>
      <c r="C1034" s="9">
        <f>TEXT(B1034,"aaa")</f>
        <v/>
      </c>
      <c r="E1034" s="9">
        <f>INDEX(매칭테이블!C:C,MATCH(RD!G1034,매칭테이블!D:D,0))</f>
        <v/>
      </c>
      <c r="F1034" s="9" t="inlineStr">
        <is>
          <t>카페24</t>
        </is>
      </c>
      <c r="G1034" s="9" t="inlineStr">
        <is>
          <t>라베나 리커버리 15 헤어팩 트리트먼트 [HAIR RÉ:COVERY 15 Hairpack Treatment]제품선택=헤어 리커버리 15 헤어팩 트리트먼트</t>
        </is>
      </c>
      <c r="H1034" s="9" t="n">
        <v>12</v>
      </c>
      <c r="I1034" s="9">
        <f>VLOOKUP(G1034,매칭테이블!D:E,2,0)</f>
        <v/>
      </c>
      <c r="J1034" s="9" t="n">
        <v>210201</v>
      </c>
      <c r="L1034" s="9">
        <f>VLOOKUP($O1034,매칭테이블!$G:$J,2,0)*H1034</f>
        <v/>
      </c>
      <c r="M1034" s="9">
        <f>L1034-L1034*VLOOKUP($O1034,매칭테이블!$G:$J,3,0)</f>
        <v/>
      </c>
      <c r="N1034" s="9">
        <f>VLOOKUP($O1034,매칭테이블!$G:$J,4,0)*H1034</f>
        <v/>
      </c>
      <c r="O1034" s="9">
        <f>F1034&amp;E1034&amp;G1034&amp;J1034</f>
        <v/>
      </c>
    </row>
    <row r="1035">
      <c r="B1035" s="10" t="n">
        <v>44242</v>
      </c>
      <c r="C1035" s="9">
        <f>TEXT(B1035,"aaa")</f>
        <v/>
      </c>
      <c r="E1035" s="9">
        <f>INDEX(매칭테이블!C:C,MATCH(RD!G1035,매칭테이블!D:D,0))</f>
        <v/>
      </c>
      <c r="F1035" s="9" t="inlineStr">
        <is>
          <t>카페24</t>
        </is>
      </c>
      <c r="G1035" s="9" t="inlineStr">
        <is>
          <t>라베나 리커버리 15 헤어팩 트리트먼트 [HAIR RÉ:COVERY 15 Hairpack Treatment]제품선택=헤어팩 트리트먼트 2개 세트 5% 추가할인</t>
        </is>
      </c>
      <c r="H1035" s="9" t="n">
        <v>3</v>
      </c>
      <c r="I1035" s="9">
        <f>VLOOKUP(G1035,매칭테이블!D:E,2,0)</f>
        <v/>
      </c>
      <c r="J1035" s="9" t="n">
        <v>210201</v>
      </c>
      <c r="L1035" s="9">
        <f>VLOOKUP($O1035,매칭테이블!$G:$J,2,0)*H1035</f>
        <v/>
      </c>
      <c r="M1035" s="9">
        <f>L1035-L1035*VLOOKUP($O1035,매칭테이블!$G:$J,3,0)</f>
        <v/>
      </c>
      <c r="N1035" s="9">
        <f>VLOOKUP($O1035,매칭테이블!$G:$J,4,0)*H1035</f>
        <v/>
      </c>
      <c r="O1035" s="9">
        <f>F1035&amp;E1035&amp;G1035&amp;J1035</f>
        <v/>
      </c>
    </row>
    <row r="1036">
      <c r="B1036" s="10" t="n">
        <v>44242</v>
      </c>
      <c r="C1036" s="9">
        <f>TEXT(B1036,"aaa")</f>
        <v/>
      </c>
      <c r="E1036" s="9">
        <f>INDEX(매칭테이블!C:C,MATCH(RD!G1036,매칭테이블!D:D,0))</f>
        <v/>
      </c>
      <c r="F1036" s="9" t="inlineStr">
        <is>
          <t>카페24</t>
        </is>
      </c>
      <c r="G1036" s="9" t="inlineStr">
        <is>
          <t>라베나 리커버리 15 헤어팩 트리트먼트 [HAIR RÉ:COVERY 15 Hairpack Treatment]제품선택=헤어팩 트리트먼트 3개 세트 10% 추가할인</t>
        </is>
      </c>
      <c r="H1036" s="9" t="n">
        <v>1</v>
      </c>
      <c r="I1036" s="9">
        <f>VLOOKUP(G1036,매칭테이블!D:E,2,0)</f>
        <v/>
      </c>
      <c r="J1036" s="9" t="n">
        <v>210201</v>
      </c>
      <c r="L1036" s="9">
        <f>VLOOKUP($O1036,매칭테이블!$G:$J,2,0)*H1036</f>
        <v/>
      </c>
      <c r="M1036" s="9">
        <f>L1036-L1036*VLOOKUP($O1036,매칭테이블!$G:$J,3,0)</f>
        <v/>
      </c>
      <c r="N1036" s="9">
        <f>VLOOKUP($O1036,매칭테이블!$G:$J,4,0)*H1036</f>
        <v/>
      </c>
      <c r="O1036" s="9">
        <f>F1036&amp;E1036&amp;G1036&amp;J1036</f>
        <v/>
      </c>
    </row>
    <row r="1037">
      <c r="B1037" s="10" t="n">
        <v>44242</v>
      </c>
      <c r="C1037" s="9">
        <f>TEXT(B1037,"aaa")</f>
        <v/>
      </c>
      <c r="E1037" s="9">
        <f>INDEX(매칭테이블!C:C,MATCH(RD!G1037,매칭테이블!D:D,0))</f>
        <v/>
      </c>
      <c r="F1037" s="9" t="inlineStr">
        <is>
          <t>카페24</t>
        </is>
      </c>
      <c r="G1037" s="9" t="inlineStr">
        <is>
          <t>라베나 리커버리 15 헤어팩 트리트먼트 [HAIR RÉ:COVERY 15 Hairpack Treatment]제품선택=헤어팩 트리트먼트 1개 + 뉴트리셔스밤 1개 세트 5% 추가할인</t>
        </is>
      </c>
      <c r="H1037" s="9" t="n">
        <v>3</v>
      </c>
      <c r="I1037" s="9">
        <f>VLOOKUP(G1037,매칭테이블!D:E,2,0)</f>
        <v/>
      </c>
      <c r="J1037" s="9" t="n">
        <v>210201</v>
      </c>
      <c r="L1037" s="9">
        <f>VLOOKUP($O1037,매칭테이블!$G:$J,2,0)*H1037</f>
        <v/>
      </c>
      <c r="M1037" s="9">
        <f>L1037-L1037*VLOOKUP($O1037,매칭테이블!$G:$J,3,0)</f>
        <v/>
      </c>
      <c r="N1037" s="9">
        <f>VLOOKUP($O1037,매칭테이블!$G:$J,4,0)*H1037</f>
        <v/>
      </c>
      <c r="O1037" s="9">
        <f>F1037&amp;E1037&amp;G1037&amp;J1037</f>
        <v/>
      </c>
    </row>
    <row r="1038">
      <c r="B1038" s="10" t="n">
        <v>44243</v>
      </c>
      <c r="C1038" s="9">
        <f>TEXT(B1038,"aaa")</f>
        <v/>
      </c>
      <c r="E1038" s="9">
        <f>INDEX(매칭테이블!C:C,MATCH(RD!G1038,매칭테이블!D:D,0))</f>
        <v/>
      </c>
      <c r="F1038" s="9" t="inlineStr">
        <is>
          <t>라베나 CS</t>
        </is>
      </c>
      <c r="G1038" s="9" t="inlineStr">
        <is>
          <t>헤어 리커버리 15 리바이탈 샴푸</t>
        </is>
      </c>
      <c r="H1038" s="9" t="n">
        <v>2</v>
      </c>
      <c r="I1038" s="9">
        <f>VLOOKUP(G1038,매칭테이블!D:E,2,0)</f>
        <v/>
      </c>
      <c r="J1038" s="9" t="n">
        <v>210201</v>
      </c>
      <c r="L1038" s="9">
        <f>VLOOKUP($O1038,매칭테이블!$G:$J,2,0)*H1038</f>
        <v/>
      </c>
      <c r="M1038" s="9">
        <f>L1038-L1038*VLOOKUP($O1038,매칭테이블!$G:$J,3,0)</f>
        <v/>
      </c>
      <c r="N1038" s="9">
        <f>VLOOKUP($O1038,매칭테이블!$G:$J,4,0)*H1038</f>
        <v/>
      </c>
      <c r="O1038" s="9">
        <f>F1038&amp;E1038&amp;G1038&amp;J1038</f>
        <v/>
      </c>
    </row>
    <row r="1039">
      <c r="B1039" s="10" t="n">
        <v>44243</v>
      </c>
      <c r="C1039" s="9">
        <f>TEXT(B1039,"aaa")</f>
        <v/>
      </c>
      <c r="E1039" s="9">
        <f>INDEX(매칭테이블!C:C,MATCH(RD!G1039,매칭테이블!D:D,0))</f>
        <v/>
      </c>
      <c r="F1039" s="9" t="inlineStr">
        <is>
          <t>카페24</t>
        </is>
      </c>
      <c r="G1039" s="9" t="inlineStr">
        <is>
          <t>라베나 리커버리 15 뉴트리셔스 밤 [HAIR RÉ:COVERY 15 Nutritious Balm]제품선택=헤어 리커버리 15 뉴트리셔스 밤</t>
        </is>
      </c>
      <c r="H1039" s="9" t="n">
        <v>12</v>
      </c>
      <c r="I1039" s="9">
        <f>VLOOKUP(G1039,매칭테이블!D:E,2,0)</f>
        <v/>
      </c>
      <c r="J1039" s="9" t="n">
        <v>210201</v>
      </c>
      <c r="L1039" s="9">
        <f>VLOOKUP($O1039,매칭테이블!$G:$J,2,0)*H1039</f>
        <v/>
      </c>
      <c r="M1039" s="9">
        <f>L1039-L1039*VLOOKUP($O1039,매칭테이블!$G:$J,3,0)</f>
        <v/>
      </c>
      <c r="N1039" s="9">
        <f>VLOOKUP($O1039,매칭테이블!$G:$J,4,0)*H1039</f>
        <v/>
      </c>
      <c r="O1039" s="9">
        <f>F1039&amp;E1039&amp;G1039&amp;J1039</f>
        <v/>
      </c>
    </row>
    <row r="1040">
      <c r="B1040" s="10" t="n">
        <v>44243</v>
      </c>
      <c r="C1040" s="9">
        <f>TEXT(B1040,"aaa")</f>
        <v/>
      </c>
      <c r="E1040" s="9">
        <f>INDEX(매칭테이블!C:C,MATCH(RD!G1040,매칭테이블!D:D,0))</f>
        <v/>
      </c>
      <c r="F1040" s="9" t="inlineStr">
        <is>
          <t>카페24</t>
        </is>
      </c>
      <c r="G1040" s="9" t="inlineStr">
        <is>
          <t>라베나 리커버리 15 뉴트리셔스 밤 [HAIR RÉ:COVERY 15 Nutritious Balm]제품선택=뉴트리셔스 밤 3개 세트 10% 추가할인</t>
        </is>
      </c>
      <c r="H1040" s="9" t="n">
        <v>1</v>
      </c>
      <c r="I1040" s="9">
        <f>VLOOKUP(G1040,매칭테이블!D:E,2,0)</f>
        <v/>
      </c>
      <c r="J1040" s="9" t="n">
        <v>210201</v>
      </c>
      <c r="L1040" s="9">
        <f>VLOOKUP($O1040,매칭테이블!$G:$J,2,0)*H1040</f>
        <v/>
      </c>
      <c r="M1040" s="9">
        <f>L1040-L1040*VLOOKUP($O1040,매칭테이블!$G:$J,3,0)</f>
        <v/>
      </c>
      <c r="N1040" s="9">
        <f>VLOOKUP($O1040,매칭테이블!$G:$J,4,0)*H1040</f>
        <v/>
      </c>
      <c r="O1040" s="9">
        <f>F1040&amp;E1040&amp;G1040&amp;J1040</f>
        <v/>
      </c>
    </row>
    <row r="1041">
      <c r="B1041" s="10" t="n">
        <v>44243</v>
      </c>
      <c r="C1041" s="9">
        <f>TEXT(B1041,"aaa")</f>
        <v/>
      </c>
      <c r="E1041" s="9">
        <f>INDEX(매칭테이블!C:C,MATCH(RD!G1041,매칭테이블!D:D,0))</f>
        <v/>
      </c>
      <c r="F1041" s="9" t="inlineStr">
        <is>
          <t>카페24</t>
        </is>
      </c>
      <c r="G1041" s="9" t="inlineStr">
        <is>
          <t>라베나 리커버리 15 뉴트리셔스 밤 [HAIR RÉ:COVERY 15 Nutritious Balm]제품선택=뉴트리셔스밤 1개 + 헤어팩 트리트먼트 1개 세트 5%추가할인</t>
        </is>
      </c>
      <c r="H1041" s="9" t="n">
        <v>3</v>
      </c>
      <c r="I1041" s="9">
        <f>VLOOKUP(G1041,매칭테이블!D:E,2,0)</f>
        <v/>
      </c>
      <c r="J1041" s="9" t="n">
        <v>210201</v>
      </c>
      <c r="L1041" s="9">
        <f>VLOOKUP($O1041,매칭테이블!$G:$J,2,0)*H1041</f>
        <v/>
      </c>
      <c r="M1041" s="9">
        <f>L1041-L1041*VLOOKUP($O1041,매칭테이블!$G:$J,3,0)</f>
        <v/>
      </c>
      <c r="N1041" s="9">
        <f>VLOOKUP($O1041,매칭테이블!$G:$J,4,0)*H1041</f>
        <v/>
      </c>
      <c r="O1041" s="9">
        <f>F1041&amp;E1041&amp;G1041&amp;J1041</f>
        <v/>
      </c>
    </row>
    <row r="1042">
      <c r="B1042" s="10" t="n">
        <v>44243</v>
      </c>
      <c r="C1042" s="9">
        <f>TEXT(B1042,"aaa")</f>
        <v/>
      </c>
      <c r="E1042" s="9">
        <f>INDEX(매칭테이블!C:C,MATCH(RD!G1042,매칭테이블!D:D,0))</f>
        <v/>
      </c>
      <c r="F1042" s="9" t="inlineStr">
        <is>
          <t>카페24</t>
        </is>
      </c>
      <c r="G1042" s="9" t="inlineStr">
        <is>
          <t>라베나 리커버리 15 리바이탈 바이오플라보노이드샴푸 [HAIR RÉ:COVERY 15 Revital Shampoo]제품선택=헤어 리커버리 15 리바이탈 샴푸 - 500ml</t>
        </is>
      </c>
      <c r="H1042" s="9" t="n">
        <v>187</v>
      </c>
      <c r="I1042" s="9">
        <f>VLOOKUP(G1042,매칭테이블!D:E,2,0)</f>
        <v/>
      </c>
      <c r="J1042" s="9" t="n">
        <v>210201</v>
      </c>
      <c r="L1042" s="9">
        <f>VLOOKUP($O1042,매칭테이블!$G:$J,2,0)*H1042</f>
        <v/>
      </c>
      <c r="M1042" s="9">
        <f>L1042-L1042*VLOOKUP($O1042,매칭테이블!$G:$J,3,0)</f>
        <v/>
      </c>
      <c r="N1042" s="9">
        <f>VLOOKUP($O1042,매칭테이블!$G:$J,4,0)*H1042</f>
        <v/>
      </c>
      <c r="O1042" s="9">
        <f>F1042&amp;E1042&amp;G1042&amp;J1042</f>
        <v/>
      </c>
    </row>
    <row r="1043">
      <c r="B1043" s="10" t="n">
        <v>44243</v>
      </c>
      <c r="C1043" s="9">
        <f>TEXT(B1043,"aaa")</f>
        <v/>
      </c>
      <c r="E1043" s="9">
        <f>INDEX(매칭테이블!C:C,MATCH(RD!G1043,매칭테이블!D:D,0))</f>
        <v/>
      </c>
      <c r="F1043" s="9" t="inlineStr">
        <is>
          <t>카페24</t>
        </is>
      </c>
      <c r="G1043" s="9" t="inlineStr">
        <is>
          <t>라베나 리커버리 15 리바이탈 바이오플라보노이드샴푸 [HAIR RÉ:COVERY 15 Revital Shampoo]제품선택=리바이탈 샴푸 2개 세트 5%추가할인</t>
        </is>
      </c>
      <c r="H1043" s="9" t="n">
        <v>53</v>
      </c>
      <c r="I1043" s="9">
        <f>VLOOKUP(G1043,매칭테이블!D:E,2,0)</f>
        <v/>
      </c>
      <c r="J1043" s="9" t="n">
        <v>210201</v>
      </c>
      <c r="L1043" s="9">
        <f>VLOOKUP($O1043,매칭테이블!$G:$J,2,0)*H1043</f>
        <v/>
      </c>
      <c r="M1043" s="9">
        <f>L1043-L1043*VLOOKUP($O1043,매칭테이블!$G:$J,3,0)</f>
        <v/>
      </c>
      <c r="N1043" s="9">
        <f>VLOOKUP($O1043,매칭테이블!$G:$J,4,0)*H1043</f>
        <v/>
      </c>
      <c r="O1043" s="9">
        <f>F1043&amp;E1043&amp;G1043&amp;J1043</f>
        <v/>
      </c>
    </row>
    <row r="1044">
      <c r="B1044" s="10" t="n">
        <v>44243</v>
      </c>
      <c r="C1044" s="9">
        <f>TEXT(B1044,"aaa")</f>
        <v/>
      </c>
      <c r="E1044" s="9">
        <f>INDEX(매칭테이블!C:C,MATCH(RD!G1044,매칭테이블!D:D,0))</f>
        <v/>
      </c>
      <c r="F1044" s="9" t="inlineStr">
        <is>
          <t>카페24</t>
        </is>
      </c>
      <c r="G1044" s="9" t="inlineStr">
        <is>
          <t>라베나 리커버리 15 리바이탈 바이오플라보노이드샴푸 [HAIR RÉ:COVERY 15 Revital Shampoo]제품선택=리바이탈 샴푸 3개 세트 10% 추가할인</t>
        </is>
      </c>
      <c r="H1044" s="9" t="n">
        <v>17</v>
      </c>
      <c r="I1044" s="9">
        <f>VLOOKUP(G1044,매칭테이블!D:E,2,0)</f>
        <v/>
      </c>
      <c r="J1044" s="9" t="n">
        <v>210201</v>
      </c>
      <c r="L1044" s="9">
        <f>VLOOKUP($O1044,매칭테이블!$G:$J,2,0)*H1044</f>
        <v/>
      </c>
      <c r="M1044" s="9">
        <f>L1044-L1044*VLOOKUP($O1044,매칭테이블!$G:$J,3,0)</f>
        <v/>
      </c>
      <c r="N1044" s="9">
        <f>VLOOKUP($O1044,매칭테이블!$G:$J,4,0)*H1044</f>
        <v/>
      </c>
      <c r="O1044" s="9">
        <f>F1044&amp;E1044&amp;G1044&amp;J1044</f>
        <v/>
      </c>
    </row>
    <row r="1045">
      <c r="B1045" s="10" t="n">
        <v>44243</v>
      </c>
      <c r="C1045" s="9">
        <f>TEXT(B1045,"aaa")</f>
        <v/>
      </c>
      <c r="E1045" s="9">
        <f>INDEX(매칭테이블!C:C,MATCH(RD!G1045,매칭테이블!D:D,0))</f>
        <v/>
      </c>
      <c r="F1045" s="9" t="inlineStr">
        <is>
          <t>카페24</t>
        </is>
      </c>
      <c r="G1045" s="9" t="inlineStr">
        <is>
          <t>라베나 리커버리 15 헤어팩 트리트먼트 [HAIR RÉ:COVERY 15 Hairpack Treatment]제품선택=헤어 리커버리 15 헤어팩 트리트먼트</t>
        </is>
      </c>
      <c r="H1045" s="9" t="n">
        <v>9</v>
      </c>
      <c r="I1045" s="9">
        <f>VLOOKUP(G1045,매칭테이블!D:E,2,0)</f>
        <v/>
      </c>
      <c r="J1045" s="9" t="n">
        <v>210201</v>
      </c>
      <c r="L1045" s="9">
        <f>VLOOKUP($O1045,매칭테이블!$G:$J,2,0)*H1045</f>
        <v/>
      </c>
      <c r="M1045" s="9">
        <f>L1045-L1045*VLOOKUP($O1045,매칭테이블!$G:$J,3,0)</f>
        <v/>
      </c>
      <c r="N1045" s="9">
        <f>VLOOKUP($O1045,매칭테이블!$G:$J,4,0)*H1045</f>
        <v/>
      </c>
      <c r="O1045" s="9">
        <f>F1045&amp;E1045&amp;G1045&amp;J1045</f>
        <v/>
      </c>
    </row>
    <row r="1046">
      <c r="B1046" s="10" t="n">
        <v>44243</v>
      </c>
      <c r="C1046" s="9">
        <f>TEXT(B1046,"aaa")</f>
        <v/>
      </c>
      <c r="E1046" s="9">
        <f>INDEX(매칭테이블!C:C,MATCH(RD!G1046,매칭테이블!D:D,0))</f>
        <v/>
      </c>
      <c r="F1046" s="9" t="inlineStr">
        <is>
          <t>카페24</t>
        </is>
      </c>
      <c r="G1046" s="9" t="inlineStr">
        <is>
          <t>라베나 리커버리 15 헤어팩 트리트먼트 [HAIR RÉ:COVERY 15 Hairpack Treatment]제품선택=헤어팩 트리트먼트 2개 세트 5% 추가할인</t>
        </is>
      </c>
      <c r="H1046" s="9" t="n">
        <v>2</v>
      </c>
      <c r="I1046" s="9">
        <f>VLOOKUP(G1046,매칭테이블!D:E,2,0)</f>
        <v/>
      </c>
      <c r="J1046" s="9" t="n">
        <v>210201</v>
      </c>
      <c r="L1046" s="9">
        <f>VLOOKUP($O1046,매칭테이블!$G:$J,2,0)*H1046</f>
        <v/>
      </c>
      <c r="M1046" s="9">
        <f>L1046-L1046*VLOOKUP($O1046,매칭테이블!$G:$J,3,0)</f>
        <v/>
      </c>
      <c r="N1046" s="9">
        <f>VLOOKUP($O1046,매칭테이블!$G:$J,4,0)*H1046</f>
        <v/>
      </c>
      <c r="O1046" s="9">
        <f>F1046&amp;E1046&amp;G1046&amp;J1046</f>
        <v/>
      </c>
    </row>
    <row r="1047">
      <c r="B1047" s="10" t="n">
        <v>44243</v>
      </c>
      <c r="C1047" s="9">
        <f>TEXT(B1047,"aaa")</f>
        <v/>
      </c>
      <c r="E1047" s="9">
        <f>INDEX(매칭테이블!C:C,MATCH(RD!G1047,매칭테이블!D:D,0))</f>
        <v/>
      </c>
      <c r="F1047" s="9" t="inlineStr">
        <is>
          <t>카페24</t>
        </is>
      </c>
      <c r="G1047" s="9" t="inlineStr">
        <is>
          <t>라베나 리커버리 15 헤어팩 트리트먼트 [HAIR RÉ:COVERY 15 Hairpack Treatment]제품선택=헤어팩 트리트먼트 3개 세트 10% 추가할인</t>
        </is>
      </c>
      <c r="H1047" s="9" t="n">
        <v>2</v>
      </c>
      <c r="I1047" s="9">
        <f>VLOOKUP(G1047,매칭테이블!D:E,2,0)</f>
        <v/>
      </c>
      <c r="J1047" s="9" t="n">
        <v>210201</v>
      </c>
      <c r="L1047" s="9">
        <f>VLOOKUP($O1047,매칭테이블!$G:$J,2,0)*H1047</f>
        <v/>
      </c>
      <c r="M1047" s="9">
        <f>L1047-L1047*VLOOKUP($O1047,매칭테이블!$G:$J,3,0)</f>
        <v/>
      </c>
      <c r="N1047" s="9">
        <f>VLOOKUP($O1047,매칭테이블!$G:$J,4,0)*H1047</f>
        <v/>
      </c>
      <c r="O1047" s="9">
        <f>F1047&amp;E1047&amp;G1047&amp;J1047</f>
        <v/>
      </c>
    </row>
    <row r="1048">
      <c r="B1048" s="10" t="n">
        <v>44243</v>
      </c>
      <c r="C1048" s="9">
        <f>TEXT(B1048,"aaa")</f>
        <v/>
      </c>
      <c r="E1048" s="9">
        <f>INDEX(매칭테이블!C:C,MATCH(RD!G1048,매칭테이블!D:D,0))</f>
        <v/>
      </c>
      <c r="F1048" s="9" t="inlineStr">
        <is>
          <t>카페24</t>
        </is>
      </c>
      <c r="G1048" s="9" t="inlineStr">
        <is>
          <t>라베나 리커버리 15 헤어팩 트리트먼트 [HAIR RÉ:COVERY 15 Hairpack Treatment]제품선택=헤어팩 트리트먼트 1개 + 뉴트리셔스밤 1개 세트 5% 추가할인</t>
        </is>
      </c>
      <c r="H1048" s="9" t="n">
        <v>2</v>
      </c>
      <c r="I1048" s="9">
        <f>VLOOKUP(G1048,매칭테이블!D:E,2,0)</f>
        <v/>
      </c>
      <c r="J1048" s="9" t="n">
        <v>210201</v>
      </c>
      <c r="L1048" s="9">
        <f>VLOOKUP($O1048,매칭테이블!$G:$J,2,0)*H1048</f>
        <v/>
      </c>
      <c r="M1048" s="9">
        <f>L1048-L1048*VLOOKUP($O1048,매칭테이블!$G:$J,3,0)</f>
        <v/>
      </c>
      <c r="N1048" s="9">
        <f>VLOOKUP($O1048,매칭테이블!$G:$J,4,0)*H1048</f>
        <v/>
      </c>
      <c r="O1048" s="9">
        <f>F1048&amp;E1048&amp;G1048&amp;J1048</f>
        <v/>
      </c>
    </row>
    <row r="1049">
      <c r="B1049" s="10" t="n">
        <v>44244</v>
      </c>
      <c r="C1049" s="9">
        <f>TEXT(B1049,"aaa")</f>
        <v/>
      </c>
      <c r="E1049" s="9">
        <f>INDEX(매칭테이블!C:C,MATCH(RD!G1049,매칭테이블!D:D,0))</f>
        <v/>
      </c>
      <c r="F1049" s="9" t="inlineStr">
        <is>
          <t>라베나 CS</t>
        </is>
      </c>
      <c r="G1049" s="9" t="inlineStr">
        <is>
          <t>헤어 리커버리 15 리바이탈 샴푸</t>
        </is>
      </c>
      <c r="H1049" s="9" t="n">
        <v>5</v>
      </c>
      <c r="I1049" s="9">
        <f>VLOOKUP(G1049,[1]매칭테이블!D:E,2,0)</f>
        <v/>
      </c>
      <c r="J1049" s="9" t="n">
        <v>210201</v>
      </c>
      <c r="L1049" s="9">
        <f>VLOOKUP($O1049,매칭테이블!$G:$J,2,0)*H1049</f>
        <v/>
      </c>
      <c r="M1049" s="9">
        <f>L1049-L1049*VLOOKUP($O1049,매칭테이블!$G:$J,3,0)</f>
        <v/>
      </c>
      <c r="N1049" s="9">
        <f>VLOOKUP($O1049,매칭테이블!$G:$J,4,0)*H1049</f>
        <v/>
      </c>
      <c r="O1049" s="9">
        <f>F1049&amp;E1049&amp;G1049&amp;J1049</f>
        <v/>
      </c>
    </row>
    <row r="1050">
      <c r="B1050" s="10" t="n">
        <v>44244</v>
      </c>
      <c r="C1050" s="9">
        <f>TEXT(B1050,"aaa")</f>
        <v/>
      </c>
      <c r="E1050" s="9">
        <f>INDEX(매칭테이블!C:C,MATCH(RD!G1050,매칭테이블!D:D,0))</f>
        <v/>
      </c>
      <c r="F1050" s="9" t="inlineStr">
        <is>
          <t>카페24</t>
        </is>
      </c>
      <c r="G1050" s="9" t="inlineStr">
        <is>
          <t>라베나 리커버리 15 뉴트리셔스 밤 [HAIR RÉ:COVERY 15 Nutritious Balm]제품선택=헤어 리커버리 15 뉴트리셔스 밤</t>
        </is>
      </c>
      <c r="H1050" s="9" t="n">
        <v>5</v>
      </c>
      <c r="I1050" s="9">
        <f>VLOOKUP(G1050,[1]매칭테이블!D:E,2,0)</f>
        <v/>
      </c>
      <c r="J1050" s="9" t="n">
        <v>210201</v>
      </c>
      <c r="L1050" s="9">
        <f>VLOOKUP($O1050,매칭테이블!$G:$J,2,0)*H1050</f>
        <v/>
      </c>
      <c r="M1050" s="9">
        <f>L1050-L1050*VLOOKUP($O1050,매칭테이블!$G:$J,3,0)</f>
        <v/>
      </c>
      <c r="N1050" s="9">
        <f>VLOOKUP($O1050,매칭테이블!$G:$J,4,0)*H1050</f>
        <v/>
      </c>
      <c r="O1050" s="9">
        <f>F1050&amp;E1050&amp;G1050&amp;J1050</f>
        <v/>
      </c>
    </row>
    <row r="1051">
      <c r="B1051" s="10" t="n">
        <v>44244</v>
      </c>
      <c r="C1051" s="9">
        <f>TEXT(B1051,"aaa")</f>
        <v/>
      </c>
      <c r="E1051" s="9">
        <f>INDEX(매칭테이블!C:C,MATCH(RD!G1051,매칭테이블!D:D,0))</f>
        <v/>
      </c>
      <c r="F1051" s="9" t="inlineStr">
        <is>
          <t>카페24</t>
        </is>
      </c>
      <c r="G1051" s="9" t="inlineStr">
        <is>
          <t>라베나 리커버리 15 뉴트리셔스 밤 [HAIR RÉ:COVERY 15 Nutritious Balm]제품선택=뉴트리셔스밤 1개 + 헤어팩 트리트먼트 1개 세트 5%추가할인</t>
        </is>
      </c>
      <c r="H1051" s="9" t="n">
        <v>4</v>
      </c>
      <c r="I1051" s="9">
        <f>VLOOKUP(G1051,[1]매칭테이블!D:E,2,0)</f>
        <v/>
      </c>
      <c r="J1051" s="9" t="n">
        <v>210201</v>
      </c>
      <c r="L1051" s="9">
        <f>VLOOKUP($O1051,매칭테이블!$G:$J,2,0)*H1051</f>
        <v/>
      </c>
      <c r="M1051" s="9">
        <f>L1051-L1051*VLOOKUP($O1051,매칭테이블!$G:$J,3,0)</f>
        <v/>
      </c>
      <c r="N1051" s="9">
        <f>VLOOKUP($O1051,매칭테이블!$G:$J,4,0)*H1051</f>
        <v/>
      </c>
      <c r="O1051" s="9">
        <f>F1051&amp;E1051&amp;G1051&amp;J1051</f>
        <v/>
      </c>
    </row>
    <row r="1052">
      <c r="B1052" s="10" t="n">
        <v>44244</v>
      </c>
      <c r="C1052" s="9">
        <f>TEXT(B1052,"aaa")</f>
        <v/>
      </c>
      <c r="E1052" s="9">
        <f>INDEX(매칭테이블!C:C,MATCH(RD!G1052,매칭테이블!D:D,0))</f>
        <v/>
      </c>
      <c r="F1052" s="9" t="inlineStr">
        <is>
          <t>카페24</t>
        </is>
      </c>
      <c r="G1052" s="9" t="inlineStr">
        <is>
          <t>라베나 리커버리 15 리바이탈 바이오플라보노이드샴푸 [HAIR RÉ:COVERY 15 Revital Shampoo]제품선택=헤어 리커버리 15 리바이탈 샴푸 - 500ml</t>
        </is>
      </c>
      <c r="H1052" s="9" t="n">
        <v>298</v>
      </c>
      <c r="I1052" s="9">
        <f>VLOOKUP(G1052,[1]매칭테이블!D:E,2,0)</f>
        <v/>
      </c>
      <c r="J1052" s="9" t="n">
        <v>210201</v>
      </c>
      <c r="L1052" s="9">
        <f>VLOOKUP($O1052,매칭테이블!$G:$J,2,0)*H1052</f>
        <v/>
      </c>
      <c r="M1052" s="9">
        <f>L1052-L1052*VLOOKUP($O1052,매칭테이블!$G:$J,3,0)</f>
        <v/>
      </c>
      <c r="N1052" s="9">
        <f>VLOOKUP($O1052,매칭테이블!$G:$J,4,0)*H1052</f>
        <v/>
      </c>
      <c r="O1052" s="9">
        <f>F1052&amp;E1052&amp;G1052&amp;J1052</f>
        <v/>
      </c>
    </row>
    <row r="1053">
      <c r="B1053" s="10" t="n">
        <v>44244</v>
      </c>
      <c r="C1053" s="9">
        <f>TEXT(B1053,"aaa")</f>
        <v/>
      </c>
      <c r="E1053" s="9">
        <f>INDEX(매칭테이블!C:C,MATCH(RD!G1053,매칭테이블!D:D,0))</f>
        <v/>
      </c>
      <c r="F1053" s="9" t="inlineStr">
        <is>
          <t>카페24</t>
        </is>
      </c>
      <c r="G1053" s="9" t="inlineStr">
        <is>
          <t>라베나 리커버리 15 리바이탈 바이오플라보노이드샴푸 [HAIR RÉ:COVERY 15 Revital Shampoo]제품선택=리바이탈 샴푸 2개 세트 5%추가할인</t>
        </is>
      </c>
      <c r="H1053" s="9" t="n">
        <v>108</v>
      </c>
      <c r="I1053" s="9">
        <f>VLOOKUP(G1053,[1]매칭테이블!D:E,2,0)</f>
        <v/>
      </c>
      <c r="J1053" s="9" t="n">
        <v>210201</v>
      </c>
      <c r="L1053" s="9">
        <f>VLOOKUP($O1053,매칭테이블!$G:$J,2,0)*H1053</f>
        <v/>
      </c>
      <c r="M1053" s="9">
        <f>L1053-L1053*VLOOKUP($O1053,매칭테이블!$G:$J,3,0)</f>
        <v/>
      </c>
      <c r="N1053" s="9">
        <f>VLOOKUP($O1053,매칭테이블!$G:$J,4,0)*H1053</f>
        <v/>
      </c>
      <c r="O1053" s="9">
        <f>F1053&amp;E1053&amp;G1053&amp;J1053</f>
        <v/>
      </c>
    </row>
    <row r="1054">
      <c r="B1054" s="10" t="n">
        <v>44244</v>
      </c>
      <c r="C1054" s="9">
        <f>TEXT(B1054,"aaa")</f>
        <v/>
      </c>
      <c r="E1054" s="9">
        <f>INDEX(매칭테이블!C:C,MATCH(RD!G1054,매칭테이블!D:D,0))</f>
        <v/>
      </c>
      <c r="F1054" s="9" t="inlineStr">
        <is>
          <t>카페24</t>
        </is>
      </c>
      <c r="G1054" s="9" t="inlineStr">
        <is>
          <t>라베나 리커버리 15 리바이탈 바이오플라보노이드샴푸 [HAIR RÉ:COVERY 15 Revital Shampoo]제품선택=리바이탈 샴푸 3개 세트 10% 추가할인</t>
        </is>
      </c>
      <c r="H1054" s="9" t="n">
        <v>24</v>
      </c>
      <c r="I1054" s="9">
        <f>VLOOKUP(G1054,[1]매칭테이블!D:E,2,0)</f>
        <v/>
      </c>
      <c r="J1054" s="9" t="n">
        <v>210201</v>
      </c>
      <c r="L1054" s="9">
        <f>VLOOKUP($O1054,매칭테이블!$G:$J,2,0)*H1054</f>
        <v/>
      </c>
      <c r="M1054" s="9">
        <f>L1054-L1054*VLOOKUP($O1054,매칭테이블!$G:$J,3,0)</f>
        <v/>
      </c>
      <c r="N1054" s="9">
        <f>VLOOKUP($O1054,매칭테이블!$G:$J,4,0)*H1054</f>
        <v/>
      </c>
      <c r="O1054" s="9">
        <f>F1054&amp;E1054&amp;G1054&amp;J1054</f>
        <v/>
      </c>
    </row>
    <row r="1055">
      <c r="B1055" s="10" t="n">
        <v>44244</v>
      </c>
      <c r="C1055" s="9">
        <f>TEXT(B1055,"aaa")</f>
        <v/>
      </c>
      <c r="E1055" s="9">
        <f>INDEX(매칭테이블!C:C,MATCH(RD!G1055,매칭테이블!D:D,0))</f>
        <v/>
      </c>
      <c r="F1055" s="9" t="inlineStr">
        <is>
          <t>카페24</t>
        </is>
      </c>
      <c r="G1055" s="9" t="inlineStr">
        <is>
          <t>라베나 리커버리 15 헤어팩 트리트먼트 [HAIR RÉ:COVERY 15 Hairpack Treatment]제품선택=헤어 리커버리 15 헤어팩 트리트먼트</t>
        </is>
      </c>
      <c r="H1055" s="9" t="n">
        <v>9</v>
      </c>
      <c r="I1055" s="9">
        <f>VLOOKUP(G1055,[1]매칭테이블!D:E,2,0)</f>
        <v/>
      </c>
      <c r="J1055" s="9" t="n">
        <v>210201</v>
      </c>
      <c r="L1055" s="9">
        <f>VLOOKUP($O1055,매칭테이블!$G:$J,2,0)*H1055</f>
        <v/>
      </c>
      <c r="M1055" s="9">
        <f>L1055-L1055*VLOOKUP($O1055,매칭테이블!$G:$J,3,0)</f>
        <v/>
      </c>
      <c r="N1055" s="9">
        <f>VLOOKUP($O1055,매칭테이블!$G:$J,4,0)*H1055</f>
        <v/>
      </c>
      <c r="O1055" s="9">
        <f>F1055&amp;E1055&amp;G1055&amp;J1055</f>
        <v/>
      </c>
    </row>
    <row r="1056">
      <c r="B1056" s="10" t="n">
        <v>44244</v>
      </c>
      <c r="C1056" s="9">
        <f>TEXT(B1056,"aaa")</f>
        <v/>
      </c>
      <c r="E1056" s="9">
        <f>INDEX(매칭테이블!C:C,MATCH(RD!G1056,매칭테이블!D:D,0))</f>
        <v/>
      </c>
      <c r="F1056" s="9" t="inlineStr">
        <is>
          <t>카페24</t>
        </is>
      </c>
      <c r="G1056" s="9" t="inlineStr">
        <is>
          <t>라베나 리커버리 15 헤어팩 트리트먼트 [HAIR RÉ:COVERY 15 Hairpack Treatment]제품선택=헤어팩 트리트먼트 2개 세트 5% 추가할인</t>
        </is>
      </c>
      <c r="H1056" s="9" t="n">
        <v>2</v>
      </c>
      <c r="I1056" s="9">
        <f>VLOOKUP(G1056,[1]매칭테이블!D:E,2,0)</f>
        <v/>
      </c>
      <c r="J1056" s="9" t="n">
        <v>210201</v>
      </c>
      <c r="L1056" s="9">
        <f>VLOOKUP($O1056,매칭테이블!$G:$J,2,0)*H1056</f>
        <v/>
      </c>
      <c r="M1056" s="9">
        <f>L1056-L1056*VLOOKUP($O1056,매칭테이블!$G:$J,3,0)</f>
        <v/>
      </c>
      <c r="N1056" s="9">
        <f>VLOOKUP($O1056,매칭테이블!$G:$J,4,0)*H1056</f>
        <v/>
      </c>
      <c r="O1056" s="9">
        <f>F1056&amp;E1056&amp;G1056&amp;J1056</f>
        <v/>
      </c>
    </row>
    <row r="1057">
      <c r="B1057" s="10" t="n">
        <v>44244</v>
      </c>
      <c r="C1057" s="9">
        <f>TEXT(B1057,"aaa")</f>
        <v/>
      </c>
      <c r="E1057" s="9">
        <f>INDEX(매칭테이블!C:C,MATCH(RD!G1057,매칭테이블!D:D,0))</f>
        <v/>
      </c>
      <c r="F1057" s="9" t="inlineStr">
        <is>
          <t>카페24</t>
        </is>
      </c>
      <c r="G1057" s="9" t="inlineStr">
        <is>
          <t>라베나 리커버리 15 헤어팩 트리트먼트 [HAIR RÉ:COVERY 15 Hairpack Treatment]제품선택=헤어팩 트리트먼트 3개 세트 10% 추가할인</t>
        </is>
      </c>
      <c r="H1057" s="9" t="n">
        <v>1</v>
      </c>
      <c r="I1057" s="9">
        <f>VLOOKUP(G1057,[1]매칭테이블!D:E,2,0)</f>
        <v/>
      </c>
      <c r="J1057" s="9" t="n">
        <v>210201</v>
      </c>
      <c r="L1057" s="9">
        <f>VLOOKUP($O1057,매칭테이블!$G:$J,2,0)*H1057</f>
        <v/>
      </c>
      <c r="M1057" s="9">
        <f>L1057-L1057*VLOOKUP($O1057,매칭테이블!$G:$J,3,0)</f>
        <v/>
      </c>
      <c r="N1057" s="9">
        <f>VLOOKUP($O1057,매칭테이블!$G:$J,4,0)*H1057</f>
        <v/>
      </c>
      <c r="O1057" s="9">
        <f>F1057&amp;E1057&amp;G1057&amp;J1057</f>
        <v/>
      </c>
    </row>
    <row r="1058">
      <c r="B1058" s="10" t="n">
        <v>44244</v>
      </c>
      <c r="C1058" s="9">
        <f>TEXT(B1058,"aaa")</f>
        <v/>
      </c>
      <c r="E1058" s="9">
        <f>INDEX(매칭테이블!C:C,MATCH(RD!G1058,매칭테이블!D:D,0))</f>
        <v/>
      </c>
      <c r="F1058" s="9" t="inlineStr">
        <is>
          <t>카페24</t>
        </is>
      </c>
      <c r="G1058" s="9" t="inlineStr">
        <is>
          <t>라베나 리커버리 15 헤어팩 트리트먼트 [HAIR RÉ:COVERY 15 Hairpack Treatment]제품선택=헤어팩 트리트먼트 1개 + 뉴트리셔스밤 1개 세트 5% 추가할인</t>
        </is>
      </c>
      <c r="H1058" s="9" t="n">
        <v>1</v>
      </c>
      <c r="I1058" s="9">
        <f>VLOOKUP(G1058,[1]매칭테이블!D:E,2,0)</f>
        <v/>
      </c>
      <c r="J1058" s="9" t="n">
        <v>210201</v>
      </c>
      <c r="L1058" s="9">
        <f>VLOOKUP($O1058,매칭테이블!$G:$J,2,0)*H1058</f>
        <v/>
      </c>
      <c r="M1058" s="9">
        <f>L1058-L1058*VLOOKUP($O1058,매칭테이블!$G:$J,3,0)</f>
        <v/>
      </c>
      <c r="N1058" s="9">
        <f>VLOOKUP($O1058,매칭테이블!$G:$J,4,0)*H1058</f>
        <v/>
      </c>
      <c r="O1058" s="9">
        <f>F1058&amp;E1058&amp;G1058&amp;J1058</f>
        <v/>
      </c>
    </row>
    <row r="1059">
      <c r="B1059" s="10" t="n">
        <v>44245</v>
      </c>
      <c r="C1059" s="9">
        <f>TEXT(B1059,"aaa")</f>
        <v/>
      </c>
      <c r="E1059" s="9">
        <f>INDEX(매칭테이블!C:C,MATCH(RD!G1059,매칭테이블!D:D,0))</f>
        <v/>
      </c>
      <c r="F1059" s="9" t="inlineStr">
        <is>
          <t>라베나 CS</t>
        </is>
      </c>
      <c r="G1059" s="9" t="inlineStr">
        <is>
          <t>라베나 리커버리 15 리바이탈 바이오플라보노이드샴푸 [HAIR RÉ:COVERY 15 Revital Shampoo]제품선택=헤어 리커버리 15 리바이탈 샴푸 - 500ml</t>
        </is>
      </c>
      <c r="H1059" s="9" t="n">
        <v>1</v>
      </c>
      <c r="I1059" s="9">
        <f>VLOOKUP(G1059,[1]매칭테이블!D:E,2,0)</f>
        <v/>
      </c>
      <c r="J1059" s="9" t="n">
        <v>210201</v>
      </c>
      <c r="L1059" s="9">
        <f>VLOOKUP($O1059,매칭테이블!$G:$J,2,0)*H1059</f>
        <v/>
      </c>
      <c r="M1059" s="9">
        <f>L1059-L1059*VLOOKUP($O1059,매칭테이블!$G:$J,3,0)</f>
        <v/>
      </c>
      <c r="N1059" s="9">
        <f>VLOOKUP($O1059,매칭테이블!$G:$J,4,0)*H1059</f>
        <v/>
      </c>
      <c r="O1059" s="9">
        <f>F1059&amp;E1059&amp;G1059&amp;J1059</f>
        <v/>
      </c>
    </row>
    <row r="1060">
      <c r="B1060" s="10" t="n">
        <v>44245</v>
      </c>
      <c r="C1060" s="9">
        <f>TEXT(B1060,"aaa")</f>
        <v/>
      </c>
      <c r="E1060" s="9">
        <f>INDEX(매칭테이블!C:C,MATCH(RD!G1060,매칭테이블!D:D,0))</f>
        <v/>
      </c>
      <c r="F1060" s="9" t="inlineStr">
        <is>
          <t>카페24</t>
        </is>
      </c>
      <c r="G1060" s="9" t="inlineStr">
        <is>
          <t>라베나 리커버리 15 뉴트리셔스 밤 [HAIR RÉ:COVERY 15 Nutritious Balm]제품선택=헤어 리커버리 15 뉴트리셔스 밤</t>
        </is>
      </c>
      <c r="H1060" s="9" t="n">
        <v>8</v>
      </c>
      <c r="I1060" s="9">
        <f>VLOOKUP(G1060,[1]매칭테이블!D:E,2,0)</f>
        <v/>
      </c>
      <c r="J1060" s="9" t="n">
        <v>210201</v>
      </c>
      <c r="L1060" s="9">
        <f>VLOOKUP($O1060,매칭테이블!$G:$J,2,0)*H1060</f>
        <v/>
      </c>
      <c r="M1060" s="9">
        <f>L1060-L1060*VLOOKUP($O1060,매칭테이블!$G:$J,3,0)</f>
        <v/>
      </c>
      <c r="N1060" s="9">
        <f>VLOOKUP($O1060,매칭테이블!$G:$J,4,0)*H1060</f>
        <v/>
      </c>
      <c r="O1060" s="9">
        <f>F1060&amp;E1060&amp;G1060&amp;J1060</f>
        <v/>
      </c>
    </row>
    <row r="1061">
      <c r="B1061" s="10" t="n">
        <v>44245</v>
      </c>
      <c r="C1061" s="9">
        <f>TEXT(B1061,"aaa")</f>
        <v/>
      </c>
      <c r="E1061" s="9">
        <f>INDEX(매칭테이블!C:C,MATCH(RD!G1061,매칭테이블!D:D,0))</f>
        <v/>
      </c>
      <c r="F1061" s="9" t="inlineStr">
        <is>
          <t>카페24</t>
        </is>
      </c>
      <c r="G1061" s="9" t="inlineStr">
        <is>
          <t>라베나 리커버리 15 리바이탈 바이오플라보노이드샴푸 [HAIR RÉ:COVERY 15 Revital Shampoo]제품선택=헤어 리커버리 15 리바이탈 샴푸 - 500ml</t>
        </is>
      </c>
      <c r="H1061" s="9" t="n">
        <v>284</v>
      </c>
      <c r="I1061" s="9">
        <f>VLOOKUP(G1061,[1]매칭테이블!D:E,2,0)</f>
        <v/>
      </c>
      <c r="J1061" s="9" t="n">
        <v>210201</v>
      </c>
      <c r="L1061" s="9">
        <f>VLOOKUP($O1061,매칭테이블!$G:$J,2,0)*H1061</f>
        <v/>
      </c>
      <c r="M1061" s="9">
        <f>L1061-L1061*VLOOKUP($O1061,매칭테이블!$G:$J,3,0)</f>
        <v/>
      </c>
      <c r="N1061" s="9">
        <f>VLOOKUP($O1061,매칭테이블!$G:$J,4,0)*H1061</f>
        <v/>
      </c>
      <c r="O1061" s="9">
        <f>F1061&amp;E1061&amp;G1061&amp;J1061</f>
        <v/>
      </c>
    </row>
    <row r="1062">
      <c r="B1062" s="10" t="n">
        <v>44245</v>
      </c>
      <c r="C1062" s="9">
        <f>TEXT(B1062,"aaa")</f>
        <v/>
      </c>
      <c r="E1062" s="9">
        <f>INDEX(매칭테이블!C:C,MATCH(RD!G1062,매칭테이블!D:D,0))</f>
        <v/>
      </c>
      <c r="F1062" s="9" t="inlineStr">
        <is>
          <t>카페24</t>
        </is>
      </c>
      <c r="G1062" s="9" t="inlineStr">
        <is>
          <t>라베나 리커버리 15 리바이탈 바이오플라보노이드샴푸 [HAIR RÉ:COVERY 15 Revital Shampoo]제품선택=리바이탈 샴푸 2개 세트 5%추가할인</t>
        </is>
      </c>
      <c r="H1062" s="9" t="n">
        <v>85</v>
      </c>
      <c r="I1062" s="9">
        <f>VLOOKUP(G1062,[1]매칭테이블!D:E,2,0)</f>
        <v/>
      </c>
      <c r="J1062" s="9" t="n">
        <v>210201</v>
      </c>
      <c r="L1062" s="9">
        <f>VLOOKUP($O1062,매칭테이블!$G:$J,2,0)*H1062</f>
        <v/>
      </c>
      <c r="M1062" s="9">
        <f>L1062-L1062*VLOOKUP($O1062,매칭테이블!$G:$J,3,0)</f>
        <v/>
      </c>
      <c r="N1062" s="9">
        <f>VLOOKUP($O1062,매칭테이블!$G:$J,4,0)*H1062</f>
        <v/>
      </c>
      <c r="O1062" s="9">
        <f>F1062&amp;E1062&amp;G1062&amp;J1062</f>
        <v/>
      </c>
    </row>
    <row r="1063">
      <c r="B1063" s="10" t="n">
        <v>44245</v>
      </c>
      <c r="C1063" s="9">
        <f>TEXT(B1063,"aaa")</f>
        <v/>
      </c>
      <c r="E1063" s="9">
        <f>INDEX(매칭테이블!C:C,MATCH(RD!G1063,매칭테이블!D:D,0))</f>
        <v/>
      </c>
      <c r="F1063" s="9" t="inlineStr">
        <is>
          <t>카페24</t>
        </is>
      </c>
      <c r="G1063" s="9" t="inlineStr">
        <is>
          <t>라베나 리커버리 15 리바이탈 바이오플라보노이드샴푸 [HAIR RÉ:COVERY 15 Revital Shampoo]제품선택=리바이탈 샴푸 3개 세트 10% 추가할인</t>
        </is>
      </c>
      <c r="H1063" s="9" t="n">
        <v>23</v>
      </c>
      <c r="I1063" s="9">
        <f>VLOOKUP(G1063,[1]매칭테이블!D:E,2,0)</f>
        <v/>
      </c>
      <c r="J1063" s="9" t="n">
        <v>210201</v>
      </c>
      <c r="L1063" s="9">
        <f>VLOOKUP($O1063,매칭테이블!$G:$J,2,0)*H1063</f>
        <v/>
      </c>
      <c r="M1063" s="9">
        <f>L1063-L1063*VLOOKUP($O1063,매칭테이블!$G:$J,3,0)</f>
        <v/>
      </c>
      <c r="N1063" s="9">
        <f>VLOOKUP($O1063,매칭테이블!$G:$J,4,0)*H1063</f>
        <v/>
      </c>
      <c r="O1063" s="9">
        <f>F1063&amp;E1063&amp;G1063&amp;J1063</f>
        <v/>
      </c>
    </row>
    <row r="1064">
      <c r="B1064" s="10" t="n">
        <v>44245</v>
      </c>
      <c r="C1064" s="9">
        <f>TEXT(B1064,"aaa")</f>
        <v/>
      </c>
      <c r="E1064" s="9">
        <f>INDEX(매칭테이블!C:C,MATCH(RD!G1064,매칭테이블!D:D,0))</f>
        <v/>
      </c>
      <c r="F1064" s="9" t="inlineStr">
        <is>
          <t>카페24</t>
        </is>
      </c>
      <c r="G1064" s="9" t="inlineStr">
        <is>
          <t>라베나 리커버리 15 헤어팩 트리트먼트 [HAIR RÉ:COVERY 15 Hairpack Treatment]제품선택=헤어 리커버리 15 헤어팩 트리트먼트</t>
        </is>
      </c>
      <c r="H1064" s="9" t="n">
        <v>9</v>
      </c>
      <c r="I1064" s="9">
        <f>VLOOKUP(G1064,[1]매칭테이블!D:E,2,0)</f>
        <v/>
      </c>
      <c r="J1064" s="9" t="n">
        <v>210201</v>
      </c>
      <c r="L1064" s="9">
        <f>VLOOKUP($O1064,매칭테이블!$G:$J,2,0)*H1064</f>
        <v/>
      </c>
      <c r="M1064" s="9">
        <f>L1064-L1064*VLOOKUP($O1064,매칭테이블!$G:$J,3,0)</f>
        <v/>
      </c>
      <c r="N1064" s="9">
        <f>VLOOKUP($O1064,매칭테이블!$G:$J,4,0)*H1064</f>
        <v/>
      </c>
      <c r="O1064" s="9">
        <f>F1064&amp;E1064&amp;G1064&amp;J1064</f>
        <v/>
      </c>
    </row>
    <row r="1065">
      <c r="B1065" s="10" t="n">
        <v>44245</v>
      </c>
      <c r="C1065" s="9">
        <f>TEXT(B1065,"aaa")</f>
        <v/>
      </c>
      <c r="E1065" s="9">
        <f>INDEX(매칭테이블!C:C,MATCH(RD!G1065,매칭테이블!D:D,0))</f>
        <v/>
      </c>
      <c r="F1065" s="9" t="inlineStr">
        <is>
          <t>카페24</t>
        </is>
      </c>
      <c r="G1065" s="9" t="inlineStr">
        <is>
          <t>라베나 리커버리 15 헤어팩 트리트먼트 [HAIR RÉ:COVERY 15 Hairpack Treatment]제품선택=헤어팩 트리트먼트 2개 세트 5% 추가할인</t>
        </is>
      </c>
      <c r="H1065" s="9" t="n">
        <v>3</v>
      </c>
      <c r="I1065" s="9">
        <f>VLOOKUP(G1065,[1]매칭테이블!D:E,2,0)</f>
        <v/>
      </c>
      <c r="J1065" s="9" t="n">
        <v>210201</v>
      </c>
      <c r="L1065" s="9">
        <f>VLOOKUP($O1065,매칭테이블!$G:$J,2,0)*H1065</f>
        <v/>
      </c>
      <c r="M1065" s="9">
        <f>L1065-L1065*VLOOKUP($O1065,매칭테이블!$G:$J,3,0)</f>
        <v/>
      </c>
      <c r="N1065" s="9">
        <f>VLOOKUP($O1065,매칭테이블!$G:$J,4,0)*H1065</f>
        <v/>
      </c>
      <c r="O1065" s="9">
        <f>F1065&amp;E1065&amp;G1065&amp;J1065</f>
        <v/>
      </c>
    </row>
    <row r="1066">
      <c r="B1066" s="10" t="n">
        <v>44245</v>
      </c>
      <c r="C1066" s="9">
        <f>TEXT(B1066,"aaa")</f>
        <v/>
      </c>
      <c r="E1066" s="9">
        <f>INDEX(매칭테이블!C:C,MATCH(RD!G1066,매칭테이블!D:D,0))</f>
        <v/>
      </c>
      <c r="F1066" s="9" t="inlineStr">
        <is>
          <t>카페24</t>
        </is>
      </c>
      <c r="G1066" s="9" t="inlineStr">
        <is>
          <t>라베나 리커버리 15 헤어팩 트리트먼트 [HAIR RÉ:COVERY 15 Hairpack Treatment]제품선택=헤어팩 트리트먼트 3개 세트 10% 추가할인</t>
        </is>
      </c>
      <c r="H1066" s="9" t="n">
        <v>1</v>
      </c>
      <c r="I1066" s="9">
        <f>VLOOKUP(G1066,[1]매칭테이블!D:E,2,0)</f>
        <v/>
      </c>
      <c r="J1066" s="9" t="n">
        <v>210201</v>
      </c>
      <c r="L1066" s="9">
        <f>VLOOKUP($O1066,매칭테이블!$G:$J,2,0)*H1066</f>
        <v/>
      </c>
      <c r="M1066" s="9">
        <f>L1066-L1066*VLOOKUP($O1066,매칭테이블!$G:$J,3,0)</f>
        <v/>
      </c>
      <c r="N1066" s="9">
        <f>VLOOKUP($O1066,매칭테이블!$G:$J,4,0)*H1066</f>
        <v/>
      </c>
      <c r="O1066" s="9">
        <f>F1066&amp;E1066&amp;G1066&amp;J1066</f>
        <v/>
      </c>
    </row>
    <row r="1067">
      <c r="B1067" s="10" t="n">
        <v>44245</v>
      </c>
      <c r="C1067" s="9">
        <f>TEXT(B1067,"aaa")</f>
        <v/>
      </c>
      <c r="E1067" s="9">
        <f>INDEX(매칭테이블!C:C,MATCH(RD!G1067,매칭테이블!D:D,0))</f>
        <v/>
      </c>
      <c r="F1067" s="9" t="inlineStr">
        <is>
          <t>카페24</t>
        </is>
      </c>
      <c r="G1067" s="9" t="inlineStr">
        <is>
          <t>라베나 리커버리 15 헤어팩 트리트먼트 [HAIR RÉ:COVERY 15 Hairpack Treatment]제품선택=헤어팩 트리트먼트 1개 + 뉴트리셔스밤 1개 세트 5% 추가할인</t>
        </is>
      </c>
      <c r="H1067" s="9" t="n">
        <v>4</v>
      </c>
      <c r="I1067" s="9">
        <f>VLOOKUP(G1067,[1]매칭테이블!D:E,2,0)</f>
        <v/>
      </c>
      <c r="J1067" s="9" t="n">
        <v>210201</v>
      </c>
      <c r="L1067" s="9">
        <f>VLOOKUP($O1067,매칭테이블!$G:$J,2,0)*H1067</f>
        <v/>
      </c>
      <c r="M1067" s="9">
        <f>L1067-L1067*VLOOKUP($O1067,매칭테이블!$G:$J,3,0)</f>
        <v/>
      </c>
      <c r="N1067" s="9">
        <f>VLOOKUP($O1067,매칭테이블!$G:$J,4,0)*H1067</f>
        <v/>
      </c>
      <c r="O1067" s="9">
        <f>F1067&amp;E1067&amp;G1067&amp;J1067</f>
        <v/>
      </c>
    </row>
    <row r="1068">
      <c r="B1068" s="10" t="n">
        <v>44246</v>
      </c>
      <c r="C1068" s="9">
        <f>TEXT(B1068,"aaa")</f>
        <v/>
      </c>
      <c r="E1068" s="9">
        <f>INDEX(매칭테이블!C:C,MATCH(RD!G1068,매칭테이블!D:D,0))</f>
        <v/>
      </c>
      <c r="F1068" s="9" t="inlineStr">
        <is>
          <t>카페24</t>
        </is>
      </c>
      <c r="G1068" s="9" t="inlineStr">
        <is>
          <t>라베나 리커버리 15 뉴트리셔스 밤 [HAIR RÉ:COVERY 15 Nutritious Balm]제품선택=헤어 리커버리 15 뉴트리셔스 밤</t>
        </is>
      </c>
      <c r="H1068" s="9" t="n">
        <v>5</v>
      </c>
      <c r="I1068" s="9">
        <f>VLOOKUP(G1068,[1]매칭테이블!D:E,2,0)</f>
        <v/>
      </c>
      <c r="J1068" s="9" t="n">
        <v>210201</v>
      </c>
      <c r="L1068" s="9">
        <f>VLOOKUP($O1068,매칭테이블!$G:$J,2,0)*H1068</f>
        <v/>
      </c>
      <c r="M1068" s="9">
        <f>L1068-L1068*VLOOKUP($O1068,매칭테이블!$G:$J,3,0)</f>
        <v/>
      </c>
      <c r="N1068" s="9">
        <f>VLOOKUP($O1068,매칭테이블!$G:$J,4,0)*H1068</f>
        <v/>
      </c>
      <c r="O1068" s="9">
        <f>F1068&amp;E1068&amp;G1068&amp;J1068</f>
        <v/>
      </c>
    </row>
    <row r="1069">
      <c r="B1069" s="10" t="n">
        <v>44246</v>
      </c>
      <c r="C1069" s="9">
        <f>TEXT(B1069,"aaa")</f>
        <v/>
      </c>
      <c r="E1069" s="9">
        <f>INDEX(매칭테이블!C:C,MATCH(RD!G1069,매칭테이블!D:D,0))</f>
        <v/>
      </c>
      <c r="F1069" s="9" t="inlineStr">
        <is>
          <t>카페24</t>
        </is>
      </c>
      <c r="G1069" s="9" t="inlineStr">
        <is>
          <t>라베나 리커버리 15 리바이탈 바이오플라보노이드샴푸 [HAIR RÉ:COVERY 15 Revital Shampoo]제품선택=헤어 리커버리 15 리바이탈 샴푸 - 500ml</t>
        </is>
      </c>
      <c r="H1069" s="9" t="n">
        <v>273</v>
      </c>
      <c r="I1069" s="9">
        <f>VLOOKUP(G1069,[1]매칭테이블!D:E,2,0)</f>
        <v/>
      </c>
      <c r="J1069" s="9" t="n">
        <v>210201</v>
      </c>
      <c r="L1069" s="9">
        <f>VLOOKUP($O1069,매칭테이블!$G:$J,2,0)*H1069</f>
        <v/>
      </c>
      <c r="M1069" s="9">
        <f>L1069-L1069*VLOOKUP($O1069,매칭테이블!$G:$J,3,0)</f>
        <v/>
      </c>
      <c r="N1069" s="9">
        <f>VLOOKUP($O1069,매칭테이블!$G:$J,4,0)*H1069</f>
        <v/>
      </c>
      <c r="O1069" s="9">
        <f>F1069&amp;E1069&amp;G1069&amp;J1069</f>
        <v/>
      </c>
    </row>
    <row r="1070">
      <c r="B1070" s="10" t="n">
        <v>44246</v>
      </c>
      <c r="C1070" s="9">
        <f>TEXT(B1070,"aaa")</f>
        <v/>
      </c>
      <c r="E1070" s="9">
        <f>INDEX(매칭테이블!C:C,MATCH(RD!G1070,매칭테이블!D:D,0))</f>
        <v/>
      </c>
      <c r="F1070" s="9" t="inlineStr">
        <is>
          <t>카페24</t>
        </is>
      </c>
      <c r="G1070" s="9" t="inlineStr">
        <is>
          <t>라베나 리커버리 15 리바이탈 바이오플라보노이드샴푸 [HAIR RÉ:COVERY 15 Revital Shampoo]제품선택=리바이탈 샴푸 2개 세트 5%추가할인</t>
        </is>
      </c>
      <c r="H1070" s="9" t="n">
        <v>72</v>
      </c>
      <c r="I1070" s="9">
        <f>VLOOKUP(G1070,[1]매칭테이블!D:E,2,0)</f>
        <v/>
      </c>
      <c r="J1070" s="9" t="n">
        <v>210201</v>
      </c>
      <c r="L1070" s="9">
        <f>VLOOKUP($O1070,매칭테이블!$G:$J,2,0)*H1070</f>
        <v/>
      </c>
      <c r="M1070" s="9">
        <f>L1070-L1070*VLOOKUP($O1070,매칭테이블!$G:$J,3,0)</f>
        <v/>
      </c>
      <c r="N1070" s="9">
        <f>VLOOKUP($O1070,매칭테이블!$G:$J,4,0)*H1070</f>
        <v/>
      </c>
      <c r="O1070" s="9">
        <f>F1070&amp;E1070&amp;G1070&amp;J1070</f>
        <v/>
      </c>
    </row>
    <row r="1071">
      <c r="B1071" s="10" t="n">
        <v>44246</v>
      </c>
      <c r="C1071" s="9">
        <f>TEXT(B1071,"aaa")</f>
        <v/>
      </c>
      <c r="E1071" s="9">
        <f>INDEX(매칭테이블!C:C,MATCH(RD!G1071,매칭테이블!D:D,0))</f>
        <v/>
      </c>
      <c r="F1071" s="9" t="inlineStr">
        <is>
          <t>카페24</t>
        </is>
      </c>
      <c r="G1071" s="9" t="inlineStr">
        <is>
          <t>라베나 리커버리 15 리바이탈 바이오플라보노이드샴푸 [HAIR RÉ:COVERY 15 Revital Shampoo]제품선택=리바이탈 샴푸 3개 세트 10% 추가할인</t>
        </is>
      </c>
      <c r="H1071" s="9" t="n">
        <v>19</v>
      </c>
      <c r="I1071" s="9">
        <f>VLOOKUP(G1071,[1]매칭테이블!D:E,2,0)</f>
        <v/>
      </c>
      <c r="J1071" s="9" t="n">
        <v>210201</v>
      </c>
      <c r="L1071" s="9">
        <f>VLOOKUP($O1071,매칭테이블!$G:$J,2,0)*H1071</f>
        <v/>
      </c>
      <c r="M1071" s="9">
        <f>L1071-L1071*VLOOKUP($O1071,매칭테이블!$G:$J,3,0)</f>
        <v/>
      </c>
      <c r="N1071" s="9">
        <f>VLOOKUP($O1071,매칭테이블!$G:$J,4,0)*H1071</f>
        <v/>
      </c>
      <c r="O1071" s="9">
        <f>F1071&amp;E1071&amp;G1071&amp;J1071</f>
        <v/>
      </c>
    </row>
    <row r="1072">
      <c r="B1072" s="10" t="n">
        <v>44246</v>
      </c>
      <c r="C1072" s="9">
        <f>TEXT(B1072,"aaa")</f>
        <v/>
      </c>
      <c r="E1072" s="9">
        <f>INDEX(매칭테이블!C:C,MATCH(RD!G1072,매칭테이블!D:D,0))</f>
        <v/>
      </c>
      <c r="F1072" s="9" t="inlineStr">
        <is>
          <t>카페24</t>
        </is>
      </c>
      <c r="G1072" s="9" t="inlineStr">
        <is>
          <t>라베나 리커버리 15 헤어팩 트리트먼트 [HAIR RÉ:COVERY 15 Hairpack Treatment]제품선택=헤어 리커버리 15 헤어팩 트리트먼트</t>
        </is>
      </c>
      <c r="H1072" s="9" t="n">
        <v>8</v>
      </c>
      <c r="I1072" s="9">
        <f>VLOOKUP(G1072,[1]매칭테이블!D:E,2,0)</f>
        <v/>
      </c>
      <c r="J1072" s="9" t="n">
        <v>210201</v>
      </c>
      <c r="L1072" s="9">
        <f>VLOOKUP($O1072,매칭테이블!$G:$J,2,0)*H1072</f>
        <v/>
      </c>
      <c r="M1072" s="9">
        <f>L1072-L1072*VLOOKUP($O1072,매칭테이블!$G:$J,3,0)</f>
        <v/>
      </c>
      <c r="N1072" s="9">
        <f>VLOOKUP($O1072,매칭테이블!$G:$J,4,0)*H1072</f>
        <v/>
      </c>
      <c r="O1072" s="9">
        <f>F1072&amp;E1072&amp;G1072&amp;J1072</f>
        <v/>
      </c>
    </row>
    <row r="1073">
      <c r="B1073" s="10" t="n">
        <v>44246</v>
      </c>
      <c r="C1073" s="9">
        <f>TEXT(B1073,"aaa")</f>
        <v/>
      </c>
      <c r="E1073" s="9">
        <f>INDEX(매칭테이블!C:C,MATCH(RD!G1073,매칭테이블!D:D,0))</f>
        <v/>
      </c>
      <c r="F1073" s="9" t="inlineStr">
        <is>
          <t>카페24</t>
        </is>
      </c>
      <c r="G1073" s="9" t="inlineStr">
        <is>
          <t>라베나 리커버리 15 헤어팩 트리트먼트 [HAIR RÉ:COVERY 15 Hairpack Treatment]제품선택=헤어팩 트리트먼트 2개 세트 5% 추가할인</t>
        </is>
      </c>
      <c r="H1073" s="9" t="n">
        <v>3</v>
      </c>
      <c r="I1073" s="9">
        <f>VLOOKUP(G1073,[1]매칭테이블!D:E,2,0)</f>
        <v/>
      </c>
      <c r="J1073" s="9" t="n">
        <v>210201</v>
      </c>
      <c r="L1073" s="9">
        <f>VLOOKUP($O1073,매칭테이블!$G:$J,2,0)*H1073</f>
        <v/>
      </c>
      <c r="M1073" s="9">
        <f>L1073-L1073*VLOOKUP($O1073,매칭테이블!$G:$J,3,0)</f>
        <v/>
      </c>
      <c r="N1073" s="9">
        <f>VLOOKUP($O1073,매칭테이블!$G:$J,4,0)*H1073</f>
        <v/>
      </c>
      <c r="O1073" s="9">
        <f>F1073&amp;E1073&amp;G1073&amp;J1073</f>
        <v/>
      </c>
    </row>
    <row r="1074">
      <c r="B1074" s="10" t="n">
        <v>44246</v>
      </c>
      <c r="C1074" s="9">
        <f>TEXT(B1074,"aaa")</f>
        <v/>
      </c>
      <c r="E1074" s="9">
        <f>INDEX(매칭테이블!C:C,MATCH(RD!G1074,매칭테이블!D:D,0))</f>
        <v/>
      </c>
      <c r="F1074" s="9" t="inlineStr">
        <is>
          <t>카페24</t>
        </is>
      </c>
      <c r="G1074" s="9" t="inlineStr">
        <is>
          <t>라베나 리커버리 15 헤어팩 트리트먼트 [HAIR RÉ:COVERY 15 Hairpack Treatment]제품선택=헤어팩 트리트먼트 1개 + 뉴트리셔스밤 1개 세트 5% 추가할인</t>
        </is>
      </c>
      <c r="H1074" s="9" t="n">
        <v>1</v>
      </c>
      <c r="I1074" s="9">
        <f>VLOOKUP(G1074,[1]매칭테이블!D:E,2,0)</f>
        <v/>
      </c>
      <c r="J1074" s="9" t="n">
        <v>210201</v>
      </c>
      <c r="L1074" s="9">
        <f>VLOOKUP($O1074,매칭테이블!$G:$J,2,0)*H1074</f>
        <v/>
      </c>
      <c r="M1074" s="9">
        <f>L1074-L1074*VLOOKUP($O1074,매칭테이블!$G:$J,3,0)</f>
        <v/>
      </c>
      <c r="N1074" s="9">
        <f>VLOOKUP($O1074,매칭테이블!$G:$J,4,0)*H1074</f>
        <v/>
      </c>
      <c r="O1074" s="9">
        <f>F1074&amp;E1074&amp;G1074&amp;J1074</f>
        <v/>
      </c>
    </row>
    <row r="1075">
      <c r="B1075" s="10" t="n">
        <v>44247</v>
      </c>
      <c r="C1075" s="9">
        <f>TEXT(B1075,"aaa")</f>
        <v/>
      </c>
      <c r="E1075" s="9">
        <f>INDEX(매칭테이블!C:C,MATCH(RD!G1075,매칭테이블!D:D,0))</f>
        <v/>
      </c>
      <c r="F1075" s="9" t="inlineStr">
        <is>
          <t>카페24</t>
        </is>
      </c>
      <c r="G1075" s="9" t="inlineStr">
        <is>
          <t>라베나 리커버리 15 뉴트리셔스 밤 [HAIR RÉ:COVERY 15 Nutritious Balm]제품선택=헤어 리커버리 15 뉴트리셔스 밤</t>
        </is>
      </c>
      <c r="H1075" s="9" t="n">
        <v>4</v>
      </c>
      <c r="I1075" s="9">
        <f>VLOOKUP(G1075,[1]매칭테이블!D:E,2,0)</f>
        <v/>
      </c>
      <c r="J1075" s="9" t="n">
        <v>210201</v>
      </c>
      <c r="L1075" s="9">
        <f>VLOOKUP($O1075,매칭테이블!$G:$J,2,0)*H1075</f>
        <v/>
      </c>
      <c r="M1075" s="9">
        <f>L1075-L1075*VLOOKUP($O1075,매칭테이블!$G:$J,3,0)</f>
        <v/>
      </c>
      <c r="N1075" s="9">
        <f>VLOOKUP($O1075,매칭테이블!$G:$J,4,0)*H1075</f>
        <v/>
      </c>
      <c r="O1075" s="9">
        <f>F1075&amp;E1075&amp;G1075&amp;J1075</f>
        <v/>
      </c>
    </row>
    <row r="1076">
      <c r="B1076" s="10" t="n">
        <v>44247</v>
      </c>
      <c r="C1076" s="9">
        <f>TEXT(B1076,"aaa")</f>
        <v/>
      </c>
      <c r="E1076" s="9">
        <f>INDEX(매칭테이블!C:C,MATCH(RD!G1076,매칭테이블!D:D,0))</f>
        <v/>
      </c>
      <c r="F1076" s="9" t="inlineStr">
        <is>
          <t>카페24</t>
        </is>
      </c>
      <c r="G1076" s="9" t="inlineStr">
        <is>
          <t>라베나 리커버리 15 뉴트리셔스 밤 [HAIR RÉ:COVERY 15 Nutritious Balm]제품선택=뉴트리셔스 밤 2개 세트 5% 추가할인</t>
        </is>
      </c>
      <c r="H1076" s="9" t="n">
        <v>2</v>
      </c>
      <c r="I1076" s="9">
        <f>VLOOKUP(G1076,[1]매칭테이블!D:E,2,0)</f>
        <v/>
      </c>
      <c r="J1076" s="9" t="n">
        <v>210201</v>
      </c>
      <c r="L1076" s="9">
        <f>VLOOKUP($O1076,매칭테이블!$G:$J,2,0)*H1076</f>
        <v/>
      </c>
      <c r="M1076" s="9">
        <f>L1076-L1076*VLOOKUP($O1076,매칭테이블!$G:$J,3,0)</f>
        <v/>
      </c>
      <c r="N1076" s="9">
        <f>VLOOKUP($O1076,매칭테이블!$G:$J,4,0)*H1076</f>
        <v/>
      </c>
      <c r="O1076" s="9">
        <f>F1076&amp;E1076&amp;G1076&amp;J1076</f>
        <v/>
      </c>
    </row>
    <row r="1077">
      <c r="B1077" s="10" t="n">
        <v>44247</v>
      </c>
      <c r="C1077" s="9">
        <f>TEXT(B1077,"aaa")</f>
        <v/>
      </c>
      <c r="E1077" s="9">
        <f>INDEX(매칭테이블!C:C,MATCH(RD!G1077,매칭테이블!D:D,0))</f>
        <v/>
      </c>
      <c r="F1077" s="9" t="inlineStr">
        <is>
          <t>카페24</t>
        </is>
      </c>
      <c r="G1077" s="9" t="inlineStr">
        <is>
          <t>라베나 리커버리 15 뉴트리셔스 밤 [HAIR RÉ:COVERY 15 Nutritious Balm]제품선택=뉴트리셔스 밤 3개 세트 10% 추가할인</t>
        </is>
      </c>
      <c r="H1077" s="9" t="n">
        <v>1</v>
      </c>
      <c r="I1077" s="9">
        <f>VLOOKUP(G1077,[1]매칭테이블!D:E,2,0)</f>
        <v/>
      </c>
      <c r="J1077" s="9" t="n">
        <v>210201</v>
      </c>
      <c r="L1077" s="9">
        <f>VLOOKUP($O1077,매칭테이블!$G:$J,2,0)*H1077</f>
        <v/>
      </c>
      <c r="M1077" s="9">
        <f>L1077-L1077*VLOOKUP($O1077,매칭테이블!$G:$J,3,0)</f>
        <v/>
      </c>
      <c r="N1077" s="9">
        <f>VLOOKUP($O1077,매칭테이블!$G:$J,4,0)*H1077</f>
        <v/>
      </c>
      <c r="O1077" s="9">
        <f>F1077&amp;E1077&amp;G1077&amp;J1077</f>
        <v/>
      </c>
    </row>
    <row r="1078">
      <c r="B1078" s="10" t="n">
        <v>44247</v>
      </c>
      <c r="C1078" s="9">
        <f>TEXT(B1078,"aaa")</f>
        <v/>
      </c>
      <c r="E1078" s="9">
        <f>INDEX(매칭테이블!C:C,MATCH(RD!G1078,매칭테이블!D:D,0))</f>
        <v/>
      </c>
      <c r="F1078" s="9" t="inlineStr">
        <is>
          <t>카페24</t>
        </is>
      </c>
      <c r="G1078" s="9" t="inlineStr">
        <is>
          <t>라베나 리커버리 15 뉴트리셔스 밤 [HAIR RÉ:COVERY 15 Nutritious Balm]제품선택=뉴트리셔스밤 1개 + 헤어팩 트리트먼트 1개 세트 5%추가할인</t>
        </is>
      </c>
      <c r="H1078" s="9" t="n">
        <v>1</v>
      </c>
      <c r="I1078" s="9">
        <f>VLOOKUP(G1078,[1]매칭테이블!D:E,2,0)</f>
        <v/>
      </c>
      <c r="J1078" s="9" t="n">
        <v>210201</v>
      </c>
      <c r="L1078" s="9">
        <f>VLOOKUP($O1078,매칭테이블!$G:$J,2,0)*H1078</f>
        <v/>
      </c>
      <c r="M1078" s="9">
        <f>L1078-L1078*VLOOKUP($O1078,매칭테이블!$G:$J,3,0)</f>
        <v/>
      </c>
      <c r="N1078" s="9">
        <f>VLOOKUP($O1078,매칭테이블!$G:$J,4,0)*H1078</f>
        <v/>
      </c>
      <c r="O1078" s="9">
        <f>F1078&amp;E1078&amp;G1078&amp;J1078</f>
        <v/>
      </c>
    </row>
    <row r="1079">
      <c r="B1079" s="10" t="n">
        <v>44247</v>
      </c>
      <c r="C1079" s="9">
        <f>TEXT(B1079,"aaa")</f>
        <v/>
      </c>
      <c r="E1079" s="9">
        <f>INDEX(매칭테이블!C:C,MATCH(RD!G1079,매칭테이블!D:D,0))</f>
        <v/>
      </c>
      <c r="F1079" s="9" t="inlineStr">
        <is>
          <t>카페24</t>
        </is>
      </c>
      <c r="G1079" s="9" t="inlineStr">
        <is>
          <t>라베나 리커버리 15 리바이탈 바이오플라보노이드샴푸 [HAIR RÉ:COVERY 15 Revital Shampoo]제품선택=헤어 리커버리 15 리바이탈 샴푸 - 500ml</t>
        </is>
      </c>
      <c r="H1079" s="9" t="n">
        <v>223</v>
      </c>
      <c r="I1079" s="9">
        <f>VLOOKUP(G1079,[1]매칭테이블!D:E,2,0)</f>
        <v/>
      </c>
      <c r="J1079" s="9" t="n">
        <v>210201</v>
      </c>
      <c r="L1079" s="9">
        <f>VLOOKUP($O1079,매칭테이블!$G:$J,2,0)*H1079</f>
        <v/>
      </c>
      <c r="M1079" s="9">
        <f>L1079-L1079*VLOOKUP($O1079,매칭테이블!$G:$J,3,0)</f>
        <v/>
      </c>
      <c r="N1079" s="9">
        <f>VLOOKUP($O1079,매칭테이블!$G:$J,4,0)*H1079</f>
        <v/>
      </c>
      <c r="O1079" s="9">
        <f>F1079&amp;E1079&amp;G1079&amp;J1079</f>
        <v/>
      </c>
    </row>
    <row r="1080">
      <c r="B1080" s="10" t="n">
        <v>44247</v>
      </c>
      <c r="C1080" s="9">
        <f>TEXT(B1080,"aaa")</f>
        <v/>
      </c>
      <c r="E1080" s="9">
        <f>INDEX(매칭테이블!C:C,MATCH(RD!G1080,매칭테이블!D:D,0))</f>
        <v/>
      </c>
      <c r="F1080" s="9" t="inlineStr">
        <is>
          <t>카페24</t>
        </is>
      </c>
      <c r="G1080" s="9" t="inlineStr">
        <is>
          <t>라베나 리커버리 15 리바이탈 바이오플라보노이드샴푸 [HAIR RÉ:COVERY 15 Revital Shampoo]제품선택=리바이탈 샴푸 2개 세트 5%추가할인</t>
        </is>
      </c>
      <c r="H1080" s="9" t="n">
        <v>61</v>
      </c>
      <c r="I1080" s="9">
        <f>VLOOKUP(G1080,[1]매칭테이블!D:E,2,0)</f>
        <v/>
      </c>
      <c r="J1080" s="9" t="n">
        <v>210201</v>
      </c>
      <c r="L1080" s="9">
        <f>VLOOKUP($O1080,매칭테이블!$G:$J,2,0)*H1080</f>
        <v/>
      </c>
      <c r="M1080" s="9">
        <f>L1080-L1080*VLOOKUP($O1080,매칭테이블!$G:$J,3,0)</f>
        <v/>
      </c>
      <c r="N1080" s="9">
        <f>VLOOKUP($O1080,매칭테이블!$G:$J,4,0)*H1080</f>
        <v/>
      </c>
      <c r="O1080" s="9">
        <f>F1080&amp;E1080&amp;G1080&amp;J1080</f>
        <v/>
      </c>
    </row>
    <row r="1081">
      <c r="B1081" s="10" t="n">
        <v>44247</v>
      </c>
      <c r="C1081" s="9">
        <f>TEXT(B1081,"aaa")</f>
        <v/>
      </c>
      <c r="E1081" s="9">
        <f>INDEX(매칭테이블!C:C,MATCH(RD!G1081,매칭테이블!D:D,0))</f>
        <v/>
      </c>
      <c r="F1081" s="9" t="inlineStr">
        <is>
          <t>카페24</t>
        </is>
      </c>
      <c r="G1081" s="9" t="inlineStr">
        <is>
          <t>라베나 리커버리 15 리바이탈 바이오플라보노이드샴푸 [HAIR RÉ:COVERY 15 Revital Shampoo]제품선택=리바이탈 샴푸 3개 세트 10% 추가할인</t>
        </is>
      </c>
      <c r="H1081" s="9" t="n">
        <v>41</v>
      </c>
      <c r="I1081" s="9">
        <f>VLOOKUP(G1081,[1]매칭테이블!D:E,2,0)</f>
        <v/>
      </c>
      <c r="J1081" s="9" t="n">
        <v>210201</v>
      </c>
      <c r="L1081" s="9">
        <f>VLOOKUP($O1081,매칭테이블!$G:$J,2,0)*H1081</f>
        <v/>
      </c>
      <c r="M1081" s="9">
        <f>L1081-L1081*VLOOKUP($O1081,매칭테이블!$G:$J,3,0)</f>
        <v/>
      </c>
      <c r="N1081" s="9">
        <f>VLOOKUP($O1081,매칭테이블!$G:$J,4,0)*H1081</f>
        <v/>
      </c>
      <c r="O1081" s="9">
        <f>F1081&amp;E1081&amp;G1081&amp;J1081</f>
        <v/>
      </c>
    </row>
    <row r="1082">
      <c r="B1082" s="10" t="n">
        <v>44247</v>
      </c>
      <c r="C1082" s="9">
        <f>TEXT(B1082,"aaa")</f>
        <v/>
      </c>
      <c r="E1082" s="9">
        <f>INDEX(매칭테이블!C:C,MATCH(RD!G1082,매칭테이블!D:D,0))</f>
        <v/>
      </c>
      <c r="F1082" s="9" t="inlineStr">
        <is>
          <t>카페24</t>
        </is>
      </c>
      <c r="G1082" s="9" t="inlineStr">
        <is>
          <t>라베나 리커버리 15 헤어팩 트리트먼트 [HAIR RÉ:COVERY 15 Hairpack Treatment]제품선택=헤어 리커버리 15 헤어팩 트리트먼트</t>
        </is>
      </c>
      <c r="H1082" s="9" t="n">
        <v>4</v>
      </c>
      <c r="I1082" s="9">
        <f>VLOOKUP(G1082,[1]매칭테이블!D:E,2,0)</f>
        <v/>
      </c>
      <c r="J1082" s="9" t="n">
        <v>210201</v>
      </c>
      <c r="L1082" s="9">
        <f>VLOOKUP($O1082,매칭테이블!$G:$J,2,0)*H1082</f>
        <v/>
      </c>
      <c r="M1082" s="9">
        <f>L1082-L1082*VLOOKUP($O1082,매칭테이블!$G:$J,3,0)</f>
        <v/>
      </c>
      <c r="N1082" s="9">
        <f>VLOOKUP($O1082,매칭테이블!$G:$J,4,0)*H1082</f>
        <v/>
      </c>
      <c r="O1082" s="9">
        <f>F1082&amp;E1082&amp;G1082&amp;J1082</f>
        <v/>
      </c>
    </row>
    <row r="1083">
      <c r="B1083" s="10" t="n">
        <v>44247</v>
      </c>
      <c r="C1083" s="9">
        <f>TEXT(B1083,"aaa")</f>
        <v/>
      </c>
      <c r="E1083" s="9">
        <f>INDEX(매칭테이블!C:C,MATCH(RD!G1083,매칭테이블!D:D,0))</f>
        <v/>
      </c>
      <c r="F1083" s="9" t="inlineStr">
        <is>
          <t>카페24</t>
        </is>
      </c>
      <c r="G1083" s="9" t="inlineStr">
        <is>
          <t>라베나 리커버리 15 헤어팩 트리트먼트 [HAIR RÉ:COVERY 15 Hairpack Treatment]제품선택=헤어팩 트리트먼트 2개 세트 5% 추가할인</t>
        </is>
      </c>
      <c r="H1083" s="9" t="n">
        <v>1</v>
      </c>
      <c r="I1083" s="9">
        <f>VLOOKUP(G1083,[1]매칭테이블!D:E,2,0)</f>
        <v/>
      </c>
      <c r="J1083" s="9" t="n">
        <v>210201</v>
      </c>
      <c r="L1083" s="9">
        <f>VLOOKUP($O1083,매칭테이블!$G:$J,2,0)*H1083</f>
        <v/>
      </c>
      <c r="M1083" s="9">
        <f>L1083-L1083*VLOOKUP($O1083,매칭테이블!$G:$J,3,0)</f>
        <v/>
      </c>
      <c r="N1083" s="9">
        <f>VLOOKUP($O1083,매칭테이블!$G:$J,4,0)*H1083</f>
        <v/>
      </c>
      <c r="O1083" s="9">
        <f>F1083&amp;E1083&amp;G1083&amp;J1083</f>
        <v/>
      </c>
    </row>
    <row r="1084">
      <c r="B1084" s="10" t="n">
        <v>44247</v>
      </c>
      <c r="C1084" s="9">
        <f>TEXT(B1084,"aaa")</f>
        <v/>
      </c>
      <c r="E1084" s="9">
        <f>INDEX(매칭테이블!C:C,MATCH(RD!G1084,매칭테이블!D:D,0))</f>
        <v/>
      </c>
      <c r="F1084" s="9" t="inlineStr">
        <is>
          <t>카페24</t>
        </is>
      </c>
      <c r="G1084" s="9" t="inlineStr">
        <is>
          <t>라베나 리커버리 15 헤어팩 트리트먼트 [HAIR RÉ:COVERY 15 Hairpack Treatment]제품선택=헤어팩 트리트먼트 1개 + 뉴트리셔스밤 1개 세트 5% 추가할인</t>
        </is>
      </c>
      <c r="H1084" s="9" t="n">
        <v>1</v>
      </c>
      <c r="I1084" s="9">
        <f>VLOOKUP(G1084,[1]매칭테이블!D:E,2,0)</f>
        <v/>
      </c>
      <c r="J1084" s="9" t="n">
        <v>210201</v>
      </c>
      <c r="L1084" s="9">
        <f>VLOOKUP($O1084,매칭테이블!$G:$J,2,0)*H1084</f>
        <v/>
      </c>
      <c r="M1084" s="9">
        <f>L1084-L1084*VLOOKUP($O1084,매칭테이블!$G:$J,3,0)</f>
        <v/>
      </c>
      <c r="N1084" s="9">
        <f>VLOOKUP($O1084,매칭테이블!$G:$J,4,0)*H1084</f>
        <v/>
      </c>
      <c r="O1084" s="9">
        <f>F1084&amp;E1084&amp;G1084&amp;J1084</f>
        <v/>
      </c>
    </row>
    <row r="1085">
      <c r="B1085" s="10" t="n">
        <v>44248</v>
      </c>
      <c r="C1085" s="9">
        <f>TEXT(B1085,"aaa")</f>
        <v/>
      </c>
      <c r="E1085" s="9">
        <f>INDEX(매칭테이블!C:C,MATCH(RD!G1085,매칭테이블!D:D,0))</f>
        <v/>
      </c>
      <c r="F1085" s="9" t="inlineStr">
        <is>
          <t>카페24</t>
        </is>
      </c>
      <c r="G1085" s="9" t="inlineStr">
        <is>
          <t>라베나 리커버리 15 뉴트리셔스 밤 [HAIR RÉ:COVERY 15 Nutritious Balm]제품선택=헤어 리커버리 15 뉴트리셔스 밤</t>
        </is>
      </c>
      <c r="H1085" s="9" t="n">
        <v>7</v>
      </c>
      <c r="I1085" s="9">
        <f>VLOOKUP(G1085,[1]매칭테이블!D:E,2,0)</f>
        <v/>
      </c>
      <c r="J1085" s="9" t="n">
        <v>210201</v>
      </c>
      <c r="L1085" s="9">
        <f>VLOOKUP($O1085,매칭테이블!$G:$J,2,0)*H1085</f>
        <v/>
      </c>
      <c r="M1085" s="9">
        <f>L1085-L1085*VLOOKUP($O1085,매칭테이블!$G:$J,3,0)</f>
        <v/>
      </c>
      <c r="N1085" s="9">
        <f>VLOOKUP($O1085,매칭테이블!$G:$J,4,0)*H1085</f>
        <v/>
      </c>
      <c r="O1085" s="9">
        <f>F1085&amp;E1085&amp;G1085&amp;J1085</f>
        <v/>
      </c>
    </row>
    <row r="1086">
      <c r="B1086" s="10" t="n">
        <v>44248</v>
      </c>
      <c r="C1086" s="9">
        <f>TEXT(B1086,"aaa")</f>
        <v/>
      </c>
      <c r="E1086" s="9">
        <f>INDEX(매칭테이블!C:C,MATCH(RD!G1086,매칭테이블!D:D,0))</f>
        <v/>
      </c>
      <c r="F1086" s="9" t="inlineStr">
        <is>
          <t>카페24</t>
        </is>
      </c>
      <c r="G1086" s="9" t="inlineStr">
        <is>
          <t>라베나 리커버리 15 뉴트리셔스 밤 [HAIR RÉ:COVERY 15 Nutritious Balm]제품선택=뉴트리셔스 밤 2개 세트 5% 추가할인</t>
        </is>
      </c>
      <c r="H1086" s="9" t="n">
        <v>1</v>
      </c>
      <c r="I1086" s="9">
        <f>VLOOKUP(G1086,[1]매칭테이블!D:E,2,0)</f>
        <v/>
      </c>
      <c r="J1086" s="9" t="n">
        <v>210201</v>
      </c>
      <c r="L1086" s="9">
        <f>VLOOKUP($O1086,매칭테이블!$G:$J,2,0)*H1086</f>
        <v/>
      </c>
      <c r="M1086" s="9">
        <f>L1086-L1086*VLOOKUP($O1086,매칭테이블!$G:$J,3,0)</f>
        <v/>
      </c>
      <c r="N1086" s="9">
        <f>VLOOKUP($O1086,매칭테이블!$G:$J,4,0)*H1086</f>
        <v/>
      </c>
      <c r="O1086" s="9">
        <f>F1086&amp;E1086&amp;G1086&amp;J1086</f>
        <v/>
      </c>
    </row>
    <row r="1087">
      <c r="B1087" s="10" t="n">
        <v>44248</v>
      </c>
      <c r="C1087" s="9">
        <f>TEXT(B1087,"aaa")</f>
        <v/>
      </c>
      <c r="E1087" s="9">
        <f>INDEX(매칭테이블!C:C,MATCH(RD!G1087,매칭테이블!D:D,0))</f>
        <v/>
      </c>
      <c r="F1087" s="9" t="inlineStr">
        <is>
          <t>카페24</t>
        </is>
      </c>
      <c r="G1087" s="9" t="inlineStr">
        <is>
          <t>라베나 리커버리 15 리바이탈 바이오플라보노이드샴푸 [HAIR RÉ:COVERY 15 Revital Shampoo]제품선택=헤어 리커버리 15 리바이탈 샴푸 - 500ml</t>
        </is>
      </c>
      <c r="H1087" s="9" t="n">
        <v>276</v>
      </c>
      <c r="I1087" s="9">
        <f>VLOOKUP(G1087,[1]매칭테이블!D:E,2,0)</f>
        <v/>
      </c>
      <c r="J1087" s="9" t="n">
        <v>210201</v>
      </c>
      <c r="L1087" s="9">
        <f>VLOOKUP($O1087,매칭테이블!$G:$J,2,0)*H1087</f>
        <v/>
      </c>
      <c r="M1087" s="9">
        <f>L1087-L1087*VLOOKUP($O1087,매칭테이블!$G:$J,3,0)</f>
        <v/>
      </c>
      <c r="N1087" s="9">
        <f>VLOOKUP($O1087,매칭테이블!$G:$J,4,0)*H1087</f>
        <v/>
      </c>
      <c r="O1087" s="9">
        <f>F1087&amp;E1087&amp;G1087&amp;J1087</f>
        <v/>
      </c>
    </row>
    <row r="1088">
      <c r="B1088" s="10" t="n">
        <v>44248</v>
      </c>
      <c r="C1088" s="9">
        <f>TEXT(B1088,"aaa")</f>
        <v/>
      </c>
      <c r="E1088" s="9">
        <f>INDEX(매칭테이블!C:C,MATCH(RD!G1088,매칭테이블!D:D,0))</f>
        <v/>
      </c>
      <c r="F1088" s="9" t="inlineStr">
        <is>
          <t>카페24</t>
        </is>
      </c>
      <c r="G1088" s="9" t="inlineStr">
        <is>
          <t>라베나 리커버리 15 리바이탈 바이오플라보노이드샴푸 [HAIR RÉ:COVERY 15 Revital Shampoo]제품선택=리바이탈 샴푸 2개 세트 5%추가할인</t>
        </is>
      </c>
      <c r="H1088" s="9" t="n">
        <v>74</v>
      </c>
      <c r="I1088" s="9">
        <f>VLOOKUP(G1088,[1]매칭테이블!D:E,2,0)</f>
        <v/>
      </c>
      <c r="J1088" s="9" t="n">
        <v>210201</v>
      </c>
      <c r="L1088" s="9">
        <f>VLOOKUP($O1088,매칭테이블!$G:$J,2,0)*H1088</f>
        <v/>
      </c>
      <c r="M1088" s="9">
        <f>L1088-L1088*VLOOKUP($O1088,매칭테이블!$G:$J,3,0)</f>
        <v/>
      </c>
      <c r="N1088" s="9">
        <f>VLOOKUP($O1088,매칭테이블!$G:$J,4,0)*H1088</f>
        <v/>
      </c>
      <c r="O1088" s="9">
        <f>F1088&amp;E1088&amp;G1088&amp;J1088</f>
        <v/>
      </c>
    </row>
    <row r="1089">
      <c r="B1089" s="10" t="n">
        <v>44248</v>
      </c>
      <c r="C1089" s="9">
        <f>TEXT(B1089,"aaa")</f>
        <v/>
      </c>
      <c r="E1089" s="9">
        <f>INDEX(매칭테이블!C:C,MATCH(RD!G1089,매칭테이블!D:D,0))</f>
        <v/>
      </c>
      <c r="F1089" s="9" t="inlineStr">
        <is>
          <t>카페24</t>
        </is>
      </c>
      <c r="G1089" s="9" t="inlineStr">
        <is>
          <t>라베나 리커버리 15 리바이탈 바이오플라보노이드샴푸 [HAIR RÉ:COVERY 15 Revital Shampoo]제품선택=리바이탈 샴푸 3개 세트 10% 추가할인</t>
        </is>
      </c>
      <c r="H1089" s="9" t="n">
        <v>18</v>
      </c>
      <c r="I1089" s="9">
        <f>VLOOKUP(G1089,[1]매칭테이블!D:E,2,0)</f>
        <v/>
      </c>
      <c r="J1089" s="9" t="n">
        <v>210201</v>
      </c>
      <c r="L1089" s="9">
        <f>VLOOKUP($O1089,매칭테이블!$G:$J,2,0)*H1089</f>
        <v/>
      </c>
      <c r="M1089" s="9">
        <f>L1089-L1089*VLOOKUP($O1089,매칭테이블!$G:$J,3,0)</f>
        <v/>
      </c>
      <c r="N1089" s="9">
        <f>VLOOKUP($O1089,매칭테이블!$G:$J,4,0)*H1089</f>
        <v/>
      </c>
      <c r="O1089" s="9">
        <f>F1089&amp;E1089&amp;G1089&amp;J1089</f>
        <v/>
      </c>
    </row>
    <row r="1090">
      <c r="B1090" s="10" t="n">
        <v>44248</v>
      </c>
      <c r="C1090" s="9">
        <f>TEXT(B1090,"aaa")</f>
        <v/>
      </c>
      <c r="E1090" s="9">
        <f>INDEX(매칭테이블!C:C,MATCH(RD!G1090,매칭테이블!D:D,0))</f>
        <v/>
      </c>
      <c r="F1090" s="9" t="inlineStr">
        <is>
          <t>카페24</t>
        </is>
      </c>
      <c r="G1090" s="9" t="inlineStr">
        <is>
          <t>라베나 리커버리 15 헤어팩 트리트먼트 [HAIR RÉ:COVERY 15 Hairpack Treatment]제품선택=헤어 리커버리 15 헤어팩 트리트먼트</t>
        </is>
      </c>
      <c r="H1090" s="9" t="n">
        <v>7</v>
      </c>
      <c r="I1090" s="9">
        <f>VLOOKUP(G1090,[1]매칭테이블!D:E,2,0)</f>
        <v/>
      </c>
      <c r="J1090" s="9" t="n">
        <v>210201</v>
      </c>
      <c r="L1090" s="9">
        <f>VLOOKUP($O1090,매칭테이블!$G:$J,2,0)*H1090</f>
        <v/>
      </c>
      <c r="M1090" s="9">
        <f>L1090-L1090*VLOOKUP($O1090,매칭테이블!$G:$J,3,0)</f>
        <v/>
      </c>
      <c r="N1090" s="9">
        <f>VLOOKUP($O1090,매칭테이블!$G:$J,4,0)*H1090</f>
        <v/>
      </c>
      <c r="O1090" s="9">
        <f>F1090&amp;E1090&amp;G1090&amp;J1090</f>
        <v/>
      </c>
    </row>
    <row r="1091">
      <c r="B1091" s="10" t="n">
        <v>44248</v>
      </c>
      <c r="C1091" s="9">
        <f>TEXT(B1091,"aaa")</f>
        <v/>
      </c>
      <c r="E1091" s="9">
        <f>INDEX(매칭테이블!C:C,MATCH(RD!G1091,매칭테이블!D:D,0))</f>
        <v/>
      </c>
      <c r="F1091" s="9" t="inlineStr">
        <is>
          <t>카페24</t>
        </is>
      </c>
      <c r="G1091" s="9" t="inlineStr">
        <is>
          <t>라베나 리커버리 15 헤어팩 트리트먼트 [HAIR RÉ:COVERY 15 Hairpack Treatment]제품선택=헤어팩 트리트먼트 2개 세트 5% 추가할인</t>
        </is>
      </c>
      <c r="H1091" s="9" t="n">
        <v>1</v>
      </c>
      <c r="I1091" s="9">
        <f>VLOOKUP(G1091,[1]매칭테이블!D:E,2,0)</f>
        <v/>
      </c>
      <c r="J1091" s="9" t="n">
        <v>210201</v>
      </c>
      <c r="L1091" s="9">
        <f>VLOOKUP($O1091,매칭테이블!$G:$J,2,0)*H1091</f>
        <v/>
      </c>
      <c r="M1091" s="9">
        <f>L1091-L1091*VLOOKUP($O1091,매칭테이블!$G:$J,3,0)</f>
        <v/>
      </c>
      <c r="N1091" s="9">
        <f>VLOOKUP($O1091,매칭테이블!$G:$J,4,0)*H1091</f>
        <v/>
      </c>
      <c r="O1091" s="9">
        <f>F1091&amp;E1091&amp;G1091&amp;J1091</f>
        <v/>
      </c>
    </row>
    <row r="1092">
      <c r="B1092" s="10" t="n">
        <v>44248</v>
      </c>
      <c r="C1092" s="9">
        <f>TEXT(B1092,"aaa")</f>
        <v/>
      </c>
      <c r="E1092" s="9">
        <f>INDEX(매칭테이블!C:C,MATCH(RD!G1092,매칭테이블!D:D,0))</f>
        <v/>
      </c>
      <c r="F1092" s="9" t="inlineStr">
        <is>
          <t>카페24</t>
        </is>
      </c>
      <c r="G1092" s="9" t="inlineStr">
        <is>
          <t>라베나 리커버리 15 헤어팩 트리트먼트 [HAIR RÉ:COVERY 15 Hairpack Treatment]제품선택=헤어팩 트리트먼트 3개 세트 10% 추가할인</t>
        </is>
      </c>
      <c r="H1092" s="9" t="n">
        <v>1</v>
      </c>
      <c r="I1092" s="9">
        <f>VLOOKUP(G1092,[1]매칭테이블!D:E,2,0)</f>
        <v/>
      </c>
      <c r="J1092" s="9" t="n">
        <v>210201</v>
      </c>
      <c r="L1092" s="9">
        <f>VLOOKUP($O1092,매칭테이블!$G:$J,2,0)*H1092</f>
        <v/>
      </c>
      <c r="M1092" s="9">
        <f>L1092-L1092*VLOOKUP($O1092,매칭테이블!$G:$J,3,0)</f>
        <v/>
      </c>
      <c r="N1092" s="9">
        <f>VLOOKUP($O1092,매칭테이블!$G:$J,4,0)*H1092</f>
        <v/>
      </c>
      <c r="O1092" s="9">
        <f>F1092&amp;E1092&amp;G1092&amp;J1092</f>
        <v/>
      </c>
    </row>
    <row r="1093">
      <c r="B1093" s="10" t="n">
        <v>44249</v>
      </c>
      <c r="C1093" s="9">
        <f>TEXT(B1093,"aaa")</f>
        <v/>
      </c>
      <c r="E1093" s="9">
        <f>INDEX(매칭테이블!C:C,MATCH(RD!G1093,매칭테이블!D:D,0))</f>
        <v/>
      </c>
      <c r="F1093" s="9" t="inlineStr">
        <is>
          <t>카페24</t>
        </is>
      </c>
      <c r="G1093" s="9" t="inlineStr">
        <is>
          <t>라베나 리커버리 15 뉴트리셔스 밤 [HAIR RÉ:COVERY 15 Nutritious Balm]제품선택=헤어 리커버리 15 뉴트리셔스 밤</t>
        </is>
      </c>
      <c r="H1093" s="9" t="n">
        <v>8</v>
      </c>
      <c r="I1093" s="9">
        <f>VLOOKUP(G1093,[1]매칭테이블!D:E,2,0)</f>
        <v/>
      </c>
      <c r="J1093" s="9" t="n">
        <v>210201</v>
      </c>
      <c r="L1093" s="9">
        <f>VLOOKUP($O1093,매칭테이블!$G:$J,2,0)*H1093</f>
        <v/>
      </c>
      <c r="M1093" s="9">
        <f>L1093-L1093*VLOOKUP($O1093,매칭테이블!$G:$J,3,0)</f>
        <v/>
      </c>
      <c r="N1093" s="9">
        <f>VLOOKUP($O1093,매칭테이블!$G:$J,4,0)*H1093</f>
        <v/>
      </c>
      <c r="O1093" s="9">
        <f>F1093&amp;E1093&amp;G1093&amp;J1093</f>
        <v/>
      </c>
    </row>
    <row r="1094">
      <c r="B1094" s="10" t="n">
        <v>44249</v>
      </c>
      <c r="C1094" s="9">
        <f>TEXT(B1094,"aaa")</f>
        <v/>
      </c>
      <c r="E1094" s="9">
        <f>INDEX(매칭테이블!C:C,MATCH(RD!G1094,매칭테이블!D:D,0))</f>
        <v/>
      </c>
      <c r="F1094" s="9" t="inlineStr">
        <is>
          <t>카페24</t>
        </is>
      </c>
      <c r="G1094" s="9" t="inlineStr">
        <is>
          <t>라베나 리커버리 15 뉴트리셔스 밤 [HAIR RÉ:COVERY 15 Nutritious Balm]제품선택=뉴트리셔스 밤 2개 세트 5% 추가할인</t>
        </is>
      </c>
      <c r="H1094" s="9" t="n">
        <v>1</v>
      </c>
      <c r="I1094" s="9">
        <f>VLOOKUP(G1094,[1]매칭테이블!D:E,2,0)</f>
        <v/>
      </c>
      <c r="J1094" s="9" t="n">
        <v>210201</v>
      </c>
      <c r="L1094" s="9">
        <f>VLOOKUP($O1094,매칭테이블!$G:$J,2,0)*H1094</f>
        <v/>
      </c>
      <c r="M1094" s="9">
        <f>L1094-L1094*VLOOKUP($O1094,매칭테이블!$G:$J,3,0)</f>
        <v/>
      </c>
      <c r="N1094" s="9">
        <f>VLOOKUP($O1094,매칭테이블!$G:$J,4,0)*H1094</f>
        <v/>
      </c>
      <c r="O1094" s="9">
        <f>F1094&amp;E1094&amp;G1094&amp;J1094</f>
        <v/>
      </c>
    </row>
    <row r="1095">
      <c r="B1095" s="10" t="n">
        <v>44249</v>
      </c>
      <c r="C1095" s="9">
        <f>TEXT(B1095,"aaa")</f>
        <v/>
      </c>
      <c r="E1095" s="9">
        <f>INDEX(매칭테이블!C:C,MATCH(RD!G1095,매칭테이블!D:D,0))</f>
        <v/>
      </c>
      <c r="F1095" s="9" t="inlineStr">
        <is>
          <t>카페24</t>
        </is>
      </c>
      <c r="G1095" s="9" t="inlineStr">
        <is>
          <t>라베나 리커버리 15 뉴트리셔스 밤 [HAIR RÉ:COVERY 15 Nutritious Balm]제품선택=뉴트리셔스 밤 3개 세트 10% 추가할인</t>
        </is>
      </c>
      <c r="H1095" s="9" t="n">
        <v>1</v>
      </c>
      <c r="I1095" s="9">
        <f>VLOOKUP(G1095,[1]매칭테이블!D:E,2,0)</f>
        <v/>
      </c>
      <c r="J1095" s="9" t="n">
        <v>210201</v>
      </c>
      <c r="L1095" s="9">
        <f>VLOOKUP($O1095,매칭테이블!$G:$J,2,0)*H1095</f>
        <v/>
      </c>
      <c r="M1095" s="9">
        <f>L1095-L1095*VLOOKUP($O1095,매칭테이블!$G:$J,3,0)</f>
        <v/>
      </c>
      <c r="N1095" s="9">
        <f>VLOOKUP($O1095,매칭테이블!$G:$J,4,0)*H1095</f>
        <v/>
      </c>
      <c r="O1095" s="9">
        <f>F1095&amp;E1095&amp;G1095&amp;J1095</f>
        <v/>
      </c>
    </row>
    <row r="1096">
      <c r="B1096" s="10" t="n">
        <v>44249</v>
      </c>
      <c r="C1096" s="9">
        <f>TEXT(B1096,"aaa")</f>
        <v/>
      </c>
      <c r="E1096" s="9">
        <f>INDEX(매칭테이블!C:C,MATCH(RD!G1096,매칭테이블!D:D,0))</f>
        <v/>
      </c>
      <c r="F1096" s="9" t="inlineStr">
        <is>
          <t>카페24</t>
        </is>
      </c>
      <c r="G1096" s="9" t="inlineStr">
        <is>
          <t>라베나 리커버리 15 뉴트리셔스 밤 [HAIR RÉ:COVERY 15 Nutritious Balm]제품선택=뉴트리셔스밤 1개 + 헤어팩 트리트먼트 1개 세트 5%추가할인</t>
        </is>
      </c>
      <c r="H1096" s="9" t="n">
        <v>1</v>
      </c>
      <c r="I1096" s="9">
        <f>VLOOKUP(G1096,[1]매칭테이블!D:E,2,0)</f>
        <v/>
      </c>
      <c r="J1096" s="9" t="n">
        <v>210201</v>
      </c>
      <c r="L1096" s="9">
        <f>VLOOKUP($O1096,매칭테이블!$G:$J,2,0)*H1096</f>
        <v/>
      </c>
      <c r="M1096" s="9">
        <f>L1096-L1096*VLOOKUP($O1096,매칭테이블!$G:$J,3,0)</f>
        <v/>
      </c>
      <c r="N1096" s="9">
        <f>VLOOKUP($O1096,매칭테이블!$G:$J,4,0)*H1096</f>
        <v/>
      </c>
      <c r="O1096" s="9">
        <f>F1096&amp;E1096&amp;G1096&amp;J1096</f>
        <v/>
      </c>
    </row>
    <row r="1097">
      <c r="B1097" s="10" t="n">
        <v>44249</v>
      </c>
      <c r="C1097" s="9">
        <f>TEXT(B1097,"aaa")</f>
        <v/>
      </c>
      <c r="E1097" s="9">
        <f>INDEX(매칭테이블!C:C,MATCH(RD!G1097,매칭테이블!D:D,0))</f>
        <v/>
      </c>
      <c r="F1097" s="9" t="inlineStr">
        <is>
          <t>카페24</t>
        </is>
      </c>
      <c r="G1097" s="9" t="inlineStr">
        <is>
          <t>라베나 리커버리 15 리바이탈 바이오플라보노이드샴푸 [HAIR RÉ:COVERY 15 Revital Shampoo]제품선택=헤어 리커버리 15 리바이탈 샴푸 - 500ml</t>
        </is>
      </c>
      <c r="H1097" s="9" t="n">
        <v>229</v>
      </c>
      <c r="I1097" s="9">
        <f>VLOOKUP(G1097,[1]매칭테이블!D:E,2,0)</f>
        <v/>
      </c>
      <c r="J1097" s="9" t="n">
        <v>210201</v>
      </c>
      <c r="L1097" s="9">
        <f>VLOOKUP($O1097,매칭테이블!$G:$J,2,0)*H1097</f>
        <v/>
      </c>
      <c r="M1097" s="9">
        <f>L1097-L1097*VLOOKUP($O1097,매칭테이블!$G:$J,3,0)</f>
        <v/>
      </c>
      <c r="N1097" s="9">
        <f>VLOOKUP($O1097,매칭테이블!$G:$J,4,0)*H1097</f>
        <v/>
      </c>
      <c r="O1097" s="9">
        <f>F1097&amp;E1097&amp;G1097&amp;J1097</f>
        <v/>
      </c>
    </row>
    <row r="1098">
      <c r="B1098" s="10" t="n">
        <v>44249</v>
      </c>
      <c r="C1098" s="9">
        <f>TEXT(B1098,"aaa")</f>
        <v/>
      </c>
      <c r="E1098" s="9">
        <f>INDEX(매칭테이블!C:C,MATCH(RD!G1098,매칭테이블!D:D,0))</f>
        <v/>
      </c>
      <c r="F1098" s="9" t="inlineStr">
        <is>
          <t>카페24</t>
        </is>
      </c>
      <c r="G1098" s="9" t="inlineStr">
        <is>
          <t>라베나 리커버리 15 리바이탈 바이오플라보노이드샴푸 [HAIR RÉ:COVERY 15 Revital Shampoo]제품선택=리바이탈 샴푸 2개 세트 5%추가할인</t>
        </is>
      </c>
      <c r="H1098" s="9" t="n">
        <v>74</v>
      </c>
      <c r="I1098" s="9">
        <f>VLOOKUP(G1098,[1]매칭테이블!D:E,2,0)</f>
        <v/>
      </c>
      <c r="J1098" s="9" t="n">
        <v>210201</v>
      </c>
      <c r="L1098" s="9">
        <f>VLOOKUP($O1098,매칭테이블!$G:$J,2,0)*H1098</f>
        <v/>
      </c>
      <c r="M1098" s="9">
        <f>L1098-L1098*VLOOKUP($O1098,매칭테이블!$G:$J,3,0)</f>
        <v/>
      </c>
      <c r="N1098" s="9">
        <f>VLOOKUP($O1098,매칭테이블!$G:$J,4,0)*H1098</f>
        <v/>
      </c>
      <c r="O1098" s="9">
        <f>F1098&amp;E1098&amp;G1098&amp;J1098</f>
        <v/>
      </c>
    </row>
    <row r="1099">
      <c r="B1099" s="10" t="n">
        <v>44249</v>
      </c>
      <c r="C1099" s="9">
        <f>TEXT(B1099,"aaa")</f>
        <v/>
      </c>
      <c r="E1099" s="9">
        <f>INDEX(매칭테이블!C:C,MATCH(RD!G1099,매칭테이블!D:D,0))</f>
        <v/>
      </c>
      <c r="F1099" s="9" t="inlineStr">
        <is>
          <t>카페24</t>
        </is>
      </c>
      <c r="G1099" s="9" t="inlineStr">
        <is>
          <t>라베나 리커버리 15 리바이탈 바이오플라보노이드샴푸 [HAIR RÉ:COVERY 15 Revital Shampoo]제품선택=리바이탈 샴푸 3개 세트 10% 추가할인</t>
        </is>
      </c>
      <c r="H1099" s="9" t="n">
        <v>20</v>
      </c>
      <c r="I1099" s="9">
        <f>VLOOKUP(G1099,[1]매칭테이블!D:E,2,0)</f>
        <v/>
      </c>
      <c r="J1099" s="9" t="n">
        <v>210201</v>
      </c>
      <c r="L1099" s="9">
        <f>VLOOKUP($O1099,매칭테이블!$G:$J,2,0)*H1099</f>
        <v/>
      </c>
      <c r="M1099" s="9">
        <f>L1099-L1099*VLOOKUP($O1099,매칭테이블!$G:$J,3,0)</f>
        <v/>
      </c>
      <c r="N1099" s="9">
        <f>VLOOKUP($O1099,매칭테이블!$G:$J,4,0)*H1099</f>
        <v/>
      </c>
      <c r="O1099" s="9">
        <f>F1099&amp;E1099&amp;G1099&amp;J1099</f>
        <v/>
      </c>
    </row>
    <row r="1100">
      <c r="B1100" s="10" t="n">
        <v>44249</v>
      </c>
      <c r="C1100" s="9">
        <f>TEXT(B1100,"aaa")</f>
        <v/>
      </c>
      <c r="E1100" s="9">
        <f>INDEX(매칭테이블!C:C,MATCH(RD!G1100,매칭테이블!D:D,0))</f>
        <v/>
      </c>
      <c r="F1100" s="9" t="inlineStr">
        <is>
          <t>카페24</t>
        </is>
      </c>
      <c r="G1100" s="9" t="inlineStr">
        <is>
          <t>라베나 리커버리 15 헤어팩 트리트먼트 [HAIR RÉ:COVERY 15 Hairpack Treatment]제품선택=헤어 리커버리 15 헤어팩 트리트먼트</t>
        </is>
      </c>
      <c r="H1100" s="9" t="n">
        <v>8</v>
      </c>
      <c r="I1100" s="9">
        <f>VLOOKUP(G1100,[1]매칭테이블!D:E,2,0)</f>
        <v/>
      </c>
      <c r="J1100" s="9" t="n">
        <v>210201</v>
      </c>
      <c r="L1100" s="9">
        <f>VLOOKUP($O1100,매칭테이블!$G:$J,2,0)*H1100</f>
        <v/>
      </c>
      <c r="M1100" s="9">
        <f>L1100-L1100*VLOOKUP($O1100,매칭테이블!$G:$J,3,0)</f>
        <v/>
      </c>
      <c r="N1100" s="9">
        <f>VLOOKUP($O1100,매칭테이블!$G:$J,4,0)*H1100</f>
        <v/>
      </c>
      <c r="O1100" s="9">
        <f>F1100&amp;E1100&amp;G1100&amp;J1100</f>
        <v/>
      </c>
    </row>
    <row r="1101">
      <c r="B1101" s="10" t="n">
        <v>44249</v>
      </c>
      <c r="C1101" s="9">
        <f>TEXT(B1101,"aaa")</f>
        <v/>
      </c>
      <c r="E1101" s="9">
        <f>INDEX(매칭테이블!C:C,MATCH(RD!G1101,매칭테이블!D:D,0))</f>
        <v/>
      </c>
      <c r="F1101" s="9" t="inlineStr">
        <is>
          <t>카페24</t>
        </is>
      </c>
      <c r="G1101" s="9" t="inlineStr">
        <is>
          <t>라베나 리커버리 15 헤어팩 트리트먼트 [HAIR RÉ:COVERY 15 Hairpack Treatment]제품선택=헤어팩 트리트먼트 2개 세트 5% 추가할인</t>
        </is>
      </c>
      <c r="H1101" s="9" t="n">
        <v>4</v>
      </c>
      <c r="I1101" s="9">
        <f>VLOOKUP(G1101,[1]매칭테이블!D:E,2,0)</f>
        <v/>
      </c>
      <c r="J1101" s="9" t="n">
        <v>210201</v>
      </c>
      <c r="L1101" s="9">
        <f>VLOOKUP($O1101,매칭테이블!$G:$J,2,0)*H1101</f>
        <v/>
      </c>
      <c r="M1101" s="9">
        <f>L1101-L1101*VLOOKUP($O1101,매칭테이블!$G:$J,3,0)</f>
        <v/>
      </c>
      <c r="N1101" s="9">
        <f>VLOOKUP($O1101,매칭테이블!$G:$J,4,0)*H1101</f>
        <v/>
      </c>
      <c r="O1101" s="9">
        <f>F1101&amp;E1101&amp;G1101&amp;J1101</f>
        <v/>
      </c>
    </row>
    <row r="1102">
      <c r="B1102" s="10" t="n">
        <v>44250</v>
      </c>
      <c r="C1102" s="9">
        <f>TEXT(B1102,"aaa")</f>
        <v/>
      </c>
      <c r="E1102" s="9">
        <f>INDEX(매칭테이블!C:C,MATCH(RD!G1102,매칭테이블!D:D,0))</f>
        <v/>
      </c>
      <c r="F1102" s="9" t="inlineStr">
        <is>
          <t>카페24</t>
        </is>
      </c>
      <c r="G1102" s="9" t="inlineStr">
        <is>
          <t>라베나 리커버리 15 뉴트리셔스 밤 [HAIR RÉ:COVERY 15 Nutritious Balm]제품선택=헤어 리커버리 15 뉴트리셔스 밤</t>
        </is>
      </c>
      <c r="H1102" s="9" t="n">
        <v>11</v>
      </c>
      <c r="I1102" s="9">
        <f>VLOOKUP(G1102,[1]매칭테이블!D:E,2,0)</f>
        <v/>
      </c>
      <c r="J1102" s="9" t="n">
        <v>210201</v>
      </c>
      <c r="L1102" s="9">
        <f>VLOOKUP($O1102,매칭테이블!$G:$J,2,0)*H1102</f>
        <v/>
      </c>
      <c r="M1102" s="9">
        <f>L1102-L1102*VLOOKUP($O1102,매칭테이블!$G:$J,3,0)</f>
        <v/>
      </c>
      <c r="N1102" s="9">
        <f>VLOOKUP($O1102,매칭테이블!$G:$J,4,0)*H1102</f>
        <v/>
      </c>
      <c r="O1102" s="9">
        <f>F1102&amp;E1102&amp;G1102&amp;J1102</f>
        <v/>
      </c>
    </row>
    <row r="1103">
      <c r="B1103" s="10" t="n">
        <v>44250</v>
      </c>
      <c r="C1103" s="9">
        <f>TEXT(B1103,"aaa")</f>
        <v/>
      </c>
      <c r="E1103" s="9">
        <f>INDEX(매칭테이블!C:C,MATCH(RD!G1103,매칭테이블!D:D,0))</f>
        <v/>
      </c>
      <c r="F1103" s="9" t="inlineStr">
        <is>
          <t>카페24</t>
        </is>
      </c>
      <c r="G1103" s="9" t="inlineStr">
        <is>
          <t>라베나 리커버리 15 뉴트리셔스 밤 [HAIR RÉ:COVERY 15 Nutritious Balm]제품선택=뉴트리셔스 밤 2개 세트 5% 추가할인</t>
        </is>
      </c>
      <c r="H1103" s="9" t="n">
        <v>2</v>
      </c>
      <c r="I1103" s="9">
        <f>VLOOKUP(G1103,[1]매칭테이블!D:E,2,0)</f>
        <v/>
      </c>
      <c r="J1103" s="9" t="n">
        <v>210201</v>
      </c>
      <c r="L1103" s="9">
        <f>VLOOKUP($O1103,매칭테이블!$G:$J,2,0)*H1103</f>
        <v/>
      </c>
      <c r="M1103" s="9">
        <f>L1103-L1103*VLOOKUP($O1103,매칭테이블!$G:$J,3,0)</f>
        <v/>
      </c>
      <c r="N1103" s="9">
        <f>VLOOKUP($O1103,매칭테이블!$G:$J,4,0)*H1103</f>
        <v/>
      </c>
      <c r="O1103" s="9">
        <f>F1103&amp;E1103&amp;G1103&amp;J1103</f>
        <v/>
      </c>
    </row>
    <row r="1104">
      <c r="B1104" s="10" t="n">
        <v>44250</v>
      </c>
      <c r="C1104" s="9">
        <f>TEXT(B1104,"aaa")</f>
        <v/>
      </c>
      <c r="E1104" s="9">
        <f>INDEX(매칭테이블!C:C,MATCH(RD!G1104,매칭테이블!D:D,0))</f>
        <v/>
      </c>
      <c r="F1104" s="9" t="inlineStr">
        <is>
          <t>카페24</t>
        </is>
      </c>
      <c r="G1104" s="9" t="inlineStr">
        <is>
          <t>라베나 리커버리 15 뉴트리셔스 밤 [HAIR RÉ:COVERY 15 Nutritious Balm]제품선택=뉴트리셔스밤 1개 + 헤어팩 트리트먼트 1개 세트 5%추가할인</t>
        </is>
      </c>
      <c r="H1104" s="9" t="n">
        <v>1</v>
      </c>
      <c r="I1104" s="9">
        <f>VLOOKUP(G1104,[1]매칭테이블!D:E,2,0)</f>
        <v/>
      </c>
      <c r="J1104" s="9" t="n">
        <v>210201</v>
      </c>
      <c r="L1104" s="9">
        <f>VLOOKUP($O1104,매칭테이블!$G:$J,2,0)*H1104</f>
        <v/>
      </c>
      <c r="M1104" s="9">
        <f>L1104-L1104*VLOOKUP($O1104,매칭테이블!$G:$J,3,0)</f>
        <v/>
      </c>
      <c r="N1104" s="9">
        <f>VLOOKUP($O1104,매칭테이블!$G:$J,4,0)*H1104</f>
        <v/>
      </c>
      <c r="O1104" s="9">
        <f>F1104&amp;E1104&amp;G1104&amp;J1104</f>
        <v/>
      </c>
    </row>
    <row r="1105">
      <c r="B1105" s="10" t="n">
        <v>44250</v>
      </c>
      <c r="C1105" s="9">
        <f>TEXT(B1105,"aaa")</f>
        <v/>
      </c>
      <c r="E1105" s="9">
        <f>INDEX(매칭테이블!C:C,MATCH(RD!G1105,매칭테이블!D:D,0))</f>
        <v/>
      </c>
      <c r="F1105" s="9" t="inlineStr">
        <is>
          <t>카페24</t>
        </is>
      </c>
      <c r="G1105" s="9" t="inlineStr">
        <is>
          <t>라베나 리커버리 15 리바이탈 바이오플라보노이드샴푸 [HAIR RÉ:COVERY 15 Revital Shampoo]제품선택=헤어 리커버리 15 리바이탈 샴푸 - 500ml</t>
        </is>
      </c>
      <c r="H1105" s="9" t="n">
        <v>260</v>
      </c>
      <c r="I1105" s="9">
        <f>VLOOKUP(G1105,[1]매칭테이블!D:E,2,0)</f>
        <v/>
      </c>
      <c r="J1105" s="9" t="n">
        <v>210201</v>
      </c>
      <c r="L1105" s="9">
        <f>VLOOKUP($O1105,매칭테이블!$G:$J,2,0)*H1105</f>
        <v/>
      </c>
      <c r="M1105" s="9">
        <f>L1105-L1105*VLOOKUP($O1105,매칭테이블!$G:$J,3,0)</f>
        <v/>
      </c>
      <c r="N1105" s="9">
        <f>VLOOKUP($O1105,매칭테이블!$G:$J,4,0)*H1105</f>
        <v/>
      </c>
      <c r="O1105" s="9">
        <f>F1105&amp;E1105&amp;G1105&amp;J1105</f>
        <v/>
      </c>
    </row>
    <row r="1106">
      <c r="B1106" s="10" t="n">
        <v>44250</v>
      </c>
      <c r="C1106" s="9">
        <f>TEXT(B1106,"aaa")</f>
        <v/>
      </c>
      <c r="E1106" s="9">
        <f>INDEX(매칭테이블!C:C,MATCH(RD!G1106,매칭테이블!D:D,0))</f>
        <v/>
      </c>
      <c r="F1106" s="9" t="inlineStr">
        <is>
          <t>카페24</t>
        </is>
      </c>
      <c r="G1106" s="9" t="inlineStr">
        <is>
          <t>라베나 리커버리 15 리바이탈 바이오플라보노이드샴푸 [HAIR RÉ:COVERY 15 Revital Shampoo]제품선택=리바이탈 샴푸 2개 세트 5%추가할인</t>
        </is>
      </c>
      <c r="H1106" s="9" t="n">
        <v>65</v>
      </c>
      <c r="I1106" s="9">
        <f>VLOOKUP(G1106,[1]매칭테이블!D:E,2,0)</f>
        <v/>
      </c>
      <c r="J1106" s="9" t="n">
        <v>210201</v>
      </c>
      <c r="L1106" s="9">
        <f>VLOOKUP($O1106,매칭테이블!$G:$J,2,0)*H1106</f>
        <v/>
      </c>
      <c r="M1106" s="9">
        <f>L1106-L1106*VLOOKUP($O1106,매칭테이블!$G:$J,3,0)</f>
        <v/>
      </c>
      <c r="N1106" s="9">
        <f>VLOOKUP($O1106,매칭테이블!$G:$J,4,0)*H1106</f>
        <v/>
      </c>
      <c r="O1106" s="9">
        <f>F1106&amp;E1106&amp;G1106&amp;J1106</f>
        <v/>
      </c>
    </row>
    <row r="1107">
      <c r="B1107" s="10" t="n">
        <v>44250</v>
      </c>
      <c r="C1107" s="9">
        <f>TEXT(B1107,"aaa")</f>
        <v/>
      </c>
      <c r="E1107" s="9">
        <f>INDEX(매칭테이블!C:C,MATCH(RD!G1107,매칭테이블!D:D,0))</f>
        <v/>
      </c>
      <c r="F1107" s="9" t="inlineStr">
        <is>
          <t>카페24</t>
        </is>
      </c>
      <c r="G1107" s="9" t="inlineStr">
        <is>
          <t>라베나 리커버리 15 리바이탈 바이오플라보노이드샴푸 [HAIR RÉ:COVERY 15 Revital Shampoo]제품선택=리바이탈 샴푸 3개 세트 10% 추가할인</t>
        </is>
      </c>
      <c r="H1107" s="9" t="n">
        <v>24</v>
      </c>
      <c r="I1107" s="9">
        <f>VLOOKUP(G1107,[1]매칭테이블!D:E,2,0)</f>
        <v/>
      </c>
      <c r="J1107" s="9" t="n">
        <v>210201</v>
      </c>
      <c r="L1107" s="9">
        <f>VLOOKUP($O1107,매칭테이블!$G:$J,2,0)*H1107</f>
        <v/>
      </c>
      <c r="M1107" s="9">
        <f>L1107-L1107*VLOOKUP($O1107,매칭테이블!$G:$J,3,0)</f>
        <v/>
      </c>
      <c r="N1107" s="9">
        <f>VLOOKUP($O1107,매칭테이블!$G:$J,4,0)*H1107</f>
        <v/>
      </c>
      <c r="O1107" s="9">
        <f>F1107&amp;E1107&amp;G1107&amp;J1107</f>
        <v/>
      </c>
    </row>
    <row r="1108">
      <c r="B1108" s="10" t="n">
        <v>44250</v>
      </c>
      <c r="C1108" s="9">
        <f>TEXT(B1108,"aaa")</f>
        <v/>
      </c>
      <c r="E1108" s="9">
        <f>INDEX(매칭테이블!C:C,MATCH(RD!G1108,매칭테이블!D:D,0))</f>
        <v/>
      </c>
      <c r="F1108" s="9" t="inlineStr">
        <is>
          <t>카페24</t>
        </is>
      </c>
      <c r="G1108" s="9" t="inlineStr">
        <is>
          <t>라베나 리커버리 15 헤어팩 트리트먼트 [HAIR RÉ:COVERY 15 Hairpack Treatment]제품선택=헤어 리커버리 15 헤어팩 트리트먼트</t>
        </is>
      </c>
      <c r="H1108" s="9" t="n">
        <v>11</v>
      </c>
      <c r="I1108" s="9">
        <f>VLOOKUP(G1108,[1]매칭테이블!D:E,2,0)</f>
        <v/>
      </c>
      <c r="J1108" s="9" t="n">
        <v>210201</v>
      </c>
      <c r="L1108" s="9">
        <f>VLOOKUP($O1108,매칭테이블!$G:$J,2,0)*H1108</f>
        <v/>
      </c>
      <c r="M1108" s="9">
        <f>L1108-L1108*VLOOKUP($O1108,매칭테이블!$G:$J,3,0)</f>
        <v/>
      </c>
      <c r="N1108" s="9">
        <f>VLOOKUP($O1108,매칭테이블!$G:$J,4,0)*H1108</f>
        <v/>
      </c>
      <c r="O1108" s="9">
        <f>F1108&amp;E1108&amp;G1108&amp;J1108</f>
        <v/>
      </c>
    </row>
    <row r="1109">
      <c r="B1109" s="10" t="n">
        <v>44250</v>
      </c>
      <c r="C1109" s="9">
        <f>TEXT(B1109,"aaa")</f>
        <v/>
      </c>
      <c r="E1109" s="9">
        <f>INDEX(매칭테이블!C:C,MATCH(RD!G1109,매칭테이블!D:D,0))</f>
        <v/>
      </c>
      <c r="F1109" s="9" t="inlineStr">
        <is>
          <t>카페24</t>
        </is>
      </c>
      <c r="G1109" s="9" t="inlineStr">
        <is>
          <t>라베나 리커버리 15 헤어팩 트리트먼트 [HAIR RÉ:COVERY 15 Hairpack Treatment]제품선택=헤어팩 트리트먼트 2개 세트 5% 추가할인</t>
        </is>
      </c>
      <c r="H1109" s="9" t="n">
        <v>4</v>
      </c>
      <c r="I1109" s="9">
        <f>VLOOKUP(G1109,[1]매칭테이블!D:E,2,0)</f>
        <v/>
      </c>
      <c r="J1109" s="9" t="n">
        <v>210201</v>
      </c>
      <c r="L1109" s="9">
        <f>VLOOKUP($O1109,매칭테이블!$G:$J,2,0)*H1109</f>
        <v/>
      </c>
      <c r="M1109" s="9">
        <f>L1109-L1109*VLOOKUP($O1109,매칭테이블!$G:$J,3,0)</f>
        <v/>
      </c>
      <c r="N1109" s="9">
        <f>VLOOKUP($O1109,매칭테이블!$G:$J,4,0)*H1109</f>
        <v/>
      </c>
      <c r="O1109" s="9">
        <f>F1109&amp;E1109&amp;G1109&amp;J1109</f>
        <v/>
      </c>
    </row>
    <row r="1110">
      <c r="B1110" s="10" t="n">
        <v>44250</v>
      </c>
      <c r="C1110" s="9">
        <f>TEXT(B1110,"aaa")</f>
        <v/>
      </c>
      <c r="E1110" s="9">
        <f>INDEX(매칭테이블!C:C,MATCH(RD!G1110,매칭테이블!D:D,0))</f>
        <v/>
      </c>
      <c r="F1110" s="9" t="inlineStr">
        <is>
          <t>카페24</t>
        </is>
      </c>
      <c r="G1110" s="9" t="inlineStr">
        <is>
          <t>라베나 리커버리 15 헤어팩 트리트먼트 [HAIR RÉ:COVERY 15 Hairpack Treatment]제품선택=헤어팩 트리트먼트 3개 세트 10% 추가할인</t>
        </is>
      </c>
      <c r="H1110" s="9" t="n">
        <v>2</v>
      </c>
      <c r="I1110" s="9">
        <f>VLOOKUP(G1110,[1]매칭테이블!D:E,2,0)</f>
        <v/>
      </c>
      <c r="J1110" s="9" t="n">
        <v>210201</v>
      </c>
      <c r="L1110" s="9">
        <f>VLOOKUP($O1110,매칭테이블!$G:$J,2,0)*H1110</f>
        <v/>
      </c>
      <c r="M1110" s="9">
        <f>L1110-L1110*VLOOKUP($O1110,매칭테이블!$G:$J,3,0)</f>
        <v/>
      </c>
      <c r="N1110" s="9">
        <f>VLOOKUP($O1110,매칭테이블!$G:$J,4,0)*H1110</f>
        <v/>
      </c>
      <c r="O1110" s="9">
        <f>F1110&amp;E1110&amp;G1110&amp;J1110</f>
        <v/>
      </c>
    </row>
    <row r="1111">
      <c r="B1111" s="10" t="n">
        <v>44250</v>
      </c>
      <c r="C1111" s="9">
        <f>TEXT(B1111,"aaa")</f>
        <v/>
      </c>
      <c r="E1111" s="9">
        <f>INDEX(매칭테이블!C:C,MATCH(RD!G1111,매칭테이블!D:D,0))</f>
        <v/>
      </c>
      <c r="F1111" s="9" t="inlineStr">
        <is>
          <t>카페24</t>
        </is>
      </c>
      <c r="G1111" s="9" t="inlineStr">
        <is>
          <t>라베나 리커버리 15 헤어팩 트리트먼트 [HAIR RÉ:COVERY 15 Hairpack Treatment]제품선택=헤어팩 트리트먼트 1개 + 뉴트리셔스밤 1개 세트 5% 추가할인</t>
        </is>
      </c>
      <c r="H1111" s="9" t="n">
        <v>2</v>
      </c>
      <c r="I1111" s="9">
        <f>VLOOKUP(G1111,[1]매칭테이블!D:E,2,0)</f>
        <v/>
      </c>
      <c r="J1111" s="9" t="n">
        <v>210201</v>
      </c>
      <c r="L1111" s="9">
        <f>VLOOKUP($O1111,매칭테이블!$G:$J,2,0)*H1111</f>
        <v/>
      </c>
      <c r="M1111" s="9">
        <f>L1111-L1111*VLOOKUP($O1111,매칭테이블!$G:$J,3,0)</f>
        <v/>
      </c>
      <c r="N1111" s="9">
        <f>VLOOKUP($O1111,매칭테이블!$G:$J,4,0)*H1111</f>
        <v/>
      </c>
      <c r="O1111" s="9">
        <f>F1111&amp;E1111&amp;G1111&amp;J1111</f>
        <v/>
      </c>
    </row>
    <row r="1112">
      <c r="B1112" s="10" t="n">
        <v>44251</v>
      </c>
      <c r="C1112" s="9">
        <f>TEXT(B1112,"aaa")</f>
        <v/>
      </c>
      <c r="E1112" s="9">
        <f>INDEX(매칭테이블!C:C,MATCH(RD!G1112,매칭테이블!D:D,0))</f>
        <v/>
      </c>
      <c r="F1112" s="9" t="inlineStr">
        <is>
          <t>카페24</t>
        </is>
      </c>
      <c r="G1112" s="9" t="inlineStr">
        <is>
          <t>라베나 리커버리 15 뉴트리셔스 밤 [HAIR RÉ:COVERY 15 Nutritious Balm]제품선택=헤어 리커버리 15 뉴트리셔스 밤</t>
        </is>
      </c>
      <c r="H1112" s="9" t="n">
        <v>7</v>
      </c>
      <c r="I1112" s="9">
        <f>VLOOKUP(G1112,[1]매칭테이블!D:E,2,0)</f>
        <v/>
      </c>
      <c r="J1112" s="9" t="n">
        <v>210201</v>
      </c>
      <c r="L1112" s="9">
        <f>VLOOKUP($O1112,매칭테이블!$G:$J,2,0)*H1112</f>
        <v/>
      </c>
      <c r="M1112" s="9">
        <f>L1112-L1112*VLOOKUP($O1112,매칭테이블!$G:$J,3,0)</f>
        <v/>
      </c>
      <c r="N1112" s="9">
        <f>VLOOKUP($O1112,매칭테이블!$G:$J,4,0)*H1112</f>
        <v/>
      </c>
      <c r="O1112" s="9">
        <f>F1112&amp;E1112&amp;G1112&amp;J1112</f>
        <v/>
      </c>
    </row>
    <row r="1113">
      <c r="B1113" s="10" t="n">
        <v>44251</v>
      </c>
      <c r="C1113" s="9">
        <f>TEXT(B1113,"aaa")</f>
        <v/>
      </c>
      <c r="E1113" s="9">
        <f>INDEX(매칭테이블!C:C,MATCH(RD!G1113,매칭테이블!D:D,0))</f>
        <v/>
      </c>
      <c r="F1113" s="9" t="inlineStr">
        <is>
          <t>카페24</t>
        </is>
      </c>
      <c r="G1113" s="9" t="inlineStr">
        <is>
          <t>라베나 리커버리 15 뉴트리셔스 밤 [HAIR RÉ:COVERY 15 Nutritious Balm]제품선택=뉴트리셔스 밤 3개 세트 10% 추가할인</t>
        </is>
      </c>
      <c r="H1113" s="9" t="n">
        <v>1</v>
      </c>
      <c r="I1113" s="9">
        <f>VLOOKUP(G1113,[1]매칭테이블!D:E,2,0)</f>
        <v/>
      </c>
      <c r="J1113" s="9" t="n">
        <v>210201</v>
      </c>
      <c r="L1113" s="9">
        <f>VLOOKUP($O1113,매칭테이블!$G:$J,2,0)*H1113</f>
        <v/>
      </c>
      <c r="M1113" s="9">
        <f>L1113-L1113*VLOOKUP($O1113,매칭테이블!$G:$J,3,0)</f>
        <v/>
      </c>
      <c r="N1113" s="9">
        <f>VLOOKUP($O1113,매칭테이블!$G:$J,4,0)*H1113</f>
        <v/>
      </c>
      <c r="O1113" s="9">
        <f>F1113&amp;E1113&amp;G1113&amp;J1113</f>
        <v/>
      </c>
    </row>
    <row r="1114">
      <c r="B1114" s="10" t="n">
        <v>44251</v>
      </c>
      <c r="C1114" s="9">
        <f>TEXT(B1114,"aaa")</f>
        <v/>
      </c>
      <c r="E1114" s="9">
        <f>INDEX(매칭테이블!C:C,MATCH(RD!G1114,매칭테이블!D:D,0))</f>
        <v/>
      </c>
      <c r="F1114" s="9" t="inlineStr">
        <is>
          <t>카페24</t>
        </is>
      </c>
      <c r="G1114" s="9" t="inlineStr">
        <is>
          <t>라베나 리커버리 15 리바이탈 바이오플라보노이드샴푸 [HAIR RÉ:COVERY 15 Revital Shampoo]제품선택=헤어 리커버리 15 리바이탈 샴푸 - 500ml</t>
        </is>
      </c>
      <c r="H1114" s="9" t="n">
        <v>172</v>
      </c>
      <c r="I1114" s="9">
        <f>VLOOKUP(G1114,[1]매칭테이블!D:E,2,0)</f>
        <v/>
      </c>
      <c r="J1114" s="9" t="n">
        <v>210201</v>
      </c>
      <c r="L1114" s="9">
        <f>VLOOKUP($O1114,매칭테이블!$G:$J,2,0)*H1114</f>
        <v/>
      </c>
      <c r="M1114" s="9">
        <f>L1114-L1114*VLOOKUP($O1114,매칭테이블!$G:$J,3,0)</f>
        <v/>
      </c>
      <c r="N1114" s="9">
        <f>VLOOKUP($O1114,매칭테이블!$G:$J,4,0)*H1114</f>
        <v/>
      </c>
      <c r="O1114" s="9">
        <f>F1114&amp;E1114&amp;G1114&amp;J1114</f>
        <v/>
      </c>
    </row>
    <row r="1115">
      <c r="B1115" s="10" t="n">
        <v>44251</v>
      </c>
      <c r="C1115" s="9">
        <f>TEXT(B1115,"aaa")</f>
        <v/>
      </c>
      <c r="E1115" s="9">
        <f>INDEX(매칭테이블!C:C,MATCH(RD!G1115,매칭테이블!D:D,0))</f>
        <v/>
      </c>
      <c r="F1115" s="9" t="inlineStr">
        <is>
          <t>카페24</t>
        </is>
      </c>
      <c r="G1115" s="9" t="inlineStr">
        <is>
          <t>라베나 리커버리 15 리바이탈 바이오플라보노이드샴푸 [HAIR RÉ:COVERY 15 Revital Shampoo]제품선택=리바이탈 샴푸 2개 세트 5%추가할인</t>
        </is>
      </c>
      <c r="H1115" s="9" t="n">
        <v>38</v>
      </c>
      <c r="I1115" s="9">
        <f>VLOOKUP(G1115,[1]매칭테이블!D:E,2,0)</f>
        <v/>
      </c>
      <c r="J1115" s="9" t="n">
        <v>210201</v>
      </c>
      <c r="L1115" s="9">
        <f>VLOOKUP($O1115,매칭테이블!$G:$J,2,0)*H1115</f>
        <v/>
      </c>
      <c r="M1115" s="9">
        <f>L1115-L1115*VLOOKUP($O1115,매칭테이블!$G:$J,3,0)</f>
        <v/>
      </c>
      <c r="N1115" s="9">
        <f>VLOOKUP($O1115,매칭테이블!$G:$J,4,0)*H1115</f>
        <v/>
      </c>
      <c r="O1115" s="9">
        <f>F1115&amp;E1115&amp;G1115&amp;J1115</f>
        <v/>
      </c>
    </row>
    <row r="1116">
      <c r="B1116" s="10" t="n">
        <v>44251</v>
      </c>
      <c r="C1116" s="9">
        <f>TEXT(B1116,"aaa")</f>
        <v/>
      </c>
      <c r="E1116" s="9">
        <f>INDEX(매칭테이블!C:C,MATCH(RD!G1116,매칭테이블!D:D,0))</f>
        <v/>
      </c>
      <c r="F1116" s="9" t="inlineStr">
        <is>
          <t>카페24</t>
        </is>
      </c>
      <c r="G1116" s="9" t="inlineStr">
        <is>
          <t>라베나 리커버리 15 리바이탈 바이오플라보노이드샴푸 [HAIR RÉ:COVERY 15 Revital Shampoo]제품선택=리바이탈 샴푸 3개 세트 10% 추가할인</t>
        </is>
      </c>
      <c r="H1116" s="9" t="n">
        <v>13</v>
      </c>
      <c r="I1116" s="9">
        <f>VLOOKUP(G1116,[1]매칭테이블!D:E,2,0)</f>
        <v/>
      </c>
      <c r="J1116" s="9" t="n">
        <v>210201</v>
      </c>
      <c r="L1116" s="9">
        <f>VLOOKUP($O1116,매칭테이블!$G:$J,2,0)*H1116</f>
        <v/>
      </c>
      <c r="M1116" s="9">
        <f>L1116-L1116*VLOOKUP($O1116,매칭테이블!$G:$J,3,0)</f>
        <v/>
      </c>
      <c r="N1116" s="9">
        <f>VLOOKUP($O1116,매칭테이블!$G:$J,4,0)*H1116</f>
        <v/>
      </c>
      <c r="O1116" s="9">
        <f>F1116&amp;E1116&amp;G1116&amp;J1116</f>
        <v/>
      </c>
    </row>
    <row r="1117">
      <c r="B1117" s="10" t="n">
        <v>44251</v>
      </c>
      <c r="C1117" s="9">
        <f>TEXT(B1117,"aaa")</f>
        <v/>
      </c>
      <c r="E1117" s="9">
        <f>INDEX(매칭테이블!C:C,MATCH(RD!G1117,매칭테이블!D:D,0))</f>
        <v/>
      </c>
      <c r="F1117" s="9" t="inlineStr">
        <is>
          <t>카페24</t>
        </is>
      </c>
      <c r="G1117" s="9" t="inlineStr">
        <is>
          <t>라베나 리커버리 15 헤어팩 트리트먼트 [HAIR RÉ:COVERY 15 Hairpack Treatment]제품선택=헤어 리커버리 15 헤어팩 트리트먼트</t>
        </is>
      </c>
      <c r="H1117" s="9" t="n">
        <v>6</v>
      </c>
      <c r="I1117" s="9">
        <f>VLOOKUP(G1117,[1]매칭테이블!D:E,2,0)</f>
        <v/>
      </c>
      <c r="J1117" s="9" t="n">
        <v>210201</v>
      </c>
      <c r="L1117" s="9">
        <f>VLOOKUP($O1117,매칭테이블!$G:$J,2,0)*H1117</f>
        <v/>
      </c>
      <c r="M1117" s="9">
        <f>L1117-L1117*VLOOKUP($O1117,매칭테이블!$G:$J,3,0)</f>
        <v/>
      </c>
      <c r="N1117" s="9">
        <f>VLOOKUP($O1117,매칭테이블!$G:$J,4,0)*H1117</f>
        <v/>
      </c>
      <c r="O1117" s="9">
        <f>F1117&amp;E1117&amp;G1117&amp;J1117</f>
        <v/>
      </c>
    </row>
    <row r="1118">
      <c r="B1118" s="10" t="n">
        <v>44251</v>
      </c>
      <c r="C1118" s="9">
        <f>TEXT(B1118,"aaa")</f>
        <v/>
      </c>
      <c r="E1118" s="9">
        <f>INDEX(매칭테이블!C:C,MATCH(RD!G1118,매칭테이블!D:D,0))</f>
        <v/>
      </c>
      <c r="F1118" s="9" t="inlineStr">
        <is>
          <t>카페24</t>
        </is>
      </c>
      <c r="G1118" s="9" t="inlineStr">
        <is>
          <t>라베나 리커버리 15 헤어팩 트리트먼트 [HAIR RÉ:COVERY 15 Hairpack Treatment]제품선택=헤어팩 트리트먼트 2개 세트 5% 추가할인</t>
        </is>
      </c>
      <c r="H1118" s="9" t="n">
        <v>1</v>
      </c>
      <c r="I1118" s="9">
        <f>VLOOKUP(G1118,[1]매칭테이블!D:E,2,0)</f>
        <v/>
      </c>
      <c r="J1118" s="9" t="n">
        <v>210201</v>
      </c>
      <c r="L1118" s="9">
        <f>VLOOKUP($O1118,매칭테이블!$G:$J,2,0)*H1118</f>
        <v/>
      </c>
      <c r="M1118" s="9">
        <f>L1118-L1118*VLOOKUP($O1118,매칭테이블!$G:$J,3,0)</f>
        <v/>
      </c>
      <c r="N1118" s="9">
        <f>VLOOKUP($O1118,매칭테이블!$G:$J,4,0)*H1118</f>
        <v/>
      </c>
      <c r="O1118" s="9">
        <f>F1118&amp;E1118&amp;G1118&amp;J1118</f>
        <v/>
      </c>
    </row>
    <row r="1119">
      <c r="B1119" s="10" t="n">
        <v>44251</v>
      </c>
      <c r="C1119" s="9">
        <f>TEXT(B1119,"aaa")</f>
        <v/>
      </c>
      <c r="E1119" s="9">
        <f>INDEX(매칭테이블!C:C,MATCH(RD!G1119,매칭테이블!D:D,0))</f>
        <v/>
      </c>
      <c r="F1119" s="9" t="inlineStr">
        <is>
          <t>카페24</t>
        </is>
      </c>
      <c r="G1119" s="9" t="inlineStr">
        <is>
          <t>라베나 리커버리 15 헤어팩 트리트먼트 [HAIR RÉ:COVERY 15 Hairpack Treatment]제품선택=헤어팩 트리트먼트 3개 세트 10% 추가할인</t>
        </is>
      </c>
      <c r="H1119" s="9" t="n">
        <v>3</v>
      </c>
      <c r="I1119" s="9">
        <f>VLOOKUP(G1119,[1]매칭테이블!D:E,2,0)</f>
        <v/>
      </c>
      <c r="J1119" s="9" t="n">
        <v>210201</v>
      </c>
      <c r="L1119" s="9">
        <f>VLOOKUP($O1119,매칭테이블!$G:$J,2,0)*H1119</f>
        <v/>
      </c>
      <c r="M1119" s="9">
        <f>L1119-L1119*VLOOKUP($O1119,매칭테이블!$G:$J,3,0)</f>
        <v/>
      </c>
      <c r="N1119" s="9">
        <f>VLOOKUP($O1119,매칭테이블!$G:$J,4,0)*H1119</f>
        <v/>
      </c>
      <c r="O1119" s="9">
        <f>F1119&amp;E1119&amp;G1119&amp;J1119</f>
        <v/>
      </c>
    </row>
    <row r="1120">
      <c r="A1120" s="9" t="inlineStr">
        <is>
          <t>현빈임시테스트2</t>
        </is>
      </c>
      <c r="B1120" s="10" t="n">
        <v>44248</v>
      </c>
      <c r="C1120" s="9" t="inlineStr">
        <is>
          <t>일</t>
        </is>
      </c>
      <c r="D1120" s="9" t="inlineStr">
        <is>
          <t>페이스북</t>
        </is>
      </c>
      <c r="E1120" s="9" t="inlineStr">
        <is>
          <t>샴푸</t>
        </is>
      </c>
      <c r="K1120" s="9" t="n">
        <v>51555</v>
      </c>
    </row>
    <row r="1121">
      <c r="A1121" s="9" t="inlineStr">
        <is>
          <t>현빈임시테스트</t>
        </is>
      </c>
      <c r="B1121" s="10" t="n">
        <v>44248</v>
      </c>
      <c r="C1121" s="9" t="inlineStr">
        <is>
          <t>일</t>
        </is>
      </c>
      <c r="D1121" s="9" t="inlineStr">
        <is>
          <t>페이스북</t>
        </is>
      </c>
      <c r="E1121" s="9" t="inlineStr">
        <is>
          <t>샴푸</t>
        </is>
      </c>
      <c r="K1121" s="9" t="n">
        <v>51098</v>
      </c>
    </row>
    <row r="1122">
      <c r="A1122" s="9" t="inlineStr">
        <is>
          <t>1201~단장키워드테스트</t>
        </is>
      </c>
      <c r="B1122" s="10" t="n">
        <v>44248</v>
      </c>
      <c r="C1122" s="9" t="inlineStr">
        <is>
          <t>일</t>
        </is>
      </c>
      <c r="D1122" s="9" t="inlineStr">
        <is>
          <t>페이스북</t>
        </is>
      </c>
      <c r="E1122" s="9" t="inlineStr">
        <is>
          <t>샴푸</t>
        </is>
      </c>
      <c r="K1122" s="9" t="n">
        <v>101186</v>
      </c>
    </row>
    <row r="1123">
      <c r="A1123" s="9" t="inlineStr">
        <is>
          <t>11/13 키워드 탐색</t>
        </is>
      </c>
      <c r="B1123" s="10" t="n">
        <v>44248</v>
      </c>
      <c r="C1123" s="9" t="inlineStr">
        <is>
          <t>일</t>
        </is>
      </c>
      <c r="D1123" s="9" t="inlineStr">
        <is>
          <t>페이스북</t>
        </is>
      </c>
      <c r="E1123" s="9" t="inlineStr">
        <is>
          <t>샴푸</t>
        </is>
      </c>
      <c r="K1123" s="9" t="n">
        <v>150941</v>
      </c>
    </row>
    <row r="1124">
      <c r="A1124" s="9" t="inlineStr">
        <is>
          <t>0118_샴푸_비듬똥균_4차_1</t>
        </is>
      </c>
      <c r="B1124" s="10" t="n">
        <v>44248</v>
      </c>
      <c r="C1124" s="9" t="inlineStr">
        <is>
          <t>일</t>
        </is>
      </c>
      <c r="D1124" s="9" t="inlineStr">
        <is>
          <t>유튜브</t>
        </is>
      </c>
      <c r="E1124" s="9" t="inlineStr">
        <is>
          <t>샴푸</t>
        </is>
      </c>
      <c r="K1124" s="9" t="n">
        <v>1258654</v>
      </c>
    </row>
    <row r="1125">
      <c r="A1125" s="9" t="inlineStr">
        <is>
          <t>0127_GDN_비듬샴푸_잠재고객</t>
        </is>
      </c>
      <c r="B1125" s="10" t="n">
        <v>44248</v>
      </c>
      <c r="C1125" s="9" t="inlineStr">
        <is>
          <t>일</t>
        </is>
      </c>
      <c r="D1125" s="9" t="inlineStr">
        <is>
          <t>GDN</t>
        </is>
      </c>
      <c r="E1125" s="9" t="inlineStr">
        <is>
          <t>샴푸</t>
        </is>
      </c>
      <c r="K1125" s="9" t="n">
        <v>150609</v>
      </c>
    </row>
    <row r="1126">
      <c r="A1126" s="9" t="inlineStr">
        <is>
          <t>0128_샴푸_비듬똥균_4차_저녁</t>
        </is>
      </c>
      <c r="B1126" s="10" t="n">
        <v>44248</v>
      </c>
      <c r="C1126" s="9" t="inlineStr">
        <is>
          <t>일</t>
        </is>
      </c>
      <c r="D1126" s="9" t="inlineStr">
        <is>
          <t>유튜브</t>
        </is>
      </c>
      <c r="E1126" s="9" t="inlineStr">
        <is>
          <t>샴푸</t>
        </is>
      </c>
      <c r="K1126" s="9" t="n">
        <v>34930</v>
      </c>
    </row>
    <row r="1127">
      <c r="A1127" s="9" t="inlineStr">
        <is>
          <t>0205_샴푸_비듬똥균_4차_2</t>
        </is>
      </c>
      <c r="B1127" s="10" t="n">
        <v>44248</v>
      </c>
      <c r="C1127" s="9" t="inlineStr">
        <is>
          <t>일</t>
        </is>
      </c>
      <c r="D1127" s="9" t="inlineStr">
        <is>
          <t>유튜브</t>
        </is>
      </c>
      <c r="E1127" s="9" t="inlineStr">
        <is>
          <t>샴푸</t>
        </is>
      </c>
      <c r="K1127" s="9" t="n">
        <v>848019</v>
      </c>
    </row>
    <row r="1128">
      <c r="A1128" s="9" t="inlineStr">
        <is>
          <t>0217_샴푸_비듬똥균_5차</t>
        </is>
      </c>
      <c r="B1128" s="10" t="n">
        <v>44248</v>
      </c>
      <c r="C1128" s="9" t="inlineStr">
        <is>
          <t>일</t>
        </is>
      </c>
      <c r="D1128" s="9" t="inlineStr">
        <is>
          <t>유튜브</t>
        </is>
      </c>
      <c r="E1128" s="9" t="inlineStr">
        <is>
          <t>샴푸</t>
        </is>
      </c>
      <c r="K1128" s="9" t="n">
        <v>1154398</v>
      </c>
    </row>
    <row r="1129">
      <c r="A1129" s="9" t="inlineStr">
        <is>
          <t>0217_샴푸_비듬똥균_5차_잠재고객</t>
        </is>
      </c>
      <c r="B1129" s="10" t="n">
        <v>44248</v>
      </c>
      <c r="C1129" s="9" t="inlineStr">
        <is>
          <t>일</t>
        </is>
      </c>
      <c r="D1129" s="9" t="inlineStr">
        <is>
          <t>유튜브</t>
        </is>
      </c>
      <c r="E1129" s="9" t="inlineStr">
        <is>
          <t>샴푸</t>
        </is>
      </c>
      <c r="K1129" s="9" t="n">
        <v>1246351</v>
      </c>
    </row>
    <row r="1130">
      <c r="A1130" s="9" t="inlineStr">
        <is>
          <t>0220_샴푸_비듬똥균_5차_1시간테스트</t>
        </is>
      </c>
      <c r="B1130" s="10" t="n">
        <v>44248</v>
      </c>
      <c r="C1130" s="9" t="inlineStr">
        <is>
          <t>일</t>
        </is>
      </c>
      <c r="D1130" s="9">
        <f>VLOOKUP($A1130,매칭테이블!$B$123:$D$1048576,2,0)</f>
        <v/>
      </c>
      <c r="E1130" s="9">
        <f>VLOOKUP($A1130,매칭테이블!$B$123:$D$1048576,3,0)</f>
        <v/>
      </c>
      <c r="K1130" s="9" t="n">
        <v>11178</v>
      </c>
    </row>
    <row r="1131">
      <c r="A1131" s="9" t="inlineStr">
        <is>
          <t>라베나 파워링크_샴푸_광고그룹#1</t>
        </is>
      </c>
      <c r="B1131" s="10" t="n">
        <v>44248</v>
      </c>
      <c r="C1131" s="9" t="inlineStr">
        <is>
          <t>일</t>
        </is>
      </c>
      <c r="D1131" s="9" t="inlineStr">
        <is>
          <t>네이버 검색</t>
        </is>
      </c>
      <c r="E1131" s="9" t="inlineStr">
        <is>
          <t>샴푸</t>
        </is>
      </c>
      <c r="K1131" s="9" t="n">
        <v>8700</v>
      </c>
    </row>
    <row r="1132">
      <c r="A1132" s="9" t="inlineStr">
        <is>
          <t>라베나 파워링크_샴푸#1_유튜브키워드기반</t>
        </is>
      </c>
      <c r="B1132" s="10" t="n">
        <v>44248</v>
      </c>
      <c r="C1132" s="9" t="inlineStr">
        <is>
          <t>일</t>
        </is>
      </c>
      <c r="D1132" s="9" t="inlineStr">
        <is>
          <t>네이버 검색</t>
        </is>
      </c>
      <c r="E1132" s="9" t="inlineStr">
        <is>
          <t>샴푸</t>
        </is>
      </c>
      <c r="K1132" s="9" t="n">
        <v>56389.99999999999</v>
      </c>
    </row>
    <row r="1133">
      <c r="A1133" s="9" t="inlineStr">
        <is>
          <t>파워컨텐츠#1_비듬샴푸</t>
        </is>
      </c>
      <c r="B1133" s="10" t="n">
        <v>44248</v>
      </c>
      <c r="C1133" s="9" t="inlineStr">
        <is>
          <t>일</t>
        </is>
      </c>
      <c r="D1133" s="9" t="inlineStr">
        <is>
          <t>네이버 검색</t>
        </is>
      </c>
      <c r="E1133" s="9" t="inlineStr">
        <is>
          <t>샴푸</t>
        </is>
      </c>
      <c r="K1133" s="9" t="n">
        <v>70</v>
      </c>
    </row>
    <row r="1134">
      <c r="A1134" s="9" t="inlineStr">
        <is>
          <t>현빈임시테스트2</t>
        </is>
      </c>
      <c r="B1134" s="10" t="n">
        <v>44249</v>
      </c>
      <c r="C1134" s="9" t="inlineStr">
        <is>
          <t>월</t>
        </is>
      </c>
      <c r="D1134" s="9" t="inlineStr">
        <is>
          <t>페이스북</t>
        </is>
      </c>
      <c r="E1134" s="9" t="inlineStr">
        <is>
          <t>샴푸</t>
        </is>
      </c>
      <c r="K1134" s="9" t="n">
        <v>51120</v>
      </c>
    </row>
    <row r="1135">
      <c r="A1135" s="9" t="inlineStr">
        <is>
          <t>현빈임시테스트</t>
        </is>
      </c>
      <c r="B1135" s="10" t="n">
        <v>44249</v>
      </c>
      <c r="C1135" s="9" t="inlineStr">
        <is>
          <t>월</t>
        </is>
      </c>
      <c r="D1135" s="9" t="inlineStr">
        <is>
          <t>페이스북</t>
        </is>
      </c>
      <c r="E1135" s="9" t="inlineStr">
        <is>
          <t>샴푸</t>
        </is>
      </c>
      <c r="K1135" s="9" t="n">
        <v>50719</v>
      </c>
    </row>
    <row r="1136">
      <c r="A1136" s="9" t="inlineStr">
        <is>
          <t>1201~단장키워드테스트</t>
        </is>
      </c>
      <c r="B1136" s="10" t="n">
        <v>44249</v>
      </c>
      <c r="C1136" s="9" t="inlineStr">
        <is>
          <t>월</t>
        </is>
      </c>
      <c r="D1136" s="9" t="inlineStr">
        <is>
          <t>페이스북</t>
        </is>
      </c>
      <c r="E1136" s="9" t="inlineStr">
        <is>
          <t>샴푸</t>
        </is>
      </c>
      <c r="K1136" s="9" t="n">
        <v>100609</v>
      </c>
    </row>
    <row r="1137">
      <c r="A1137" s="9" t="inlineStr">
        <is>
          <t>11/13 키워드 탐색</t>
        </is>
      </c>
      <c r="B1137" s="10" t="n">
        <v>44249</v>
      </c>
      <c r="C1137" s="9" t="inlineStr">
        <is>
          <t>월</t>
        </is>
      </c>
      <c r="D1137" s="9" t="inlineStr">
        <is>
          <t>페이스북</t>
        </is>
      </c>
      <c r="E1137" s="9" t="inlineStr">
        <is>
          <t>샴푸</t>
        </is>
      </c>
      <c r="K1137" s="9" t="n">
        <v>151196</v>
      </c>
    </row>
    <row r="1138">
      <c r="A1138" s="9" t="inlineStr">
        <is>
          <t>0118_샴푸_비듬똥균_4차_1</t>
        </is>
      </c>
      <c r="B1138" s="10" t="n">
        <v>44249</v>
      </c>
      <c r="C1138" s="9" t="inlineStr">
        <is>
          <t>월</t>
        </is>
      </c>
      <c r="D1138" s="9" t="inlineStr">
        <is>
          <t>유튜브</t>
        </is>
      </c>
      <c r="E1138" s="9" t="inlineStr">
        <is>
          <t>샴푸</t>
        </is>
      </c>
      <c r="K1138" s="9" t="n">
        <v>625770</v>
      </c>
    </row>
    <row r="1139">
      <c r="A1139" s="9" t="inlineStr">
        <is>
          <t>0127_GDN_비듬샴푸_잠재고객</t>
        </is>
      </c>
      <c r="B1139" s="10" t="n">
        <v>44249</v>
      </c>
      <c r="C1139" s="9" t="inlineStr">
        <is>
          <t>월</t>
        </is>
      </c>
      <c r="D1139" s="9" t="inlineStr">
        <is>
          <t>GDN</t>
        </is>
      </c>
      <c r="E1139" s="9" t="inlineStr">
        <is>
          <t>샴푸</t>
        </is>
      </c>
      <c r="K1139" s="9" t="n">
        <v>139956</v>
      </c>
    </row>
    <row r="1140">
      <c r="A1140" s="9" t="inlineStr">
        <is>
          <t>0128_샴푸_비듬똥균_4차_저녁</t>
        </is>
      </c>
      <c r="B1140" s="10" t="n">
        <v>44249</v>
      </c>
      <c r="C1140" s="9" t="inlineStr">
        <is>
          <t>월</t>
        </is>
      </c>
      <c r="D1140" s="9" t="inlineStr">
        <is>
          <t>유튜브</t>
        </is>
      </c>
      <c r="E1140" s="9" t="inlineStr">
        <is>
          <t>샴푸</t>
        </is>
      </c>
      <c r="K1140" s="9" t="n">
        <v>78535</v>
      </c>
    </row>
    <row r="1141">
      <c r="A1141" s="9" t="inlineStr">
        <is>
          <t>0205_샴푸_비듬똥균_4차_2</t>
        </is>
      </c>
      <c r="B1141" s="10" t="n">
        <v>44249</v>
      </c>
      <c r="C1141" s="9" t="inlineStr">
        <is>
          <t>월</t>
        </is>
      </c>
      <c r="D1141" s="9" t="inlineStr">
        <is>
          <t>유튜브</t>
        </is>
      </c>
      <c r="E1141" s="9" t="inlineStr">
        <is>
          <t>샴푸</t>
        </is>
      </c>
      <c r="K1141" s="9" t="n">
        <v>466564</v>
      </c>
    </row>
    <row r="1142">
      <c r="A1142" s="9" t="inlineStr">
        <is>
          <t>0217_샴푸_비듬똥균_5차</t>
        </is>
      </c>
      <c r="B1142" s="10" t="n">
        <v>44249</v>
      </c>
      <c r="C1142" s="9" t="inlineStr">
        <is>
          <t>월</t>
        </is>
      </c>
      <c r="D1142" s="9" t="inlineStr">
        <is>
          <t>유튜브</t>
        </is>
      </c>
      <c r="E1142" s="9" t="inlineStr">
        <is>
          <t>샴푸</t>
        </is>
      </c>
      <c r="K1142" s="9" t="n">
        <v>766308</v>
      </c>
    </row>
    <row r="1143">
      <c r="A1143" s="9" t="inlineStr">
        <is>
          <t>0217_샴푸_비듬똥균_5차_잠재고객</t>
        </is>
      </c>
      <c r="B1143" s="10" t="n">
        <v>44249</v>
      </c>
      <c r="C1143" s="9" t="inlineStr">
        <is>
          <t>월</t>
        </is>
      </c>
      <c r="D1143" s="9" t="inlineStr">
        <is>
          <t>유튜브</t>
        </is>
      </c>
      <c r="E1143" s="9" t="inlineStr">
        <is>
          <t>샴푸</t>
        </is>
      </c>
      <c r="K1143" s="9" t="n">
        <v>676620</v>
      </c>
    </row>
    <row r="1144">
      <c r="A1144" s="9" t="inlineStr">
        <is>
          <t>0220_샴푸_비듬똥균_5차_1시간테스트</t>
        </is>
      </c>
      <c r="B1144" s="10" t="n">
        <v>44249</v>
      </c>
      <c r="C1144" s="9" t="inlineStr">
        <is>
          <t>월</t>
        </is>
      </c>
      <c r="D1144" s="9">
        <f>VLOOKUP($A1144,매칭테이블!$B$123:$D$1048576,2,0)</f>
        <v/>
      </c>
      <c r="E1144" s="9">
        <f>VLOOKUP($A1144,매칭테이블!$B$123:$D$1048576,3,0)</f>
        <v/>
      </c>
      <c r="K1144" s="9" t="n">
        <v>195235</v>
      </c>
    </row>
    <row r="1145">
      <c r="A1145" s="9" t="inlineStr">
        <is>
          <t>라베나 파워링크_샴푸_광고그룹#1</t>
        </is>
      </c>
      <c r="B1145" s="10" t="n">
        <v>44249</v>
      </c>
      <c r="C1145" s="9" t="inlineStr">
        <is>
          <t>월</t>
        </is>
      </c>
      <c r="D1145" s="9" t="inlineStr">
        <is>
          <t>네이버 검색</t>
        </is>
      </c>
      <c r="E1145" s="9" t="inlineStr">
        <is>
          <t>샴푸</t>
        </is>
      </c>
      <c r="K1145" s="9" t="n">
        <v>5280</v>
      </c>
    </row>
    <row r="1146">
      <c r="A1146" s="9" t="inlineStr">
        <is>
          <t>라베나 파워링크_샴푸#1_유튜브키워드기반</t>
        </is>
      </c>
      <c r="B1146" s="10" t="n">
        <v>44249</v>
      </c>
      <c r="C1146" s="9" t="inlineStr">
        <is>
          <t>월</t>
        </is>
      </c>
      <c r="D1146" s="9" t="inlineStr">
        <is>
          <t>네이버 검색</t>
        </is>
      </c>
      <c r="E1146" s="9" t="inlineStr">
        <is>
          <t>샴푸</t>
        </is>
      </c>
      <c r="K1146" s="9" t="n">
        <v>53689.99999999999</v>
      </c>
    </row>
    <row r="1147">
      <c r="A1147" s="9" t="inlineStr">
        <is>
          <t>샴푸_쇼핑검색#1_광고그룹#1</t>
        </is>
      </c>
      <c r="B1147" s="10" t="n">
        <v>44249</v>
      </c>
      <c r="C1147" s="9" t="inlineStr">
        <is>
          <t>월</t>
        </is>
      </c>
      <c r="D1147" s="9" t="inlineStr">
        <is>
          <t>네이버 검색</t>
        </is>
      </c>
      <c r="E1147" s="9" t="inlineStr">
        <is>
          <t>샴푸</t>
        </is>
      </c>
      <c r="K1147" s="9" t="n">
        <v>140</v>
      </c>
    </row>
    <row r="1148">
      <c r="A1148" s="9" t="inlineStr">
        <is>
          <t>파워컨텐츠#1_비듬샴푸</t>
        </is>
      </c>
      <c r="B1148" s="10" t="n">
        <v>44249</v>
      </c>
      <c r="C1148" s="9" t="inlineStr">
        <is>
          <t>월</t>
        </is>
      </c>
      <c r="D1148" s="9" t="inlineStr">
        <is>
          <t>네이버 검색</t>
        </is>
      </c>
      <c r="E1148" s="9" t="inlineStr">
        <is>
          <t>샴푸</t>
        </is>
      </c>
      <c r="K1148" s="9" t="n">
        <v>0</v>
      </c>
    </row>
    <row r="1149">
      <c r="B1149" s="10" t="n">
        <v>44249</v>
      </c>
      <c r="C1149" s="9" t="inlineStr">
        <is>
          <t>월</t>
        </is>
      </c>
      <c r="D1149" s="9" t="inlineStr">
        <is>
          <t>네이버 검색</t>
        </is>
      </c>
      <c r="E1149" s="9" t="inlineStr">
        <is>
          <t>샴푸</t>
        </is>
      </c>
      <c r="K1149" s="9" t="n">
        <v>250000</v>
      </c>
    </row>
    <row r="1150">
      <c r="B1150" s="10" t="n">
        <v>44249</v>
      </c>
      <c r="C1150" s="9" t="inlineStr">
        <is>
          <t>월</t>
        </is>
      </c>
      <c r="D1150" s="9" t="inlineStr">
        <is>
          <t>카카오플친</t>
        </is>
      </c>
      <c r="E1150" s="9" t="inlineStr">
        <is>
          <t>샴푸</t>
        </is>
      </c>
      <c r="K1150" s="9" t="n">
        <v>132150</v>
      </c>
    </row>
    <row r="1151">
      <c r="A1151" s="9" t="inlineStr">
        <is>
          <t>현빈임시테스트2</t>
        </is>
      </c>
      <c r="B1151" s="10" t="n">
        <v>44250</v>
      </c>
      <c r="C1151" s="9" t="inlineStr">
        <is>
          <t>화</t>
        </is>
      </c>
      <c r="D1151" s="9" t="inlineStr">
        <is>
          <t>페이스북</t>
        </is>
      </c>
      <c r="E1151" s="9" t="inlineStr">
        <is>
          <t>샴푸</t>
        </is>
      </c>
      <c r="K1151" s="9" t="n">
        <v>49112</v>
      </c>
    </row>
    <row r="1152">
      <c r="A1152" s="9" t="inlineStr">
        <is>
          <t>현빈임시테스트</t>
        </is>
      </c>
      <c r="B1152" s="10" t="n">
        <v>44250</v>
      </c>
      <c r="C1152" s="9" t="inlineStr">
        <is>
          <t>화</t>
        </is>
      </c>
      <c r="D1152" s="9" t="inlineStr">
        <is>
          <t>페이스북</t>
        </is>
      </c>
      <c r="E1152" s="9" t="inlineStr">
        <is>
          <t>샴푸</t>
        </is>
      </c>
      <c r="K1152" s="9" t="n">
        <v>48903</v>
      </c>
    </row>
    <row r="1153">
      <c r="A1153" s="9" t="inlineStr">
        <is>
          <t>1201~단장키워드테스트</t>
        </is>
      </c>
      <c r="B1153" s="10" t="n">
        <v>44250</v>
      </c>
      <c r="C1153" s="9" t="inlineStr">
        <is>
          <t>화</t>
        </is>
      </c>
      <c r="D1153" s="9" t="inlineStr">
        <is>
          <t>페이스북</t>
        </is>
      </c>
      <c r="E1153" s="9" t="inlineStr">
        <is>
          <t>샴푸</t>
        </is>
      </c>
      <c r="K1153" s="9" t="n">
        <v>98869</v>
      </c>
    </row>
    <row r="1154">
      <c r="A1154" s="9" t="inlineStr">
        <is>
          <t>11/13 키워드 탐색</t>
        </is>
      </c>
      <c r="B1154" s="10" t="n">
        <v>44250</v>
      </c>
      <c r="C1154" s="9" t="inlineStr">
        <is>
          <t>화</t>
        </is>
      </c>
      <c r="D1154" s="9" t="inlineStr">
        <is>
          <t>페이스북</t>
        </is>
      </c>
      <c r="E1154" s="9" t="inlineStr">
        <is>
          <t>샴푸</t>
        </is>
      </c>
      <c r="K1154" s="9" t="n">
        <v>147791</v>
      </c>
    </row>
    <row r="1155">
      <c r="A1155" s="9" t="inlineStr">
        <is>
          <t>0118_샴푸_비듬똥균_4차_1</t>
        </is>
      </c>
      <c r="B1155" s="10" t="n">
        <v>44250</v>
      </c>
      <c r="C1155" s="9" t="inlineStr">
        <is>
          <t>화</t>
        </is>
      </c>
      <c r="D1155" s="9" t="inlineStr">
        <is>
          <t>유튜브</t>
        </is>
      </c>
      <c r="E1155" s="9" t="inlineStr">
        <is>
          <t>샴푸</t>
        </is>
      </c>
      <c r="K1155" s="9" t="n">
        <v>773402</v>
      </c>
    </row>
    <row r="1156">
      <c r="A1156" s="9" t="inlineStr">
        <is>
          <t>0127_GDN_비듬샴푸_잠재고객</t>
        </is>
      </c>
      <c r="B1156" s="10" t="n">
        <v>44250</v>
      </c>
      <c r="C1156" s="9" t="inlineStr">
        <is>
          <t>화</t>
        </is>
      </c>
      <c r="D1156" s="9" t="inlineStr">
        <is>
          <t>GDN</t>
        </is>
      </c>
      <c r="E1156" s="9" t="inlineStr">
        <is>
          <t>샴푸</t>
        </is>
      </c>
      <c r="K1156" s="9" t="n">
        <v>170768</v>
      </c>
    </row>
    <row r="1157">
      <c r="A1157" s="9" t="inlineStr">
        <is>
          <t>0128_샴푸_비듬똥균_4차_저녁</t>
        </is>
      </c>
      <c r="B1157" s="10" t="n">
        <v>44250</v>
      </c>
      <c r="C1157" s="9" t="inlineStr">
        <is>
          <t>화</t>
        </is>
      </c>
      <c r="D1157" s="9" t="inlineStr">
        <is>
          <t>유튜브</t>
        </is>
      </c>
      <c r="E1157" s="9" t="inlineStr">
        <is>
          <t>샴푸</t>
        </is>
      </c>
      <c r="K1157" s="9" t="n">
        <v>11699</v>
      </c>
    </row>
    <row r="1158">
      <c r="A1158" s="9" t="inlineStr">
        <is>
          <t>0205_샴푸_비듬똥균_4차_2</t>
        </is>
      </c>
      <c r="B1158" s="10" t="n">
        <v>44250</v>
      </c>
      <c r="C1158" s="9" t="inlineStr">
        <is>
          <t>화</t>
        </is>
      </c>
      <c r="D1158" s="9" t="inlineStr">
        <is>
          <t>유튜브</t>
        </is>
      </c>
      <c r="E1158" s="9" t="inlineStr">
        <is>
          <t>샴푸</t>
        </is>
      </c>
      <c r="K1158" s="9" t="n">
        <v>446363</v>
      </c>
    </row>
    <row r="1159">
      <c r="A1159" s="9" t="inlineStr">
        <is>
          <t>0217_샴푸_비듬똥균_5차</t>
        </is>
      </c>
      <c r="B1159" s="10" t="n">
        <v>44250</v>
      </c>
      <c r="C1159" s="9" t="inlineStr">
        <is>
          <t>화</t>
        </is>
      </c>
      <c r="D1159" s="9" t="inlineStr">
        <is>
          <t>유튜브</t>
        </is>
      </c>
      <c r="E1159" s="9" t="inlineStr">
        <is>
          <t>샴푸</t>
        </is>
      </c>
      <c r="K1159" s="9" t="n">
        <v>657248</v>
      </c>
    </row>
    <row r="1160">
      <c r="A1160" s="9" t="inlineStr">
        <is>
          <t>0217_샴푸_비듬똥균_5차_잠재고객</t>
        </is>
      </c>
      <c r="B1160" s="10" t="n">
        <v>44250</v>
      </c>
      <c r="C1160" s="9" t="inlineStr">
        <is>
          <t>화</t>
        </is>
      </c>
      <c r="D1160" s="9" t="inlineStr">
        <is>
          <t>유튜브</t>
        </is>
      </c>
      <c r="E1160" s="9" t="inlineStr">
        <is>
          <t>샴푸</t>
        </is>
      </c>
      <c r="K1160" s="9" t="n">
        <v>1198807</v>
      </c>
    </row>
    <row r="1161">
      <c r="A1161" s="9" t="inlineStr">
        <is>
          <t>0220_샴푸_비듬똥균_5차_1시간테스트</t>
        </is>
      </c>
      <c r="B1161" s="10" t="n">
        <v>44250</v>
      </c>
      <c r="C1161" s="9" t="inlineStr">
        <is>
          <t>화</t>
        </is>
      </c>
      <c r="D1161" s="9">
        <f>VLOOKUP($A1161,매칭테이블!$B$123:$D$1048576,2,0)</f>
        <v/>
      </c>
      <c r="E1161" s="9">
        <f>VLOOKUP($A1161,매칭테이블!$B$123:$D$1048576,3,0)</f>
        <v/>
      </c>
      <c r="K1161" s="9" t="n">
        <v>10327</v>
      </c>
    </row>
    <row r="1162">
      <c r="A1162" s="9" t="inlineStr">
        <is>
          <t>라베나 파워링크_샴푸_광고그룹#1</t>
        </is>
      </c>
      <c r="B1162" s="10" t="n">
        <v>44250</v>
      </c>
      <c r="C1162" s="9" t="inlineStr">
        <is>
          <t>화</t>
        </is>
      </c>
      <c r="D1162" s="9" t="inlineStr">
        <is>
          <t>네이버 검색</t>
        </is>
      </c>
      <c r="E1162" s="9" t="inlineStr">
        <is>
          <t>샴푸</t>
        </is>
      </c>
      <c r="K1162" s="9" t="n">
        <v>5769.999999999999</v>
      </c>
    </row>
    <row r="1163">
      <c r="A1163" s="9" t="inlineStr">
        <is>
          <t>라베나 파워링크_샴푸#1_유튜브키워드기반</t>
        </is>
      </c>
      <c r="B1163" s="10" t="n">
        <v>44250</v>
      </c>
      <c r="C1163" s="9" t="inlineStr">
        <is>
          <t>화</t>
        </is>
      </c>
      <c r="D1163" s="9" t="inlineStr">
        <is>
          <t>네이버 검색</t>
        </is>
      </c>
      <c r="E1163" s="9" t="inlineStr">
        <is>
          <t>샴푸</t>
        </is>
      </c>
      <c r="K1163" s="9" t="n">
        <v>72760</v>
      </c>
    </row>
    <row r="1164">
      <c r="A1164" s="9" t="inlineStr">
        <is>
          <t>샴푸_쇼핑검색#1_광고그룹#1</t>
        </is>
      </c>
      <c r="B1164" s="10" t="n">
        <v>44250</v>
      </c>
      <c r="C1164" s="9" t="inlineStr">
        <is>
          <t>화</t>
        </is>
      </c>
      <c r="D1164" s="9" t="inlineStr">
        <is>
          <t>네이버 검색</t>
        </is>
      </c>
      <c r="E1164" s="9" t="inlineStr">
        <is>
          <t>샴푸</t>
        </is>
      </c>
      <c r="K1164" s="9" t="n">
        <v>1310</v>
      </c>
    </row>
    <row r="1165">
      <c r="A1165" s="9" t="inlineStr">
        <is>
          <t>파워컨텐츠#1_비듬샴푸</t>
        </is>
      </c>
      <c r="B1165" s="10" t="n">
        <v>44250</v>
      </c>
      <c r="C1165" s="9" t="inlineStr">
        <is>
          <t>화</t>
        </is>
      </c>
      <c r="D1165" s="9" t="inlineStr">
        <is>
          <t>네이버 검색</t>
        </is>
      </c>
      <c r="E1165" s="9" t="inlineStr">
        <is>
          <t>샴푸</t>
        </is>
      </c>
      <c r="K1165" s="9" t="n">
        <v>0</v>
      </c>
    </row>
    <row r="1166">
      <c r="A1166" s="9" t="inlineStr">
        <is>
          <t>0224_샴푸-비듬똥균_카드뉴스_임시</t>
        </is>
      </c>
      <c r="B1166" s="10" t="n">
        <v>44252</v>
      </c>
      <c r="C1166" s="9" t="inlineStr">
        <is>
          <t>목</t>
        </is>
      </c>
      <c r="D1166" s="9">
        <f>VLOOKUP($A1166,매칭테이블!$B$123:$D$1048576,2,0)</f>
        <v/>
      </c>
      <c r="E1166" s="9">
        <f>VLOOKUP($A1166,매칭테이블!$B$123:$D$1048576,3,0)</f>
        <v/>
      </c>
      <c r="K1166" s="9" t="n">
        <v>199723</v>
      </c>
    </row>
    <row r="1167">
      <c r="A1167" s="9" t="inlineStr">
        <is>
          <t>현빈임시테스트2</t>
        </is>
      </c>
      <c r="B1167" s="10" t="n">
        <v>44252</v>
      </c>
      <c r="C1167" s="9" t="inlineStr">
        <is>
          <t>목</t>
        </is>
      </c>
      <c r="D1167" s="9" t="inlineStr">
        <is>
          <t>페이스북</t>
        </is>
      </c>
      <c r="E1167" s="9" t="inlineStr">
        <is>
          <t>샴푸</t>
        </is>
      </c>
      <c r="K1167" s="9" t="n">
        <v>49515</v>
      </c>
    </row>
    <row r="1168">
      <c r="A1168" s="9" t="inlineStr">
        <is>
          <t>현빈임시테스트</t>
        </is>
      </c>
      <c r="B1168" s="10" t="n">
        <v>44252</v>
      </c>
      <c r="C1168" s="9" t="inlineStr">
        <is>
          <t>목</t>
        </is>
      </c>
      <c r="D1168" s="9" t="inlineStr">
        <is>
          <t>페이스북</t>
        </is>
      </c>
      <c r="E1168" s="9" t="inlineStr">
        <is>
          <t>샴푸</t>
        </is>
      </c>
      <c r="K1168" s="9" t="n">
        <v>50732</v>
      </c>
    </row>
    <row r="1169">
      <c r="A1169" s="9" t="inlineStr">
        <is>
          <t>1201~단장키워드테스트</t>
        </is>
      </c>
      <c r="B1169" s="10" t="n">
        <v>44252</v>
      </c>
      <c r="C1169" s="9" t="inlineStr">
        <is>
          <t>목</t>
        </is>
      </c>
      <c r="D1169" s="9" t="inlineStr">
        <is>
          <t>페이스북</t>
        </is>
      </c>
      <c r="E1169" s="9" t="inlineStr">
        <is>
          <t>샴푸</t>
        </is>
      </c>
      <c r="K1169" s="9" t="n">
        <v>50046</v>
      </c>
    </row>
    <row r="1170">
      <c r="A1170" s="9" t="inlineStr">
        <is>
          <t>11/13 키워드 탐색</t>
        </is>
      </c>
      <c r="B1170" s="10" t="n">
        <v>44252</v>
      </c>
      <c r="C1170" s="9" t="inlineStr">
        <is>
          <t>목</t>
        </is>
      </c>
      <c r="D1170" s="9" t="inlineStr">
        <is>
          <t>페이스북</t>
        </is>
      </c>
      <c r="E1170" s="9" t="inlineStr">
        <is>
          <t>샴푸</t>
        </is>
      </c>
      <c r="K1170" s="9" t="n">
        <v>100113</v>
      </c>
    </row>
    <row r="1171">
      <c r="A1171" s="9" t="inlineStr">
        <is>
          <t>0118_샴푸_비듬똥균_4차_1</t>
        </is>
      </c>
      <c r="B1171" s="10" t="n">
        <v>44252</v>
      </c>
      <c r="C1171" s="9" t="inlineStr">
        <is>
          <t>목</t>
        </is>
      </c>
      <c r="D1171" s="9" t="inlineStr">
        <is>
          <t>유튜브</t>
        </is>
      </c>
      <c r="E1171" s="9" t="inlineStr">
        <is>
          <t>샴푸</t>
        </is>
      </c>
      <c r="K1171" s="9" t="n">
        <v>447555</v>
      </c>
    </row>
    <row r="1172">
      <c r="A1172" s="9" t="inlineStr">
        <is>
          <t>0127_GDN_비듬샴푸_잠재고객</t>
        </is>
      </c>
      <c r="B1172" s="10" t="n">
        <v>44252</v>
      </c>
      <c r="C1172" s="9" t="inlineStr">
        <is>
          <t>목</t>
        </is>
      </c>
      <c r="D1172" s="9" t="inlineStr">
        <is>
          <t>GDN</t>
        </is>
      </c>
      <c r="E1172" s="9" t="inlineStr">
        <is>
          <t>샴푸</t>
        </is>
      </c>
      <c r="K1172" s="9" t="n">
        <v>149541</v>
      </c>
    </row>
    <row r="1173">
      <c r="A1173" s="9" t="inlineStr">
        <is>
          <t>0128_샴푸_비듬똥균_4차_저녁</t>
        </is>
      </c>
      <c r="B1173" s="10" t="n">
        <v>44252</v>
      </c>
      <c r="C1173" s="9" t="inlineStr">
        <is>
          <t>목</t>
        </is>
      </c>
      <c r="D1173" s="9" t="inlineStr">
        <is>
          <t>유튜브</t>
        </is>
      </c>
      <c r="E1173" s="9" t="inlineStr">
        <is>
          <t>샴푸</t>
        </is>
      </c>
      <c r="K1173" s="9" t="n">
        <v>190336</v>
      </c>
    </row>
    <row r="1174">
      <c r="A1174" s="9" t="inlineStr">
        <is>
          <t>0205_샴푸_비듬똥균_4차_2</t>
        </is>
      </c>
      <c r="B1174" s="10" t="n">
        <v>44252</v>
      </c>
      <c r="C1174" s="9" t="inlineStr">
        <is>
          <t>목</t>
        </is>
      </c>
      <c r="D1174" s="9" t="inlineStr">
        <is>
          <t>유튜브</t>
        </is>
      </c>
      <c r="E1174" s="9" t="inlineStr">
        <is>
          <t>샴푸</t>
        </is>
      </c>
      <c r="K1174" s="9" t="n">
        <v>611972</v>
      </c>
    </row>
    <row r="1175">
      <c r="A1175" s="9" t="inlineStr">
        <is>
          <t>0217_샴푸_비듬똥균_5차</t>
        </is>
      </c>
      <c r="B1175" s="10" t="n">
        <v>44252</v>
      </c>
      <c r="C1175" s="9" t="inlineStr">
        <is>
          <t>목</t>
        </is>
      </c>
      <c r="D1175" s="9" t="inlineStr">
        <is>
          <t>유튜브</t>
        </is>
      </c>
      <c r="E1175" s="9" t="inlineStr">
        <is>
          <t>샴푸</t>
        </is>
      </c>
      <c r="K1175" s="9" t="n">
        <v>364105</v>
      </c>
    </row>
    <row r="1176">
      <c r="A1176" s="9" t="inlineStr">
        <is>
          <t>0217_샴푸_비듬똥균_5차_잠재고객</t>
        </is>
      </c>
      <c r="B1176" s="10" t="n">
        <v>44252</v>
      </c>
      <c r="C1176" s="9" t="inlineStr">
        <is>
          <t>목</t>
        </is>
      </c>
      <c r="D1176" s="9" t="inlineStr">
        <is>
          <t>유튜브</t>
        </is>
      </c>
      <c r="E1176" s="9" t="inlineStr">
        <is>
          <t>샴푸</t>
        </is>
      </c>
      <c r="K1176" s="9" t="n">
        <v>646949</v>
      </c>
    </row>
    <row r="1177">
      <c r="A1177" s="9" t="inlineStr">
        <is>
          <t>0220_샴푸_비듬똥균_5차_1시간테스트</t>
        </is>
      </c>
      <c r="B1177" s="10" t="n">
        <v>44252</v>
      </c>
      <c r="C1177" s="9" t="inlineStr">
        <is>
          <t>목</t>
        </is>
      </c>
      <c r="D1177" s="9">
        <f>VLOOKUP($A1177,매칭테이블!$B$123:$D$1048576,2,0)</f>
        <v/>
      </c>
      <c r="E1177" s="9">
        <f>VLOOKUP($A1177,매칭테이블!$B$123:$D$1048576,3,0)</f>
        <v/>
      </c>
      <c r="K1177" s="9" t="n">
        <v>381000</v>
      </c>
    </row>
    <row r="1178">
      <c r="A1178" s="9" t="inlineStr">
        <is>
          <t>0225_샴푸_비듬똥균_검색</t>
        </is>
      </c>
      <c r="B1178" s="10" t="n">
        <v>44252</v>
      </c>
      <c r="C1178" s="9" t="inlineStr">
        <is>
          <t>목</t>
        </is>
      </c>
      <c r="D1178" s="9">
        <f>VLOOKUP($A1178,매칭테이블!$B$123:$D$1048576,2,0)</f>
        <v/>
      </c>
      <c r="E1178" s="9">
        <f>VLOOKUP($A1178,매칭테이블!$B$123:$D$1048576,3,0)</f>
        <v/>
      </c>
      <c r="K1178" s="9" t="n">
        <v>777</v>
      </c>
    </row>
    <row r="1179">
      <c r="A1179" s="9" t="inlineStr">
        <is>
          <t>0225_샴푸_비듬똥균_4차_3</t>
        </is>
      </c>
      <c r="B1179" s="10" t="n">
        <v>44252</v>
      </c>
      <c r="C1179" s="9" t="inlineStr">
        <is>
          <t>목</t>
        </is>
      </c>
      <c r="D1179" s="9">
        <f>VLOOKUP($A1179,매칭테이블!$B$123:$D$1048576,2,0)</f>
        <v/>
      </c>
      <c r="E1179" s="9">
        <f>VLOOKUP($A1179,매칭테이블!$B$123:$D$1048576,3,0)</f>
        <v/>
      </c>
      <c r="K1179" s="9" t="n">
        <v>50442</v>
      </c>
    </row>
    <row r="1180">
      <c r="A1180" s="9" t="inlineStr">
        <is>
          <t>라베나 파워링크_샴푸_광고그룹#1</t>
        </is>
      </c>
      <c r="B1180" s="10" t="n">
        <v>44252</v>
      </c>
      <c r="C1180" s="9" t="inlineStr">
        <is>
          <t>목</t>
        </is>
      </c>
      <c r="D1180" s="9" t="inlineStr">
        <is>
          <t>네이버 검색</t>
        </is>
      </c>
      <c r="E1180" s="9" t="inlineStr">
        <is>
          <t>샴푸</t>
        </is>
      </c>
      <c r="K1180" s="9" t="n">
        <v>6069.999999999999</v>
      </c>
    </row>
    <row r="1181">
      <c r="A1181" s="9" t="inlineStr">
        <is>
          <t>라베나 파워링크_샴푸#1_유튜브키워드기반</t>
        </is>
      </c>
      <c r="B1181" s="10" t="n">
        <v>44252</v>
      </c>
      <c r="C1181" s="9" t="inlineStr">
        <is>
          <t>목</t>
        </is>
      </c>
      <c r="D1181" s="9" t="inlineStr">
        <is>
          <t>네이버 검색</t>
        </is>
      </c>
      <c r="E1181" s="9" t="inlineStr">
        <is>
          <t>샴푸</t>
        </is>
      </c>
      <c r="K1181" s="9" t="n">
        <v>65149.99999999999</v>
      </c>
    </row>
    <row r="1182">
      <c r="A1182" s="9" t="inlineStr">
        <is>
          <t>샴푸_쇼핑검색#1_광고그룹#1</t>
        </is>
      </c>
      <c r="B1182" s="10" t="n">
        <v>44252</v>
      </c>
      <c r="C1182" s="9" t="inlineStr">
        <is>
          <t>목</t>
        </is>
      </c>
      <c r="D1182" s="9" t="inlineStr">
        <is>
          <t>네이버 검색</t>
        </is>
      </c>
      <c r="E1182" s="9" t="inlineStr">
        <is>
          <t>샴푸</t>
        </is>
      </c>
      <c r="K1182" s="9" t="n">
        <v>759.9999999999999</v>
      </c>
    </row>
    <row r="1183">
      <c r="A1183" s="9" t="inlineStr">
        <is>
          <t>파워컨텐츠#1_비듬샴푸</t>
        </is>
      </c>
      <c r="B1183" s="10" t="n">
        <v>44252</v>
      </c>
      <c r="C1183" s="9" t="inlineStr">
        <is>
          <t>목</t>
        </is>
      </c>
      <c r="D1183" s="9" t="inlineStr">
        <is>
          <t>네이버 검색</t>
        </is>
      </c>
      <c r="E1183" s="9" t="inlineStr">
        <is>
          <t>샴푸</t>
        </is>
      </c>
      <c r="K1183" s="9" t="n">
        <v>0</v>
      </c>
    </row>
    <row r="1184">
      <c r="B1184" s="10" t="n">
        <v>44252</v>
      </c>
      <c r="C1184" s="9" t="inlineStr">
        <is>
          <t>목</t>
        </is>
      </c>
      <c r="D1184" s="9" t="inlineStr">
        <is>
          <t>카카오플친</t>
        </is>
      </c>
      <c r="E1184" s="9" t="inlineStr">
        <is>
          <t>샴푸</t>
        </is>
      </c>
      <c r="K1184" s="9" t="n">
        <v>134910</v>
      </c>
    </row>
    <row r="1185">
      <c r="B1185" s="10" t="n">
        <v>44252</v>
      </c>
      <c r="C1185" s="9" t="inlineStr">
        <is>
          <t>목</t>
        </is>
      </c>
      <c r="E1185" s="9" t="inlineStr">
        <is>
          <t>뉴트리셔스밤</t>
        </is>
      </c>
      <c r="F1185" s="9" t="inlineStr">
        <is>
          <t>카페24</t>
        </is>
      </c>
      <c r="G1185" s="9" t="inlineStr">
        <is>
          <t>라베나 리커버리 15 뉴트리셔스 밤 [HAIR RÉ:COVERY 15 Nutritious Balm]제품선택=헤어 리커버리 15 뉴트리셔스 밤</t>
        </is>
      </c>
      <c r="H1185" s="9" t="n">
        <v>9</v>
      </c>
      <c r="I1185" s="9" t="inlineStr">
        <is>
          <t>뉴트리셔스밤</t>
        </is>
      </c>
      <c r="J1185" s="9" t="inlineStr">
        <is>
          <t>210207</t>
        </is>
      </c>
      <c r="L1185" s="9" t="n">
        <v>224100</v>
      </c>
      <c r="M1185" s="9" t="n">
        <v>210990.15</v>
      </c>
      <c r="N1185" s="9" t="n">
        <v>14220</v>
      </c>
      <c r="O1185" s="9" t="inlineStr">
        <is>
          <t>카페24뉴트리셔스밤라베나 리커버리 15 뉴트리셔스 밤 [HAIR RÉ:COVERY 15 Nutritious Balm]제품선택=헤어 리커버리 15 뉴트리셔스 밤210207</t>
        </is>
      </c>
    </row>
    <row r="1186">
      <c r="B1186" s="10" t="n">
        <v>44252</v>
      </c>
      <c r="C1186" s="9" t="inlineStr">
        <is>
          <t>목</t>
        </is>
      </c>
      <c r="E1186" s="9" t="inlineStr">
        <is>
          <t>뉴트리셔스밤</t>
        </is>
      </c>
      <c r="F1186" s="9" t="inlineStr">
        <is>
          <t>카페24</t>
        </is>
      </c>
      <c r="G1186" s="9" t="inlineStr">
        <is>
          <t>라베나 리커버리 15 뉴트리셔스 밤 [HAIR RÉ:COVERY 15 Nutritious Balm]제품선택=뉴트리셔스밤 1개 + 헤어팩 트리트먼트 1개 세트 5%추가할인</t>
        </is>
      </c>
      <c r="H1186" s="9" t="n">
        <v>3</v>
      </c>
      <c r="I1186" s="9" t="inlineStr">
        <is>
          <t>트리트먼트+뉴트리셔스밤</t>
        </is>
      </c>
      <c r="J1186" s="9" t="inlineStr">
        <is>
          <t>210207</t>
        </is>
      </c>
      <c r="L1186" s="9" t="n">
        <v>145065</v>
      </c>
      <c r="M1186" s="9" t="n">
        <v>136578.6975</v>
      </c>
      <c r="N1186" s="9" t="n">
        <v>9531</v>
      </c>
      <c r="O1186" s="9" t="inlineStr">
        <is>
          <t>카페24뉴트리셔스밤라베나 리커버리 15 뉴트리셔스 밤 [HAIR RÉ:COVERY 15 Nutritious Balm]제품선택=뉴트리셔스밤 1개 + 헤어팩 트리트먼트 1개 세트 5%추가할인210207</t>
        </is>
      </c>
    </row>
    <row r="1187">
      <c r="B1187" s="10" t="n">
        <v>44252</v>
      </c>
      <c r="C1187" s="9" t="inlineStr">
        <is>
          <t>목</t>
        </is>
      </c>
      <c r="E1187" s="9" t="inlineStr">
        <is>
          <t>샴푸</t>
        </is>
      </c>
      <c r="F1187" s="9" t="inlineStr">
        <is>
          <t>카페24</t>
        </is>
      </c>
      <c r="G1187" s="9" t="inlineStr">
        <is>
          <t>라베나 리커버리 15 리바이탈 바이오플라보노이드샴푸 [HAIR RÉ:COVERY 15 Revital Shampoo]제품선택=헤어 리커버리 15 리바이탈 샴푸 - 500ml</t>
        </is>
      </c>
      <c r="H1187" s="9" t="n">
        <v>245</v>
      </c>
      <c r="I1187" s="9" t="inlineStr">
        <is>
          <t>리바이탈 샴푸</t>
        </is>
      </c>
      <c r="J1187" s="9" t="inlineStr">
        <is>
          <t>210207</t>
        </is>
      </c>
      <c r="L1187" s="9" t="n">
        <v>6590500</v>
      </c>
      <c r="M1187" s="9" t="n">
        <v>6204955.75</v>
      </c>
      <c r="N1187" s="9" t="n">
        <v>739900</v>
      </c>
      <c r="O1187" s="9" t="inlineStr">
        <is>
          <t>카페24샴푸라베나 리커버리 15 리바이탈 바이오플라보노이드샴푸 [HAIR RÉ:COVERY 15 Revital Shampoo]제품선택=헤어 리커버리 15 리바이탈 샴푸 - 500ml210207</t>
        </is>
      </c>
    </row>
    <row r="1188">
      <c r="B1188" s="10" t="n">
        <v>44252</v>
      </c>
      <c r="C1188" s="9" t="inlineStr">
        <is>
          <t>목</t>
        </is>
      </c>
      <c r="E1188" s="9" t="inlineStr">
        <is>
          <t>샴푸</t>
        </is>
      </c>
      <c r="F1188" s="9" t="inlineStr">
        <is>
          <t>카페24</t>
        </is>
      </c>
      <c r="G1188" s="9" t="inlineStr">
        <is>
          <t>라베나 리커버리 15 리바이탈 바이오플라보노이드샴푸 [HAIR RÉ:COVERY 15 Revital Shampoo]제품선택=리바이탈 샴푸 2개 세트 5%추가할인</t>
        </is>
      </c>
      <c r="H1188" s="9" t="n">
        <v>48</v>
      </c>
      <c r="I1188" s="9" t="inlineStr">
        <is>
          <t>리바이탈 샴푸 2set</t>
        </is>
      </c>
      <c r="J1188" s="9" t="inlineStr">
        <is>
          <t>210207</t>
        </is>
      </c>
      <c r="L1188" s="9" t="n">
        <v>2453280</v>
      </c>
      <c r="M1188" s="9" t="n">
        <v>2309763.12</v>
      </c>
      <c r="N1188" s="9" t="n">
        <v>289920</v>
      </c>
      <c r="O1188" s="9" t="inlineStr">
        <is>
          <t>카페24샴푸라베나 리커버리 15 리바이탈 바이오플라보노이드샴푸 [HAIR RÉ:COVERY 15 Revital Shampoo]제품선택=리바이탈 샴푸 2개 세트 5%추가할인210207</t>
        </is>
      </c>
    </row>
    <row r="1189">
      <c r="B1189" s="10" t="n">
        <v>44252</v>
      </c>
      <c r="C1189" s="9" t="inlineStr">
        <is>
          <t>목</t>
        </is>
      </c>
      <c r="E1189" s="9" t="inlineStr">
        <is>
          <t>샴푸</t>
        </is>
      </c>
      <c r="F1189" s="9" t="inlineStr">
        <is>
          <t>카페24</t>
        </is>
      </c>
      <c r="G1189" s="9" t="inlineStr">
        <is>
          <t>라베나 리커버리 15 리바이탈 바이오플라보노이드샴푸 [HAIR RÉ:COVERY 15 Revital Shampoo]제품선택=리바이탈 샴푸 3개 세트 10% 추가할인</t>
        </is>
      </c>
      <c r="H1189" s="9" t="n">
        <v>21</v>
      </c>
      <c r="I1189" s="9" t="inlineStr">
        <is>
          <t>리바이탈 샴푸 3set</t>
        </is>
      </c>
      <c r="J1189" s="9" t="inlineStr">
        <is>
          <t>210207</t>
        </is>
      </c>
      <c r="L1189" s="9" t="n">
        <v>1525230</v>
      </c>
      <c r="M1189" s="9" t="n">
        <v>1436004.045</v>
      </c>
      <c r="N1189" s="9" t="n">
        <v>190260</v>
      </c>
      <c r="O1189" s="9" t="inlineStr">
        <is>
          <t>카페24샴푸라베나 리커버리 15 리바이탈 바이오플라보노이드샴푸 [HAIR RÉ:COVERY 15 Revital Shampoo]제품선택=리바이탈 샴푸 3개 세트 10% 추가할인210207</t>
        </is>
      </c>
    </row>
    <row r="1190">
      <c r="B1190" s="10" t="n">
        <v>44252</v>
      </c>
      <c r="C1190" s="9" t="inlineStr">
        <is>
          <t>목</t>
        </is>
      </c>
      <c r="E1190" s="9" t="inlineStr">
        <is>
          <t>트리트먼트</t>
        </is>
      </c>
      <c r="F1190" s="9" t="inlineStr">
        <is>
          <t>카페24</t>
        </is>
      </c>
      <c r="G1190" s="9" t="inlineStr">
        <is>
          <t>라베나 리커버리 15 헤어팩 트리트먼트 [HAIR RÉ:COVERY 15 Hairpack Treatment]제품선택=헤어 리커버리 15 헤어팩 트리트먼트</t>
        </is>
      </c>
      <c r="H1190" s="9" t="n">
        <v>21</v>
      </c>
      <c r="I1190" s="9" t="inlineStr">
        <is>
          <t>트리트먼트</t>
        </is>
      </c>
      <c r="J1190" s="9" t="inlineStr">
        <is>
          <t>210207</t>
        </is>
      </c>
      <c r="L1190" s="9" t="n">
        <v>546000</v>
      </c>
      <c r="M1190" s="9" t="n">
        <v>514059</v>
      </c>
      <c r="N1190" s="9" t="n">
        <v>33537</v>
      </c>
      <c r="O1190" s="9" t="inlineStr">
        <is>
          <t>카페24트리트먼트라베나 리커버리 15 헤어팩 트리트먼트 [HAIR RÉ:COVERY 15 Hairpack Treatment]제품선택=헤어 리커버리 15 헤어팩 트리트먼트210207</t>
        </is>
      </c>
    </row>
    <row r="1191">
      <c r="B1191" s="10" t="n">
        <v>44252</v>
      </c>
      <c r="C1191" s="9" t="inlineStr">
        <is>
          <t>목</t>
        </is>
      </c>
      <c r="E1191" s="9" t="inlineStr">
        <is>
          <t>트리트먼트</t>
        </is>
      </c>
      <c r="F1191" s="9" t="inlineStr">
        <is>
          <t>카페24</t>
        </is>
      </c>
      <c r="G1191" s="9" t="inlineStr">
        <is>
          <t>라베나 리커버리 15 헤어팩 트리트먼트 [HAIR RÉ:COVERY 15 Hairpack Treatment]제품선택=헤어팩 트리트먼트 2개 세트 5% 추가할인</t>
        </is>
      </c>
      <c r="H1191" s="9" t="n">
        <v>5</v>
      </c>
      <c r="I1191" s="9" t="inlineStr">
        <is>
          <t>트리트먼트 2set</t>
        </is>
      </c>
      <c r="J1191" s="9" t="inlineStr">
        <is>
          <t>210207</t>
        </is>
      </c>
      <c r="L1191" s="9" t="n">
        <v>247000</v>
      </c>
      <c r="M1191" s="9" t="n">
        <v>232550.5</v>
      </c>
      <c r="N1191" s="9" t="n">
        <v>15970</v>
      </c>
      <c r="O1191" s="9" t="inlineStr">
        <is>
          <t>카페24트리트먼트라베나 리커버리 15 헤어팩 트리트먼트 [HAIR RÉ:COVERY 15 Hairpack Treatment]제품선택=헤어팩 트리트먼트 2개 세트 5% 추가할인210207</t>
        </is>
      </c>
    </row>
    <row r="1192">
      <c r="B1192" s="10" t="n">
        <v>44252</v>
      </c>
      <c r="C1192" s="9" t="inlineStr">
        <is>
          <t>목</t>
        </is>
      </c>
      <c r="E1192" s="9" t="inlineStr">
        <is>
          <t>트리트먼트</t>
        </is>
      </c>
      <c r="F1192" s="9" t="inlineStr">
        <is>
          <t>카페24</t>
        </is>
      </c>
      <c r="G1192" s="9" t="inlineStr">
        <is>
          <t>라베나 리커버리 15 헤어팩 트리트먼트 [HAIR RÉ:COVERY 15 Hairpack Treatment]제품선택=헤어팩 트리트먼트 3개 세트 10% 추가할인</t>
        </is>
      </c>
      <c r="H1192" s="9" t="n">
        <v>3</v>
      </c>
      <c r="I1192" s="9" t="inlineStr">
        <is>
          <t>트리트먼트 3set</t>
        </is>
      </c>
      <c r="J1192" s="9" t="inlineStr">
        <is>
          <t>210207</t>
        </is>
      </c>
      <c r="L1192" s="9" t="n">
        <v>210600</v>
      </c>
      <c r="M1192" s="9" t="n">
        <v>198279.9</v>
      </c>
      <c r="N1192" s="9" t="n">
        <v>14373</v>
      </c>
      <c r="O1192" s="9" t="inlineStr">
        <is>
          <t>카페24트리트먼트라베나 리커버리 15 헤어팩 트리트먼트 [HAIR RÉ:COVERY 15 Hairpack Treatment]제품선택=헤어팩 트리트먼트 3개 세트 10% 추가할인210207</t>
        </is>
      </c>
    </row>
    <row r="1193">
      <c r="A1193" s="3" t="inlineStr">
        <is>
          <t>0224_샴푸-비듬똥균_카드뉴스_임시</t>
        </is>
      </c>
      <c r="B1193" s="10" t="n">
        <v>44253</v>
      </c>
      <c r="C1193" s="9" t="inlineStr">
        <is>
          <t>금</t>
        </is>
      </c>
      <c r="D1193" s="9" t="inlineStr">
        <is>
          <t>페이스북</t>
        </is>
      </c>
      <c r="E1193" s="9" t="inlineStr">
        <is>
          <t>샴푸</t>
        </is>
      </c>
      <c r="K1193" s="9" t="n">
        <v>269975</v>
      </c>
    </row>
    <row r="1194">
      <c r="A1194" s="3" t="inlineStr">
        <is>
          <t>현빈임시테스트</t>
        </is>
      </c>
      <c r="B1194" s="10" t="n">
        <v>44253</v>
      </c>
      <c r="C1194" s="9" t="inlineStr">
        <is>
          <t>금</t>
        </is>
      </c>
      <c r="D1194" s="9" t="inlineStr">
        <is>
          <t>페이스북</t>
        </is>
      </c>
      <c r="E1194" s="9" t="inlineStr">
        <is>
          <t>샴푸</t>
        </is>
      </c>
      <c r="K1194" s="9" t="n">
        <v>47766</v>
      </c>
    </row>
    <row r="1195">
      <c r="A1195" s="3" t="inlineStr">
        <is>
          <t>1201~단장키워드테스트</t>
        </is>
      </c>
      <c r="B1195" s="10" t="n">
        <v>44253</v>
      </c>
      <c r="C1195" s="9" t="inlineStr">
        <is>
          <t>금</t>
        </is>
      </c>
      <c r="D1195" s="9" t="inlineStr">
        <is>
          <t>페이스북</t>
        </is>
      </c>
      <c r="E1195" s="9" t="inlineStr">
        <is>
          <t>샴푸</t>
        </is>
      </c>
      <c r="K1195" s="9" t="n">
        <v>49436</v>
      </c>
    </row>
    <row r="1196">
      <c r="A1196" s="3" t="inlineStr">
        <is>
          <t>11/13 키워드 탐색</t>
        </is>
      </c>
      <c r="B1196" s="10" t="n">
        <v>44253</v>
      </c>
      <c r="C1196" s="9" t="inlineStr">
        <is>
          <t>금</t>
        </is>
      </c>
      <c r="D1196" s="9" t="inlineStr">
        <is>
          <t>페이스북</t>
        </is>
      </c>
      <c r="E1196" s="9" t="inlineStr">
        <is>
          <t>샴푸</t>
        </is>
      </c>
      <c r="K1196" s="9" t="n">
        <v>86305</v>
      </c>
    </row>
    <row r="1197">
      <c r="A1197" s="9" t="inlineStr">
        <is>
          <t>0224_샴푸-비듬똥균_카드뉴스_임시</t>
        </is>
      </c>
      <c r="B1197" s="10" t="n">
        <v>44254</v>
      </c>
      <c r="C1197" s="9" t="inlineStr">
        <is>
          <t>토</t>
        </is>
      </c>
      <c r="D1197" s="9" t="inlineStr">
        <is>
          <t>페이스북</t>
        </is>
      </c>
      <c r="E1197" s="9" t="inlineStr">
        <is>
          <t>샴푸</t>
        </is>
      </c>
      <c r="K1197" s="9" t="n">
        <v>298872</v>
      </c>
    </row>
    <row r="1198">
      <c r="A1198" s="9" t="inlineStr">
        <is>
          <t>현빈임시테스트</t>
        </is>
      </c>
      <c r="B1198" s="10" t="n">
        <v>44254</v>
      </c>
      <c r="C1198" s="9" t="inlineStr">
        <is>
          <t>토</t>
        </is>
      </c>
      <c r="D1198" s="9" t="inlineStr">
        <is>
          <t>페이스북</t>
        </is>
      </c>
      <c r="E1198" s="9" t="inlineStr">
        <is>
          <t>샴푸</t>
        </is>
      </c>
      <c r="K1198" s="9" t="n">
        <v>50563</v>
      </c>
    </row>
    <row r="1199">
      <c r="A1199" s="9" t="inlineStr">
        <is>
          <t>1201~단장키워드테스트</t>
        </is>
      </c>
      <c r="B1199" s="10" t="n">
        <v>44254</v>
      </c>
      <c r="C1199" s="9" t="inlineStr">
        <is>
          <t>토</t>
        </is>
      </c>
      <c r="D1199" s="9" t="inlineStr">
        <is>
          <t>페이스북</t>
        </is>
      </c>
      <c r="E1199" s="9" t="inlineStr">
        <is>
          <t>샴푸</t>
        </is>
      </c>
      <c r="K1199" s="9" t="n">
        <v>51277</v>
      </c>
    </row>
    <row r="1200">
      <c r="A1200" s="9" t="inlineStr">
        <is>
          <t>11/13 키워드 탐색</t>
        </is>
      </c>
      <c r="B1200" s="10" t="n">
        <v>44254</v>
      </c>
      <c r="C1200" s="9" t="inlineStr">
        <is>
          <t>토</t>
        </is>
      </c>
      <c r="D1200" s="9" t="inlineStr">
        <is>
          <t>페이스북</t>
        </is>
      </c>
      <c r="E1200" s="9" t="inlineStr">
        <is>
          <t>샴푸</t>
        </is>
      </c>
      <c r="K1200" s="9" t="n">
        <v>50576</v>
      </c>
    </row>
    <row r="1201">
      <c r="A1201" s="9" t="inlineStr">
        <is>
          <t>0224_샴푸-비듬똥균_카드뉴스_임시</t>
        </is>
      </c>
      <c r="B1201" s="10" t="n">
        <v>44255</v>
      </c>
      <c r="C1201" s="9" t="inlineStr">
        <is>
          <t>일</t>
        </is>
      </c>
      <c r="D1201" s="9" t="inlineStr">
        <is>
          <t>페이스북</t>
        </is>
      </c>
      <c r="E1201" s="9" t="inlineStr">
        <is>
          <t>샴푸</t>
        </is>
      </c>
      <c r="K1201" s="9" t="n">
        <v>501308</v>
      </c>
    </row>
    <row r="1202">
      <c r="A1202" s="9" t="inlineStr">
        <is>
          <t>현빈임시테스트</t>
        </is>
      </c>
      <c r="B1202" s="10" t="n">
        <v>44255</v>
      </c>
      <c r="C1202" s="9" t="inlineStr">
        <is>
          <t>일</t>
        </is>
      </c>
      <c r="D1202" s="9" t="inlineStr">
        <is>
          <t>페이스북</t>
        </is>
      </c>
      <c r="E1202" s="9" t="inlineStr">
        <is>
          <t>샴푸</t>
        </is>
      </c>
      <c r="K1202" s="9" t="n">
        <v>51667</v>
      </c>
    </row>
    <row r="1203">
      <c r="A1203" s="9" t="inlineStr">
        <is>
          <t>1201~단장키워드테스트</t>
        </is>
      </c>
      <c r="B1203" s="10" t="n">
        <v>44255</v>
      </c>
      <c r="C1203" s="9" t="inlineStr">
        <is>
          <t>일</t>
        </is>
      </c>
      <c r="D1203" s="9" t="inlineStr">
        <is>
          <t>페이스북</t>
        </is>
      </c>
      <c r="E1203" s="9" t="inlineStr">
        <is>
          <t>샴푸</t>
        </is>
      </c>
      <c r="K1203" s="9" t="n">
        <v>50652</v>
      </c>
    </row>
    <row r="1204">
      <c r="A1204" s="9" t="inlineStr">
        <is>
          <t>11/13 키워드 탐색</t>
        </is>
      </c>
      <c r="B1204" s="10" t="n">
        <v>44255</v>
      </c>
      <c r="C1204" s="9" t="inlineStr">
        <is>
          <t>일</t>
        </is>
      </c>
      <c r="D1204" s="9" t="inlineStr">
        <is>
          <t>페이스북</t>
        </is>
      </c>
      <c r="K1204" s="9" t="n">
        <v>50205</v>
      </c>
    </row>
    <row r="1205">
      <c r="A1205" s="9" t="inlineStr">
        <is>
          <t>0224_샴푸-비듬똥균_카드뉴스_임시</t>
        </is>
      </c>
      <c r="B1205" s="10" t="n">
        <v>44256</v>
      </c>
      <c r="C1205" s="9" t="inlineStr">
        <is>
          <t>월</t>
        </is>
      </c>
      <c r="D1205" s="9" t="inlineStr">
        <is>
          <t>페이스북</t>
        </is>
      </c>
      <c r="E1205" s="9" t="inlineStr">
        <is>
          <t>샴푸</t>
        </is>
      </c>
      <c r="K1205" s="9" t="n">
        <v>498665</v>
      </c>
    </row>
    <row r="1206">
      <c r="A1206" s="9" t="inlineStr">
        <is>
          <t>현빈임시테스트</t>
        </is>
      </c>
      <c r="B1206" s="10" t="n">
        <v>44256</v>
      </c>
      <c r="C1206" s="9" t="inlineStr">
        <is>
          <t>월</t>
        </is>
      </c>
      <c r="D1206" s="9" t="inlineStr">
        <is>
          <t>페이스북</t>
        </is>
      </c>
      <c r="E1206" s="9" t="inlineStr">
        <is>
          <t>샴푸</t>
        </is>
      </c>
      <c r="K1206" s="9" t="n">
        <v>49978</v>
      </c>
    </row>
    <row r="1207">
      <c r="A1207" s="9" t="inlineStr">
        <is>
          <t>1201~단장키워드테스트</t>
        </is>
      </c>
      <c r="B1207" s="10" t="n">
        <v>44256</v>
      </c>
      <c r="C1207" s="9" t="inlineStr">
        <is>
          <t>월</t>
        </is>
      </c>
      <c r="D1207" s="9" t="inlineStr">
        <is>
          <t>페이스북</t>
        </is>
      </c>
      <c r="E1207" s="9" t="inlineStr">
        <is>
          <t>샴푸</t>
        </is>
      </c>
      <c r="K1207" s="9" t="n">
        <v>50043</v>
      </c>
    </row>
    <row r="1208">
      <c r="A1208" s="9" t="inlineStr">
        <is>
          <t>11/13 키워드 탐색</t>
        </is>
      </c>
      <c r="B1208" s="10" t="n">
        <v>44256</v>
      </c>
      <c r="C1208" s="9" t="inlineStr">
        <is>
          <t>월</t>
        </is>
      </c>
      <c r="D1208" s="9" t="inlineStr">
        <is>
          <t>페이스북</t>
        </is>
      </c>
      <c r="E1208" s="9" t="inlineStr">
        <is>
          <t>샴푸</t>
        </is>
      </c>
      <c r="K1208" s="9" t="n">
        <v>50023</v>
      </c>
    </row>
    <row r="1209">
      <c r="A1209" s="9" t="inlineStr">
        <is>
          <t>0118_샴푸_비듬똥균_4차</t>
        </is>
      </c>
      <c r="B1209" s="10" t="n">
        <v>44253</v>
      </c>
      <c r="C1209" s="9" t="inlineStr">
        <is>
          <t>금</t>
        </is>
      </c>
      <c r="D1209" s="9">
        <f>VLOOKUP($A1209,매칭테이블!$B$123:$D$1048576,2,0)</f>
        <v/>
      </c>
      <c r="E1209" s="9">
        <f>VLOOKUP($A1209,매칭테이블!$B$123:$D$1048576,3,0)</f>
        <v/>
      </c>
      <c r="K1209" s="9" t="n">
        <v>551439</v>
      </c>
    </row>
    <row r="1210">
      <c r="A1210" s="9" t="inlineStr">
        <is>
          <t>0127_GDN_비듬샴푸_잠재고객</t>
        </is>
      </c>
      <c r="B1210" s="10" t="n">
        <v>44253</v>
      </c>
      <c r="C1210" s="9" t="inlineStr">
        <is>
          <t>금</t>
        </is>
      </c>
      <c r="D1210" s="9" t="inlineStr">
        <is>
          <t>GDN</t>
        </is>
      </c>
      <c r="E1210" s="9" t="inlineStr">
        <is>
          <t>샴푸</t>
        </is>
      </c>
      <c r="K1210" s="9" t="n">
        <v>144249</v>
      </c>
    </row>
    <row r="1211">
      <c r="A1211" s="9" t="inlineStr">
        <is>
          <t>0128_샴푸_비듬똥균_4차_저녁추가</t>
        </is>
      </c>
      <c r="B1211" s="10" t="n">
        <v>44253</v>
      </c>
      <c r="C1211" s="9" t="inlineStr">
        <is>
          <t>금</t>
        </is>
      </c>
      <c r="D1211" s="9">
        <f>VLOOKUP($A1211,매칭테이블!$B$123:$D$1048576,2,0)</f>
        <v/>
      </c>
      <c r="E1211" s="9">
        <f>VLOOKUP($A1211,매칭테이블!$B$123:$D$1048576,3,0)</f>
        <v/>
      </c>
      <c r="K1211" s="9" t="n">
        <v>8864</v>
      </c>
    </row>
    <row r="1212">
      <c r="A1212" s="9" t="inlineStr">
        <is>
          <t>0205_샴푸_비듬똥균_4차_잠재</t>
        </is>
      </c>
      <c r="B1212" s="10" t="n">
        <v>44253</v>
      </c>
      <c r="C1212" s="9" t="inlineStr">
        <is>
          <t>금</t>
        </is>
      </c>
      <c r="D1212" s="9">
        <f>VLOOKUP($A1212,매칭테이블!$B$123:$D$1048576,2,0)</f>
        <v/>
      </c>
      <c r="E1212" s="9">
        <f>VLOOKUP($A1212,매칭테이블!$B$123:$D$1048576,3,0)</f>
        <v/>
      </c>
      <c r="K1212" s="9" t="n">
        <v>996391</v>
      </c>
    </row>
    <row r="1213">
      <c r="A1213" s="9" t="inlineStr">
        <is>
          <t>0217_샴푸_비듬똥균_5차</t>
        </is>
      </c>
      <c r="B1213" s="10" t="n">
        <v>44253</v>
      </c>
      <c r="C1213" s="9" t="inlineStr">
        <is>
          <t>금</t>
        </is>
      </c>
      <c r="D1213" s="9" t="inlineStr">
        <is>
          <t>유튜브</t>
        </is>
      </c>
      <c r="E1213" s="9" t="inlineStr">
        <is>
          <t>샴푸</t>
        </is>
      </c>
      <c r="K1213" s="9" t="n">
        <v>427410</v>
      </c>
    </row>
    <row r="1214">
      <c r="A1214" s="9" t="inlineStr">
        <is>
          <t>0217_샴푸_비듬똥균_5차_잠재</t>
        </is>
      </c>
      <c r="B1214" s="10" t="n">
        <v>44253</v>
      </c>
      <c r="C1214" s="9" t="inlineStr">
        <is>
          <t>금</t>
        </is>
      </c>
      <c r="D1214" s="9">
        <f>VLOOKUP($A1214,매칭테이블!$B$123:$D$1048576,2,0)</f>
        <v/>
      </c>
      <c r="E1214" s="9">
        <f>VLOOKUP($A1214,매칭테이블!$B$123:$D$1048576,3,0)</f>
        <v/>
      </c>
      <c r="K1214" s="9" t="n">
        <v>1165842</v>
      </c>
    </row>
    <row r="1215">
      <c r="A1215" s="9" t="inlineStr">
        <is>
          <t>0225_샴푸_비듬똥균_4차_3</t>
        </is>
      </c>
      <c r="B1215" s="10" t="n">
        <v>44253</v>
      </c>
      <c r="C1215" s="9" t="inlineStr">
        <is>
          <t>금</t>
        </is>
      </c>
      <c r="D1215" s="9" t="inlineStr">
        <is>
          <t>유튜브</t>
        </is>
      </c>
      <c r="E1215" s="9" t="inlineStr">
        <is>
          <t>샴푸</t>
        </is>
      </c>
      <c r="K1215" s="9" t="n">
        <v>77643</v>
      </c>
    </row>
    <row r="1216">
      <c r="A1216" s="9" t="inlineStr">
        <is>
          <t>0118_샴푸_비듬똥균_4차</t>
        </is>
      </c>
      <c r="B1216" s="10" t="n">
        <v>44254</v>
      </c>
      <c r="C1216" s="9" t="inlineStr">
        <is>
          <t>토</t>
        </is>
      </c>
      <c r="D1216" s="9">
        <f>VLOOKUP($A1216,매칭테이블!$B$123:$D$1048576,2,0)</f>
        <v/>
      </c>
      <c r="E1216" s="9">
        <f>VLOOKUP($A1216,매칭테이블!$B$123:$D$1048576,3,0)</f>
        <v/>
      </c>
      <c r="K1216" s="9" t="n">
        <v>105473</v>
      </c>
    </row>
    <row r="1217">
      <c r="A1217" s="9" t="inlineStr">
        <is>
          <t>0127_GDN_비듬샴푸_잠재고객</t>
        </is>
      </c>
      <c r="B1217" s="10" t="n">
        <v>44254</v>
      </c>
      <c r="C1217" s="9" t="inlineStr">
        <is>
          <t>토</t>
        </is>
      </c>
      <c r="D1217" s="9" t="inlineStr">
        <is>
          <t>GDN</t>
        </is>
      </c>
      <c r="E1217" s="9" t="inlineStr">
        <is>
          <t>샴푸</t>
        </is>
      </c>
      <c r="K1217" s="9" t="n">
        <v>149154</v>
      </c>
    </row>
    <row r="1218">
      <c r="A1218" s="9" t="inlineStr">
        <is>
          <t>0205_샴푸_비듬똥균_4차_잠재</t>
        </is>
      </c>
      <c r="B1218" s="10" t="n">
        <v>44254</v>
      </c>
      <c r="C1218" s="9" t="inlineStr">
        <is>
          <t>토</t>
        </is>
      </c>
      <c r="D1218" s="9">
        <f>VLOOKUP($A1218,매칭테이블!$B$123:$D$1048576,2,0)</f>
        <v/>
      </c>
      <c r="E1218" s="9">
        <f>VLOOKUP($A1218,매칭테이블!$B$123:$D$1048576,3,0)</f>
        <v/>
      </c>
      <c r="K1218" s="9" t="n">
        <v>61347</v>
      </c>
    </row>
    <row r="1219">
      <c r="A1219" s="9" t="inlineStr">
        <is>
          <t>0217_샴푸_비듬똥균_5차</t>
        </is>
      </c>
      <c r="B1219" s="10" t="n">
        <v>44254</v>
      </c>
      <c r="C1219" s="9" t="inlineStr">
        <is>
          <t>토</t>
        </is>
      </c>
      <c r="D1219" s="9" t="inlineStr">
        <is>
          <t>유튜브</t>
        </is>
      </c>
      <c r="E1219" s="9" t="inlineStr">
        <is>
          <t>샴푸</t>
        </is>
      </c>
      <c r="K1219" s="9" t="n">
        <v>55534</v>
      </c>
    </row>
    <row r="1220">
      <c r="A1220" s="9" t="inlineStr">
        <is>
          <t>0217_샴푸_비듬똥균_5차_잠재</t>
        </is>
      </c>
      <c r="B1220" s="10" t="n">
        <v>44254</v>
      </c>
      <c r="C1220" s="9" t="inlineStr">
        <is>
          <t>토</t>
        </is>
      </c>
      <c r="D1220" s="9">
        <f>VLOOKUP($A1220,매칭테이블!$B$123:$D$1048576,2,0)</f>
        <v/>
      </c>
      <c r="E1220" s="9">
        <f>VLOOKUP($A1220,매칭테이블!$B$123:$D$1048576,3,0)</f>
        <v/>
      </c>
      <c r="K1220" s="9" t="n">
        <v>314923</v>
      </c>
    </row>
    <row r="1221">
      <c r="A1221" s="9" t="inlineStr">
        <is>
          <t>0118_샴푸_비듬똥균_4차</t>
        </is>
      </c>
      <c r="B1221" s="10" t="n">
        <v>44255</v>
      </c>
      <c r="C1221" s="9" t="inlineStr">
        <is>
          <t>일</t>
        </is>
      </c>
      <c r="D1221" s="9">
        <f>VLOOKUP($A1221,매칭테이블!$B$123:$D$1048576,2,0)</f>
        <v/>
      </c>
      <c r="E1221" s="9">
        <f>VLOOKUP($A1221,매칭테이블!$B$123:$D$1048576,3,0)</f>
        <v/>
      </c>
      <c r="K1221" s="9" t="n">
        <v>77363</v>
      </c>
    </row>
    <row r="1222">
      <c r="A1222" s="9" t="inlineStr">
        <is>
          <t>0127_GDN_비듬샴푸_잠재고객</t>
        </is>
      </c>
      <c r="B1222" s="10" t="n">
        <v>44255</v>
      </c>
      <c r="C1222" s="9" t="inlineStr">
        <is>
          <t>일</t>
        </is>
      </c>
      <c r="D1222" s="9" t="inlineStr">
        <is>
          <t>GDN</t>
        </is>
      </c>
      <c r="E1222" s="9" t="inlineStr">
        <is>
          <t>샴푸</t>
        </is>
      </c>
      <c r="K1222" s="9" t="n">
        <v>140243</v>
      </c>
    </row>
    <row r="1223">
      <c r="A1223" s="9" t="inlineStr">
        <is>
          <t>0205_샴푸_비듬똥균_4차_잠재</t>
        </is>
      </c>
      <c r="B1223" s="10" t="n">
        <v>44255</v>
      </c>
      <c r="C1223" s="9" t="inlineStr">
        <is>
          <t>일</t>
        </is>
      </c>
      <c r="D1223" s="9">
        <f>VLOOKUP($A1223,매칭테이블!$B$123:$D$1048576,2,0)</f>
        <v/>
      </c>
      <c r="E1223" s="9">
        <f>VLOOKUP($A1223,매칭테이블!$B$123:$D$1048576,3,0)</f>
        <v/>
      </c>
      <c r="K1223" s="9" t="n">
        <v>14812</v>
      </c>
    </row>
    <row r="1224">
      <c r="A1224" s="9" t="inlineStr">
        <is>
          <t>0217_샴푸_비듬똥균_5차</t>
        </is>
      </c>
      <c r="B1224" s="10" t="n">
        <v>44255</v>
      </c>
      <c r="C1224" s="9" t="inlineStr">
        <is>
          <t>일</t>
        </is>
      </c>
      <c r="D1224" s="9" t="inlineStr">
        <is>
          <t>유튜브</t>
        </is>
      </c>
      <c r="E1224" s="9" t="inlineStr">
        <is>
          <t>샴푸</t>
        </is>
      </c>
      <c r="K1224" s="9" t="n">
        <v>3274742</v>
      </c>
    </row>
    <row r="1225">
      <c r="A1225" s="9" t="inlineStr">
        <is>
          <t>0217_샴푸_비듬똥균_5차_잠재</t>
        </is>
      </c>
      <c r="B1225" s="10" t="n">
        <v>44255</v>
      </c>
      <c r="C1225" s="9" t="inlineStr">
        <is>
          <t>일</t>
        </is>
      </c>
      <c r="D1225" s="9">
        <f>VLOOKUP($A1225,매칭테이블!$B$123:$D$1048576,2,0)</f>
        <v/>
      </c>
      <c r="E1225" s="9">
        <f>VLOOKUP($A1225,매칭테이블!$B$123:$D$1048576,3,0)</f>
        <v/>
      </c>
      <c r="K1225" s="9" t="n">
        <v>7301</v>
      </c>
    </row>
    <row r="1226">
      <c r="A1226" s="9" t="inlineStr">
        <is>
          <t>0118_샴푸_비듬똥균_4차</t>
        </is>
      </c>
      <c r="B1226" s="10" t="n">
        <v>44256</v>
      </c>
      <c r="C1226" s="9" t="inlineStr">
        <is>
          <t>월</t>
        </is>
      </c>
      <c r="D1226" s="9">
        <f>VLOOKUP($A1226,매칭테이블!$B$123:$D$1048576,2,0)</f>
        <v/>
      </c>
      <c r="E1226" s="9">
        <f>VLOOKUP($A1226,매칭테이블!$B$123:$D$1048576,3,0)</f>
        <v/>
      </c>
      <c r="K1226" s="9" t="n">
        <v>192061</v>
      </c>
    </row>
    <row r="1227">
      <c r="A1227" s="9" t="inlineStr">
        <is>
          <t>0127_GDN_비듬샴푸_잠재고객</t>
        </is>
      </c>
      <c r="B1227" s="10" t="n">
        <v>44256</v>
      </c>
      <c r="C1227" s="9" t="inlineStr">
        <is>
          <t>월</t>
        </is>
      </c>
      <c r="D1227" s="9" t="inlineStr">
        <is>
          <t>GDN</t>
        </is>
      </c>
      <c r="E1227" s="9" t="inlineStr">
        <is>
          <t>샴푸</t>
        </is>
      </c>
      <c r="K1227" s="9" t="n">
        <v>102339</v>
      </c>
    </row>
    <row r="1228">
      <c r="A1228" s="9" t="inlineStr">
        <is>
          <t>0217_샴푸_비듬똥균_5차</t>
        </is>
      </c>
      <c r="B1228" s="10" t="n">
        <v>44256</v>
      </c>
      <c r="C1228" s="9" t="inlineStr">
        <is>
          <t>월</t>
        </is>
      </c>
      <c r="D1228" s="9" t="inlineStr">
        <is>
          <t>유튜브</t>
        </is>
      </c>
      <c r="E1228" s="9" t="inlineStr">
        <is>
          <t>샴푸</t>
        </is>
      </c>
      <c r="K1228" s="9" t="n">
        <v>3057303</v>
      </c>
    </row>
    <row r="1229">
      <c r="A1229" s="9" t="inlineStr">
        <is>
          <t>라베나 파워링크_샴푸_광고그룹#1</t>
        </is>
      </c>
      <c r="B1229" s="10" t="n">
        <v>44256</v>
      </c>
      <c r="C1229" s="9" t="inlineStr">
        <is>
          <t>월</t>
        </is>
      </c>
      <c r="D1229" s="9" t="inlineStr">
        <is>
          <t>네이버 검색</t>
        </is>
      </c>
      <c r="E1229" s="9" t="inlineStr">
        <is>
          <t>샴푸</t>
        </is>
      </c>
      <c r="K1229" s="9" t="n">
        <v>7769.999999999999</v>
      </c>
    </row>
    <row r="1230">
      <c r="A1230" s="9" t="inlineStr">
        <is>
          <t>라베나 파워링크_샴푸#1_유튜브키워드기반</t>
        </is>
      </c>
      <c r="B1230" s="10" t="n">
        <v>44256</v>
      </c>
      <c r="C1230" s="9" t="inlineStr">
        <is>
          <t>월</t>
        </is>
      </c>
      <c r="D1230" s="9" t="inlineStr">
        <is>
          <t>네이버 검색</t>
        </is>
      </c>
      <c r="E1230" s="9" t="inlineStr">
        <is>
          <t>샴푸</t>
        </is>
      </c>
      <c r="K1230" s="9" t="n">
        <v>87070</v>
      </c>
    </row>
    <row r="1231">
      <c r="A1231" s="9" t="inlineStr">
        <is>
          <t>샴푸_쇼핑검색#1_광고그룹#1</t>
        </is>
      </c>
      <c r="B1231" s="10" t="n">
        <v>44256</v>
      </c>
      <c r="C1231" s="9" t="inlineStr">
        <is>
          <t>월</t>
        </is>
      </c>
      <c r="D1231" s="9" t="inlineStr">
        <is>
          <t>네이버 검색</t>
        </is>
      </c>
      <c r="E1231" s="9" t="inlineStr">
        <is>
          <t>샴푸</t>
        </is>
      </c>
      <c r="K1231" s="9" t="n">
        <v>0</v>
      </c>
    </row>
    <row r="1232">
      <c r="A1232" s="9" t="inlineStr">
        <is>
          <t>파워컨텐츠#1_비듬샴푸</t>
        </is>
      </c>
      <c r="B1232" s="10" t="n">
        <v>44256</v>
      </c>
      <c r="C1232" s="9" t="inlineStr">
        <is>
          <t>월</t>
        </is>
      </c>
      <c r="D1232" s="9" t="inlineStr">
        <is>
          <t>네이버 검색</t>
        </is>
      </c>
      <c r="E1232" s="9" t="inlineStr">
        <is>
          <t>샴푸</t>
        </is>
      </c>
      <c r="K1232" s="9" t="n">
        <v>0</v>
      </c>
    </row>
    <row r="1233">
      <c r="A1233" s="9" t="inlineStr">
        <is>
          <t>라베나 파워링크_샴푸_광고그룹#1</t>
        </is>
      </c>
      <c r="B1233" s="10" t="n">
        <v>44255</v>
      </c>
      <c r="C1233" s="9" t="inlineStr">
        <is>
          <t>일</t>
        </is>
      </c>
      <c r="D1233" s="9" t="inlineStr">
        <is>
          <t>네이버 검색</t>
        </is>
      </c>
      <c r="E1233" s="9" t="inlineStr">
        <is>
          <t>샴푸</t>
        </is>
      </c>
      <c r="K1233" s="9" t="n">
        <v>3860</v>
      </c>
    </row>
    <row r="1234">
      <c r="A1234" s="9" t="inlineStr">
        <is>
          <t>라베나 파워링크_샴푸#1_유튜브키워드기반</t>
        </is>
      </c>
      <c r="B1234" s="10" t="n">
        <v>44255</v>
      </c>
      <c r="C1234" s="9" t="inlineStr">
        <is>
          <t>일</t>
        </is>
      </c>
      <c r="D1234" s="9" t="inlineStr">
        <is>
          <t>네이버 검색</t>
        </is>
      </c>
      <c r="E1234" s="9" t="inlineStr">
        <is>
          <t>샴푸</t>
        </is>
      </c>
      <c r="K1234" s="9" t="n">
        <v>64269.99999999999</v>
      </c>
    </row>
    <row r="1235">
      <c r="A1235" s="9" t="inlineStr">
        <is>
          <t>샴푸_쇼핑검색#1_광고그룹#1</t>
        </is>
      </c>
      <c r="B1235" s="10" t="n">
        <v>44255</v>
      </c>
      <c r="C1235" s="9" t="inlineStr">
        <is>
          <t>일</t>
        </is>
      </c>
      <c r="D1235" s="9" t="inlineStr">
        <is>
          <t>네이버 검색</t>
        </is>
      </c>
      <c r="E1235" s="9" t="inlineStr">
        <is>
          <t>샴푸</t>
        </is>
      </c>
      <c r="K1235" s="9" t="n">
        <v>909.9999999999999</v>
      </c>
    </row>
    <row r="1236">
      <c r="A1236" s="9" t="inlineStr">
        <is>
          <t>파워컨텐츠#1_비듬샴푸</t>
        </is>
      </c>
      <c r="B1236" s="10" t="n">
        <v>44255</v>
      </c>
      <c r="C1236" s="9" t="inlineStr">
        <is>
          <t>일</t>
        </is>
      </c>
      <c r="D1236" s="9" t="inlineStr">
        <is>
          <t>네이버 검색</t>
        </is>
      </c>
      <c r="E1236" s="9" t="inlineStr">
        <is>
          <t>샴푸</t>
        </is>
      </c>
      <c r="K1236" s="9" t="n">
        <v>70</v>
      </c>
    </row>
    <row r="1237">
      <c r="A1237" s="9" t="inlineStr">
        <is>
          <t>라베나 파워링크_샴푸_광고그룹#1</t>
        </is>
      </c>
      <c r="B1237" s="10" t="n">
        <v>44254</v>
      </c>
      <c r="C1237" s="9" t="inlineStr">
        <is>
          <t>토</t>
        </is>
      </c>
      <c r="D1237" s="9" t="inlineStr">
        <is>
          <t>네이버 검색</t>
        </is>
      </c>
      <c r="E1237" s="9" t="inlineStr">
        <is>
          <t>샴푸</t>
        </is>
      </c>
      <c r="K1237" s="9" t="n">
        <v>3280</v>
      </c>
    </row>
    <row r="1238">
      <c r="A1238" s="9" t="inlineStr">
        <is>
          <t>라베나 파워링크_샴푸#1_유튜브키워드기반</t>
        </is>
      </c>
      <c r="B1238" s="10" t="n">
        <v>44254</v>
      </c>
      <c r="C1238" s="9" t="inlineStr">
        <is>
          <t>토</t>
        </is>
      </c>
      <c r="D1238" s="9" t="inlineStr">
        <is>
          <t>네이버 검색</t>
        </is>
      </c>
      <c r="E1238" s="9" t="inlineStr">
        <is>
          <t>샴푸</t>
        </is>
      </c>
      <c r="K1238" s="9" t="n">
        <v>29520</v>
      </c>
    </row>
    <row r="1239">
      <c r="A1239" s="9" t="inlineStr">
        <is>
          <t>샴푸_쇼핑검색#1_광고그룹#1</t>
        </is>
      </c>
      <c r="B1239" s="10" t="n">
        <v>44254</v>
      </c>
      <c r="C1239" s="9" t="inlineStr">
        <is>
          <t>토</t>
        </is>
      </c>
      <c r="D1239" s="9" t="inlineStr">
        <is>
          <t>네이버 검색</t>
        </is>
      </c>
      <c r="E1239" s="9" t="inlineStr">
        <is>
          <t>샴푸</t>
        </is>
      </c>
      <c r="K1239" s="9" t="n">
        <v>0</v>
      </c>
    </row>
    <row r="1240">
      <c r="A1240" s="9" t="inlineStr">
        <is>
          <t>파워컨텐츠#1_비듬샴푸</t>
        </is>
      </c>
      <c r="B1240" s="10" t="n">
        <v>44254</v>
      </c>
      <c r="C1240" s="9" t="inlineStr">
        <is>
          <t>토</t>
        </is>
      </c>
      <c r="D1240" s="9" t="inlineStr">
        <is>
          <t>네이버 검색</t>
        </is>
      </c>
      <c r="E1240" s="9" t="inlineStr">
        <is>
          <t>샴푸</t>
        </is>
      </c>
      <c r="K1240" s="9" t="n">
        <v>70</v>
      </c>
    </row>
    <row r="1241">
      <c r="A1241" s="9" t="inlineStr">
        <is>
          <t>라베나 파워링크_샴푸_광고그룹#1</t>
        </is>
      </c>
      <c r="B1241" s="10" t="n">
        <v>44253</v>
      </c>
      <c r="C1241" s="9" t="inlineStr">
        <is>
          <t>금</t>
        </is>
      </c>
      <c r="D1241" s="9" t="inlineStr">
        <is>
          <t>네이버 검색</t>
        </is>
      </c>
      <c r="E1241" s="9" t="inlineStr">
        <is>
          <t>샴푸</t>
        </is>
      </c>
      <c r="K1241" s="9" t="n">
        <v>5100</v>
      </c>
    </row>
    <row r="1242">
      <c r="A1242" s="9" t="inlineStr">
        <is>
          <t>라베나 파워링크_샴푸#1_유튜브키워드기반</t>
        </is>
      </c>
      <c r="B1242" s="10" t="n">
        <v>44253</v>
      </c>
      <c r="C1242" s="9" t="inlineStr">
        <is>
          <t>금</t>
        </is>
      </c>
      <c r="D1242" s="9" t="inlineStr">
        <is>
          <t>네이버 검색</t>
        </is>
      </c>
      <c r="E1242" s="9" t="inlineStr">
        <is>
          <t>샴푸</t>
        </is>
      </c>
      <c r="K1242" s="9" t="n">
        <v>69560</v>
      </c>
    </row>
    <row r="1243">
      <c r="A1243" s="9" t="inlineStr">
        <is>
          <t>샴푸_쇼핑검색#1_광고그룹#1</t>
        </is>
      </c>
      <c r="B1243" s="10" t="n">
        <v>44253</v>
      </c>
      <c r="C1243" s="9" t="inlineStr">
        <is>
          <t>금</t>
        </is>
      </c>
      <c r="D1243" s="9" t="inlineStr">
        <is>
          <t>네이버 검색</t>
        </is>
      </c>
      <c r="E1243" s="9" t="inlineStr">
        <is>
          <t>샴푸</t>
        </is>
      </c>
      <c r="K1243" s="9" t="n">
        <v>489.9999999999999</v>
      </c>
    </row>
    <row r="1244">
      <c r="A1244" s="9" t="inlineStr">
        <is>
          <t>파워컨텐츠#1_비듬샴푸</t>
        </is>
      </c>
      <c r="B1244" s="10" t="n">
        <v>44253</v>
      </c>
      <c r="C1244" s="9" t="inlineStr">
        <is>
          <t>금</t>
        </is>
      </c>
      <c r="D1244" s="9" t="inlineStr">
        <is>
          <t>네이버 검색</t>
        </is>
      </c>
      <c r="E1244" s="9" t="inlineStr">
        <is>
          <t>샴푸</t>
        </is>
      </c>
      <c r="K1244" s="9" t="n">
        <v>70</v>
      </c>
    </row>
    <row r="1245">
      <c r="B1245" s="10" t="n">
        <v>44253</v>
      </c>
      <c r="C1245" s="9" t="inlineStr">
        <is>
          <t>금</t>
        </is>
      </c>
      <c r="E1245" s="9" t="inlineStr">
        <is>
          <t>뉴트리셔스밤</t>
        </is>
      </c>
      <c r="F1245" s="9" t="inlineStr">
        <is>
          <t>카페24</t>
        </is>
      </c>
      <c r="G1245" s="9" t="inlineStr">
        <is>
          <t>라베나 리커버리 15 뉴트리셔스 밤 [HAIR RÉ:COVERY 15 Nutritious Balm]제품선택=헤어 리커버리 15 뉴트리셔스 밤</t>
        </is>
      </c>
      <c r="H1245" s="9" t="n">
        <v>3</v>
      </c>
      <c r="I1245" s="9" t="inlineStr">
        <is>
          <t>뉴트리셔스밤</t>
        </is>
      </c>
      <c r="J1245" s="9" t="inlineStr">
        <is>
          <t>210201</t>
        </is>
      </c>
      <c r="L1245" s="9" t="n">
        <v>74700</v>
      </c>
      <c r="M1245" s="9" t="n">
        <v>70330.04999999999</v>
      </c>
      <c r="N1245" s="9" t="n">
        <v>4740</v>
      </c>
      <c r="O1245" s="9" t="inlineStr">
        <is>
          <t>카페24뉴트리셔스밤라베나 리커버리 15 뉴트리셔스 밤 [HAIR RÉ:COVERY 15 Nutritious Balm]제품선택=헤어 리커버리 15 뉴트리셔스 밤210201</t>
        </is>
      </c>
    </row>
    <row r="1246">
      <c r="B1246" s="10" t="n">
        <v>44253</v>
      </c>
      <c r="C1246" s="9" t="inlineStr">
        <is>
          <t>금</t>
        </is>
      </c>
      <c r="E1246" s="9" t="inlineStr">
        <is>
          <t>뉴트리셔스밤</t>
        </is>
      </c>
      <c r="F1246" s="9" t="inlineStr">
        <is>
          <t>카페24</t>
        </is>
      </c>
      <c r="G1246" s="9" t="inlineStr">
        <is>
          <t>라베나 리커버리 15 뉴트리셔스 밤 [HAIR RÉ:COVERY 15 Nutritious Balm]제품선택=뉴트리셔스 밤 2개 세트 5% 추가할인</t>
        </is>
      </c>
      <c r="H1246" s="9" t="n">
        <v>2</v>
      </c>
      <c r="I1246" s="9" t="inlineStr">
        <is>
          <t>뉴트리셔스밤 2set</t>
        </is>
      </c>
      <c r="J1246" s="9" t="inlineStr">
        <is>
          <t>210201</t>
        </is>
      </c>
      <c r="L1246" s="9" t="n">
        <v>94620</v>
      </c>
      <c r="M1246" s="9" t="n">
        <v>89084.73</v>
      </c>
      <c r="N1246" s="9" t="n">
        <v>6320</v>
      </c>
      <c r="O1246" s="9" t="inlineStr">
        <is>
          <t>카페24뉴트리셔스밤라베나 리커버리 15 뉴트리셔스 밤 [HAIR RÉ:COVERY 15 Nutritious Balm]제품선택=뉴트리셔스 밤 2개 세트 5% 추가할인210201</t>
        </is>
      </c>
    </row>
    <row r="1247">
      <c r="B1247" s="10" t="n">
        <v>44253</v>
      </c>
      <c r="C1247" s="9" t="inlineStr">
        <is>
          <t>금</t>
        </is>
      </c>
      <c r="E1247" s="9" t="inlineStr">
        <is>
          <t>뉴트리셔스밤</t>
        </is>
      </c>
      <c r="F1247" s="9" t="inlineStr">
        <is>
          <t>카페24</t>
        </is>
      </c>
      <c r="G1247" s="9" t="inlineStr">
        <is>
          <t>라베나 리커버리 15 뉴트리셔스 밤 [HAIR RÉ:COVERY 15 Nutritious Balm]제품선택=뉴트리셔스밤 1개 + 헤어팩 트리트먼트 1개 세트 5%추가할인</t>
        </is>
      </c>
      <c r="H1247" s="9" t="n">
        <v>1</v>
      </c>
      <c r="I1247" s="9" t="inlineStr">
        <is>
          <t>트리트먼트+뉴트리셔스밤</t>
        </is>
      </c>
      <c r="J1247" s="9" t="inlineStr">
        <is>
          <t>210201</t>
        </is>
      </c>
      <c r="L1247" s="9" t="n">
        <v>48355</v>
      </c>
      <c r="M1247" s="9" t="n">
        <v>45526.2325</v>
      </c>
      <c r="N1247" s="9" t="n">
        <v>3177</v>
      </c>
      <c r="O1247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248">
      <c r="B1248" s="10" t="n">
        <v>44253</v>
      </c>
      <c r="C1248" s="9" t="inlineStr">
        <is>
          <t>금</t>
        </is>
      </c>
      <c r="E1248" s="9" t="inlineStr">
        <is>
          <t>샴푸</t>
        </is>
      </c>
      <c r="F1248" s="9" t="inlineStr">
        <is>
          <t>카페24</t>
        </is>
      </c>
      <c r="G1248" s="9" t="inlineStr">
        <is>
          <t>라베나 리커버리 15 리바이탈 바이오플라보노이드샴푸 [HAIR RÉ:COVERY 15 Revital Shampoo]제품선택=헤어 리커버리 15 리바이탈 샴푸 - 500ml</t>
        </is>
      </c>
      <c r="H1248" s="9" t="n">
        <v>181</v>
      </c>
      <c r="I1248" s="9" t="inlineStr">
        <is>
          <t>리바이탈 샴푸</t>
        </is>
      </c>
      <c r="J1248" s="9" t="inlineStr">
        <is>
          <t>210201</t>
        </is>
      </c>
      <c r="L1248" s="9" t="n">
        <v>4868900</v>
      </c>
      <c r="M1248" s="9" t="n">
        <v>4584069.35</v>
      </c>
      <c r="N1248" s="9" t="n">
        <v>518565</v>
      </c>
      <c r="O124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249">
      <c r="B1249" s="10" t="n">
        <v>44253</v>
      </c>
      <c r="C1249" s="9" t="inlineStr">
        <is>
          <t>금</t>
        </is>
      </c>
      <c r="E1249" s="9" t="inlineStr">
        <is>
          <t>샴푸</t>
        </is>
      </c>
      <c r="F1249" s="9" t="inlineStr">
        <is>
          <t>카페24</t>
        </is>
      </c>
      <c r="G1249" s="9" t="inlineStr">
        <is>
          <t>라베나 리커버리 15 리바이탈 바이오플라보노이드샴푸 [HAIR RÉ:COVERY 15 Revital Shampoo]제품선택=리바이탈 샴푸 2개 세트 5%추가할인</t>
        </is>
      </c>
      <c r="H1249" s="9" t="n">
        <v>65</v>
      </c>
      <c r="I1249" s="9" t="inlineStr">
        <is>
          <t>리바이탈 샴푸 2set</t>
        </is>
      </c>
      <c r="J1249" s="9" t="inlineStr">
        <is>
          <t>210201</t>
        </is>
      </c>
      <c r="L1249" s="9" t="n">
        <v>3322150</v>
      </c>
      <c r="M1249" s="9" t="n">
        <v>3127804.225</v>
      </c>
      <c r="N1249" s="9" t="n">
        <v>372450</v>
      </c>
      <c r="O124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250">
      <c r="B1250" s="10" t="n">
        <v>44253</v>
      </c>
      <c r="C1250" s="9" t="inlineStr">
        <is>
          <t>금</t>
        </is>
      </c>
      <c r="E1250" s="9" t="inlineStr">
        <is>
          <t>샴푸</t>
        </is>
      </c>
      <c r="F1250" s="9" t="inlineStr">
        <is>
          <t>카페24</t>
        </is>
      </c>
      <c r="G1250" s="9" t="inlineStr">
        <is>
          <t>라베나 리커버리 15 리바이탈 바이오플라보노이드샴푸 [HAIR RÉ:COVERY 15 Revital Shampoo]제품선택=리바이탈 샴푸 3개 세트 10% 추가할인</t>
        </is>
      </c>
      <c r="H1250" s="9" t="n">
        <v>19</v>
      </c>
      <c r="I1250" s="9" t="inlineStr">
        <is>
          <t>리바이탈 샴푸 3set</t>
        </is>
      </c>
      <c r="J1250" s="9" t="inlineStr">
        <is>
          <t>210201</t>
        </is>
      </c>
      <c r="L1250" s="9" t="n">
        <v>1379970</v>
      </c>
      <c r="M1250" s="9" t="n">
        <v>1299241.755</v>
      </c>
      <c r="N1250" s="9" t="n">
        <v>163305</v>
      </c>
      <c r="O125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251">
      <c r="B1251" s="10" t="n">
        <v>44253</v>
      </c>
      <c r="C1251" s="9" t="inlineStr">
        <is>
          <t>금</t>
        </is>
      </c>
      <c r="E1251" s="9" t="inlineStr">
        <is>
          <t>트리트먼트</t>
        </is>
      </c>
      <c r="F1251" s="9" t="inlineStr">
        <is>
          <t>카페24</t>
        </is>
      </c>
      <c r="G1251" s="9" t="inlineStr">
        <is>
          <t>라베나 리커버리 15 헤어팩 트리트먼트 [HAIR RÉ:COVERY 15 Hairpack Treatment]제품선택=헤어 리커버리 15 헤어팩 트리트먼트</t>
        </is>
      </c>
      <c r="H1251" s="9" t="n">
        <v>9</v>
      </c>
      <c r="I1251" s="9" t="inlineStr">
        <is>
          <t>트리트먼트</t>
        </is>
      </c>
      <c r="J1251" s="9" t="inlineStr">
        <is>
          <t>210201</t>
        </is>
      </c>
      <c r="L1251" s="9" t="n">
        <v>234000</v>
      </c>
      <c r="M1251" s="9" t="n">
        <v>220311</v>
      </c>
      <c r="N1251" s="9" t="n">
        <v>14373</v>
      </c>
      <c r="O125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252">
      <c r="B1252" s="10" t="n">
        <v>44253</v>
      </c>
      <c r="C1252" s="9" t="inlineStr">
        <is>
          <t>금</t>
        </is>
      </c>
      <c r="E1252" s="9" t="inlineStr">
        <is>
          <t>트리트먼트</t>
        </is>
      </c>
      <c r="F1252" s="9" t="inlineStr">
        <is>
          <t>카페24</t>
        </is>
      </c>
      <c r="G1252" s="9" t="inlineStr">
        <is>
          <t>라베나 리커버리 15 헤어팩 트리트먼트 [HAIR RÉ:COVERY 15 Hairpack Treatment]제품선택=헤어팩 트리트먼트 2개 세트 5% 추가할인</t>
        </is>
      </c>
      <c r="H1252" s="9" t="n">
        <v>2</v>
      </c>
      <c r="I1252" s="9" t="inlineStr">
        <is>
          <t>트리트먼트 2set</t>
        </is>
      </c>
      <c r="J1252" s="9" t="inlineStr">
        <is>
          <t>210201</t>
        </is>
      </c>
      <c r="L1252" s="9" t="n">
        <v>98800</v>
      </c>
      <c r="M1252" s="9" t="n">
        <v>93020.2</v>
      </c>
      <c r="N1252" s="9" t="n">
        <v>6388</v>
      </c>
      <c r="O1252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253">
      <c r="B1253" s="10" t="n">
        <v>44253</v>
      </c>
      <c r="C1253" s="9" t="inlineStr">
        <is>
          <t>금</t>
        </is>
      </c>
      <c r="E1253" s="9" t="inlineStr">
        <is>
          <t>트리트먼트</t>
        </is>
      </c>
      <c r="F1253" s="9" t="inlineStr">
        <is>
          <t>카페24</t>
        </is>
      </c>
      <c r="G1253" s="9" t="inlineStr">
        <is>
          <t>라베나 리커버리 15 헤어팩 트리트먼트 [HAIR RÉ:COVERY 15 Hairpack Treatment]제품선택=헤어팩 트리트먼트 3개 세트 10% 추가할인</t>
        </is>
      </c>
      <c r="H1253" s="9" t="n">
        <v>2</v>
      </c>
      <c r="I1253" s="9" t="inlineStr">
        <is>
          <t>트리트먼트 3set</t>
        </is>
      </c>
      <c r="J1253" s="9" t="inlineStr">
        <is>
          <t>210201</t>
        </is>
      </c>
      <c r="L1253" s="9" t="n">
        <v>140400</v>
      </c>
      <c r="M1253" s="9" t="n">
        <v>132186.6</v>
      </c>
      <c r="N1253" s="9" t="n">
        <v>9582</v>
      </c>
      <c r="O1253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254">
      <c r="B1254" s="10" t="n">
        <v>44253</v>
      </c>
      <c r="C1254" s="9" t="inlineStr">
        <is>
          <t>금</t>
        </is>
      </c>
      <c r="E1254" s="9" t="inlineStr">
        <is>
          <t>샴푸</t>
        </is>
      </c>
      <c r="F1254" s="9" t="inlineStr">
        <is>
          <t>카페24</t>
        </is>
      </c>
      <c r="G1254" s="9" t="inlineStr">
        <is>
          <t>헤어 리커버리 15 리바이탈 샴푸</t>
        </is>
      </c>
      <c r="H1254" s="9" t="n">
        <v>2</v>
      </c>
      <c r="I1254" s="9" t="inlineStr">
        <is>
          <t>리바이탈 샴푸</t>
        </is>
      </c>
      <c r="J1254" s="9" t="inlineStr">
        <is>
          <t>210201</t>
        </is>
      </c>
      <c r="L1254" s="9" t="n">
        <v>53800</v>
      </c>
      <c r="M1254" s="9" t="n">
        <v>50652.7</v>
      </c>
      <c r="N1254" s="9" t="n">
        <v>5730</v>
      </c>
      <c r="O1254" s="9" t="inlineStr">
        <is>
          <t>카페24샴푸헤어 리커버리 15 리바이탈 샴푸210201</t>
        </is>
      </c>
    </row>
    <row r="1255">
      <c r="B1255" s="10" t="n">
        <v>44254</v>
      </c>
      <c r="C1255" s="9" t="inlineStr">
        <is>
          <t>토</t>
        </is>
      </c>
      <c r="E1255" s="9" t="inlineStr">
        <is>
          <t>뉴트리셔스밤</t>
        </is>
      </c>
      <c r="F1255" s="9" t="inlineStr">
        <is>
          <t>카페24</t>
        </is>
      </c>
      <c r="G1255" s="9" t="inlineStr">
        <is>
          <t>라베나 리커버리 15 뉴트리셔스 밤 [HAIR RÉ:COVERY 15 Nutritious Balm]제품선택=헤어 리커버리 15 뉴트리셔스 밤</t>
        </is>
      </c>
      <c r="H1255" s="9" t="n">
        <v>5</v>
      </c>
      <c r="I1255" s="9" t="inlineStr">
        <is>
          <t>뉴트리셔스밤</t>
        </is>
      </c>
      <c r="J1255" s="9" t="inlineStr">
        <is>
          <t>210201</t>
        </is>
      </c>
      <c r="L1255" s="9" t="n">
        <v>124500</v>
      </c>
      <c r="M1255" s="9" t="n">
        <v>117216.75</v>
      </c>
      <c r="N1255" s="9" t="n">
        <v>7900</v>
      </c>
      <c r="O1255" s="9" t="inlineStr">
        <is>
          <t>카페24뉴트리셔스밤라베나 리커버리 15 뉴트리셔스 밤 [HAIR RÉ:COVERY 15 Nutritious Balm]제품선택=헤어 리커버리 15 뉴트리셔스 밤210201</t>
        </is>
      </c>
    </row>
    <row r="1256">
      <c r="B1256" s="10" t="n">
        <v>44254</v>
      </c>
      <c r="C1256" s="9" t="inlineStr">
        <is>
          <t>토</t>
        </is>
      </c>
      <c r="E1256" s="9" t="inlineStr">
        <is>
          <t>뉴트리셔스밤</t>
        </is>
      </c>
      <c r="F1256" s="9" t="inlineStr">
        <is>
          <t>카페24</t>
        </is>
      </c>
      <c r="G1256" s="9" t="inlineStr">
        <is>
          <t>라베나 리커버리 15 뉴트리셔스 밤 [HAIR RÉ:COVERY 15 Nutritious Balm]제품선택=뉴트리셔스밤 1개 + 헤어팩 트리트먼트 1개 세트 5%추가할인</t>
        </is>
      </c>
      <c r="H1256" s="9" t="n">
        <v>1</v>
      </c>
      <c r="I1256" s="9" t="inlineStr">
        <is>
          <t>트리트먼트+뉴트리셔스밤</t>
        </is>
      </c>
      <c r="J1256" s="9" t="inlineStr">
        <is>
          <t>210201</t>
        </is>
      </c>
      <c r="L1256" s="9" t="n">
        <v>48355</v>
      </c>
      <c r="M1256" s="9" t="n">
        <v>45526.2325</v>
      </c>
      <c r="N1256" s="9" t="n">
        <v>3177</v>
      </c>
      <c r="O1256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257">
      <c r="B1257" s="10" t="n">
        <v>44254</v>
      </c>
      <c r="C1257" s="9" t="inlineStr">
        <is>
          <t>토</t>
        </is>
      </c>
      <c r="E1257" s="9" t="inlineStr">
        <is>
          <t>샴푸</t>
        </is>
      </c>
      <c r="F1257" s="9" t="inlineStr">
        <is>
          <t>카페24</t>
        </is>
      </c>
      <c r="G1257" s="9" t="inlineStr">
        <is>
          <t>라베나 리커버리 15 리바이탈 바이오플라보노이드샴푸 [HAIR RÉ:COVERY 15 Revital Shampoo]제품선택=헤어 리커버리 15 리바이탈 샴푸 - 500ml</t>
        </is>
      </c>
      <c r="H1257" s="9" t="n">
        <v>107</v>
      </c>
      <c r="I1257" s="9" t="inlineStr">
        <is>
          <t>리바이탈 샴푸</t>
        </is>
      </c>
      <c r="J1257" s="9" t="inlineStr">
        <is>
          <t>210201</t>
        </is>
      </c>
      <c r="L1257" s="9" t="n">
        <v>2878300</v>
      </c>
      <c r="M1257" s="9" t="n">
        <v>2709919.45</v>
      </c>
      <c r="N1257" s="9" t="n">
        <v>306555</v>
      </c>
      <c r="O125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258">
      <c r="B1258" s="10" t="n">
        <v>44254</v>
      </c>
      <c r="C1258" s="9" t="inlineStr">
        <is>
          <t>토</t>
        </is>
      </c>
      <c r="E1258" s="9" t="inlineStr">
        <is>
          <t>샴푸</t>
        </is>
      </c>
      <c r="F1258" s="9" t="inlineStr">
        <is>
          <t>카페24</t>
        </is>
      </c>
      <c r="G1258" s="9" t="inlineStr">
        <is>
          <t>라베나 리커버리 15 리바이탈 바이오플라보노이드샴푸 [HAIR RÉ:COVERY 15 Revital Shampoo]제품선택=리바이탈 샴푸 2개 세트 5%추가할인</t>
        </is>
      </c>
      <c r="H1258" s="9" t="n">
        <v>32</v>
      </c>
      <c r="I1258" s="9" t="inlineStr">
        <is>
          <t>리바이탈 샴푸 2set</t>
        </is>
      </c>
      <c r="J1258" s="9" t="inlineStr">
        <is>
          <t>210201</t>
        </is>
      </c>
      <c r="L1258" s="9" t="n">
        <v>1635520</v>
      </c>
      <c r="M1258" s="9" t="n">
        <v>1539842.08</v>
      </c>
      <c r="N1258" s="9" t="n">
        <v>183360</v>
      </c>
      <c r="O125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259">
      <c r="B1259" s="10" t="n">
        <v>44254</v>
      </c>
      <c r="C1259" s="9" t="inlineStr">
        <is>
          <t>토</t>
        </is>
      </c>
      <c r="E1259" s="9" t="inlineStr">
        <is>
          <t>샴푸</t>
        </is>
      </c>
      <c r="F1259" s="9" t="inlineStr">
        <is>
          <t>카페24</t>
        </is>
      </c>
      <c r="G1259" s="9" t="inlineStr">
        <is>
          <t>라베나 리커버리 15 리바이탈 바이오플라보노이드샴푸 [HAIR RÉ:COVERY 15 Revital Shampoo]제품선택=리바이탈 샴푸 3개 세트 10% 추가할인</t>
        </is>
      </c>
      <c r="H1259" s="9" t="n">
        <v>13</v>
      </c>
      <c r="I1259" s="9" t="inlineStr">
        <is>
          <t>리바이탈 샴푸 3set</t>
        </is>
      </c>
      <c r="J1259" s="9" t="inlineStr">
        <is>
          <t>210201</t>
        </is>
      </c>
      <c r="L1259" s="9" t="n">
        <v>944190</v>
      </c>
      <c r="M1259" s="9" t="n">
        <v>888954.885</v>
      </c>
      <c r="N1259" s="9" t="n">
        <v>111735</v>
      </c>
      <c r="O125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260">
      <c r="B1260" s="10" t="n">
        <v>44254</v>
      </c>
      <c r="C1260" s="9" t="inlineStr">
        <is>
          <t>토</t>
        </is>
      </c>
      <c r="E1260" s="9" t="inlineStr">
        <is>
          <t>트리트먼트</t>
        </is>
      </c>
      <c r="F1260" s="9" t="inlineStr">
        <is>
          <t>카페24</t>
        </is>
      </c>
      <c r="G1260" s="9" t="inlineStr">
        <is>
          <t>라베나 리커버리 15 헤어팩 트리트먼트 [HAIR RÉ:COVERY 15 Hairpack Treatment]제품선택=헤어 리커버리 15 헤어팩 트리트먼트</t>
        </is>
      </c>
      <c r="H1260" s="9" t="n">
        <v>6</v>
      </c>
      <c r="I1260" s="9" t="inlineStr">
        <is>
          <t>트리트먼트</t>
        </is>
      </c>
      <c r="J1260" s="9" t="inlineStr">
        <is>
          <t>210201</t>
        </is>
      </c>
      <c r="L1260" s="9" t="n">
        <v>156000</v>
      </c>
      <c r="M1260" s="9" t="n">
        <v>146874</v>
      </c>
      <c r="N1260" s="9" t="n">
        <v>9582</v>
      </c>
      <c r="O1260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261">
      <c r="B1261" s="10" t="n">
        <v>44254</v>
      </c>
      <c r="C1261" s="9" t="inlineStr">
        <is>
          <t>토</t>
        </is>
      </c>
      <c r="E1261" s="9" t="inlineStr">
        <is>
          <t>트리트먼트</t>
        </is>
      </c>
      <c r="F1261" s="9" t="inlineStr">
        <is>
          <t>카페24</t>
        </is>
      </c>
      <c r="G1261" s="9" t="inlineStr">
        <is>
          <t>라베나 리커버리 15 헤어팩 트리트먼트 [HAIR RÉ:COVERY 15 Hairpack Treatment]제품선택=헤어팩 트리트먼트 3개 세트 10% 추가할인</t>
        </is>
      </c>
      <c r="H1261" s="9" t="n">
        <v>1</v>
      </c>
      <c r="I1261" s="9" t="inlineStr">
        <is>
          <t>트리트먼트 3set</t>
        </is>
      </c>
      <c r="J1261" s="9" t="inlineStr">
        <is>
          <t>210201</t>
        </is>
      </c>
      <c r="L1261" s="9" t="n">
        <v>70200</v>
      </c>
      <c r="M1261" s="9" t="n">
        <v>66093.3</v>
      </c>
      <c r="N1261" s="9" t="n">
        <v>4791</v>
      </c>
      <c r="O1261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262">
      <c r="B1262" s="10" t="n">
        <v>44254</v>
      </c>
      <c r="C1262" s="9" t="inlineStr">
        <is>
          <t>토</t>
        </is>
      </c>
      <c r="E1262" s="9" t="inlineStr">
        <is>
          <t>트리트먼트</t>
        </is>
      </c>
      <c r="F1262" s="9" t="inlineStr">
        <is>
          <t>카페24</t>
        </is>
      </c>
      <c r="G1262" s="9" t="inlineStr">
        <is>
          <t>라베나 리커버리 15 헤어팩 트리트먼트 [HAIR RÉ:COVERY 15 Hairpack Treatment]제품선택=헤어팩 트리트먼트 1개 + 뉴트리셔스밤 1개 세트 5% 추가할인</t>
        </is>
      </c>
      <c r="H1262" s="9" t="n">
        <v>1</v>
      </c>
      <c r="I1262" s="9" t="inlineStr">
        <is>
          <t>트리트먼트+뉴트리셔스밤</t>
        </is>
      </c>
      <c r="J1262" s="9" t="inlineStr">
        <is>
          <t>210201</t>
        </is>
      </c>
      <c r="L1262" s="9" t="n">
        <v>48355</v>
      </c>
      <c r="M1262" s="9" t="n">
        <v>45526.2325</v>
      </c>
      <c r="N1262" s="9" t="n">
        <v>3177</v>
      </c>
      <c r="O1262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263">
      <c r="B1263" s="10" t="n">
        <v>44255</v>
      </c>
      <c r="C1263" s="9" t="inlineStr">
        <is>
          <t>일</t>
        </is>
      </c>
      <c r="E1263" s="9" t="inlineStr">
        <is>
          <t>샴푸</t>
        </is>
      </c>
      <c r="F1263" s="9" t="inlineStr">
        <is>
          <t>라베나 CS</t>
        </is>
      </c>
      <c r="G1263" s="9" t="inlineStr">
        <is>
          <t>라베나 리커버리 15 리바이탈 바이오플라보노이드샴푸 [HAIR RÉ:COVERY 15 Revital Shampoo]제품선택=헤어 리커버리 15 리바이탈 샴푸 - 500ml</t>
        </is>
      </c>
      <c r="H1263" s="9" t="n">
        <v>1</v>
      </c>
      <c r="I1263" s="9" t="inlineStr">
        <is>
          <t>리바이탈 샴푸</t>
        </is>
      </c>
      <c r="J1263" s="9" t="inlineStr">
        <is>
          <t>210201</t>
        </is>
      </c>
      <c r="L1263" s="9" t="n">
        <v>0</v>
      </c>
      <c r="M1263" s="9" t="n">
        <v>0</v>
      </c>
      <c r="N1263" s="9" t="n">
        <v>2865</v>
      </c>
      <c r="O1263" s="9" t="inlineStr">
        <is>
          <t>라베나 CS샴푸라베나 리커버리 15 리바이탈 바이오플라보노이드샴푸 [HAIR RÉ:COVERY 15 Revital Shampoo]제품선택=헤어 리커버리 15 리바이탈 샴푸 - 500ml210201</t>
        </is>
      </c>
    </row>
    <row r="1264">
      <c r="B1264" s="10" t="n">
        <v>44255</v>
      </c>
      <c r="C1264" s="9" t="inlineStr">
        <is>
          <t>일</t>
        </is>
      </c>
      <c r="E1264" s="9" t="inlineStr">
        <is>
          <t>뉴트리셔스밤</t>
        </is>
      </c>
      <c r="F1264" s="9" t="inlineStr">
        <is>
          <t>카페24</t>
        </is>
      </c>
      <c r="G1264" s="9" t="inlineStr">
        <is>
          <t>라베나 리커버리 15 뉴트리셔스 밤 [HAIR RÉ:COVERY 15 Nutritious Balm]제품선택=헤어 리커버리 15 뉴트리셔스 밤</t>
        </is>
      </c>
      <c r="H1264" s="9" t="n">
        <v>1</v>
      </c>
      <c r="I1264" s="9" t="inlineStr">
        <is>
          <t>뉴트리셔스밤</t>
        </is>
      </c>
      <c r="J1264" s="9" t="inlineStr">
        <is>
          <t>210201</t>
        </is>
      </c>
      <c r="L1264" s="9" t="n">
        <v>24900</v>
      </c>
      <c r="M1264" s="9" t="n">
        <v>23443.35</v>
      </c>
      <c r="N1264" s="9" t="n">
        <v>1580</v>
      </c>
      <c r="O1264" s="9" t="inlineStr">
        <is>
          <t>카페24뉴트리셔스밤라베나 리커버리 15 뉴트리셔스 밤 [HAIR RÉ:COVERY 15 Nutritious Balm]제품선택=헤어 리커버리 15 뉴트리셔스 밤210201</t>
        </is>
      </c>
    </row>
    <row r="1265">
      <c r="B1265" s="10" t="n">
        <v>44255</v>
      </c>
      <c r="C1265" s="9" t="inlineStr">
        <is>
          <t>일</t>
        </is>
      </c>
      <c r="E1265" s="9" t="inlineStr">
        <is>
          <t>뉴트리셔스밤</t>
        </is>
      </c>
      <c r="F1265" s="9" t="inlineStr">
        <is>
          <t>카페24</t>
        </is>
      </c>
      <c r="G1265" s="9" t="inlineStr">
        <is>
          <t>라베나 리커버리 15 뉴트리셔스 밤 [HAIR RÉ:COVERY 15 Nutritious Balm]제품선택=뉴트리셔스 밤 2개 세트 5% 추가할인</t>
        </is>
      </c>
      <c r="H1265" s="9" t="n">
        <v>1</v>
      </c>
      <c r="I1265" s="9" t="inlineStr">
        <is>
          <t>뉴트리셔스밤 2set</t>
        </is>
      </c>
      <c r="J1265" s="9" t="inlineStr">
        <is>
          <t>210201</t>
        </is>
      </c>
      <c r="L1265" s="9" t="n">
        <v>47310</v>
      </c>
      <c r="M1265" s="9" t="n">
        <v>44542.365</v>
      </c>
      <c r="N1265" s="9" t="n">
        <v>3160</v>
      </c>
      <c r="O1265" s="9" t="inlineStr">
        <is>
          <t>카페24뉴트리셔스밤라베나 리커버리 15 뉴트리셔스 밤 [HAIR RÉ:COVERY 15 Nutritious Balm]제품선택=뉴트리셔스 밤 2개 세트 5% 추가할인210201</t>
        </is>
      </c>
    </row>
    <row r="1266">
      <c r="B1266" s="10" t="n">
        <v>44255</v>
      </c>
      <c r="C1266" s="9" t="inlineStr">
        <is>
          <t>일</t>
        </is>
      </c>
      <c r="E1266" s="9" t="inlineStr">
        <is>
          <t>뉴트리셔스밤</t>
        </is>
      </c>
      <c r="F1266" s="9" t="inlineStr">
        <is>
          <t>카페24</t>
        </is>
      </c>
      <c r="G1266" s="9" t="inlineStr">
        <is>
          <t>라베나 리커버리 15 뉴트리셔스 밤 [HAIR RÉ:COVERY 15 Nutritious Balm]제품선택=뉴트리셔스밤 1개 + 헤어팩 트리트먼트 1개 세트 5%추가할인</t>
        </is>
      </c>
      <c r="H1266" s="9" t="n">
        <v>1</v>
      </c>
      <c r="I1266" s="9" t="inlineStr">
        <is>
          <t>트리트먼트+뉴트리셔스밤</t>
        </is>
      </c>
      <c r="J1266" s="9" t="inlineStr">
        <is>
          <t>210201</t>
        </is>
      </c>
      <c r="L1266" s="9" t="n">
        <v>48355</v>
      </c>
      <c r="M1266" s="9" t="n">
        <v>45526.2325</v>
      </c>
      <c r="N1266" s="9" t="n">
        <v>3177</v>
      </c>
      <c r="O1266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267">
      <c r="B1267" s="10" t="n">
        <v>44255</v>
      </c>
      <c r="C1267" s="9" t="inlineStr">
        <is>
          <t>일</t>
        </is>
      </c>
      <c r="E1267" s="9" t="inlineStr">
        <is>
          <t>샴푸</t>
        </is>
      </c>
      <c r="F1267" s="9" t="inlineStr">
        <is>
          <t>카페24</t>
        </is>
      </c>
      <c r="G1267" s="9" t="inlineStr">
        <is>
          <t>라베나 리커버리 15 리바이탈 바이오플라보노이드샴푸 [HAIR RÉ:COVERY 15 Revital Shampoo]제품선택=헤어 리커버리 15 리바이탈 샴푸 - 500ml</t>
        </is>
      </c>
      <c r="H1267" s="9" t="n">
        <v>173</v>
      </c>
      <c r="I1267" s="9" t="inlineStr">
        <is>
          <t>리바이탈 샴푸</t>
        </is>
      </c>
      <c r="J1267" s="9" t="inlineStr">
        <is>
          <t>210201</t>
        </is>
      </c>
      <c r="L1267" s="9" t="n">
        <v>4653700</v>
      </c>
      <c r="M1267" s="9" t="n">
        <v>4381458.55</v>
      </c>
      <c r="N1267" s="9" t="n">
        <v>495645</v>
      </c>
      <c r="O126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268">
      <c r="B1268" s="10" t="n">
        <v>44255</v>
      </c>
      <c r="C1268" s="9" t="inlineStr">
        <is>
          <t>일</t>
        </is>
      </c>
      <c r="E1268" s="9" t="inlineStr">
        <is>
          <t>샴푸</t>
        </is>
      </c>
      <c r="F1268" s="9" t="inlineStr">
        <is>
          <t>카페24</t>
        </is>
      </c>
      <c r="G1268" s="9" t="inlineStr">
        <is>
          <t>라베나 리커버리 15 리바이탈 바이오플라보노이드샴푸 [HAIR RÉ:COVERY 15 Revital Shampoo]제품선택=리바이탈 샴푸 2개 세트 5%추가할인</t>
        </is>
      </c>
      <c r="H1268" s="9" t="n">
        <v>59</v>
      </c>
      <c r="I1268" s="9" t="inlineStr">
        <is>
          <t>리바이탈 샴푸 2set</t>
        </is>
      </c>
      <c r="J1268" s="9" t="inlineStr">
        <is>
          <t>210201</t>
        </is>
      </c>
      <c r="L1268" s="9" t="n">
        <v>3015490</v>
      </c>
      <c r="M1268" s="9" t="n">
        <v>2839083.835</v>
      </c>
      <c r="N1268" s="9" t="n">
        <v>338070</v>
      </c>
      <c r="O126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269">
      <c r="B1269" s="10" t="n">
        <v>44255</v>
      </c>
      <c r="C1269" s="9" t="inlineStr">
        <is>
          <t>일</t>
        </is>
      </c>
      <c r="E1269" s="9" t="inlineStr">
        <is>
          <t>샴푸</t>
        </is>
      </c>
      <c r="F1269" s="9" t="inlineStr">
        <is>
          <t>카페24</t>
        </is>
      </c>
      <c r="G1269" s="9" t="inlineStr">
        <is>
          <t>라베나 리커버리 15 리바이탈 바이오플라보노이드샴푸 [HAIR RÉ:COVERY 15 Revital Shampoo]제품선택=리바이탈 샴푸 3개 세트 10% 추가할인</t>
        </is>
      </c>
      <c r="H1269" s="9" t="n">
        <v>23</v>
      </c>
      <c r="I1269" s="9" t="inlineStr">
        <is>
          <t>리바이탈 샴푸 3set</t>
        </is>
      </c>
      <c r="J1269" s="9" t="inlineStr">
        <is>
          <t>210201</t>
        </is>
      </c>
      <c r="L1269" s="9" t="n">
        <v>1670490</v>
      </c>
      <c r="M1269" s="9" t="n">
        <v>1572766.335</v>
      </c>
      <c r="N1269" s="9" t="n">
        <v>197685</v>
      </c>
      <c r="O126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270">
      <c r="B1270" s="10" t="n">
        <v>44255</v>
      </c>
      <c r="C1270" s="9" t="inlineStr">
        <is>
          <t>일</t>
        </is>
      </c>
      <c r="E1270" s="9" t="inlineStr">
        <is>
          <t>트리트먼트</t>
        </is>
      </c>
      <c r="F1270" s="9" t="inlineStr">
        <is>
          <t>카페24</t>
        </is>
      </c>
      <c r="G1270" s="9" t="inlineStr">
        <is>
          <t>라베나 리커버리 15 헤어팩 트리트먼트 [HAIR RÉ:COVERY 15 Hairpack Treatment]제품선택=헤어 리커버리 15 헤어팩 트리트먼트</t>
        </is>
      </c>
      <c r="H1270" s="9" t="n">
        <v>5</v>
      </c>
      <c r="I1270" s="9" t="inlineStr">
        <is>
          <t>트리트먼트</t>
        </is>
      </c>
      <c r="J1270" s="9" t="inlineStr">
        <is>
          <t>210201</t>
        </is>
      </c>
      <c r="L1270" s="9" t="n">
        <v>130000</v>
      </c>
      <c r="M1270" s="9" t="n">
        <v>122395</v>
      </c>
      <c r="N1270" s="9" t="n">
        <v>7985</v>
      </c>
      <c r="O1270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271">
      <c r="B1271" s="10" t="n">
        <v>44255</v>
      </c>
      <c r="C1271" s="9" t="inlineStr">
        <is>
          <t>일</t>
        </is>
      </c>
      <c r="E1271" s="9" t="inlineStr">
        <is>
          <t>트리트먼트</t>
        </is>
      </c>
      <c r="F1271" s="9" t="inlineStr">
        <is>
          <t>카페24</t>
        </is>
      </c>
      <c r="G1271" s="9" t="inlineStr">
        <is>
          <t>라베나 리커버리 15 헤어팩 트리트먼트 [HAIR RÉ:COVERY 15 Hairpack Treatment]제품선택=헤어팩 트리트먼트 2개 세트 5% 추가할인</t>
        </is>
      </c>
      <c r="H1271" s="9" t="n">
        <v>3</v>
      </c>
      <c r="I1271" s="9" t="inlineStr">
        <is>
          <t>트리트먼트 2set</t>
        </is>
      </c>
      <c r="J1271" s="9" t="inlineStr">
        <is>
          <t>210201</t>
        </is>
      </c>
      <c r="L1271" s="9" t="n">
        <v>148200</v>
      </c>
      <c r="M1271" s="9" t="n">
        <v>139530.3</v>
      </c>
      <c r="N1271" s="9" t="n">
        <v>9582</v>
      </c>
      <c r="O1271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272">
      <c r="B1272" s="10" t="n">
        <v>44256</v>
      </c>
      <c r="C1272" s="9" t="inlineStr">
        <is>
          <t>월</t>
        </is>
      </c>
      <c r="E1272" s="9" t="inlineStr">
        <is>
          <t>샴푸</t>
        </is>
      </c>
      <c r="F1272" s="9" t="inlineStr">
        <is>
          <t>라베나 CS</t>
        </is>
      </c>
      <c r="G1272" s="9" t="inlineStr">
        <is>
          <t>라베나 리커버리 15 리바이탈 바이오플라보노이드샴푸 [HAIR RÉ:COVERY 15 Revital Shampoo]제품선택=리바이탈 샴푸 2개 세트 5%추가할인</t>
        </is>
      </c>
      <c r="H1272" s="9" t="n">
        <v>1</v>
      </c>
      <c r="I1272" s="9" t="inlineStr">
        <is>
          <t>리바이탈 샴푸 2set</t>
        </is>
      </c>
      <c r="J1272" s="9" t="inlineStr">
        <is>
          <t>210201</t>
        </is>
      </c>
      <c r="L1272" s="9" t="n">
        <v>0</v>
      </c>
      <c r="M1272" s="9" t="n">
        <v>0</v>
      </c>
      <c r="N1272" s="9" t="n">
        <v>2865</v>
      </c>
      <c r="O1272" s="9" t="inlineStr">
        <is>
          <t>라베나 CS샴푸라베나 리커버리 15 리바이탈 바이오플라보노이드샴푸 [HAIR RÉ:COVERY 15 Revital Shampoo]제품선택=리바이탈 샴푸 2개 세트 5%추가할인210201</t>
        </is>
      </c>
    </row>
    <row r="1273">
      <c r="B1273" s="10" t="n">
        <v>44256</v>
      </c>
      <c r="C1273" s="9" t="inlineStr">
        <is>
          <t>월</t>
        </is>
      </c>
      <c r="E1273" s="9" t="inlineStr">
        <is>
          <t>뉴트리셔스밤</t>
        </is>
      </c>
      <c r="F1273" s="9" t="inlineStr">
        <is>
          <t>카페24</t>
        </is>
      </c>
      <c r="G1273" s="9" t="inlineStr">
        <is>
          <t>라베나 리커버리 15 뉴트리셔스 밤 [HAIR RÉ:COVERY 15 Nutritious Balm]제품선택=헤어 리커버리 15 뉴트리셔스 밤</t>
        </is>
      </c>
      <c r="H1273" s="9" t="n">
        <v>8</v>
      </c>
      <c r="I1273" s="9" t="inlineStr">
        <is>
          <t>뉴트리셔스밤</t>
        </is>
      </c>
      <c r="J1273" s="9" t="inlineStr">
        <is>
          <t>210201</t>
        </is>
      </c>
      <c r="L1273" s="9" t="n">
        <v>199200</v>
      </c>
      <c r="M1273" s="9" t="n">
        <v>187546.8</v>
      </c>
      <c r="N1273" s="9" t="n">
        <v>12640</v>
      </c>
      <c r="O1273" s="9" t="inlineStr">
        <is>
          <t>카페24뉴트리셔스밤라베나 리커버리 15 뉴트리셔스 밤 [HAIR RÉ:COVERY 15 Nutritious Balm]제품선택=헤어 리커버리 15 뉴트리셔스 밤210201</t>
        </is>
      </c>
    </row>
    <row r="1274">
      <c r="B1274" s="10" t="n">
        <v>44256</v>
      </c>
      <c r="C1274" s="9" t="inlineStr">
        <is>
          <t>월</t>
        </is>
      </c>
      <c r="E1274" s="9" t="inlineStr">
        <is>
          <t>뉴트리셔스밤</t>
        </is>
      </c>
      <c r="F1274" s="9" t="inlineStr">
        <is>
          <t>카페24</t>
        </is>
      </c>
      <c r="G1274" s="9" t="inlineStr">
        <is>
          <t>라베나 리커버리 15 뉴트리셔스 밤 [HAIR RÉ:COVERY 15 Nutritious Balm]제품선택=뉴트리셔스 밤 2개 세트 5% 추가할인</t>
        </is>
      </c>
      <c r="H1274" s="9" t="n">
        <v>3</v>
      </c>
      <c r="I1274" s="9" t="inlineStr">
        <is>
          <t>뉴트리셔스밤 2set</t>
        </is>
      </c>
      <c r="J1274" s="9" t="inlineStr">
        <is>
          <t>210201</t>
        </is>
      </c>
      <c r="L1274" s="9" t="n">
        <v>141930</v>
      </c>
      <c r="M1274" s="9" t="n">
        <v>133627.095</v>
      </c>
      <c r="N1274" s="9" t="n">
        <v>9480</v>
      </c>
      <c r="O1274" s="9" t="inlineStr">
        <is>
          <t>카페24뉴트리셔스밤라베나 리커버리 15 뉴트리셔스 밤 [HAIR RÉ:COVERY 15 Nutritious Balm]제품선택=뉴트리셔스 밤 2개 세트 5% 추가할인210201</t>
        </is>
      </c>
    </row>
    <row r="1275">
      <c r="B1275" s="10" t="n">
        <v>44256</v>
      </c>
      <c r="C1275" s="9" t="inlineStr">
        <is>
          <t>월</t>
        </is>
      </c>
      <c r="E1275" s="9" t="inlineStr">
        <is>
          <t>뉴트리셔스밤</t>
        </is>
      </c>
      <c r="F1275" s="9" t="inlineStr">
        <is>
          <t>카페24</t>
        </is>
      </c>
      <c r="G1275" s="9" t="inlineStr">
        <is>
          <t>라베나 리커버리 15 뉴트리셔스 밤 [HAIR RÉ:COVERY 15 Nutritious Balm]제품선택=뉴트리셔스밤 1개 + 헤어팩 트리트먼트 1개 세트 5%추가할인</t>
        </is>
      </c>
      <c r="H1275" s="9" t="n">
        <v>3</v>
      </c>
      <c r="I1275" s="9" t="inlineStr">
        <is>
          <t>트리트먼트+뉴트리셔스밤</t>
        </is>
      </c>
      <c r="J1275" s="9" t="inlineStr">
        <is>
          <t>210201</t>
        </is>
      </c>
      <c r="L1275" s="9" t="n">
        <v>145065</v>
      </c>
      <c r="M1275" s="9" t="n">
        <v>136578.6975</v>
      </c>
      <c r="N1275" s="9" t="n">
        <v>9531</v>
      </c>
      <c r="O1275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276">
      <c r="B1276" s="10" t="n">
        <v>44256</v>
      </c>
      <c r="C1276" s="9" t="inlineStr">
        <is>
          <t>월</t>
        </is>
      </c>
      <c r="E1276" s="9" t="inlineStr">
        <is>
          <t>샴푸</t>
        </is>
      </c>
      <c r="F1276" s="9" t="inlineStr">
        <is>
          <t>카페24</t>
        </is>
      </c>
      <c r="G1276" s="9" t="inlineStr">
        <is>
          <t>라베나 리커버리 15 리바이탈 바이오플라보노이드샴푸 [HAIR RÉ:COVERY 15 Revital Shampoo]제품선택=헤어 리커버리 15 리바이탈 샴푸 - 500ml</t>
        </is>
      </c>
      <c r="H1276" s="9" t="n">
        <v>339</v>
      </c>
      <c r="I1276" s="9" t="inlineStr">
        <is>
          <t>리바이탈 샴푸</t>
        </is>
      </c>
      <c r="J1276" s="9" t="inlineStr">
        <is>
          <t>210201</t>
        </is>
      </c>
      <c r="L1276" s="9" t="n">
        <v>9119100</v>
      </c>
      <c r="M1276" s="9" t="n">
        <v>8585632.65</v>
      </c>
      <c r="N1276" s="9" t="n">
        <v>971235</v>
      </c>
      <c r="O127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277">
      <c r="B1277" s="10" t="n">
        <v>44256</v>
      </c>
      <c r="C1277" s="9" t="inlineStr">
        <is>
          <t>월</t>
        </is>
      </c>
      <c r="E1277" s="9" t="inlineStr">
        <is>
          <t>샴푸</t>
        </is>
      </c>
      <c r="F1277" s="9" t="inlineStr">
        <is>
          <t>카페24</t>
        </is>
      </c>
      <c r="G1277" s="9" t="inlineStr">
        <is>
          <t>라베나 리커버리 15 리바이탈 바이오플라보노이드샴푸 [HAIR RÉ:COVERY 15 Revital Shampoo]제품선택=리바이탈 샴푸 2개 세트 5%추가할인</t>
        </is>
      </c>
      <c r="H1277" s="9" t="n">
        <v>98</v>
      </c>
      <c r="I1277" s="9" t="inlineStr">
        <is>
          <t>리바이탈 샴푸 2set</t>
        </is>
      </c>
      <c r="J1277" s="9" t="inlineStr">
        <is>
          <t>210201</t>
        </is>
      </c>
      <c r="L1277" s="9" t="n">
        <v>5008780</v>
      </c>
      <c r="M1277" s="9" t="n">
        <v>4715766.37</v>
      </c>
      <c r="N1277" s="9" t="n">
        <v>561540</v>
      </c>
      <c r="O127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278">
      <c r="B1278" s="10" t="n">
        <v>44256</v>
      </c>
      <c r="C1278" s="9" t="inlineStr">
        <is>
          <t>월</t>
        </is>
      </c>
      <c r="E1278" s="9" t="inlineStr">
        <is>
          <t>샴푸</t>
        </is>
      </c>
      <c r="F1278" s="9" t="inlineStr">
        <is>
          <t>카페24</t>
        </is>
      </c>
      <c r="G1278" s="9" t="inlineStr">
        <is>
          <t>라베나 리커버리 15 리바이탈 바이오플라보노이드샴푸 [HAIR RÉ:COVERY 15 Revital Shampoo]제품선택=리바이탈 샴푸 3개 세트 10% 추가할인</t>
        </is>
      </c>
      <c r="H1278" s="9" t="n">
        <v>38</v>
      </c>
      <c r="I1278" s="9" t="inlineStr">
        <is>
          <t>리바이탈 샴푸 3set</t>
        </is>
      </c>
      <c r="J1278" s="9" t="inlineStr">
        <is>
          <t>210201</t>
        </is>
      </c>
      <c r="L1278" s="9" t="n">
        <v>2759940</v>
      </c>
      <c r="M1278" s="9" t="n">
        <v>2598483.51</v>
      </c>
      <c r="N1278" s="9" t="n">
        <v>326610</v>
      </c>
      <c r="O127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279">
      <c r="B1279" s="10" t="n">
        <v>44256</v>
      </c>
      <c r="C1279" s="9" t="inlineStr">
        <is>
          <t>월</t>
        </is>
      </c>
      <c r="E1279" s="9" t="inlineStr">
        <is>
          <t>트리트먼트</t>
        </is>
      </c>
      <c r="F1279" s="9" t="inlineStr">
        <is>
          <t>카페24</t>
        </is>
      </c>
      <c r="G1279" s="9" t="inlineStr">
        <is>
          <t>라베나 리커버리 15 헤어팩 트리트먼트 [HAIR RÉ:COVERY 15 Hairpack Treatment]제품선택=헤어 리커버리 15 헤어팩 트리트먼트</t>
        </is>
      </c>
      <c r="H1279" s="9" t="n">
        <v>12</v>
      </c>
      <c r="I1279" s="9" t="inlineStr">
        <is>
          <t>트리트먼트</t>
        </is>
      </c>
      <c r="J1279" s="9" t="inlineStr">
        <is>
          <t>210201</t>
        </is>
      </c>
      <c r="L1279" s="9" t="n">
        <v>312000</v>
      </c>
      <c r="M1279" s="9" t="n">
        <v>293748</v>
      </c>
      <c r="N1279" s="9" t="n">
        <v>19164</v>
      </c>
      <c r="O127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280">
      <c r="B1280" s="10" t="n">
        <v>44256</v>
      </c>
      <c r="C1280" s="9" t="inlineStr">
        <is>
          <t>월</t>
        </is>
      </c>
      <c r="E1280" s="9" t="inlineStr">
        <is>
          <t>트리트먼트</t>
        </is>
      </c>
      <c r="F1280" s="9" t="inlineStr">
        <is>
          <t>카페24</t>
        </is>
      </c>
      <c r="G1280" s="9" t="inlineStr">
        <is>
          <t>라베나 리커버리 15 헤어팩 트리트먼트 [HAIR RÉ:COVERY 15 Hairpack Treatment]제품선택=헤어팩 트리트먼트 2개 세트 5% 추가할인</t>
        </is>
      </c>
      <c r="H1280" s="9" t="n">
        <v>4</v>
      </c>
      <c r="I1280" s="9" t="inlineStr">
        <is>
          <t>트리트먼트 2set</t>
        </is>
      </c>
      <c r="J1280" s="9" t="inlineStr">
        <is>
          <t>210201</t>
        </is>
      </c>
      <c r="L1280" s="9" t="n">
        <v>197600</v>
      </c>
      <c r="M1280" s="9" t="n">
        <v>186040.4</v>
      </c>
      <c r="N1280" s="9" t="n">
        <v>12776</v>
      </c>
      <c r="O1280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281">
      <c r="B1281" s="10" t="n">
        <v>44256</v>
      </c>
      <c r="C1281" s="9" t="inlineStr">
        <is>
          <t>월</t>
        </is>
      </c>
      <c r="E1281" s="9" t="inlineStr">
        <is>
          <t>트리트먼트</t>
        </is>
      </c>
      <c r="F1281" s="9" t="inlineStr">
        <is>
          <t>카페24</t>
        </is>
      </c>
      <c r="G1281" s="9" t="inlineStr">
        <is>
          <t>라베나 리커버리 15 헤어팩 트리트먼트 [HAIR RÉ:COVERY 15 Hairpack Treatment]제품선택=헤어팩 트리트먼트 3개 세트 10% 추가할인</t>
        </is>
      </c>
      <c r="H1281" s="9" t="n">
        <v>1</v>
      </c>
      <c r="I1281" s="9" t="inlineStr">
        <is>
          <t>트리트먼트 3set</t>
        </is>
      </c>
      <c r="J1281" s="9" t="inlineStr">
        <is>
          <t>210201</t>
        </is>
      </c>
      <c r="L1281" s="9" t="n">
        <v>70200</v>
      </c>
      <c r="M1281" s="9" t="n">
        <v>66093.3</v>
      </c>
      <c r="N1281" s="9" t="n">
        <v>4791</v>
      </c>
      <c r="O1281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282">
      <c r="B1282" s="10" t="n">
        <v>44256</v>
      </c>
      <c r="C1282" s="9" t="inlineStr">
        <is>
          <t>월</t>
        </is>
      </c>
      <c r="E1282" s="9" t="inlineStr">
        <is>
          <t>트리트먼트</t>
        </is>
      </c>
      <c r="F1282" s="9" t="inlineStr">
        <is>
          <t>카페24</t>
        </is>
      </c>
      <c r="G1282" s="9" t="inlineStr">
        <is>
          <t>라베나 리커버리 15 헤어팩 트리트먼트 [HAIR RÉ:COVERY 15 Hairpack Treatment]제품선택=헤어팩 트리트먼트 1개 + 뉴트리셔스밤 1개 세트 5% 추가할인</t>
        </is>
      </c>
      <c r="H1282" s="9" t="n">
        <v>4</v>
      </c>
      <c r="I1282" s="9" t="inlineStr">
        <is>
          <t>트리트먼트+뉴트리셔스밤</t>
        </is>
      </c>
      <c r="J1282" s="9" t="inlineStr">
        <is>
          <t>210201</t>
        </is>
      </c>
      <c r="L1282" s="9" t="n">
        <v>193420</v>
      </c>
      <c r="M1282" s="9" t="n">
        <v>182104.93</v>
      </c>
      <c r="N1282" s="9" t="n">
        <v>12708</v>
      </c>
      <c r="O1282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283">
      <c r="A1283" s="9" t="inlineStr">
        <is>
          <t>0224_샴푸-비듬똥균_카드뉴스_임시</t>
        </is>
      </c>
      <c r="B1283" s="10" t="n">
        <v>44257</v>
      </c>
      <c r="C1283" s="9" t="inlineStr">
        <is>
          <t>화</t>
        </is>
      </c>
      <c r="D1283" s="9" t="inlineStr">
        <is>
          <t>페이스북</t>
        </is>
      </c>
      <c r="E1283" s="9" t="inlineStr">
        <is>
          <t>샴푸</t>
        </is>
      </c>
      <c r="K1283" s="9" t="n">
        <v>480875</v>
      </c>
    </row>
    <row r="1284">
      <c r="A1284" s="9" t="inlineStr">
        <is>
          <t>현빈임시테스트</t>
        </is>
      </c>
      <c r="B1284" s="10" t="n">
        <v>44257</v>
      </c>
      <c r="C1284" s="9" t="inlineStr">
        <is>
          <t>화</t>
        </is>
      </c>
      <c r="D1284" s="9" t="inlineStr">
        <is>
          <t>페이스북</t>
        </is>
      </c>
      <c r="E1284" s="9" t="inlineStr">
        <is>
          <t>샴푸</t>
        </is>
      </c>
      <c r="K1284" s="9" t="n">
        <v>48363</v>
      </c>
    </row>
    <row r="1285">
      <c r="A1285" s="9" t="inlineStr">
        <is>
          <t>1201~단장키워드테스트</t>
        </is>
      </c>
      <c r="B1285" s="10" t="n">
        <v>44257</v>
      </c>
      <c r="C1285" s="9" t="inlineStr">
        <is>
          <t>화</t>
        </is>
      </c>
      <c r="D1285" s="9" t="inlineStr">
        <is>
          <t>페이스북</t>
        </is>
      </c>
      <c r="E1285" s="9" t="inlineStr">
        <is>
          <t>샴푸</t>
        </is>
      </c>
      <c r="K1285" s="9" t="n">
        <v>48450</v>
      </c>
    </row>
    <row r="1286">
      <c r="A1286" s="9" t="inlineStr">
        <is>
          <t>11/13 키워드 탐색</t>
        </is>
      </c>
      <c r="B1286" s="10" t="n">
        <v>44257</v>
      </c>
      <c r="C1286" s="9" t="inlineStr">
        <is>
          <t>화</t>
        </is>
      </c>
      <c r="D1286" s="9" t="inlineStr">
        <is>
          <t>페이스북</t>
        </is>
      </c>
      <c r="E1286" s="9" t="inlineStr">
        <is>
          <t>샴푸</t>
        </is>
      </c>
      <c r="K1286" s="9" t="n">
        <v>48199</v>
      </c>
    </row>
    <row r="1287">
      <c r="A1287" s="9" t="inlineStr">
        <is>
          <t>0118_샴푸_비듬똥균_4차</t>
        </is>
      </c>
      <c r="B1287" s="10" t="n">
        <v>44257</v>
      </c>
      <c r="C1287" s="9" t="inlineStr">
        <is>
          <t>화</t>
        </is>
      </c>
      <c r="D1287" s="9" t="inlineStr">
        <is>
          <t>유튜브</t>
        </is>
      </c>
      <c r="E1287" s="9" t="inlineStr">
        <is>
          <t>샴푸</t>
        </is>
      </c>
      <c r="K1287" s="9" t="n">
        <v>197304</v>
      </c>
    </row>
    <row r="1288">
      <c r="A1288" s="9" t="inlineStr">
        <is>
          <t>0127_GDN_비듬샴푸_잠재고객</t>
        </is>
      </c>
      <c r="B1288" s="10" t="n">
        <v>44257</v>
      </c>
      <c r="C1288" s="9" t="inlineStr">
        <is>
          <t>화</t>
        </is>
      </c>
      <c r="D1288" s="9" t="inlineStr">
        <is>
          <t>GDN</t>
        </is>
      </c>
      <c r="E1288" s="9" t="inlineStr">
        <is>
          <t>샴푸</t>
        </is>
      </c>
      <c r="K1288" s="9" t="n">
        <v>95233</v>
      </c>
    </row>
    <row r="1289">
      <c r="A1289" s="9" t="inlineStr">
        <is>
          <t>0217_샴푸_비듬똥균_5차</t>
        </is>
      </c>
      <c r="B1289" s="10" t="n">
        <v>44257</v>
      </c>
      <c r="C1289" s="9" t="inlineStr">
        <is>
          <t>화</t>
        </is>
      </c>
      <c r="D1289" s="9" t="inlineStr">
        <is>
          <t>유튜브</t>
        </is>
      </c>
      <c r="E1289" s="9" t="inlineStr">
        <is>
          <t>샴푸</t>
        </is>
      </c>
      <c r="K1289" s="9" t="n">
        <v>2789876</v>
      </c>
    </row>
    <row r="1290">
      <c r="A1290" s="9" t="inlineStr">
        <is>
          <t>라베나 파워링크_샴푸_광고그룹#1</t>
        </is>
      </c>
      <c r="B1290" s="10" t="n">
        <v>44257</v>
      </c>
      <c r="C1290" s="9" t="inlineStr">
        <is>
          <t>화</t>
        </is>
      </c>
      <c r="D1290" s="9" t="inlineStr">
        <is>
          <t>네이버 검색</t>
        </is>
      </c>
      <c r="E1290" s="9" t="inlineStr">
        <is>
          <t>샴푸</t>
        </is>
      </c>
      <c r="K1290" s="9" t="n">
        <v>6569.999999999999</v>
      </c>
    </row>
    <row r="1291">
      <c r="A1291" s="9" t="inlineStr">
        <is>
          <t>라베나 파워링크_샴푸#1_유튜브키워드기반</t>
        </is>
      </c>
      <c r="B1291" s="10" t="n">
        <v>44257</v>
      </c>
      <c r="C1291" s="9" t="inlineStr">
        <is>
          <t>화</t>
        </is>
      </c>
      <c r="D1291" s="9" t="inlineStr">
        <is>
          <t>네이버 검색</t>
        </is>
      </c>
      <c r="E1291" s="9" t="inlineStr">
        <is>
          <t>샴푸</t>
        </is>
      </c>
      <c r="K1291" s="9" t="n">
        <v>75440</v>
      </c>
    </row>
    <row r="1292">
      <c r="A1292" s="9" t="inlineStr">
        <is>
          <t>샴푸_쇼핑검색#1_광고그룹#1</t>
        </is>
      </c>
      <c r="B1292" s="10" t="n">
        <v>44257</v>
      </c>
      <c r="C1292" s="9" t="inlineStr">
        <is>
          <t>화</t>
        </is>
      </c>
      <c r="D1292" s="9" t="inlineStr">
        <is>
          <t>네이버 검색</t>
        </is>
      </c>
      <c r="E1292" s="9" t="inlineStr">
        <is>
          <t>샴푸</t>
        </is>
      </c>
      <c r="K1292" s="9" t="n">
        <v>0</v>
      </c>
    </row>
    <row r="1293">
      <c r="A1293" s="9" t="inlineStr">
        <is>
          <t>파워컨텐츠#1_비듬샴푸</t>
        </is>
      </c>
      <c r="B1293" s="10" t="n">
        <v>44257</v>
      </c>
      <c r="C1293" s="9" t="inlineStr">
        <is>
          <t>화</t>
        </is>
      </c>
      <c r="D1293" s="9" t="inlineStr">
        <is>
          <t>네이버 검색</t>
        </is>
      </c>
      <c r="E1293" s="9" t="inlineStr">
        <is>
          <t>샴푸</t>
        </is>
      </c>
      <c r="K1293" s="9" t="n">
        <v>0</v>
      </c>
    </row>
    <row r="1294">
      <c r="B1294" s="10" t="n">
        <v>44257</v>
      </c>
      <c r="C1294" s="9" t="inlineStr">
        <is>
          <t>화</t>
        </is>
      </c>
      <c r="E1294" s="9" t="inlineStr">
        <is>
          <t>뉴트리셔스밤</t>
        </is>
      </c>
      <c r="F1294" s="9" t="inlineStr">
        <is>
          <t>카페24</t>
        </is>
      </c>
      <c r="G1294" s="9" t="inlineStr">
        <is>
          <t>라베나 리커버리 15 뉴트리셔스 밤 [HAIR RÉ:COVERY 15 Nutritious Balm]제품선택=헤어 리커버리 15 뉴트리셔스 밤</t>
        </is>
      </c>
      <c r="H1294" s="9" t="n">
        <v>8</v>
      </c>
      <c r="I1294" s="9" t="inlineStr">
        <is>
          <t>뉴트리셔스밤</t>
        </is>
      </c>
      <c r="J1294" s="9" t="inlineStr">
        <is>
          <t>210201</t>
        </is>
      </c>
      <c r="L1294" s="9" t="n">
        <v>199200</v>
      </c>
      <c r="M1294" s="9" t="n">
        <v>187546.8</v>
      </c>
      <c r="N1294" s="9" t="n">
        <v>12640</v>
      </c>
      <c r="O1294" s="9" t="inlineStr">
        <is>
          <t>카페24뉴트리셔스밤라베나 리커버리 15 뉴트리셔스 밤 [HAIR RÉ:COVERY 15 Nutritious Balm]제품선택=헤어 리커버리 15 뉴트리셔스 밤210201</t>
        </is>
      </c>
    </row>
    <row r="1295">
      <c r="B1295" s="10" t="n">
        <v>44257</v>
      </c>
      <c r="C1295" s="9" t="inlineStr">
        <is>
          <t>화</t>
        </is>
      </c>
      <c r="E1295" s="9" t="inlineStr">
        <is>
          <t>뉴트리셔스밤</t>
        </is>
      </c>
      <c r="F1295" s="9" t="inlineStr">
        <is>
          <t>카페24</t>
        </is>
      </c>
      <c r="G1295" s="9" t="inlineStr">
        <is>
          <t>라베나 리커버리 15 뉴트리셔스 밤 [HAIR RÉ:COVERY 15 Nutritious Balm]제품선택=뉴트리셔스 밤 2개 세트 5% 추가할인</t>
        </is>
      </c>
      <c r="H1295" s="9" t="n">
        <v>2</v>
      </c>
      <c r="I1295" s="9" t="inlineStr">
        <is>
          <t>뉴트리셔스밤 2set</t>
        </is>
      </c>
      <c r="J1295" s="9" t="inlineStr">
        <is>
          <t>210201</t>
        </is>
      </c>
      <c r="L1295" s="9" t="n">
        <v>94620</v>
      </c>
      <c r="M1295" s="9" t="n">
        <v>89084.73</v>
      </c>
      <c r="N1295" s="9" t="n">
        <v>6320</v>
      </c>
      <c r="O1295" s="9" t="inlineStr">
        <is>
          <t>카페24뉴트리셔스밤라베나 리커버리 15 뉴트리셔스 밤 [HAIR RÉ:COVERY 15 Nutritious Balm]제품선택=뉴트리셔스 밤 2개 세트 5% 추가할인210201</t>
        </is>
      </c>
    </row>
    <row r="1296">
      <c r="B1296" s="10" t="n">
        <v>44257</v>
      </c>
      <c r="C1296" s="9" t="inlineStr">
        <is>
          <t>화</t>
        </is>
      </c>
      <c r="E1296" s="9" t="inlineStr">
        <is>
          <t>샴푸</t>
        </is>
      </c>
      <c r="F1296" s="9" t="inlineStr">
        <is>
          <t>카페24</t>
        </is>
      </c>
      <c r="G1296" s="9" t="inlineStr">
        <is>
          <t>라베나 리커버리 15 리바이탈 바이오플라보노이드샴푸 [HAIR RÉ:COVERY 15 Revital Shampoo]제품선택=헤어 리커버리 15 리바이탈 샴푸 - 500ml</t>
        </is>
      </c>
      <c r="H1296" s="9" t="n">
        <v>258</v>
      </c>
      <c r="I1296" s="9" t="inlineStr">
        <is>
          <t>리바이탈 샴푸</t>
        </is>
      </c>
      <c r="J1296" s="9" t="inlineStr">
        <is>
          <t>210201</t>
        </is>
      </c>
      <c r="L1296" s="9" t="n">
        <v>6940200</v>
      </c>
      <c r="M1296" s="9" t="n">
        <v>6534198.3</v>
      </c>
      <c r="N1296" s="9" t="n">
        <v>739170</v>
      </c>
      <c r="O129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297">
      <c r="B1297" s="10" t="n">
        <v>44257</v>
      </c>
      <c r="C1297" s="9" t="inlineStr">
        <is>
          <t>화</t>
        </is>
      </c>
      <c r="E1297" s="9" t="inlineStr">
        <is>
          <t>샴푸</t>
        </is>
      </c>
      <c r="F1297" s="9" t="inlineStr">
        <is>
          <t>카페24</t>
        </is>
      </c>
      <c r="G1297" s="9" t="inlineStr">
        <is>
          <t>라베나 리커버리 15 리바이탈 바이오플라보노이드샴푸 [HAIR RÉ:COVERY 15 Revital Shampoo]제품선택=리바이탈 샴푸 2개 세트 5%추가할인</t>
        </is>
      </c>
      <c r="H1297" s="9" t="n">
        <v>80</v>
      </c>
      <c r="I1297" s="9" t="inlineStr">
        <is>
          <t>리바이탈 샴푸 2set</t>
        </is>
      </c>
      <c r="J1297" s="9" t="inlineStr">
        <is>
          <t>210201</t>
        </is>
      </c>
      <c r="L1297" s="9" t="n">
        <v>4088800</v>
      </c>
      <c r="M1297" s="9" t="n">
        <v>3849605.2</v>
      </c>
      <c r="N1297" s="9" t="n">
        <v>458400</v>
      </c>
      <c r="O129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298">
      <c r="B1298" s="10" t="n">
        <v>44257</v>
      </c>
      <c r="C1298" s="9" t="inlineStr">
        <is>
          <t>화</t>
        </is>
      </c>
      <c r="E1298" s="9" t="inlineStr">
        <is>
          <t>샴푸</t>
        </is>
      </c>
      <c r="F1298" s="9" t="inlineStr">
        <is>
          <t>카페24</t>
        </is>
      </c>
      <c r="G1298" s="9" t="inlineStr">
        <is>
          <t>라베나 리커버리 15 리바이탈 바이오플라보노이드샴푸 [HAIR RÉ:COVERY 15 Revital Shampoo]제품선택=리바이탈 샴푸 3개 세트 10% 추가할인</t>
        </is>
      </c>
      <c r="H1298" s="9" t="n">
        <v>27</v>
      </c>
      <c r="I1298" s="9" t="inlineStr">
        <is>
          <t>리바이탈 샴푸 3set</t>
        </is>
      </c>
      <c r="J1298" s="9" t="inlineStr">
        <is>
          <t>210201</t>
        </is>
      </c>
      <c r="L1298" s="9" t="n">
        <v>1961010</v>
      </c>
      <c r="M1298" s="9" t="n">
        <v>1846290.915</v>
      </c>
      <c r="N1298" s="9" t="n">
        <v>232065</v>
      </c>
      <c r="O129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299">
      <c r="B1299" s="10" t="n">
        <v>44257</v>
      </c>
      <c r="C1299" s="9" t="inlineStr">
        <is>
          <t>화</t>
        </is>
      </c>
      <c r="E1299" s="9" t="inlineStr">
        <is>
          <t>트리트먼트</t>
        </is>
      </c>
      <c r="F1299" s="9" t="inlineStr">
        <is>
          <t>카페24</t>
        </is>
      </c>
      <c r="G1299" s="9" t="inlineStr">
        <is>
          <t>라베나 리커버리 15 헤어팩 트리트먼트 [HAIR RÉ:COVERY 15 Hairpack Treatment]제품선택=헤어 리커버리 15 헤어팩 트리트먼트</t>
        </is>
      </c>
      <c r="H1299" s="9" t="n">
        <v>14</v>
      </c>
      <c r="I1299" s="9" t="inlineStr">
        <is>
          <t>트리트먼트</t>
        </is>
      </c>
      <c r="J1299" s="9" t="inlineStr">
        <is>
          <t>210201</t>
        </is>
      </c>
      <c r="L1299" s="9" t="n">
        <v>364000</v>
      </c>
      <c r="M1299" s="9" t="n">
        <v>342706</v>
      </c>
      <c r="N1299" s="9" t="n">
        <v>22358</v>
      </c>
      <c r="O129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300">
      <c r="B1300" s="10" t="n">
        <v>44257</v>
      </c>
      <c r="C1300" s="9" t="inlineStr">
        <is>
          <t>화</t>
        </is>
      </c>
      <c r="E1300" s="9" t="inlineStr">
        <is>
          <t>트리트먼트</t>
        </is>
      </c>
      <c r="F1300" s="9" t="inlineStr">
        <is>
          <t>카페24</t>
        </is>
      </c>
      <c r="G1300" s="9" t="inlineStr">
        <is>
          <t>라베나 리커버리 15 헤어팩 트리트먼트 [HAIR RÉ:COVERY 15 Hairpack Treatment]제품선택=헤어팩 트리트먼트 2개 세트 5% 추가할인</t>
        </is>
      </c>
      <c r="H1300" s="9" t="n">
        <v>5</v>
      </c>
      <c r="I1300" s="9" t="inlineStr">
        <is>
          <t>트리트먼트 2set</t>
        </is>
      </c>
      <c r="J1300" s="9" t="inlineStr">
        <is>
          <t>210201</t>
        </is>
      </c>
      <c r="L1300" s="9" t="n">
        <v>247000</v>
      </c>
      <c r="M1300" s="9" t="n">
        <v>232550.5</v>
      </c>
      <c r="N1300" s="9" t="n">
        <v>15970</v>
      </c>
      <c r="O1300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301">
      <c r="A1301" s="9" t="inlineStr">
        <is>
          <t>0224_샴푸-비듬똥균_카드뉴스_임시</t>
        </is>
      </c>
      <c r="B1301" s="10" t="n">
        <v>44258</v>
      </c>
      <c r="C1301" s="9" t="inlineStr">
        <is>
          <t>수</t>
        </is>
      </c>
      <c r="D1301" s="9" t="inlineStr">
        <is>
          <t>페이스북</t>
        </is>
      </c>
      <c r="E1301" s="9" t="inlineStr">
        <is>
          <t>샴푸</t>
        </is>
      </c>
      <c r="K1301" s="9" t="n">
        <v>504547</v>
      </c>
    </row>
    <row r="1302">
      <c r="A1302" s="9" t="inlineStr">
        <is>
          <t>현빈임시테스트</t>
        </is>
      </c>
      <c r="B1302" s="10" t="n">
        <v>44258</v>
      </c>
      <c r="C1302" s="9" t="inlineStr">
        <is>
          <t>수</t>
        </is>
      </c>
      <c r="D1302" s="9" t="inlineStr">
        <is>
          <t>페이스북</t>
        </is>
      </c>
      <c r="E1302" s="9" t="inlineStr">
        <is>
          <t>샴푸</t>
        </is>
      </c>
      <c r="K1302" s="9" t="n">
        <v>50141</v>
      </c>
    </row>
    <row r="1303">
      <c r="A1303" s="9" t="inlineStr">
        <is>
          <t>1201~단장키워드테스트</t>
        </is>
      </c>
      <c r="B1303" s="10" t="n">
        <v>44258</v>
      </c>
      <c r="C1303" s="9" t="inlineStr">
        <is>
          <t>수</t>
        </is>
      </c>
      <c r="D1303" s="9" t="inlineStr">
        <is>
          <t>페이스북</t>
        </is>
      </c>
      <c r="E1303" s="9" t="inlineStr">
        <is>
          <t>샴푸</t>
        </is>
      </c>
      <c r="K1303" s="9" t="n">
        <v>50415</v>
      </c>
    </row>
    <row r="1304">
      <c r="A1304" s="9" t="inlineStr">
        <is>
          <t>11/13 키워드 탐색</t>
        </is>
      </c>
      <c r="B1304" s="10" t="n">
        <v>44258</v>
      </c>
      <c r="C1304" s="9" t="inlineStr">
        <is>
          <t>수</t>
        </is>
      </c>
      <c r="D1304" s="9" t="inlineStr">
        <is>
          <t>페이스북</t>
        </is>
      </c>
      <c r="E1304" s="9" t="inlineStr">
        <is>
          <t>샴푸</t>
        </is>
      </c>
      <c r="K1304" s="9" t="n">
        <v>50195</v>
      </c>
    </row>
    <row r="1305">
      <c r="A1305" s="9" t="inlineStr">
        <is>
          <t>0118_샴푸_비듬똥균_4차</t>
        </is>
      </c>
      <c r="B1305" s="10" t="n">
        <v>44258</v>
      </c>
      <c r="C1305" s="9" t="inlineStr">
        <is>
          <t>수</t>
        </is>
      </c>
      <c r="D1305" s="9" t="inlineStr">
        <is>
          <t>유튜브</t>
        </is>
      </c>
      <c r="E1305" s="9" t="inlineStr">
        <is>
          <t>샴푸</t>
        </is>
      </c>
      <c r="K1305" s="9" t="n">
        <v>57634</v>
      </c>
    </row>
    <row r="1306">
      <c r="A1306" s="9" t="inlineStr">
        <is>
          <t>0127_GDN_비듬샴푸_잠재고객</t>
        </is>
      </c>
      <c r="B1306" s="10" t="n">
        <v>44258</v>
      </c>
      <c r="C1306" s="9" t="inlineStr">
        <is>
          <t>수</t>
        </is>
      </c>
      <c r="D1306" s="9" t="inlineStr">
        <is>
          <t>GDN</t>
        </is>
      </c>
      <c r="E1306" s="9" t="inlineStr">
        <is>
          <t>샴푸</t>
        </is>
      </c>
      <c r="K1306" s="9" t="n">
        <v>80642</v>
      </c>
    </row>
    <row r="1307">
      <c r="A1307" s="9" t="inlineStr">
        <is>
          <t>0217_샴푸_비듬똥균_5차</t>
        </is>
      </c>
      <c r="B1307" s="10" t="n">
        <v>44258</v>
      </c>
      <c r="C1307" s="9" t="inlineStr">
        <is>
          <t>수</t>
        </is>
      </c>
      <c r="D1307" s="9" t="inlineStr">
        <is>
          <t>유튜브</t>
        </is>
      </c>
      <c r="E1307" s="9" t="inlineStr">
        <is>
          <t>샴푸</t>
        </is>
      </c>
      <c r="K1307" s="9" t="n">
        <v>3905237</v>
      </c>
    </row>
    <row r="1308">
      <c r="A1308" s="9" t="inlineStr">
        <is>
          <t>0303_샴푸_검색광고</t>
        </is>
      </c>
      <c r="B1308" s="10" t="n">
        <v>44258</v>
      </c>
      <c r="C1308" s="9" t="inlineStr">
        <is>
          <t>수</t>
        </is>
      </c>
      <c r="D1308" s="9">
        <f>VLOOKUP($A1308,매칭테이블!$B$123:$D$1048576,2,0)</f>
        <v/>
      </c>
      <c r="E1308" s="9">
        <f>VLOOKUP($A1308,매칭테이블!$B$123:$D$1048576,3,0)</f>
        <v/>
      </c>
      <c r="K1308" s="9" t="n">
        <v>10136</v>
      </c>
    </row>
    <row r="1309">
      <c r="A1309" s="9" t="inlineStr">
        <is>
          <t>0303_샴푸_인스트림_동영상전환수</t>
        </is>
      </c>
      <c r="B1309" s="10" t="n">
        <v>44258</v>
      </c>
      <c r="C1309" s="9" t="inlineStr">
        <is>
          <t>수</t>
        </is>
      </c>
      <c r="D1309" s="9">
        <f>VLOOKUP($A1309,매칭테이블!$B$123:$D$1048576,2,0)</f>
        <v/>
      </c>
      <c r="E1309" s="9">
        <f>VLOOKUP($A1309,매칭테이블!$B$123:$D$1048576,3,0)</f>
        <v/>
      </c>
      <c r="K1309" s="9" t="n">
        <v>100846</v>
      </c>
    </row>
    <row r="1310">
      <c r="A1310" s="9" t="inlineStr">
        <is>
          <t>라베나 파워링크_샴푸_광고그룹#1</t>
        </is>
      </c>
      <c r="B1310" s="10" t="n">
        <v>44258</v>
      </c>
      <c r="C1310" s="9" t="inlineStr">
        <is>
          <t>수</t>
        </is>
      </c>
      <c r="D1310" s="9" t="inlineStr">
        <is>
          <t>네이버 검색</t>
        </is>
      </c>
      <c r="E1310" s="9" t="inlineStr">
        <is>
          <t>샴푸</t>
        </is>
      </c>
      <c r="K1310" s="9" t="n">
        <v>5050</v>
      </c>
    </row>
    <row r="1311">
      <c r="A1311" s="9" t="inlineStr">
        <is>
          <t>라베나 파워링크_샴푸#1_유튜브키워드기반</t>
        </is>
      </c>
      <c r="B1311" s="10" t="n">
        <v>44258</v>
      </c>
      <c r="C1311" s="9" t="inlineStr">
        <is>
          <t>수</t>
        </is>
      </c>
      <c r="D1311" s="9" t="inlineStr">
        <is>
          <t>네이버 검색</t>
        </is>
      </c>
      <c r="E1311" s="9" t="inlineStr">
        <is>
          <t>샴푸</t>
        </is>
      </c>
      <c r="K1311" s="9" t="n">
        <v>55849.99999999999</v>
      </c>
    </row>
    <row r="1312">
      <c r="A1312" s="9" t="inlineStr">
        <is>
          <t>샴푸_쇼핑검색#1_광고그룹#1</t>
        </is>
      </c>
      <c r="B1312" s="10" t="n">
        <v>44258</v>
      </c>
      <c r="C1312" s="9" t="inlineStr">
        <is>
          <t>수</t>
        </is>
      </c>
      <c r="D1312" s="9" t="inlineStr">
        <is>
          <t>네이버 검색</t>
        </is>
      </c>
      <c r="E1312" s="9" t="inlineStr">
        <is>
          <t>샴푸</t>
        </is>
      </c>
      <c r="K1312" s="9" t="n">
        <v>580</v>
      </c>
    </row>
    <row r="1313">
      <c r="A1313" s="9" t="inlineStr">
        <is>
          <t>파워컨텐츠#1_비듬샴푸</t>
        </is>
      </c>
      <c r="B1313" s="10" t="n">
        <v>44258</v>
      </c>
      <c r="C1313" s="9" t="inlineStr">
        <is>
          <t>수</t>
        </is>
      </c>
      <c r="D1313" s="9" t="inlineStr">
        <is>
          <t>네이버 검색</t>
        </is>
      </c>
      <c r="E1313" s="9" t="inlineStr">
        <is>
          <t>샴푸</t>
        </is>
      </c>
      <c r="K1313" s="9" t="n">
        <v>0</v>
      </c>
    </row>
    <row r="1314">
      <c r="B1314" s="10" t="n">
        <v>44258</v>
      </c>
      <c r="C1314" s="9" t="inlineStr">
        <is>
          <t>수</t>
        </is>
      </c>
      <c r="E1314" s="9" t="inlineStr">
        <is>
          <t>뉴트리셔스밤</t>
        </is>
      </c>
      <c r="F1314" s="9" t="inlineStr">
        <is>
          <t>카페24</t>
        </is>
      </c>
      <c r="G1314" s="9" t="inlineStr">
        <is>
          <t>라베나 리커버리 15 뉴트리셔스 밤 [HAIR RÉ:COVERY 15 Nutritious Balm]제품선택=헤어 리커버리 15 뉴트리셔스 밤</t>
        </is>
      </c>
      <c r="H1314" s="9" t="n">
        <v>5</v>
      </c>
      <c r="I1314" s="9" t="inlineStr">
        <is>
          <t>뉴트리셔스밤</t>
        </is>
      </c>
      <c r="J1314" s="9" t="inlineStr">
        <is>
          <t>210201</t>
        </is>
      </c>
      <c r="L1314" s="9" t="n">
        <v>124500</v>
      </c>
      <c r="M1314" s="9" t="n">
        <v>117216.75</v>
      </c>
      <c r="N1314" s="9" t="n">
        <v>7900</v>
      </c>
      <c r="O1314" s="9" t="inlineStr">
        <is>
          <t>카페24뉴트리셔스밤라베나 리커버리 15 뉴트리셔스 밤 [HAIR RÉ:COVERY 15 Nutritious Balm]제품선택=헤어 리커버리 15 뉴트리셔스 밤210201</t>
        </is>
      </c>
    </row>
    <row r="1315">
      <c r="B1315" s="10" t="n">
        <v>44258</v>
      </c>
      <c r="C1315" s="9" t="inlineStr">
        <is>
          <t>수</t>
        </is>
      </c>
      <c r="E1315" s="9" t="inlineStr">
        <is>
          <t>뉴트리셔스밤</t>
        </is>
      </c>
      <c r="F1315" s="9" t="inlineStr">
        <is>
          <t>카페24</t>
        </is>
      </c>
      <c r="G1315" s="9" t="inlineStr">
        <is>
          <t>라베나 리커버리 15 뉴트리셔스 밤 [HAIR RÉ:COVERY 15 Nutritious Balm]제품선택=뉴트리셔스 밤 2개 세트 5% 추가할인</t>
        </is>
      </c>
      <c r="H1315" s="9" t="n">
        <v>1</v>
      </c>
      <c r="I1315" s="9" t="inlineStr">
        <is>
          <t>뉴트리셔스밤 2set</t>
        </is>
      </c>
      <c r="J1315" s="9" t="inlineStr">
        <is>
          <t>210201</t>
        </is>
      </c>
      <c r="L1315" s="9" t="n">
        <v>47310</v>
      </c>
      <c r="M1315" s="9" t="n">
        <v>44542.365</v>
      </c>
      <c r="N1315" s="9" t="n">
        <v>3160</v>
      </c>
      <c r="O1315" s="9" t="inlineStr">
        <is>
          <t>카페24뉴트리셔스밤라베나 리커버리 15 뉴트리셔스 밤 [HAIR RÉ:COVERY 15 Nutritious Balm]제품선택=뉴트리셔스 밤 2개 세트 5% 추가할인210201</t>
        </is>
      </c>
    </row>
    <row r="1316">
      <c r="B1316" s="10" t="n">
        <v>44258</v>
      </c>
      <c r="C1316" s="9" t="inlineStr">
        <is>
          <t>수</t>
        </is>
      </c>
      <c r="E1316" s="9" t="inlineStr">
        <is>
          <t>뉴트리셔스밤</t>
        </is>
      </c>
      <c r="F1316" s="9" t="inlineStr">
        <is>
          <t>카페24</t>
        </is>
      </c>
      <c r="G1316" s="9" t="inlineStr">
        <is>
          <t>라베나 리커버리 15 뉴트리셔스 밤 [HAIR RÉ:COVERY 15 Nutritious Balm]제품선택=뉴트리셔스밤 1개 + 헤어팩 트리트먼트 1개 세트 5%추가할인</t>
        </is>
      </c>
      <c r="H1316" s="9" t="n">
        <v>1</v>
      </c>
      <c r="I1316" s="9" t="inlineStr">
        <is>
          <t>트리트먼트+뉴트리셔스밤</t>
        </is>
      </c>
      <c r="J1316" s="9" t="inlineStr">
        <is>
          <t>210201</t>
        </is>
      </c>
      <c r="L1316" s="9" t="n">
        <v>48355</v>
      </c>
      <c r="M1316" s="9" t="n">
        <v>45526.2325</v>
      </c>
      <c r="N1316" s="9" t="n">
        <v>3177</v>
      </c>
      <c r="O1316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317">
      <c r="B1317" s="10" t="n">
        <v>44258</v>
      </c>
      <c r="C1317" s="9" t="inlineStr">
        <is>
          <t>수</t>
        </is>
      </c>
      <c r="E1317" s="9" t="inlineStr">
        <is>
          <t>샴푸</t>
        </is>
      </c>
      <c r="F1317" s="9" t="inlineStr">
        <is>
          <t>카페24</t>
        </is>
      </c>
      <c r="G1317" s="9" t="inlineStr">
        <is>
          <t>라베나 리커버리 15 리바이탈 바이오플라보노이드샴푸 [HAIR RÉ:COVERY 15 Revital Shampoo]제품선택=헤어 리커버리 15 리바이탈 샴푸 - 500ml</t>
        </is>
      </c>
      <c r="H1317" s="9" t="n">
        <v>190</v>
      </c>
      <c r="I1317" s="9" t="inlineStr">
        <is>
          <t>리바이탈 샴푸</t>
        </is>
      </c>
      <c r="J1317" s="9" t="inlineStr">
        <is>
          <t>210201</t>
        </is>
      </c>
      <c r="L1317" s="9" t="n">
        <v>5111000</v>
      </c>
      <c r="M1317" s="9" t="n">
        <v>4812006.5</v>
      </c>
      <c r="N1317" s="9" t="n">
        <v>544350</v>
      </c>
      <c r="O131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318">
      <c r="B1318" s="10" t="n">
        <v>44258</v>
      </c>
      <c r="C1318" s="9" t="inlineStr">
        <is>
          <t>수</t>
        </is>
      </c>
      <c r="E1318" s="9" t="inlineStr">
        <is>
          <t>샴푸</t>
        </is>
      </c>
      <c r="F1318" s="9" t="inlineStr">
        <is>
          <t>카페24</t>
        </is>
      </c>
      <c r="G1318" s="9" t="inlineStr">
        <is>
          <t>라베나 리커버리 15 리바이탈 바이오플라보노이드샴푸 [HAIR RÉ:COVERY 15 Revital Shampoo]제품선택=리바이탈 샴푸 2개 세트 5%추가할인</t>
        </is>
      </c>
      <c r="H1318" s="9" t="n">
        <v>45</v>
      </c>
      <c r="I1318" s="9" t="inlineStr">
        <is>
          <t>리바이탈 샴푸 2set</t>
        </is>
      </c>
      <c r="J1318" s="9" t="inlineStr">
        <is>
          <t>210201</t>
        </is>
      </c>
      <c r="L1318" s="9" t="n">
        <v>2299950</v>
      </c>
      <c r="M1318" s="9" t="n">
        <v>2165402.925</v>
      </c>
      <c r="N1318" s="9" t="n">
        <v>257850</v>
      </c>
      <c r="O131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319">
      <c r="B1319" s="10" t="n">
        <v>44258</v>
      </c>
      <c r="C1319" s="9" t="inlineStr">
        <is>
          <t>수</t>
        </is>
      </c>
      <c r="E1319" s="9" t="inlineStr">
        <is>
          <t>샴푸</t>
        </is>
      </c>
      <c r="F1319" s="9" t="inlineStr">
        <is>
          <t>카페24</t>
        </is>
      </c>
      <c r="G1319" s="9" t="inlineStr">
        <is>
          <t>라베나 리커버리 15 리바이탈 바이오플라보노이드샴푸 [HAIR RÉ:COVERY 15 Revital Shampoo]제품선택=리바이탈 샴푸 3개 세트 10% 추가할인</t>
        </is>
      </c>
      <c r="H1319" s="9" t="n">
        <v>19</v>
      </c>
      <c r="I1319" s="9" t="inlineStr">
        <is>
          <t>리바이탈 샴푸 3set</t>
        </is>
      </c>
      <c r="J1319" s="9" t="inlineStr">
        <is>
          <t>210201</t>
        </is>
      </c>
      <c r="L1319" s="9" t="n">
        <v>1379970</v>
      </c>
      <c r="M1319" s="9" t="n">
        <v>1299241.755</v>
      </c>
      <c r="N1319" s="9" t="n">
        <v>163305</v>
      </c>
      <c r="O131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320">
      <c r="B1320" s="10" t="n">
        <v>44258</v>
      </c>
      <c r="C1320" s="9" t="inlineStr">
        <is>
          <t>수</t>
        </is>
      </c>
      <c r="E1320" s="9" t="inlineStr">
        <is>
          <t>트리트먼트</t>
        </is>
      </c>
      <c r="F1320" s="9" t="inlineStr">
        <is>
          <t>카페24</t>
        </is>
      </c>
      <c r="G1320" s="9" t="inlineStr">
        <is>
          <t>라베나 리커버리 15 헤어팩 트리트먼트 [HAIR RÉ:COVERY 15 Hairpack Treatment]제품선택=헤어 리커버리 15 헤어팩 트리트먼트</t>
        </is>
      </c>
      <c r="H1320" s="9" t="n">
        <v>10</v>
      </c>
      <c r="I1320" s="9" t="inlineStr">
        <is>
          <t>트리트먼트</t>
        </is>
      </c>
      <c r="J1320" s="9" t="inlineStr">
        <is>
          <t>210201</t>
        </is>
      </c>
      <c r="L1320" s="9" t="n">
        <v>260000</v>
      </c>
      <c r="M1320" s="9" t="n">
        <v>244790</v>
      </c>
      <c r="N1320" s="9" t="n">
        <v>15970</v>
      </c>
      <c r="O1320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321">
      <c r="B1321" s="10" t="n">
        <v>44258</v>
      </c>
      <c r="C1321" s="9" t="inlineStr">
        <is>
          <t>수</t>
        </is>
      </c>
      <c r="E1321" s="9" t="inlineStr">
        <is>
          <t>트리트먼트</t>
        </is>
      </c>
      <c r="F1321" s="9" t="inlineStr">
        <is>
          <t>카페24</t>
        </is>
      </c>
      <c r="G1321" s="9" t="inlineStr">
        <is>
          <t>라베나 리커버리 15 헤어팩 트리트먼트 [HAIR RÉ:COVERY 15 Hairpack Treatment]제품선택=헤어팩 트리트먼트 2개 세트 5% 추가할인</t>
        </is>
      </c>
      <c r="H1321" s="9" t="n">
        <v>2</v>
      </c>
      <c r="I1321" s="9" t="inlineStr">
        <is>
          <t>트리트먼트 2set</t>
        </is>
      </c>
      <c r="J1321" s="9" t="inlineStr">
        <is>
          <t>210201</t>
        </is>
      </c>
      <c r="L1321" s="9" t="n">
        <v>98800</v>
      </c>
      <c r="M1321" s="9" t="n">
        <v>93020.2</v>
      </c>
      <c r="N1321" s="9" t="n">
        <v>6388</v>
      </c>
      <c r="O1321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322">
      <c r="A1322" s="9" t="inlineStr">
        <is>
          <t>0302_샴푸_40대단발_시즌2</t>
        </is>
      </c>
      <c r="B1322" s="10" t="n">
        <v>44258</v>
      </c>
      <c r="C1322" s="9" t="inlineStr">
        <is>
          <t>수</t>
        </is>
      </c>
      <c r="D1322" s="9">
        <f>VLOOKUP($A1322,매칭테이블!$B$123:$D$1048576,2,0)</f>
        <v/>
      </c>
      <c r="E1322" s="9">
        <f>VLOOKUP($A1322,매칭테이블!$B$123:$D$1048576,3,0)</f>
        <v/>
      </c>
      <c r="K1322" s="9" t="n">
        <v>11788.18181818182</v>
      </c>
    </row>
    <row r="1323">
      <c r="A1323" s="9" t="inlineStr">
        <is>
          <t>0224_샴푸-비듬똥균_카드뉴스_임시</t>
        </is>
      </c>
      <c r="B1323" s="10" t="n">
        <v>44259</v>
      </c>
      <c r="C1323" s="9" t="inlineStr">
        <is>
          <t>목</t>
        </is>
      </c>
      <c r="D1323" s="9" t="inlineStr">
        <is>
          <t>페이스북</t>
        </is>
      </c>
      <c r="E1323" s="9" t="inlineStr">
        <is>
          <t>샴푸</t>
        </is>
      </c>
      <c r="K1323" s="9" t="n">
        <v>506442</v>
      </c>
    </row>
    <row r="1324">
      <c r="A1324" s="9" t="inlineStr">
        <is>
          <t>현빈임시테스트</t>
        </is>
      </c>
      <c r="B1324" s="10" t="n">
        <v>44259</v>
      </c>
      <c r="C1324" s="9" t="inlineStr">
        <is>
          <t>목</t>
        </is>
      </c>
      <c r="D1324" s="9" t="inlineStr">
        <is>
          <t>페이스북</t>
        </is>
      </c>
      <c r="E1324" s="9" t="inlineStr">
        <is>
          <t>샴푸</t>
        </is>
      </c>
      <c r="K1324" s="9" t="n">
        <v>48899</v>
      </c>
    </row>
    <row r="1325">
      <c r="A1325" s="9" t="inlineStr">
        <is>
          <t>1201~단장키워드테스트</t>
        </is>
      </c>
      <c r="B1325" s="10" t="n">
        <v>44259</v>
      </c>
      <c r="C1325" s="9" t="inlineStr">
        <is>
          <t>목</t>
        </is>
      </c>
      <c r="D1325" s="9" t="inlineStr">
        <is>
          <t>페이스북</t>
        </is>
      </c>
      <c r="E1325" s="9" t="inlineStr">
        <is>
          <t>샴푸</t>
        </is>
      </c>
      <c r="K1325" s="9" t="n">
        <v>48593</v>
      </c>
    </row>
    <row r="1326">
      <c r="A1326" s="9" t="inlineStr">
        <is>
          <t>11/13 키워드 탐색</t>
        </is>
      </c>
      <c r="B1326" s="10" t="n">
        <v>44259</v>
      </c>
      <c r="C1326" s="9" t="inlineStr">
        <is>
          <t>목</t>
        </is>
      </c>
      <c r="D1326" s="9" t="inlineStr">
        <is>
          <t>페이스북</t>
        </is>
      </c>
      <c r="E1326" s="9" t="inlineStr">
        <is>
          <t>샴푸</t>
        </is>
      </c>
      <c r="K1326" s="9" t="n">
        <v>50298</v>
      </c>
    </row>
    <row r="1327">
      <c r="A1327" s="9" t="inlineStr">
        <is>
          <t>0118_샴푸_비듬똥균_4차</t>
        </is>
      </c>
      <c r="B1327" s="10" t="n">
        <v>44259</v>
      </c>
      <c r="C1327" s="9" t="inlineStr">
        <is>
          <t>목</t>
        </is>
      </c>
      <c r="D1327" s="9" t="inlineStr">
        <is>
          <t>유튜브</t>
        </is>
      </c>
      <c r="E1327" s="9" t="inlineStr">
        <is>
          <t>샴푸</t>
        </is>
      </c>
      <c r="K1327" s="9" t="n">
        <v>50316</v>
      </c>
    </row>
    <row r="1328">
      <c r="A1328" s="9" t="inlineStr">
        <is>
          <t>0127_GDN_비듬샴푸_잠재고객</t>
        </is>
      </c>
      <c r="B1328" s="10" t="n">
        <v>44259</v>
      </c>
      <c r="C1328" s="9" t="inlineStr">
        <is>
          <t>목</t>
        </is>
      </c>
      <c r="D1328" s="9" t="inlineStr">
        <is>
          <t>GDN</t>
        </is>
      </c>
      <c r="E1328" s="9" t="inlineStr">
        <is>
          <t>샴푸</t>
        </is>
      </c>
      <c r="K1328" s="9" t="n">
        <v>125161</v>
      </c>
    </row>
    <row r="1329">
      <c r="A1329" s="9" t="inlineStr">
        <is>
          <t>0217_샴푸_비듬똥균_5차</t>
        </is>
      </c>
      <c r="B1329" s="10" t="n">
        <v>44259</v>
      </c>
      <c r="C1329" s="9" t="inlineStr">
        <is>
          <t>목</t>
        </is>
      </c>
      <c r="D1329" s="9" t="inlineStr">
        <is>
          <t>유튜브</t>
        </is>
      </c>
      <c r="E1329" s="9" t="inlineStr">
        <is>
          <t>샴푸</t>
        </is>
      </c>
      <c r="K1329" s="9" t="n">
        <v>917176</v>
      </c>
    </row>
    <row r="1330">
      <c r="A1330" s="9" t="inlineStr">
        <is>
          <t>0303_샴푸_검색광고</t>
        </is>
      </c>
      <c r="B1330" s="10" t="n">
        <v>44259</v>
      </c>
      <c r="C1330" s="9" t="inlineStr">
        <is>
          <t>목</t>
        </is>
      </c>
      <c r="D1330" s="9">
        <f>VLOOKUP($A1330,매칭테이블!$B$123:$D$1048576,2,0)</f>
        <v/>
      </c>
      <c r="E1330" s="9">
        <f>VLOOKUP($A1330,매칭테이블!$B$123:$D$1048576,3,0)</f>
        <v/>
      </c>
      <c r="K1330" s="9" t="n">
        <v>30681</v>
      </c>
    </row>
    <row r="1331">
      <c r="A1331" s="9" t="inlineStr">
        <is>
          <t>0303_샴푸_인스트림_동영상전환수</t>
        </is>
      </c>
      <c r="B1331" s="10" t="n">
        <v>44259</v>
      </c>
      <c r="C1331" s="9" t="inlineStr">
        <is>
          <t>목</t>
        </is>
      </c>
      <c r="D1331" s="9">
        <f>VLOOKUP($A1331,매칭테이블!$B$123:$D$1048576,2,0)</f>
        <v/>
      </c>
      <c r="E1331" s="9">
        <f>VLOOKUP($A1331,매칭테이블!$B$123:$D$1048576,3,0)</f>
        <v/>
      </c>
      <c r="K1331" s="9" t="n">
        <v>713741</v>
      </c>
    </row>
    <row r="1332">
      <c r="A1332" s="9" t="inlineStr">
        <is>
          <t>0304_샴푸_VAC</t>
        </is>
      </c>
      <c r="B1332" s="10" t="n">
        <v>44259</v>
      </c>
      <c r="C1332" s="9" t="inlineStr">
        <is>
          <t>목</t>
        </is>
      </c>
      <c r="D1332" s="9">
        <f>VLOOKUP($A1332,매칭테이블!$B$123:$D$1048576,2,0)</f>
        <v/>
      </c>
      <c r="E1332" s="9">
        <f>VLOOKUP($A1332,매칭테이블!$B$123:$D$1048576,3,0)</f>
        <v/>
      </c>
      <c r="K1332" s="9" t="n">
        <v>332671</v>
      </c>
    </row>
    <row r="1333">
      <c r="A1333" s="9" t="inlineStr">
        <is>
          <t>라베나 파워링크_샴푸_광고그룹#1</t>
        </is>
      </c>
      <c r="B1333" s="10" t="n">
        <v>44259</v>
      </c>
      <c r="C1333" s="9" t="inlineStr">
        <is>
          <t>목</t>
        </is>
      </c>
      <c r="D1333" s="9" t="inlineStr">
        <is>
          <t>네이버 검색</t>
        </is>
      </c>
      <c r="E1333" s="9" t="inlineStr">
        <is>
          <t>샴푸</t>
        </is>
      </c>
      <c r="K1333" s="9" t="n">
        <v>3300</v>
      </c>
    </row>
    <row r="1334">
      <c r="A1334" s="9" t="inlineStr">
        <is>
          <t>라베나 파워링크_샴푸#1_유튜브키워드기반</t>
        </is>
      </c>
      <c r="B1334" s="10" t="n">
        <v>44259</v>
      </c>
      <c r="C1334" s="9" t="inlineStr">
        <is>
          <t>목</t>
        </is>
      </c>
      <c r="D1334" s="9" t="inlineStr">
        <is>
          <t>네이버 검색</t>
        </is>
      </c>
      <c r="E1334" s="9" t="inlineStr">
        <is>
          <t>샴푸</t>
        </is>
      </c>
      <c r="K1334" s="9" t="n">
        <v>38460</v>
      </c>
    </row>
    <row r="1335">
      <c r="A1335" s="9" t="inlineStr">
        <is>
          <t>샴푸_쇼핑검색#1_광고그룹#1</t>
        </is>
      </c>
      <c r="B1335" s="10" t="n">
        <v>44259</v>
      </c>
      <c r="C1335" s="9" t="inlineStr">
        <is>
          <t>목</t>
        </is>
      </c>
      <c r="D1335" s="9" t="inlineStr">
        <is>
          <t>네이버 검색</t>
        </is>
      </c>
      <c r="E1335" s="9" t="inlineStr">
        <is>
          <t>샴푸</t>
        </is>
      </c>
      <c r="K1335" s="9" t="n">
        <v>0</v>
      </c>
    </row>
    <row r="1336">
      <c r="A1336" s="9" t="inlineStr">
        <is>
          <t>파워컨텐츠#1_비듬샴푸</t>
        </is>
      </c>
      <c r="B1336" s="10" t="n">
        <v>44259</v>
      </c>
      <c r="C1336" s="9" t="inlineStr">
        <is>
          <t>목</t>
        </is>
      </c>
      <c r="D1336" s="9" t="inlineStr">
        <is>
          <t>네이버 검색</t>
        </is>
      </c>
      <c r="E1336" s="9" t="inlineStr">
        <is>
          <t>샴푸</t>
        </is>
      </c>
      <c r="K1336" s="9" t="n">
        <v>70</v>
      </c>
    </row>
    <row r="1337">
      <c r="B1337" s="10" t="n">
        <v>44259</v>
      </c>
      <c r="C1337" s="9" t="inlineStr">
        <is>
          <t>목</t>
        </is>
      </c>
      <c r="E1337" s="9" t="inlineStr">
        <is>
          <t>뉴트리셔스밤</t>
        </is>
      </c>
      <c r="F1337" s="9" t="inlineStr">
        <is>
          <t>카페24</t>
        </is>
      </c>
      <c r="G1337" s="9" t="inlineStr">
        <is>
          <t>라베나 리커버리 15 뉴트리셔스 밤 [HAIR RÉ:COVERY 15 Nutritious Balm]제품선택=헤어 리커버리 15 뉴트리셔스 밤</t>
        </is>
      </c>
      <c r="H1337" s="9" t="n">
        <v>8</v>
      </c>
      <c r="I1337" s="9" t="inlineStr">
        <is>
          <t>뉴트리셔스밤</t>
        </is>
      </c>
      <c r="J1337" s="9" t="inlineStr">
        <is>
          <t>210201</t>
        </is>
      </c>
      <c r="L1337" s="9" t="n">
        <v>199200</v>
      </c>
      <c r="M1337" s="9" t="n">
        <v>187546.8</v>
      </c>
      <c r="N1337" s="9" t="n">
        <v>12640</v>
      </c>
      <c r="O1337" s="9" t="inlineStr">
        <is>
          <t>카페24뉴트리셔스밤라베나 리커버리 15 뉴트리셔스 밤 [HAIR RÉ:COVERY 15 Nutritious Balm]제품선택=헤어 리커버리 15 뉴트리셔스 밤210201</t>
        </is>
      </c>
    </row>
    <row r="1338">
      <c r="B1338" s="10" t="n">
        <v>44259</v>
      </c>
      <c r="C1338" s="9" t="inlineStr">
        <is>
          <t>목</t>
        </is>
      </c>
      <c r="E1338" s="9" t="inlineStr">
        <is>
          <t>뉴트리셔스밤</t>
        </is>
      </c>
      <c r="F1338" s="9" t="inlineStr">
        <is>
          <t>카페24</t>
        </is>
      </c>
      <c r="G1338" s="9" t="inlineStr">
        <is>
          <t>라베나 리커버리 15 뉴트리셔스 밤 [HAIR RÉ:COVERY 15 Nutritious Balm]제품선택=뉴트리셔스밤 1개 + 헤어팩 트리트먼트 1개 세트 5%추가할인</t>
        </is>
      </c>
      <c r="H1338" s="9" t="n">
        <v>1</v>
      </c>
      <c r="I1338" s="9" t="inlineStr">
        <is>
          <t>트리트먼트+뉴트리셔스밤</t>
        </is>
      </c>
      <c r="J1338" s="9" t="inlineStr">
        <is>
          <t>210201</t>
        </is>
      </c>
      <c r="L1338" s="9" t="n">
        <v>48355</v>
      </c>
      <c r="M1338" s="9" t="n">
        <v>45526.2325</v>
      </c>
      <c r="N1338" s="9" t="n">
        <v>3177</v>
      </c>
      <c r="O1338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339">
      <c r="B1339" s="10" t="n">
        <v>44259</v>
      </c>
      <c r="C1339" s="9" t="inlineStr">
        <is>
          <t>목</t>
        </is>
      </c>
      <c r="E1339" s="9" t="inlineStr">
        <is>
          <t>샴푸</t>
        </is>
      </c>
      <c r="F1339" s="9" t="inlineStr">
        <is>
          <t>카페24</t>
        </is>
      </c>
      <c r="G1339" s="9" t="inlineStr">
        <is>
          <t>라베나 리커버리 15 리바이탈 바이오플라보노이드샴푸 [HAIR RÉ:COVERY 15 Revital Shampoo]제품선택=헤어 리커버리 15 리바이탈 샴푸 - 500ml</t>
        </is>
      </c>
      <c r="H1339" s="9" t="n">
        <v>192</v>
      </c>
      <c r="I1339" s="9" t="inlineStr">
        <is>
          <t>리바이탈 샴푸</t>
        </is>
      </c>
      <c r="J1339" s="9" t="inlineStr">
        <is>
          <t>210201</t>
        </is>
      </c>
      <c r="L1339" s="9" t="n">
        <v>5164800</v>
      </c>
      <c r="M1339" s="9" t="n">
        <v>4862659.199999999</v>
      </c>
      <c r="N1339" s="9" t="n">
        <v>550080</v>
      </c>
      <c r="O1339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340">
      <c r="B1340" s="10" t="n">
        <v>44259</v>
      </c>
      <c r="C1340" s="9" t="inlineStr">
        <is>
          <t>목</t>
        </is>
      </c>
      <c r="E1340" s="9" t="inlineStr">
        <is>
          <t>샴푸</t>
        </is>
      </c>
      <c r="F1340" s="9" t="inlineStr">
        <is>
          <t>카페24</t>
        </is>
      </c>
      <c r="G1340" s="9" t="inlineStr">
        <is>
          <t>라베나 리커버리 15 리바이탈 바이오플라보노이드샴푸 [HAIR RÉ:COVERY 15 Revital Shampoo]제품선택=리바이탈 샴푸 2개 세트 5%추가할인</t>
        </is>
      </c>
      <c r="H1340" s="9" t="n">
        <v>47</v>
      </c>
      <c r="I1340" s="9" t="inlineStr">
        <is>
          <t>리바이탈 샴푸 2set</t>
        </is>
      </c>
      <c r="J1340" s="9" t="inlineStr">
        <is>
          <t>210201</t>
        </is>
      </c>
      <c r="L1340" s="9" t="n">
        <v>2402170</v>
      </c>
      <c r="M1340" s="9" t="n">
        <v>2261643.055</v>
      </c>
      <c r="N1340" s="9" t="n">
        <v>269310</v>
      </c>
      <c r="O1340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341">
      <c r="B1341" s="10" t="n">
        <v>44259</v>
      </c>
      <c r="C1341" s="9" t="inlineStr">
        <is>
          <t>목</t>
        </is>
      </c>
      <c r="E1341" s="9" t="inlineStr">
        <is>
          <t>샴푸</t>
        </is>
      </c>
      <c r="F1341" s="9" t="inlineStr">
        <is>
          <t>카페24</t>
        </is>
      </c>
      <c r="G1341" s="9" t="inlineStr">
        <is>
          <t>라베나 리커버리 15 리바이탈 바이오플라보노이드샴푸 [HAIR RÉ:COVERY 15 Revital Shampoo]제품선택=리바이탈 샴푸 3개 세트 10% 추가할인</t>
        </is>
      </c>
      <c r="H1341" s="9" t="n">
        <v>13</v>
      </c>
      <c r="I1341" s="9" t="inlineStr">
        <is>
          <t>리바이탈 샴푸 3set</t>
        </is>
      </c>
      <c r="J1341" s="9" t="inlineStr">
        <is>
          <t>210201</t>
        </is>
      </c>
      <c r="L1341" s="9" t="n">
        <v>944190</v>
      </c>
      <c r="M1341" s="9" t="n">
        <v>888954.885</v>
      </c>
      <c r="N1341" s="9" t="n">
        <v>111735</v>
      </c>
      <c r="O1341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342">
      <c r="B1342" s="10" t="n">
        <v>44259</v>
      </c>
      <c r="C1342" s="9" t="inlineStr">
        <is>
          <t>목</t>
        </is>
      </c>
      <c r="E1342" s="9" t="inlineStr">
        <is>
          <t>트리트먼트</t>
        </is>
      </c>
      <c r="F1342" s="9" t="inlineStr">
        <is>
          <t>카페24</t>
        </is>
      </c>
      <c r="G1342" s="9" t="inlineStr">
        <is>
          <t>라베나 리커버리 15 헤어팩 트리트먼트 [HAIR RÉ:COVERY 15 Hairpack Treatment]제품선택=헤어 리커버리 15 헤어팩 트리트먼트</t>
        </is>
      </c>
      <c r="H1342" s="9" t="n">
        <v>4</v>
      </c>
      <c r="I1342" s="9" t="inlineStr">
        <is>
          <t>트리트먼트</t>
        </is>
      </c>
      <c r="J1342" s="9" t="inlineStr">
        <is>
          <t>210201</t>
        </is>
      </c>
      <c r="L1342" s="9" t="n">
        <v>104000</v>
      </c>
      <c r="M1342" s="9" t="n">
        <v>97916</v>
      </c>
      <c r="N1342" s="9" t="n">
        <v>6388</v>
      </c>
      <c r="O1342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343">
      <c r="B1343" s="10" t="n">
        <v>44259</v>
      </c>
      <c r="C1343" s="9" t="inlineStr">
        <is>
          <t>목</t>
        </is>
      </c>
      <c r="E1343" s="9" t="inlineStr">
        <is>
          <t>트리트먼트</t>
        </is>
      </c>
      <c r="F1343" s="9" t="inlineStr">
        <is>
          <t>카페24</t>
        </is>
      </c>
      <c r="G1343" s="9" t="inlineStr">
        <is>
          <t>라베나 리커버리 15 헤어팩 트리트먼트 [HAIR RÉ:COVERY 15 Hairpack Treatment]제품선택=헤어팩 트리트먼트 2개 세트 5% 추가할인</t>
        </is>
      </c>
      <c r="H1343" s="9" t="n">
        <v>1</v>
      </c>
      <c r="I1343" s="9" t="inlineStr">
        <is>
          <t>트리트먼트 2set</t>
        </is>
      </c>
      <c r="J1343" s="9" t="inlineStr">
        <is>
          <t>210201</t>
        </is>
      </c>
      <c r="L1343" s="9" t="n">
        <v>49400</v>
      </c>
      <c r="M1343" s="9" t="n">
        <v>46510.1</v>
      </c>
      <c r="N1343" s="9" t="n">
        <v>3194</v>
      </c>
      <c r="O1343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344">
      <c r="B1344" s="10" t="n">
        <v>44259</v>
      </c>
      <c r="C1344" s="9" t="inlineStr">
        <is>
          <t>목</t>
        </is>
      </c>
      <c r="E1344" s="9" t="inlineStr">
        <is>
          <t>트리트먼트</t>
        </is>
      </c>
      <c r="F1344" s="9" t="inlineStr">
        <is>
          <t>카페24</t>
        </is>
      </c>
      <c r="G1344" s="9" t="inlineStr">
        <is>
          <t>라베나 리커버리 15 헤어팩 트리트먼트 [HAIR RÉ:COVERY 15 Hairpack Treatment]제품선택=헤어팩 트리트먼트 1개 + 뉴트리셔스밤 1개 세트 5% 추가할인</t>
        </is>
      </c>
      <c r="H1344" s="9" t="n">
        <v>2</v>
      </c>
      <c r="I1344" s="9" t="inlineStr">
        <is>
          <t>트리트먼트+뉴트리셔스밤</t>
        </is>
      </c>
      <c r="J1344" s="9" t="inlineStr">
        <is>
          <t>210201</t>
        </is>
      </c>
      <c r="L1344" s="9" t="n">
        <v>96710</v>
      </c>
      <c r="M1344" s="9" t="n">
        <v>91052.465</v>
      </c>
      <c r="N1344" s="9" t="n">
        <v>6354</v>
      </c>
      <c r="O1344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345">
      <c r="A1345" s="9" t="inlineStr">
        <is>
          <t>0302_샴푸_40대단발_시즌2</t>
        </is>
      </c>
      <c r="B1345" s="10" t="n">
        <v>44259</v>
      </c>
      <c r="C1345" s="9" t="inlineStr">
        <is>
          <t>목</t>
        </is>
      </c>
      <c r="D1345" s="9">
        <f>VLOOKUP($A1345,매칭테이블!$B$123:$D$1048576,2,0)</f>
        <v/>
      </c>
      <c r="E1345" s="9">
        <f>VLOOKUP($A1345,매칭테이블!$B$123:$D$1048576,3,0)</f>
        <v/>
      </c>
      <c r="K1345" s="9">
        <f>3277/1.1</f>
        <v/>
      </c>
    </row>
    <row r="1346">
      <c r="A1346" s="9" t="inlineStr">
        <is>
          <t>0224_샴푸-비듬똥균_카드뉴스_임시</t>
        </is>
      </c>
      <c r="B1346" s="10" t="n">
        <v>44260</v>
      </c>
      <c r="C1346" s="9" t="inlineStr">
        <is>
          <t>금</t>
        </is>
      </c>
      <c r="D1346" s="9" t="inlineStr">
        <is>
          <t>페이스북</t>
        </is>
      </c>
      <c r="E1346" s="9" t="inlineStr">
        <is>
          <t>샴푸</t>
        </is>
      </c>
      <c r="K1346" s="9" t="n">
        <v>491569</v>
      </c>
    </row>
    <row r="1347">
      <c r="A1347" s="9" t="inlineStr">
        <is>
          <t>현빈임시테스트</t>
        </is>
      </c>
      <c r="B1347" s="10" t="n">
        <v>44260</v>
      </c>
      <c r="C1347" s="9" t="inlineStr">
        <is>
          <t>금</t>
        </is>
      </c>
      <c r="D1347" s="9" t="inlineStr">
        <is>
          <t>페이스북</t>
        </is>
      </c>
      <c r="E1347" s="9" t="inlineStr">
        <is>
          <t>샴푸</t>
        </is>
      </c>
      <c r="K1347" s="9" t="n">
        <v>50290</v>
      </c>
    </row>
    <row r="1348">
      <c r="A1348" s="9" t="inlineStr">
        <is>
          <t>1201~단장키워드테스트</t>
        </is>
      </c>
      <c r="B1348" s="10" t="n">
        <v>44260</v>
      </c>
      <c r="C1348" s="9" t="inlineStr">
        <is>
          <t>금</t>
        </is>
      </c>
      <c r="D1348" s="9" t="inlineStr">
        <is>
          <t>페이스북</t>
        </is>
      </c>
      <c r="E1348" s="9" t="inlineStr">
        <is>
          <t>샴푸</t>
        </is>
      </c>
      <c r="K1348" s="9" t="n">
        <v>50627</v>
      </c>
    </row>
    <row r="1349">
      <c r="A1349" s="9" t="inlineStr">
        <is>
          <t>11/13 키워드 탐색</t>
        </is>
      </c>
      <c r="B1349" s="10" t="n">
        <v>44260</v>
      </c>
      <c r="C1349" s="9" t="inlineStr">
        <is>
          <t>금</t>
        </is>
      </c>
      <c r="D1349" s="9" t="inlineStr">
        <is>
          <t>페이스북</t>
        </is>
      </c>
      <c r="E1349" s="9" t="inlineStr">
        <is>
          <t>샴푸</t>
        </is>
      </c>
      <c r="K1349" s="9" t="n">
        <v>49341</v>
      </c>
    </row>
    <row r="1350">
      <c r="A1350" s="9" t="inlineStr">
        <is>
          <t>0224_샴푸-비듬똥균_카드뉴스_임시</t>
        </is>
      </c>
      <c r="B1350" s="10" t="n">
        <v>44261</v>
      </c>
      <c r="C1350" s="9" t="inlineStr">
        <is>
          <t>토</t>
        </is>
      </c>
      <c r="D1350" s="9" t="inlineStr">
        <is>
          <t>페이스북</t>
        </is>
      </c>
      <c r="E1350" s="9" t="inlineStr">
        <is>
          <t>샴푸</t>
        </is>
      </c>
      <c r="K1350" s="9" t="n">
        <v>516330</v>
      </c>
    </row>
    <row r="1351">
      <c r="A1351" s="9" t="inlineStr">
        <is>
          <t>현빈임시테스트</t>
        </is>
      </c>
      <c r="B1351" s="10" t="n">
        <v>44261</v>
      </c>
      <c r="C1351" s="9" t="inlineStr">
        <is>
          <t>토</t>
        </is>
      </c>
      <c r="D1351" s="9" t="inlineStr">
        <is>
          <t>페이스북</t>
        </is>
      </c>
      <c r="E1351" s="9" t="inlineStr">
        <is>
          <t>샴푸</t>
        </is>
      </c>
      <c r="K1351" s="9" t="n">
        <v>50509</v>
      </c>
    </row>
    <row r="1352">
      <c r="A1352" s="9" t="inlineStr">
        <is>
          <t>1201~단장키워드테스트</t>
        </is>
      </c>
      <c r="B1352" s="10" t="n">
        <v>44261</v>
      </c>
      <c r="C1352" s="9" t="inlineStr">
        <is>
          <t>토</t>
        </is>
      </c>
      <c r="D1352" s="9" t="inlineStr">
        <is>
          <t>페이스북</t>
        </is>
      </c>
      <c r="E1352" s="9" t="inlineStr">
        <is>
          <t>샴푸</t>
        </is>
      </c>
      <c r="K1352" s="9" t="n">
        <v>51030</v>
      </c>
    </row>
    <row r="1353">
      <c r="A1353" s="9" t="inlineStr">
        <is>
          <t>11/13 키워드 탐색</t>
        </is>
      </c>
      <c r="B1353" s="10" t="n">
        <v>44261</v>
      </c>
      <c r="C1353" s="9" t="inlineStr">
        <is>
          <t>토</t>
        </is>
      </c>
      <c r="D1353" s="9" t="inlineStr">
        <is>
          <t>페이스북</t>
        </is>
      </c>
      <c r="E1353" s="9" t="inlineStr">
        <is>
          <t>샴푸</t>
        </is>
      </c>
      <c r="K1353" s="9" t="n">
        <v>51702</v>
      </c>
    </row>
    <row r="1354">
      <c r="A1354" s="9" t="inlineStr">
        <is>
          <t>0224_샴푸-비듬똥균_카드뉴스_임시</t>
        </is>
      </c>
      <c r="B1354" s="10" t="n">
        <v>44262</v>
      </c>
      <c r="C1354" s="9" t="inlineStr">
        <is>
          <t>일</t>
        </is>
      </c>
      <c r="D1354" s="9" t="inlineStr">
        <is>
          <t>페이스북</t>
        </is>
      </c>
      <c r="E1354" s="9" t="inlineStr">
        <is>
          <t>샴푸</t>
        </is>
      </c>
      <c r="K1354" s="9" t="n">
        <v>500810</v>
      </c>
    </row>
    <row r="1355">
      <c r="A1355" s="9" t="inlineStr">
        <is>
          <t>현빈임시테스트</t>
        </is>
      </c>
      <c r="B1355" s="10" t="n">
        <v>44262</v>
      </c>
      <c r="C1355" s="9" t="inlineStr">
        <is>
          <t>일</t>
        </is>
      </c>
      <c r="D1355" s="9" t="inlineStr">
        <is>
          <t>페이스북</t>
        </is>
      </c>
      <c r="E1355" s="9" t="inlineStr">
        <is>
          <t>샴푸</t>
        </is>
      </c>
      <c r="K1355" s="9" t="n">
        <v>50619</v>
      </c>
    </row>
    <row r="1356">
      <c r="A1356" s="9" t="inlineStr">
        <is>
          <t>1201~단장키워드테스트</t>
        </is>
      </c>
      <c r="B1356" s="10" t="n">
        <v>44262</v>
      </c>
      <c r="C1356" s="9" t="inlineStr">
        <is>
          <t>일</t>
        </is>
      </c>
      <c r="D1356" s="9" t="inlineStr">
        <is>
          <t>페이스북</t>
        </is>
      </c>
      <c r="E1356" s="9" t="inlineStr">
        <is>
          <t>샴푸</t>
        </is>
      </c>
      <c r="K1356" s="9" t="n">
        <v>50320</v>
      </c>
    </row>
    <row r="1357">
      <c r="A1357" s="9" t="inlineStr">
        <is>
          <t>11/13 키워드 탐색</t>
        </is>
      </c>
      <c r="B1357" s="10" t="n">
        <v>44262</v>
      </c>
      <c r="C1357" s="9" t="inlineStr">
        <is>
          <t>일</t>
        </is>
      </c>
      <c r="D1357" s="9" t="inlineStr">
        <is>
          <t>페이스북</t>
        </is>
      </c>
      <c r="E1357" s="9" t="inlineStr">
        <is>
          <t>샴푸</t>
        </is>
      </c>
      <c r="K1357" s="9" t="n">
        <v>50260</v>
      </c>
    </row>
    <row r="1358">
      <c r="A1358" s="9" t="inlineStr">
        <is>
          <t>0118_샴푸_비듬똥균_4차</t>
        </is>
      </c>
      <c r="B1358" s="10" t="n">
        <v>44260</v>
      </c>
      <c r="C1358" s="9" t="inlineStr">
        <is>
          <t>금</t>
        </is>
      </c>
      <c r="D1358" s="9" t="inlineStr">
        <is>
          <t>유튜브</t>
        </is>
      </c>
      <c r="E1358" s="9" t="inlineStr">
        <is>
          <t>샴푸</t>
        </is>
      </c>
      <c r="K1358" s="9" t="n">
        <v>30653</v>
      </c>
    </row>
    <row r="1359">
      <c r="A1359" s="9" t="inlineStr">
        <is>
          <t>0127_GDN_비듬샴푸_잠재고객</t>
        </is>
      </c>
      <c r="B1359" s="10" t="n">
        <v>44260</v>
      </c>
      <c r="C1359" s="9" t="inlineStr">
        <is>
          <t>금</t>
        </is>
      </c>
      <c r="D1359" s="9" t="inlineStr">
        <is>
          <t>GDN</t>
        </is>
      </c>
      <c r="E1359" s="9" t="inlineStr">
        <is>
          <t>샴푸</t>
        </is>
      </c>
      <c r="K1359" s="9" t="n">
        <v>97418</v>
      </c>
    </row>
    <row r="1360">
      <c r="A1360" s="9" t="inlineStr">
        <is>
          <t>0217_샴푸_비듬똥균_5차</t>
        </is>
      </c>
      <c r="B1360" s="10" t="n">
        <v>44260</v>
      </c>
      <c r="C1360" s="9" t="inlineStr">
        <is>
          <t>금</t>
        </is>
      </c>
      <c r="D1360" s="9" t="inlineStr">
        <is>
          <t>유튜브</t>
        </is>
      </c>
      <c r="E1360" s="9" t="inlineStr">
        <is>
          <t>샴푸</t>
        </is>
      </c>
      <c r="K1360" s="9" t="n">
        <v>510751</v>
      </c>
    </row>
    <row r="1361">
      <c r="A1361" s="9" t="inlineStr">
        <is>
          <t>0303_샴푸_인스트림_동영상전환수</t>
        </is>
      </c>
      <c r="B1361" s="10" t="n">
        <v>44260</v>
      </c>
      <c r="C1361" s="9" t="inlineStr">
        <is>
          <t>금</t>
        </is>
      </c>
      <c r="D1361" s="9" t="inlineStr">
        <is>
          <t>유튜브</t>
        </is>
      </c>
      <c r="E1361" s="9" t="inlineStr">
        <is>
          <t>샴푸</t>
        </is>
      </c>
      <c r="K1361" s="9" t="n">
        <v>1792173</v>
      </c>
    </row>
    <row r="1362">
      <c r="A1362" s="9" t="inlineStr">
        <is>
          <t>0305_샴푸_인스트림_타겟CPA</t>
        </is>
      </c>
      <c r="B1362" s="10" t="n">
        <v>44260</v>
      </c>
      <c r="C1362" s="9" t="inlineStr">
        <is>
          <t>금</t>
        </is>
      </c>
      <c r="D1362" s="9" t="inlineStr">
        <is>
          <t>유튜브</t>
        </is>
      </c>
      <c r="E1362" s="9" t="inlineStr">
        <is>
          <t>샴푸</t>
        </is>
      </c>
      <c r="K1362" s="9" t="n">
        <v>1460</v>
      </c>
    </row>
    <row r="1363">
      <c r="A1363" s="9" t="inlineStr">
        <is>
          <t>0118_샴푸_비듬똥균_4차</t>
        </is>
      </c>
      <c r="B1363" s="10" t="n">
        <v>44261</v>
      </c>
      <c r="C1363" s="9" t="inlineStr">
        <is>
          <t>토</t>
        </is>
      </c>
      <c r="D1363" s="9" t="inlineStr">
        <is>
          <t>유튜브</t>
        </is>
      </c>
      <c r="E1363" s="9" t="inlineStr">
        <is>
          <t>샴푸</t>
        </is>
      </c>
      <c r="K1363" s="9" t="n">
        <v>35241</v>
      </c>
    </row>
    <row r="1364">
      <c r="A1364" s="9" t="inlineStr">
        <is>
          <t>0127_GDN_비듬샴푸_잠재고객</t>
        </is>
      </c>
      <c r="B1364" s="10" t="n">
        <v>44261</v>
      </c>
      <c r="C1364" s="9" t="inlineStr">
        <is>
          <t>토</t>
        </is>
      </c>
      <c r="D1364" s="9" t="inlineStr">
        <is>
          <t>GDN</t>
        </is>
      </c>
      <c r="E1364" s="9" t="inlineStr">
        <is>
          <t>샴푸</t>
        </is>
      </c>
      <c r="K1364" s="9" t="n">
        <v>98835</v>
      </c>
    </row>
    <row r="1365">
      <c r="A1365" s="9" t="inlineStr">
        <is>
          <t>0217_샴푸_비듬똥균_5차</t>
        </is>
      </c>
      <c r="B1365" s="10" t="n">
        <v>44261</v>
      </c>
      <c r="C1365" s="9" t="inlineStr">
        <is>
          <t>토</t>
        </is>
      </c>
      <c r="D1365" s="9" t="inlineStr">
        <is>
          <t>유튜브</t>
        </is>
      </c>
      <c r="E1365" s="9" t="inlineStr">
        <is>
          <t>샴푸</t>
        </is>
      </c>
      <c r="K1365" s="9" t="n">
        <v>56813</v>
      </c>
    </row>
    <row r="1366">
      <c r="A1366" s="9" t="inlineStr">
        <is>
          <t>0303_샴푸_인스트림_동영상전환수</t>
        </is>
      </c>
      <c r="B1366" s="10" t="n">
        <v>44261</v>
      </c>
      <c r="C1366" s="9" t="inlineStr">
        <is>
          <t>토</t>
        </is>
      </c>
      <c r="D1366" s="9" t="inlineStr">
        <is>
          <t>유튜브</t>
        </is>
      </c>
      <c r="E1366" s="9" t="inlineStr">
        <is>
          <t>샴푸</t>
        </is>
      </c>
      <c r="K1366" s="9" t="n">
        <v>1797461</v>
      </c>
    </row>
    <row r="1367">
      <c r="A1367" s="9" t="inlineStr">
        <is>
          <t>0305_샴푸_인스트림_타겟CPA</t>
        </is>
      </c>
      <c r="B1367" s="10" t="n">
        <v>44261</v>
      </c>
      <c r="C1367" s="9" t="inlineStr">
        <is>
          <t>토</t>
        </is>
      </c>
      <c r="D1367" s="9" t="inlineStr">
        <is>
          <t>유튜브</t>
        </is>
      </c>
      <c r="E1367" s="9" t="inlineStr">
        <is>
          <t>샴푸</t>
        </is>
      </c>
      <c r="K1367" s="9" t="n">
        <v>60104</v>
      </c>
    </row>
    <row r="1368">
      <c r="A1368" s="9" t="inlineStr">
        <is>
          <t>0118_샴푸_비듬똥균_4차</t>
        </is>
      </c>
      <c r="B1368" s="10" t="n">
        <v>44262</v>
      </c>
      <c r="C1368" s="9" t="inlineStr">
        <is>
          <t>일</t>
        </is>
      </c>
      <c r="D1368" s="9" t="inlineStr">
        <is>
          <t>유튜브</t>
        </is>
      </c>
      <c r="E1368" s="9" t="inlineStr">
        <is>
          <t>샴푸</t>
        </is>
      </c>
      <c r="K1368" s="9" t="n">
        <v>1509310</v>
      </c>
    </row>
    <row r="1369">
      <c r="A1369" s="9" t="inlineStr">
        <is>
          <t>0127_GDN_비듬샴푸_잠재고객</t>
        </is>
      </c>
      <c r="B1369" s="10" t="n">
        <v>44262</v>
      </c>
      <c r="C1369" s="9" t="inlineStr">
        <is>
          <t>일</t>
        </is>
      </c>
      <c r="D1369" s="9" t="inlineStr">
        <is>
          <t>GDN</t>
        </is>
      </c>
      <c r="E1369" s="9" t="inlineStr">
        <is>
          <t>샴푸</t>
        </is>
      </c>
      <c r="K1369" s="9" t="n">
        <v>97784</v>
      </c>
    </row>
    <row r="1370">
      <c r="A1370" s="9" t="inlineStr">
        <is>
          <t>0303_샴푸_인스트림_동영상전환수</t>
        </is>
      </c>
      <c r="B1370" s="10" t="n">
        <v>44262</v>
      </c>
      <c r="C1370" s="9" t="inlineStr">
        <is>
          <t>일</t>
        </is>
      </c>
      <c r="D1370" s="9" t="inlineStr">
        <is>
          <t>유튜브</t>
        </is>
      </c>
      <c r="E1370" s="9" t="inlineStr">
        <is>
          <t>샴푸</t>
        </is>
      </c>
      <c r="K1370" s="9" t="n">
        <v>1802919</v>
      </c>
    </row>
    <row r="1371">
      <c r="A1371" s="9" t="inlineStr">
        <is>
          <t>0305_샴푸_인스트림_타겟CPA</t>
        </is>
      </c>
      <c r="B1371" s="10" t="n">
        <v>44262</v>
      </c>
      <c r="C1371" s="9" t="inlineStr">
        <is>
          <t>일</t>
        </is>
      </c>
      <c r="D1371" s="9" t="inlineStr">
        <is>
          <t>유튜브</t>
        </is>
      </c>
      <c r="E1371" s="9" t="inlineStr">
        <is>
          <t>샴푸</t>
        </is>
      </c>
      <c r="K1371" s="9" t="n">
        <v>570970</v>
      </c>
    </row>
    <row r="1372">
      <c r="A1372" s="9" t="inlineStr">
        <is>
          <t>라베나 파워링크_샴푸_광고그룹#1</t>
        </is>
      </c>
      <c r="B1372" s="10" t="n">
        <v>44262</v>
      </c>
      <c r="C1372" s="9" t="inlineStr">
        <is>
          <t>일</t>
        </is>
      </c>
      <c r="D1372" s="9" t="inlineStr">
        <is>
          <t>네이버 검색</t>
        </is>
      </c>
      <c r="E1372" s="9" t="inlineStr">
        <is>
          <t>샴푸</t>
        </is>
      </c>
      <c r="K1372" s="9" t="n">
        <v>2650</v>
      </c>
    </row>
    <row r="1373">
      <c r="A1373" s="9" t="inlineStr">
        <is>
          <t>라베나 파워링크_샴푸#1_유튜브키워드기반</t>
        </is>
      </c>
      <c r="B1373" s="10" t="n">
        <v>44262</v>
      </c>
      <c r="C1373" s="9" t="inlineStr">
        <is>
          <t>일</t>
        </is>
      </c>
      <c r="D1373" s="9" t="inlineStr">
        <is>
          <t>네이버 검색</t>
        </is>
      </c>
      <c r="E1373" s="9" t="inlineStr">
        <is>
          <t>샴푸</t>
        </is>
      </c>
      <c r="K1373" s="9" t="n">
        <v>56349.99999999999</v>
      </c>
    </row>
    <row r="1374">
      <c r="A1374" s="9" t="inlineStr">
        <is>
          <t>샴푸_쇼핑검색#1_광고그룹#1</t>
        </is>
      </c>
      <c r="B1374" s="10" t="n">
        <v>44262</v>
      </c>
      <c r="C1374" s="9" t="inlineStr">
        <is>
          <t>일</t>
        </is>
      </c>
      <c r="D1374" s="9" t="inlineStr">
        <is>
          <t>네이버 검색</t>
        </is>
      </c>
      <c r="E1374" s="9" t="inlineStr">
        <is>
          <t>샴푸</t>
        </is>
      </c>
      <c r="K1374" s="9" t="n">
        <v>1070</v>
      </c>
    </row>
    <row r="1375">
      <c r="A1375" s="9" t="inlineStr">
        <is>
          <t>파워컨텐츠#1_비듬샴푸</t>
        </is>
      </c>
      <c r="B1375" s="10" t="n">
        <v>44262</v>
      </c>
      <c r="C1375" s="9" t="inlineStr">
        <is>
          <t>일</t>
        </is>
      </c>
      <c r="D1375" s="9" t="inlineStr">
        <is>
          <t>네이버 검색</t>
        </is>
      </c>
      <c r="E1375" s="9" t="inlineStr">
        <is>
          <t>샴푸</t>
        </is>
      </c>
      <c r="K1375" s="9" t="n">
        <v>140</v>
      </c>
    </row>
    <row r="1376">
      <c r="A1376" s="9" t="inlineStr">
        <is>
          <t>라베나 파워링크_샴푸_광고그룹#1</t>
        </is>
      </c>
      <c r="B1376" s="10" t="n">
        <v>44261</v>
      </c>
      <c r="C1376" s="9" t="inlineStr">
        <is>
          <t>토</t>
        </is>
      </c>
      <c r="D1376" s="9" t="inlineStr">
        <is>
          <t>네이버 검색</t>
        </is>
      </c>
      <c r="E1376" s="9" t="inlineStr">
        <is>
          <t>샴푸</t>
        </is>
      </c>
      <c r="K1376" s="9" t="n">
        <v>2740</v>
      </c>
    </row>
    <row r="1377">
      <c r="A1377" s="9" t="inlineStr">
        <is>
          <t>라베나 파워링크_샴푸#1_유튜브키워드기반</t>
        </is>
      </c>
      <c r="B1377" s="10" t="n">
        <v>44261</v>
      </c>
      <c r="C1377" s="9" t="inlineStr">
        <is>
          <t>토</t>
        </is>
      </c>
      <c r="D1377" s="9" t="inlineStr">
        <is>
          <t>네이버 검색</t>
        </is>
      </c>
      <c r="E1377" s="9" t="inlineStr">
        <is>
          <t>샴푸</t>
        </is>
      </c>
      <c r="K1377" s="9" t="n">
        <v>31350</v>
      </c>
    </row>
    <row r="1378">
      <c r="A1378" s="9" t="inlineStr">
        <is>
          <t>샴푸_쇼핑검색#1_광고그룹#1</t>
        </is>
      </c>
      <c r="B1378" s="10" t="n">
        <v>44261</v>
      </c>
      <c r="C1378" s="9" t="inlineStr">
        <is>
          <t>토</t>
        </is>
      </c>
      <c r="D1378" s="9" t="inlineStr">
        <is>
          <t>네이버 검색</t>
        </is>
      </c>
      <c r="E1378" s="9" t="inlineStr">
        <is>
          <t>샴푸</t>
        </is>
      </c>
      <c r="K1378" s="9" t="n">
        <v>1920</v>
      </c>
    </row>
    <row r="1379">
      <c r="A1379" s="9" t="inlineStr">
        <is>
          <t>파워컨텐츠#1_비듬샴푸</t>
        </is>
      </c>
      <c r="B1379" s="10" t="n">
        <v>44261</v>
      </c>
      <c r="C1379" s="9" t="inlineStr">
        <is>
          <t>토</t>
        </is>
      </c>
      <c r="D1379" s="9" t="inlineStr">
        <is>
          <t>네이버 검색</t>
        </is>
      </c>
      <c r="E1379" s="9" t="inlineStr">
        <is>
          <t>샴푸</t>
        </is>
      </c>
      <c r="K1379" s="9" t="n">
        <v>70</v>
      </c>
    </row>
    <row r="1380">
      <c r="A1380" s="9" t="inlineStr">
        <is>
          <t>라베나 파워링크_샴푸_광고그룹#1</t>
        </is>
      </c>
      <c r="B1380" s="10" t="n">
        <v>44260</v>
      </c>
      <c r="C1380" s="9" t="inlineStr">
        <is>
          <t>금</t>
        </is>
      </c>
      <c r="D1380" s="9" t="inlineStr">
        <is>
          <t>네이버 검색</t>
        </is>
      </c>
      <c r="E1380" s="9" t="inlineStr">
        <is>
          <t>샴푸</t>
        </is>
      </c>
      <c r="K1380" s="9" t="n">
        <v>3810</v>
      </c>
    </row>
    <row r="1381">
      <c r="A1381" s="9" t="inlineStr">
        <is>
          <t>라베나 파워링크_샴푸#1_유튜브키워드기반</t>
        </is>
      </c>
      <c r="B1381" s="10" t="n">
        <v>44260</v>
      </c>
      <c r="C1381" s="9" t="inlineStr">
        <is>
          <t>금</t>
        </is>
      </c>
      <c r="D1381" s="9" t="inlineStr">
        <is>
          <t>네이버 검색</t>
        </is>
      </c>
      <c r="E1381" s="9" t="inlineStr">
        <is>
          <t>샴푸</t>
        </is>
      </c>
      <c r="K1381" s="9" t="n">
        <v>30210</v>
      </c>
    </row>
    <row r="1382">
      <c r="A1382" s="9" t="inlineStr">
        <is>
          <t>샴푸_쇼핑검색#1_광고그룹#1</t>
        </is>
      </c>
      <c r="B1382" s="10" t="n">
        <v>44260</v>
      </c>
      <c r="C1382" s="9" t="inlineStr">
        <is>
          <t>금</t>
        </is>
      </c>
      <c r="D1382" s="9" t="inlineStr">
        <is>
          <t>네이버 검색</t>
        </is>
      </c>
      <c r="E1382" s="9" t="inlineStr">
        <is>
          <t>샴푸</t>
        </is>
      </c>
      <c r="K1382" s="9" t="n">
        <v>0</v>
      </c>
    </row>
    <row r="1383">
      <c r="A1383" s="9" t="inlineStr">
        <is>
          <t>파워컨텐츠#1_비듬샴푸</t>
        </is>
      </c>
      <c r="B1383" s="10" t="n">
        <v>44260</v>
      </c>
      <c r="C1383" s="9" t="inlineStr">
        <is>
          <t>금</t>
        </is>
      </c>
      <c r="D1383" s="9" t="inlineStr">
        <is>
          <t>네이버 검색</t>
        </is>
      </c>
      <c r="E1383" s="9" t="inlineStr">
        <is>
          <t>샴푸</t>
        </is>
      </c>
      <c r="K1383" s="9" t="n">
        <v>70</v>
      </c>
    </row>
    <row r="1384">
      <c r="B1384" s="10" t="n">
        <v>44260</v>
      </c>
      <c r="C1384" s="9" t="inlineStr">
        <is>
          <t>금</t>
        </is>
      </c>
      <c r="E1384" s="9" t="inlineStr">
        <is>
          <t>뉴트리셔스밤</t>
        </is>
      </c>
      <c r="F1384" s="9" t="inlineStr">
        <is>
          <t>카페24</t>
        </is>
      </c>
      <c r="G1384" s="9" t="inlineStr">
        <is>
          <t>라베나 리커버리 15 뉴트리셔스 밤 [HAIR RÉ:COVERY 15 Nutritious Balm]제품선택=헤어 리커버리 15 뉴트리셔스 밤</t>
        </is>
      </c>
      <c r="H1384" s="9" t="n">
        <v>5</v>
      </c>
      <c r="I1384" s="9" t="inlineStr">
        <is>
          <t>뉴트리셔스밤</t>
        </is>
      </c>
      <c r="J1384" s="9" t="inlineStr">
        <is>
          <t>210201</t>
        </is>
      </c>
      <c r="L1384" s="9" t="n">
        <v>124500</v>
      </c>
      <c r="M1384" s="9" t="n">
        <v>117216.75</v>
      </c>
      <c r="N1384" s="9" t="n">
        <v>7900</v>
      </c>
      <c r="O1384" s="9" t="inlineStr">
        <is>
          <t>카페24뉴트리셔스밤라베나 리커버리 15 뉴트리셔스 밤 [HAIR RÉ:COVERY 15 Nutritious Balm]제품선택=헤어 리커버리 15 뉴트리셔스 밤210201</t>
        </is>
      </c>
    </row>
    <row r="1385">
      <c r="B1385" s="10" t="n">
        <v>44260</v>
      </c>
      <c r="C1385" s="9" t="inlineStr">
        <is>
          <t>금</t>
        </is>
      </c>
      <c r="E1385" s="9" t="inlineStr">
        <is>
          <t>뉴트리셔스밤</t>
        </is>
      </c>
      <c r="F1385" s="9" t="inlineStr">
        <is>
          <t>카페24</t>
        </is>
      </c>
      <c r="G1385" s="9" t="inlineStr">
        <is>
          <t>라베나 리커버리 15 뉴트리셔스 밤 [HAIR RÉ:COVERY 15 Nutritious Balm]제품선택=뉴트리셔스 밤 2개 세트 5% 추가할인</t>
        </is>
      </c>
      <c r="H1385" s="9" t="n">
        <v>1</v>
      </c>
      <c r="I1385" s="9" t="inlineStr">
        <is>
          <t>뉴트리셔스밤 2set</t>
        </is>
      </c>
      <c r="J1385" s="9" t="inlineStr">
        <is>
          <t>210201</t>
        </is>
      </c>
      <c r="L1385" s="9" t="n">
        <v>47310</v>
      </c>
      <c r="M1385" s="9" t="n">
        <v>44542.365</v>
      </c>
      <c r="N1385" s="9" t="n">
        <v>3160</v>
      </c>
      <c r="O1385" s="9" t="inlineStr">
        <is>
          <t>카페24뉴트리셔스밤라베나 리커버리 15 뉴트리셔스 밤 [HAIR RÉ:COVERY 15 Nutritious Balm]제품선택=뉴트리셔스 밤 2개 세트 5% 추가할인210201</t>
        </is>
      </c>
    </row>
    <row r="1386">
      <c r="B1386" s="10" t="n">
        <v>44260</v>
      </c>
      <c r="C1386" s="9" t="inlineStr">
        <is>
          <t>금</t>
        </is>
      </c>
      <c r="E1386" s="9" t="inlineStr">
        <is>
          <t>샴푸</t>
        </is>
      </c>
      <c r="F1386" s="9" t="inlineStr">
        <is>
          <t>카페24</t>
        </is>
      </c>
      <c r="G1386" s="9" t="inlineStr">
        <is>
          <t>라베나 리커버리 15 리바이탈 바이오플라보노이드샴푸 [HAIR RÉ:COVERY 15 Revital Shampoo]제품선택=헤어 리커버리 15 리바이탈 샴푸 - 500ml</t>
        </is>
      </c>
      <c r="H1386" s="9" t="n">
        <v>190</v>
      </c>
      <c r="I1386" s="9" t="inlineStr">
        <is>
          <t>리바이탈 샴푸</t>
        </is>
      </c>
      <c r="J1386" s="9" t="inlineStr">
        <is>
          <t>210201</t>
        </is>
      </c>
      <c r="L1386" s="9" t="n">
        <v>5111000</v>
      </c>
      <c r="M1386" s="9" t="n">
        <v>4812006.5</v>
      </c>
      <c r="N1386" s="9" t="n">
        <v>544350</v>
      </c>
      <c r="O138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387">
      <c r="B1387" s="10" t="n">
        <v>44260</v>
      </c>
      <c r="C1387" s="9" t="inlineStr">
        <is>
          <t>금</t>
        </is>
      </c>
      <c r="E1387" s="9" t="inlineStr">
        <is>
          <t>샴푸</t>
        </is>
      </c>
      <c r="F1387" s="9" t="inlineStr">
        <is>
          <t>카페24</t>
        </is>
      </c>
      <c r="G1387" s="9" t="inlineStr">
        <is>
          <t>라베나 리커버리 15 리바이탈 바이오플라보노이드샴푸 [HAIR RÉ:COVERY 15 Revital Shampoo]제품선택=리바이탈 샴푸 2개 세트 5%추가할인</t>
        </is>
      </c>
      <c r="H1387" s="9" t="n">
        <v>52</v>
      </c>
      <c r="I1387" s="9" t="inlineStr">
        <is>
          <t>리바이탈 샴푸 2set</t>
        </is>
      </c>
      <c r="J1387" s="9" t="inlineStr">
        <is>
          <t>210201</t>
        </is>
      </c>
      <c r="L1387" s="9" t="n">
        <v>2657720</v>
      </c>
      <c r="M1387" s="9" t="n">
        <v>2502243.38</v>
      </c>
      <c r="N1387" s="9" t="n">
        <v>297960</v>
      </c>
      <c r="O138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388">
      <c r="B1388" s="10" t="n">
        <v>44260</v>
      </c>
      <c r="C1388" s="9" t="inlineStr">
        <is>
          <t>금</t>
        </is>
      </c>
      <c r="E1388" s="9" t="inlineStr">
        <is>
          <t>샴푸</t>
        </is>
      </c>
      <c r="F1388" s="9" t="inlineStr">
        <is>
          <t>카페24</t>
        </is>
      </c>
      <c r="G1388" s="9" t="inlineStr">
        <is>
          <t>라베나 리커버리 15 리바이탈 바이오플라보노이드샴푸 [HAIR RÉ:COVERY 15 Revital Shampoo]제품선택=리바이탈 샴푸 3개 세트 10% 추가할인</t>
        </is>
      </c>
      <c r="H1388" s="9" t="n">
        <v>14</v>
      </c>
      <c r="I1388" s="9" t="inlineStr">
        <is>
          <t>리바이탈 샴푸 3set</t>
        </is>
      </c>
      <c r="J1388" s="9" t="inlineStr">
        <is>
          <t>210201</t>
        </is>
      </c>
      <c r="L1388" s="9" t="n">
        <v>1016820</v>
      </c>
      <c r="M1388" s="9" t="n">
        <v>957336.03</v>
      </c>
      <c r="N1388" s="9" t="n">
        <v>120330</v>
      </c>
      <c r="O138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389">
      <c r="B1389" s="10" t="n">
        <v>44260</v>
      </c>
      <c r="C1389" s="9" t="inlineStr">
        <is>
          <t>금</t>
        </is>
      </c>
      <c r="E1389" s="9" t="inlineStr">
        <is>
          <t>트리트먼트</t>
        </is>
      </c>
      <c r="F1389" s="9" t="inlineStr">
        <is>
          <t>카페24</t>
        </is>
      </c>
      <c r="G1389" s="9" t="inlineStr">
        <is>
          <t>라베나 리커버리 15 헤어팩 트리트먼트 [HAIR RÉ:COVERY 15 Hairpack Treatment]제품선택=헤어 리커버리 15 헤어팩 트리트먼트</t>
        </is>
      </c>
      <c r="H1389" s="9" t="n">
        <v>5</v>
      </c>
      <c r="I1389" s="9" t="inlineStr">
        <is>
          <t>트리트먼트</t>
        </is>
      </c>
      <c r="J1389" s="9" t="inlineStr">
        <is>
          <t>210201</t>
        </is>
      </c>
      <c r="L1389" s="9" t="n">
        <v>130000</v>
      </c>
      <c r="M1389" s="9" t="n">
        <v>122395</v>
      </c>
      <c r="N1389" s="9" t="n">
        <v>7985</v>
      </c>
      <c r="O138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390">
      <c r="B1390" s="10" t="n">
        <v>44260</v>
      </c>
      <c r="C1390" s="9" t="inlineStr">
        <is>
          <t>금</t>
        </is>
      </c>
      <c r="E1390" s="9" t="inlineStr">
        <is>
          <t>트리트먼트</t>
        </is>
      </c>
      <c r="F1390" s="9" t="inlineStr">
        <is>
          <t>카페24</t>
        </is>
      </c>
      <c r="G1390" s="9" t="inlineStr">
        <is>
          <t>라베나 리커버리 15 헤어팩 트리트먼트 [HAIR RÉ:COVERY 15 Hairpack Treatment]제품선택=헤어팩 트리트먼트 2개 세트 5% 추가할인</t>
        </is>
      </c>
      <c r="H1390" s="9" t="n">
        <v>1</v>
      </c>
      <c r="I1390" s="9" t="inlineStr">
        <is>
          <t>트리트먼트 2set</t>
        </is>
      </c>
      <c r="J1390" s="9" t="inlineStr">
        <is>
          <t>210201</t>
        </is>
      </c>
      <c r="L1390" s="9" t="n">
        <v>49400</v>
      </c>
      <c r="M1390" s="9" t="n">
        <v>46510.1</v>
      </c>
      <c r="N1390" s="9" t="n">
        <v>3194</v>
      </c>
      <c r="O1390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391">
      <c r="B1391" s="10" t="n">
        <v>44260</v>
      </c>
      <c r="C1391" s="9" t="inlineStr">
        <is>
          <t>금</t>
        </is>
      </c>
      <c r="E1391" s="9" t="inlineStr">
        <is>
          <t>트리트먼트</t>
        </is>
      </c>
      <c r="F1391" s="9" t="inlineStr">
        <is>
          <t>카페24</t>
        </is>
      </c>
      <c r="G1391" s="9" t="inlineStr">
        <is>
          <t>라베나 리커버리 15 헤어팩 트리트먼트 [HAIR RÉ:COVERY 15 Hairpack Treatment]제품선택=헤어팩 트리트먼트 3개 세트 10% 추가할인</t>
        </is>
      </c>
      <c r="H1391" s="9" t="n">
        <v>1</v>
      </c>
      <c r="I1391" s="9" t="inlineStr">
        <is>
          <t>트리트먼트 3set</t>
        </is>
      </c>
      <c r="J1391" s="9" t="inlineStr">
        <is>
          <t>210201</t>
        </is>
      </c>
      <c r="L1391" s="9" t="n">
        <v>70200</v>
      </c>
      <c r="M1391" s="9" t="n">
        <v>66093.3</v>
      </c>
      <c r="N1391" s="9" t="n">
        <v>4791</v>
      </c>
      <c r="O1391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392">
      <c r="B1392" s="10" t="n">
        <v>44261</v>
      </c>
      <c r="C1392" s="9" t="inlineStr">
        <is>
          <t>토</t>
        </is>
      </c>
      <c r="E1392" s="9" t="inlineStr">
        <is>
          <t>뉴트리셔스밤</t>
        </is>
      </c>
      <c r="F1392" s="9" t="inlineStr">
        <is>
          <t>카페24</t>
        </is>
      </c>
      <c r="G1392" s="9" t="inlineStr">
        <is>
          <t>라베나 리커버리 15 뉴트리셔스 밤 [HAIR RÉ:COVERY 15 Nutritious Balm]제품선택=헤어 리커버리 15 뉴트리셔스 밤</t>
        </is>
      </c>
      <c r="H1392" s="9" t="n">
        <v>5</v>
      </c>
      <c r="I1392" s="9" t="inlineStr">
        <is>
          <t>뉴트리셔스밤</t>
        </is>
      </c>
      <c r="J1392" s="9" t="inlineStr">
        <is>
          <t>210201</t>
        </is>
      </c>
      <c r="L1392" s="9" t="n">
        <v>124500</v>
      </c>
      <c r="M1392" s="9" t="n">
        <v>117216.75</v>
      </c>
      <c r="N1392" s="9" t="n">
        <v>7900</v>
      </c>
      <c r="O1392" s="9" t="inlineStr">
        <is>
          <t>카페24뉴트리셔스밤라베나 리커버리 15 뉴트리셔스 밤 [HAIR RÉ:COVERY 15 Nutritious Balm]제품선택=헤어 리커버리 15 뉴트리셔스 밤210201</t>
        </is>
      </c>
    </row>
    <row r="1393">
      <c r="B1393" s="10" t="n">
        <v>44261</v>
      </c>
      <c r="C1393" s="9" t="inlineStr">
        <is>
          <t>토</t>
        </is>
      </c>
      <c r="E1393" s="9" t="inlineStr">
        <is>
          <t>뉴트리셔스밤</t>
        </is>
      </c>
      <c r="F1393" s="9" t="inlineStr">
        <is>
          <t>카페24</t>
        </is>
      </c>
      <c r="G1393" s="9" t="inlineStr">
        <is>
          <t>라베나 리커버리 15 뉴트리셔스 밤 [HAIR RÉ:COVERY 15 Nutritious Balm]제품선택=뉴트리셔스 밤 3개 세트 10% 추가할인</t>
        </is>
      </c>
      <c r="H1393" s="9" t="n">
        <v>1</v>
      </c>
      <c r="I1393" s="9" t="inlineStr">
        <is>
          <t>뉴트리셔스밤 3set</t>
        </is>
      </c>
      <c r="J1393" s="9" t="inlineStr">
        <is>
          <t>210201</t>
        </is>
      </c>
      <c r="L1393" s="9" t="n">
        <v>67230</v>
      </c>
      <c r="M1393" s="9" t="n">
        <v>63297.045</v>
      </c>
      <c r="N1393" s="9" t="n">
        <v>4740</v>
      </c>
      <c r="O1393" s="9" t="inlineStr">
        <is>
          <t>카페24뉴트리셔스밤라베나 리커버리 15 뉴트리셔스 밤 [HAIR RÉ:COVERY 15 Nutritious Balm]제품선택=뉴트리셔스 밤 3개 세트 10% 추가할인210201</t>
        </is>
      </c>
    </row>
    <row r="1394">
      <c r="B1394" s="10" t="n">
        <v>44261</v>
      </c>
      <c r="C1394" s="9" t="inlineStr">
        <is>
          <t>토</t>
        </is>
      </c>
      <c r="E1394" s="9" t="inlineStr">
        <is>
          <t>뉴트리셔스밤</t>
        </is>
      </c>
      <c r="F1394" s="9" t="inlineStr">
        <is>
          <t>카페24</t>
        </is>
      </c>
      <c r="G1394" s="9" t="inlineStr">
        <is>
          <t>라베나 리커버리 15 뉴트리셔스 밤 [HAIR RÉ:COVERY 15 Nutritious Balm]제품선택=뉴트리셔스밤 1개 + 헤어팩 트리트먼트 1개 세트 5%추가할인</t>
        </is>
      </c>
      <c r="H1394" s="9" t="n">
        <v>1</v>
      </c>
      <c r="I1394" s="9" t="inlineStr">
        <is>
          <t>트리트먼트+뉴트리셔스밤</t>
        </is>
      </c>
      <c r="J1394" s="9" t="inlineStr">
        <is>
          <t>210201</t>
        </is>
      </c>
      <c r="L1394" s="9" t="n">
        <v>48355</v>
      </c>
      <c r="M1394" s="9" t="n">
        <v>45526.2325</v>
      </c>
      <c r="N1394" s="9" t="n">
        <v>3177</v>
      </c>
      <c r="O1394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395">
      <c r="B1395" s="10" t="n">
        <v>44261</v>
      </c>
      <c r="C1395" s="9" t="inlineStr">
        <is>
          <t>토</t>
        </is>
      </c>
      <c r="E1395" s="9" t="inlineStr">
        <is>
          <t>샴푸</t>
        </is>
      </c>
      <c r="F1395" s="9" t="inlineStr">
        <is>
          <t>카페24</t>
        </is>
      </c>
      <c r="G1395" s="9" t="inlineStr">
        <is>
          <t>라베나 리커버리 15 리바이탈 바이오플라보노이드샴푸 [HAIR RÉ:COVERY 15 Revital Shampoo]제품선택=헤어 리커버리 15 리바이탈 샴푸 - 500ml</t>
        </is>
      </c>
      <c r="H1395" s="9" t="n">
        <v>196</v>
      </c>
      <c r="I1395" s="9" t="inlineStr">
        <is>
          <t>리바이탈 샴푸</t>
        </is>
      </c>
      <c r="J1395" s="9" t="inlineStr">
        <is>
          <t>210201</t>
        </is>
      </c>
      <c r="L1395" s="9" t="n">
        <v>5272400</v>
      </c>
      <c r="M1395" s="9" t="n">
        <v>4963964.6</v>
      </c>
      <c r="N1395" s="9" t="n">
        <v>561540</v>
      </c>
      <c r="O139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396">
      <c r="B1396" s="10" t="n">
        <v>44261</v>
      </c>
      <c r="C1396" s="9" t="inlineStr">
        <is>
          <t>토</t>
        </is>
      </c>
      <c r="E1396" s="9" t="inlineStr">
        <is>
          <t>샴푸</t>
        </is>
      </c>
      <c r="F1396" s="9" t="inlineStr">
        <is>
          <t>카페24</t>
        </is>
      </c>
      <c r="G1396" s="9" t="inlineStr">
        <is>
          <t>라베나 리커버리 15 리바이탈 바이오플라보노이드샴푸 [HAIR RÉ:COVERY 15 Revital Shampoo]제품선택=리바이탈 샴푸 2개 세트 5%추가할인</t>
        </is>
      </c>
      <c r="H1396" s="9" t="n">
        <v>54</v>
      </c>
      <c r="I1396" s="9" t="inlineStr">
        <is>
          <t>리바이탈 샴푸 2set</t>
        </is>
      </c>
      <c r="J1396" s="9" t="inlineStr">
        <is>
          <t>210201</t>
        </is>
      </c>
      <c r="L1396" s="9" t="n">
        <v>2759940</v>
      </c>
      <c r="M1396" s="9" t="n">
        <v>2598483.51</v>
      </c>
      <c r="N1396" s="9" t="n">
        <v>309420</v>
      </c>
      <c r="O139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397">
      <c r="B1397" s="10" t="n">
        <v>44261</v>
      </c>
      <c r="C1397" s="9" t="inlineStr">
        <is>
          <t>토</t>
        </is>
      </c>
      <c r="E1397" s="9" t="inlineStr">
        <is>
          <t>샴푸</t>
        </is>
      </c>
      <c r="F1397" s="9" t="inlineStr">
        <is>
          <t>카페24</t>
        </is>
      </c>
      <c r="G1397" s="9" t="inlineStr">
        <is>
          <t>라베나 리커버리 15 리바이탈 바이오플라보노이드샴푸 [HAIR RÉ:COVERY 15 Revital Shampoo]제품선택=리바이탈 샴푸 3개 세트 10% 추가할인</t>
        </is>
      </c>
      <c r="H1397" s="9" t="n">
        <v>25</v>
      </c>
      <c r="I1397" s="9" t="inlineStr">
        <is>
          <t>리바이탈 샴푸 3set</t>
        </is>
      </c>
      <c r="J1397" s="9" t="inlineStr">
        <is>
          <t>210201</t>
        </is>
      </c>
      <c r="L1397" s="9" t="n">
        <v>1815750</v>
      </c>
      <c r="M1397" s="9" t="n">
        <v>1709528.625</v>
      </c>
      <c r="N1397" s="9" t="n">
        <v>214875</v>
      </c>
      <c r="O139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398">
      <c r="B1398" s="10" t="n">
        <v>44261</v>
      </c>
      <c r="C1398" s="9" t="inlineStr">
        <is>
          <t>토</t>
        </is>
      </c>
      <c r="E1398" s="9" t="inlineStr">
        <is>
          <t>트리트먼트</t>
        </is>
      </c>
      <c r="F1398" s="9" t="inlineStr">
        <is>
          <t>카페24</t>
        </is>
      </c>
      <c r="G1398" s="9" t="inlineStr">
        <is>
          <t>라베나 리커버리 15 헤어팩 트리트먼트 [HAIR RÉ:COVERY 15 Hairpack Treatment]제품선택=헤어 리커버리 15 헤어팩 트리트먼트</t>
        </is>
      </c>
      <c r="H1398" s="9" t="n">
        <v>7</v>
      </c>
      <c r="I1398" s="9" t="inlineStr">
        <is>
          <t>트리트먼트</t>
        </is>
      </c>
      <c r="J1398" s="9" t="inlineStr">
        <is>
          <t>210201</t>
        </is>
      </c>
      <c r="L1398" s="9" t="n">
        <v>182000</v>
      </c>
      <c r="M1398" s="9" t="n">
        <v>171353</v>
      </c>
      <c r="N1398" s="9" t="n">
        <v>11179</v>
      </c>
      <c r="O139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399">
      <c r="B1399" s="10" t="n">
        <v>44261</v>
      </c>
      <c r="C1399" s="9" t="inlineStr">
        <is>
          <t>토</t>
        </is>
      </c>
      <c r="E1399" s="9" t="inlineStr">
        <is>
          <t>트리트먼트</t>
        </is>
      </c>
      <c r="F1399" s="9" t="inlineStr">
        <is>
          <t>카페24</t>
        </is>
      </c>
      <c r="G1399" s="9" t="inlineStr">
        <is>
          <t>라베나 리커버리 15 헤어팩 트리트먼트 [HAIR RÉ:COVERY 15 Hairpack Treatment]제품선택=헤어팩 트리트먼트 1개 + 뉴트리셔스밤 1개 세트 5% 추가할인</t>
        </is>
      </c>
      <c r="H1399" s="9" t="n">
        <v>1</v>
      </c>
      <c r="I1399" s="9" t="inlineStr">
        <is>
          <t>트리트먼트+뉴트리셔스밤</t>
        </is>
      </c>
      <c r="J1399" s="9" t="inlineStr">
        <is>
          <t>210201</t>
        </is>
      </c>
      <c r="L1399" s="9" t="n">
        <v>48355</v>
      </c>
      <c r="M1399" s="9" t="n">
        <v>45526.2325</v>
      </c>
      <c r="N1399" s="9" t="n">
        <v>3177</v>
      </c>
      <c r="O1399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400">
      <c r="B1400" s="10" t="n">
        <v>44262</v>
      </c>
      <c r="C1400" s="9" t="inlineStr">
        <is>
          <t>일</t>
        </is>
      </c>
      <c r="E1400" s="9" t="inlineStr">
        <is>
          <t>뉴트리셔스밤</t>
        </is>
      </c>
      <c r="F1400" s="9" t="inlineStr">
        <is>
          <t>카페24</t>
        </is>
      </c>
      <c r="G1400" s="9" t="inlineStr">
        <is>
          <t>라베나 리커버리 15 뉴트리셔스 밤 [HAIR RÉ:COVERY 15 Nutritious Balm]제품선택=헤어 리커버리 15 뉴트리셔스 밤</t>
        </is>
      </c>
      <c r="H1400" s="9" t="n">
        <v>7</v>
      </c>
      <c r="I1400" s="9" t="inlineStr">
        <is>
          <t>뉴트리셔스밤</t>
        </is>
      </c>
      <c r="J1400" s="9" t="inlineStr">
        <is>
          <t>210201</t>
        </is>
      </c>
      <c r="L1400" s="9" t="n">
        <v>174300</v>
      </c>
      <c r="M1400" s="9" t="n">
        <v>164103.45</v>
      </c>
      <c r="N1400" s="9" t="n">
        <v>11060</v>
      </c>
      <c r="O1400" s="9" t="inlineStr">
        <is>
          <t>카페24뉴트리셔스밤라베나 리커버리 15 뉴트리셔스 밤 [HAIR RÉ:COVERY 15 Nutritious Balm]제품선택=헤어 리커버리 15 뉴트리셔스 밤210201</t>
        </is>
      </c>
    </row>
    <row r="1401">
      <c r="B1401" s="10" t="n">
        <v>44262</v>
      </c>
      <c r="C1401" s="9" t="inlineStr">
        <is>
          <t>일</t>
        </is>
      </c>
      <c r="E1401" s="9" t="inlineStr">
        <is>
          <t>뉴트리셔스밤</t>
        </is>
      </c>
      <c r="F1401" s="9" t="inlineStr">
        <is>
          <t>카페24</t>
        </is>
      </c>
      <c r="G1401" s="9" t="inlineStr">
        <is>
          <t>라베나 리커버리 15 뉴트리셔스 밤 [HAIR RÉ:COVERY 15 Nutritious Balm]제품선택=뉴트리셔스 밤 2개 세트 5% 추가할인</t>
        </is>
      </c>
      <c r="H1401" s="9" t="n">
        <v>2</v>
      </c>
      <c r="I1401" s="9" t="inlineStr">
        <is>
          <t>뉴트리셔스밤 2set</t>
        </is>
      </c>
      <c r="J1401" s="9" t="inlineStr">
        <is>
          <t>210201</t>
        </is>
      </c>
      <c r="L1401" s="9" t="n">
        <v>94620</v>
      </c>
      <c r="M1401" s="9" t="n">
        <v>89084.73</v>
      </c>
      <c r="N1401" s="9" t="n">
        <v>6320</v>
      </c>
      <c r="O1401" s="9" t="inlineStr">
        <is>
          <t>카페24뉴트리셔스밤라베나 리커버리 15 뉴트리셔스 밤 [HAIR RÉ:COVERY 15 Nutritious Balm]제품선택=뉴트리셔스 밤 2개 세트 5% 추가할인210201</t>
        </is>
      </c>
    </row>
    <row r="1402">
      <c r="B1402" s="10" t="n">
        <v>44262</v>
      </c>
      <c r="C1402" s="9" t="inlineStr">
        <is>
          <t>일</t>
        </is>
      </c>
      <c r="E1402" s="9" t="inlineStr">
        <is>
          <t>뉴트리셔스밤</t>
        </is>
      </c>
      <c r="F1402" s="9" t="inlineStr">
        <is>
          <t>카페24</t>
        </is>
      </c>
      <c r="G1402" s="9" t="inlineStr">
        <is>
          <t>라베나 리커버리 15 뉴트리셔스 밤 [HAIR RÉ:COVERY 15 Nutritious Balm]제품선택=뉴트리셔스밤 1개 + 헤어팩 트리트먼트 1개 세트 5%추가할인</t>
        </is>
      </c>
      <c r="H1402" s="9" t="n">
        <v>4</v>
      </c>
      <c r="I1402" s="9" t="inlineStr">
        <is>
          <t>트리트먼트+뉴트리셔스밤</t>
        </is>
      </c>
      <c r="J1402" s="9" t="inlineStr">
        <is>
          <t>210201</t>
        </is>
      </c>
      <c r="L1402" s="9" t="n">
        <v>193420</v>
      </c>
      <c r="M1402" s="9" t="n">
        <v>182104.93</v>
      </c>
      <c r="N1402" s="9" t="n">
        <v>12708</v>
      </c>
      <c r="O1402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403">
      <c r="B1403" s="10" t="n">
        <v>44262</v>
      </c>
      <c r="C1403" s="9" t="inlineStr">
        <is>
          <t>일</t>
        </is>
      </c>
      <c r="E1403" s="9" t="inlineStr">
        <is>
          <t>샴푸</t>
        </is>
      </c>
      <c r="F1403" s="9" t="inlineStr">
        <is>
          <t>카페24</t>
        </is>
      </c>
      <c r="G1403" s="9" t="inlineStr">
        <is>
          <t>라베나 리커버리 15 리바이탈 바이오플라보노이드샴푸 [HAIR RÉ:COVERY 15 Revital Shampoo]제품선택=헤어 리커버리 15 리바이탈 샴푸 - 500ml</t>
        </is>
      </c>
      <c r="H1403" s="9" t="n">
        <v>237</v>
      </c>
      <c r="I1403" s="9" t="inlineStr">
        <is>
          <t>리바이탈 샴푸</t>
        </is>
      </c>
      <c r="J1403" s="9" t="inlineStr">
        <is>
          <t>210201</t>
        </is>
      </c>
      <c r="L1403" s="9" t="n">
        <v>6375300</v>
      </c>
      <c r="M1403" s="9" t="n">
        <v>6002344.949999999</v>
      </c>
      <c r="N1403" s="9" t="n">
        <v>679005</v>
      </c>
      <c r="O140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404">
      <c r="B1404" s="10" t="n">
        <v>44262</v>
      </c>
      <c r="C1404" s="9" t="inlineStr">
        <is>
          <t>일</t>
        </is>
      </c>
      <c r="E1404" s="9" t="inlineStr">
        <is>
          <t>샴푸</t>
        </is>
      </c>
      <c r="F1404" s="9" t="inlineStr">
        <is>
          <t>카페24</t>
        </is>
      </c>
      <c r="G1404" s="9" t="inlineStr">
        <is>
          <t>라베나 리커버리 15 리바이탈 바이오플라보노이드샴푸 [HAIR RÉ:COVERY 15 Revital Shampoo]제품선택=리바이탈 샴푸 2개 세트 5%추가할인</t>
        </is>
      </c>
      <c r="H1404" s="9" t="n">
        <v>84</v>
      </c>
      <c r="I1404" s="9" t="inlineStr">
        <is>
          <t>리바이탈 샴푸 2set</t>
        </is>
      </c>
      <c r="J1404" s="9" t="inlineStr">
        <is>
          <t>210201</t>
        </is>
      </c>
      <c r="L1404" s="9" t="n">
        <v>4293240</v>
      </c>
      <c r="M1404" s="9" t="n">
        <v>4042085.46</v>
      </c>
      <c r="N1404" s="9" t="n">
        <v>481320</v>
      </c>
      <c r="O140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405">
      <c r="B1405" s="10" t="n">
        <v>44262</v>
      </c>
      <c r="C1405" s="9" t="inlineStr">
        <is>
          <t>일</t>
        </is>
      </c>
      <c r="E1405" s="9" t="inlineStr">
        <is>
          <t>샴푸</t>
        </is>
      </c>
      <c r="F1405" s="9" t="inlineStr">
        <is>
          <t>카페24</t>
        </is>
      </c>
      <c r="G1405" s="9" t="inlineStr">
        <is>
          <t>라베나 리커버리 15 리바이탈 바이오플라보노이드샴푸 [HAIR RÉ:COVERY 15 Revital Shampoo]제품선택=리바이탈 샴푸 3개 세트 10% 추가할인</t>
        </is>
      </c>
      <c r="H1405" s="9" t="n">
        <v>35</v>
      </c>
      <c r="I1405" s="9" t="inlineStr">
        <is>
          <t>리바이탈 샴푸 3set</t>
        </is>
      </c>
      <c r="J1405" s="9" t="inlineStr">
        <is>
          <t>210201</t>
        </is>
      </c>
      <c r="L1405" s="9" t="n">
        <v>2542050</v>
      </c>
      <c r="M1405" s="9" t="n">
        <v>2393340.075</v>
      </c>
      <c r="N1405" s="9" t="n">
        <v>300825</v>
      </c>
      <c r="O140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406">
      <c r="B1406" s="10" t="n">
        <v>44262</v>
      </c>
      <c r="C1406" s="9" t="inlineStr">
        <is>
          <t>일</t>
        </is>
      </c>
      <c r="E1406" s="9" t="inlineStr">
        <is>
          <t>트리트먼트</t>
        </is>
      </c>
      <c r="F1406" s="9" t="inlineStr">
        <is>
          <t>카페24</t>
        </is>
      </c>
      <c r="G1406" s="9" t="inlineStr">
        <is>
          <t>라베나 리커버리 15 헤어팩 트리트먼트 [HAIR RÉ:COVERY 15 Hairpack Treatment]제품선택=헤어 리커버리 15 헤어팩 트리트먼트</t>
        </is>
      </c>
      <c r="H1406" s="9" t="n">
        <v>9</v>
      </c>
      <c r="I1406" s="9" t="inlineStr">
        <is>
          <t>트리트먼트</t>
        </is>
      </c>
      <c r="J1406" s="9" t="inlineStr">
        <is>
          <t>210201</t>
        </is>
      </c>
      <c r="L1406" s="9" t="n">
        <v>234000</v>
      </c>
      <c r="M1406" s="9" t="n">
        <v>220311</v>
      </c>
      <c r="N1406" s="9" t="n">
        <v>14373</v>
      </c>
      <c r="O140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407">
      <c r="B1407" s="10" t="n">
        <v>44262</v>
      </c>
      <c r="C1407" s="9" t="inlineStr">
        <is>
          <t>일</t>
        </is>
      </c>
      <c r="E1407" s="9" t="inlineStr">
        <is>
          <t>트리트먼트</t>
        </is>
      </c>
      <c r="F1407" s="9" t="inlineStr">
        <is>
          <t>카페24</t>
        </is>
      </c>
      <c r="G1407" s="9" t="inlineStr">
        <is>
          <t>라베나 리커버리 15 헤어팩 트리트먼트 [HAIR RÉ:COVERY 15 Hairpack Treatment]제품선택=헤어팩 트리트먼트 2개 세트 5% 추가할인</t>
        </is>
      </c>
      <c r="H1407" s="9" t="n">
        <v>3</v>
      </c>
      <c r="I1407" s="9" t="inlineStr">
        <is>
          <t>트리트먼트 2set</t>
        </is>
      </c>
      <c r="J1407" s="9" t="inlineStr">
        <is>
          <t>210201</t>
        </is>
      </c>
      <c r="L1407" s="9" t="n">
        <v>148200</v>
      </c>
      <c r="M1407" s="9" t="n">
        <v>139530.3</v>
      </c>
      <c r="N1407" s="9" t="n">
        <v>9582</v>
      </c>
      <c r="O140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408">
      <c r="B1408" s="10" t="n">
        <v>44262</v>
      </c>
      <c r="C1408" s="9" t="inlineStr">
        <is>
          <t>일</t>
        </is>
      </c>
      <c r="E1408" s="9" t="inlineStr">
        <is>
          <t>트리트먼트</t>
        </is>
      </c>
      <c r="F1408" s="9" t="inlineStr">
        <is>
          <t>카페24</t>
        </is>
      </c>
      <c r="G1408" s="9" t="inlineStr">
        <is>
          <t>라베나 리커버리 15 헤어팩 트리트먼트 [HAIR RÉ:COVERY 15 Hairpack Treatment]제품선택=헤어팩 트리트먼트 3개 세트 10% 추가할인</t>
        </is>
      </c>
      <c r="H1408" s="9" t="n">
        <v>2</v>
      </c>
      <c r="I1408" s="9" t="inlineStr">
        <is>
          <t>트리트먼트 3set</t>
        </is>
      </c>
      <c r="J1408" s="9" t="inlineStr">
        <is>
          <t>210201</t>
        </is>
      </c>
      <c r="L1408" s="9" t="n">
        <v>140400</v>
      </c>
      <c r="M1408" s="9" t="n">
        <v>132186.6</v>
      </c>
      <c r="N1408" s="9" t="n">
        <v>9582</v>
      </c>
      <c r="O140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409">
      <c r="A1409" s="9" t="inlineStr">
        <is>
          <t>0302_샴푸_40대단발_시즌2</t>
        </is>
      </c>
      <c r="B1409" s="10" t="n">
        <v>44260</v>
      </c>
      <c r="C1409" s="9" t="inlineStr">
        <is>
          <t>금</t>
        </is>
      </c>
      <c r="D1409" s="9" t="inlineStr">
        <is>
          <t>네이버 GFA</t>
        </is>
      </c>
      <c r="E1409" s="9" t="inlineStr">
        <is>
          <t>샴푸</t>
        </is>
      </c>
      <c r="K1409" s="9">
        <f>625/1.1</f>
        <v/>
      </c>
    </row>
    <row r="1410">
      <c r="A1410" s="9" t="inlineStr">
        <is>
          <t>0224_샴푸-비듬똥균_카드뉴스_임시</t>
        </is>
      </c>
      <c r="B1410" s="10" t="n">
        <v>44257</v>
      </c>
      <c r="C1410" s="9" t="inlineStr">
        <is>
          <t>화</t>
        </is>
      </c>
      <c r="D1410" s="9" t="inlineStr">
        <is>
          <t>페이스북</t>
        </is>
      </c>
      <c r="E1410" s="9" t="inlineStr">
        <is>
          <t>샴푸</t>
        </is>
      </c>
      <c r="K1410" s="9" t="n">
        <v>480950</v>
      </c>
    </row>
    <row r="1411">
      <c r="A1411" s="9" t="inlineStr">
        <is>
          <t>현빈임시테스트</t>
        </is>
      </c>
      <c r="B1411" s="10" t="n">
        <v>44257</v>
      </c>
      <c r="C1411" s="9" t="inlineStr">
        <is>
          <t>화</t>
        </is>
      </c>
      <c r="D1411" s="9" t="inlineStr">
        <is>
          <t>페이스북</t>
        </is>
      </c>
      <c r="E1411" s="9" t="inlineStr">
        <is>
          <t>샴푸</t>
        </is>
      </c>
      <c r="K1411" s="9" t="n">
        <v>48408</v>
      </c>
    </row>
    <row r="1412">
      <c r="A1412" s="9" t="inlineStr">
        <is>
          <t>1201~단장키워드테스트</t>
        </is>
      </c>
      <c r="B1412" s="10" t="n">
        <v>44257</v>
      </c>
      <c r="C1412" s="9" t="inlineStr">
        <is>
          <t>화</t>
        </is>
      </c>
      <c r="D1412" s="9" t="inlineStr">
        <is>
          <t>페이스북</t>
        </is>
      </c>
      <c r="E1412" s="9" t="inlineStr">
        <is>
          <t>샴푸</t>
        </is>
      </c>
      <c r="K1412" s="9" t="n">
        <v>48464</v>
      </c>
    </row>
    <row r="1413">
      <c r="A1413" s="9" t="inlineStr">
        <is>
          <t>11/13 키워드 탐색</t>
        </is>
      </c>
      <c r="B1413" s="10" t="n">
        <v>44257</v>
      </c>
      <c r="C1413" s="9" t="inlineStr">
        <is>
          <t>화</t>
        </is>
      </c>
      <c r="D1413" s="9" t="inlineStr">
        <is>
          <t>페이스북</t>
        </is>
      </c>
      <c r="E1413" s="9" t="inlineStr">
        <is>
          <t>샴푸</t>
        </is>
      </c>
      <c r="K1413" s="9" t="n">
        <v>48199</v>
      </c>
    </row>
    <row r="1414">
      <c r="A1414" s="9" t="inlineStr">
        <is>
          <t>0224_샴푸-비듬똥균_카드뉴스_임시</t>
        </is>
      </c>
      <c r="B1414" s="10" t="n">
        <v>44258</v>
      </c>
      <c r="C1414" s="9" t="inlineStr">
        <is>
          <t>수</t>
        </is>
      </c>
      <c r="D1414" s="9" t="inlineStr">
        <is>
          <t>페이스북</t>
        </is>
      </c>
      <c r="E1414" s="9" t="inlineStr">
        <is>
          <t>샴푸</t>
        </is>
      </c>
      <c r="K1414" s="9" t="n">
        <v>504641</v>
      </c>
    </row>
    <row r="1415">
      <c r="A1415" s="9" t="inlineStr">
        <is>
          <t>현빈임시테스트</t>
        </is>
      </c>
      <c r="B1415" s="10" t="n">
        <v>44258</v>
      </c>
      <c r="C1415" s="9" t="inlineStr">
        <is>
          <t>수</t>
        </is>
      </c>
      <c r="D1415" s="9" t="inlineStr">
        <is>
          <t>페이스북</t>
        </is>
      </c>
      <c r="E1415" s="9" t="inlineStr">
        <is>
          <t>샴푸</t>
        </is>
      </c>
      <c r="K1415" s="9" t="n">
        <v>50205</v>
      </c>
    </row>
    <row r="1416">
      <c r="A1416" s="9" t="inlineStr">
        <is>
          <t>1201~단장키워드테스트</t>
        </is>
      </c>
      <c r="B1416" s="10" t="n">
        <v>44258</v>
      </c>
      <c r="C1416" s="9" t="inlineStr">
        <is>
          <t>수</t>
        </is>
      </c>
      <c r="D1416" s="9" t="inlineStr">
        <is>
          <t>페이스북</t>
        </is>
      </c>
      <c r="E1416" s="9" t="inlineStr">
        <is>
          <t>샴푸</t>
        </is>
      </c>
      <c r="K1416" s="9" t="n">
        <v>50539</v>
      </c>
    </row>
    <row r="1417">
      <c r="A1417" s="9" t="inlineStr">
        <is>
          <t>11/13 키워드 탐색</t>
        </is>
      </c>
      <c r="B1417" s="10" t="n">
        <v>44258</v>
      </c>
      <c r="C1417" s="9" t="inlineStr">
        <is>
          <t>수</t>
        </is>
      </c>
      <c r="D1417" s="9" t="inlineStr">
        <is>
          <t>페이스북</t>
        </is>
      </c>
      <c r="E1417" s="9" t="inlineStr">
        <is>
          <t>샴푸</t>
        </is>
      </c>
      <c r="K1417" s="9" t="n">
        <v>50196</v>
      </c>
    </row>
    <row r="1418">
      <c r="A1418" s="9" t="inlineStr">
        <is>
          <t>0224_샴푸-비듬똥균_카드뉴스_임시</t>
        </is>
      </c>
      <c r="B1418" s="10" t="n">
        <v>44259</v>
      </c>
      <c r="C1418" s="9" t="inlineStr">
        <is>
          <t>목</t>
        </is>
      </c>
      <c r="D1418" s="9" t="inlineStr">
        <is>
          <t>페이스북</t>
        </is>
      </c>
      <c r="E1418" s="9" t="inlineStr">
        <is>
          <t>샴푸</t>
        </is>
      </c>
      <c r="K1418" s="9" t="n">
        <v>506490</v>
      </c>
    </row>
    <row r="1419">
      <c r="A1419" s="9" t="inlineStr">
        <is>
          <t>현빈임시테스트</t>
        </is>
      </c>
      <c r="B1419" s="10" t="n">
        <v>44259</v>
      </c>
      <c r="C1419" s="9" t="inlineStr">
        <is>
          <t>목</t>
        </is>
      </c>
      <c r="D1419" s="9" t="inlineStr">
        <is>
          <t>페이스북</t>
        </is>
      </c>
      <c r="E1419" s="9" t="inlineStr">
        <is>
          <t>샴푸</t>
        </is>
      </c>
      <c r="K1419" s="9" t="n">
        <v>48937</v>
      </c>
    </row>
    <row r="1420">
      <c r="A1420" s="9" t="inlineStr">
        <is>
          <t>1201~단장키워드테스트</t>
        </is>
      </c>
      <c r="B1420" s="10" t="n">
        <v>44259</v>
      </c>
      <c r="C1420" s="9" t="inlineStr">
        <is>
          <t>목</t>
        </is>
      </c>
      <c r="D1420" s="9" t="inlineStr">
        <is>
          <t>페이스북</t>
        </is>
      </c>
      <c r="E1420" s="9" t="inlineStr">
        <is>
          <t>샴푸</t>
        </is>
      </c>
      <c r="K1420" s="9" t="n">
        <v>48593</v>
      </c>
    </row>
    <row r="1421">
      <c r="A1421" s="9" t="inlineStr">
        <is>
          <t>11/13 키워드 탐색</t>
        </is>
      </c>
      <c r="B1421" s="10" t="n">
        <v>44259</v>
      </c>
      <c r="C1421" s="9" t="inlineStr">
        <is>
          <t>목</t>
        </is>
      </c>
      <c r="D1421" s="9" t="inlineStr">
        <is>
          <t>페이스북</t>
        </is>
      </c>
      <c r="E1421" s="9" t="inlineStr">
        <is>
          <t>샴푸</t>
        </is>
      </c>
      <c r="K1421" s="9" t="n">
        <v>50334</v>
      </c>
    </row>
    <row r="1422">
      <c r="A1422" s="9" t="inlineStr">
        <is>
          <t>0224_샴푸-비듬똥균_카드뉴스_임시</t>
        </is>
      </c>
      <c r="B1422" s="10" t="n">
        <v>44260</v>
      </c>
      <c r="C1422" s="9" t="inlineStr">
        <is>
          <t>금</t>
        </is>
      </c>
      <c r="D1422" s="9" t="inlineStr">
        <is>
          <t>페이스북</t>
        </is>
      </c>
      <c r="E1422" s="9" t="inlineStr">
        <is>
          <t>샴푸</t>
        </is>
      </c>
      <c r="K1422" s="9" t="n">
        <v>491569</v>
      </c>
    </row>
    <row r="1423">
      <c r="A1423" s="9" t="inlineStr">
        <is>
          <t>현빈임시테스트</t>
        </is>
      </c>
      <c r="B1423" s="10" t="n">
        <v>44260</v>
      </c>
      <c r="C1423" s="9" t="inlineStr">
        <is>
          <t>금</t>
        </is>
      </c>
      <c r="D1423" s="9" t="inlineStr">
        <is>
          <t>페이스북</t>
        </is>
      </c>
      <c r="E1423" s="9" t="inlineStr">
        <is>
          <t>샴푸</t>
        </is>
      </c>
      <c r="K1423" s="9" t="n">
        <v>50290</v>
      </c>
    </row>
    <row r="1424">
      <c r="A1424" s="9" t="inlineStr">
        <is>
          <t>1201~단장키워드테스트</t>
        </is>
      </c>
      <c r="B1424" s="10" t="n">
        <v>44260</v>
      </c>
      <c r="C1424" s="9" t="inlineStr">
        <is>
          <t>금</t>
        </is>
      </c>
      <c r="D1424" s="9" t="inlineStr">
        <is>
          <t>페이스북</t>
        </is>
      </c>
      <c r="E1424" s="9" t="inlineStr">
        <is>
          <t>샴푸</t>
        </is>
      </c>
      <c r="K1424" s="9" t="n">
        <v>50627</v>
      </c>
    </row>
    <row r="1425">
      <c r="A1425" s="9" t="inlineStr">
        <is>
          <t>11/13 키워드 탐색</t>
        </is>
      </c>
      <c r="B1425" s="10" t="n">
        <v>44260</v>
      </c>
      <c r="C1425" s="9" t="inlineStr">
        <is>
          <t>금</t>
        </is>
      </c>
      <c r="D1425" s="9" t="inlineStr">
        <is>
          <t>페이스북</t>
        </is>
      </c>
      <c r="E1425" s="9" t="inlineStr">
        <is>
          <t>샴푸</t>
        </is>
      </c>
      <c r="K1425" s="9" t="n">
        <v>49341</v>
      </c>
    </row>
    <row r="1426">
      <c r="A1426" s="9" t="inlineStr">
        <is>
          <t>0224_샴푸-비듬똥균_카드뉴스_임시</t>
        </is>
      </c>
      <c r="B1426" s="10" t="n">
        <v>44261</v>
      </c>
      <c r="C1426" s="9" t="inlineStr">
        <is>
          <t>토</t>
        </is>
      </c>
      <c r="D1426" s="9" t="inlineStr">
        <is>
          <t>페이스북</t>
        </is>
      </c>
      <c r="E1426" s="9" t="inlineStr">
        <is>
          <t>샴푸</t>
        </is>
      </c>
      <c r="K1426" s="9" t="n">
        <v>516330</v>
      </c>
    </row>
    <row r="1427">
      <c r="A1427" s="9" t="inlineStr">
        <is>
          <t>현빈임시테스트</t>
        </is>
      </c>
      <c r="B1427" s="10" t="n">
        <v>44261</v>
      </c>
      <c r="C1427" s="9" t="inlineStr">
        <is>
          <t>토</t>
        </is>
      </c>
      <c r="D1427" s="9" t="inlineStr">
        <is>
          <t>페이스북</t>
        </is>
      </c>
      <c r="E1427" s="9" t="inlineStr">
        <is>
          <t>샴푸</t>
        </is>
      </c>
      <c r="K1427" s="9" t="n">
        <v>50509</v>
      </c>
    </row>
    <row r="1428">
      <c r="A1428" s="9" t="inlineStr">
        <is>
          <t>1201~단장키워드테스트</t>
        </is>
      </c>
      <c r="B1428" s="10" t="n">
        <v>44261</v>
      </c>
      <c r="C1428" s="9" t="inlineStr">
        <is>
          <t>토</t>
        </is>
      </c>
      <c r="D1428" s="9" t="inlineStr">
        <is>
          <t>페이스북</t>
        </is>
      </c>
      <c r="E1428" s="9" t="inlineStr">
        <is>
          <t>샴푸</t>
        </is>
      </c>
      <c r="K1428" s="9" t="n">
        <v>51030</v>
      </c>
    </row>
    <row r="1429">
      <c r="A1429" s="9" t="inlineStr">
        <is>
          <t>11/13 키워드 탐색</t>
        </is>
      </c>
      <c r="B1429" s="10" t="n">
        <v>44261</v>
      </c>
      <c r="C1429" s="9" t="inlineStr">
        <is>
          <t>토</t>
        </is>
      </c>
      <c r="D1429" s="9" t="inlineStr">
        <is>
          <t>페이스북</t>
        </is>
      </c>
      <c r="E1429" s="9" t="inlineStr">
        <is>
          <t>샴푸</t>
        </is>
      </c>
      <c r="K1429" s="9" t="n">
        <v>51702</v>
      </c>
    </row>
    <row r="1430">
      <c r="A1430" s="9" t="inlineStr">
        <is>
          <t>0224_샴푸-비듬똥균_카드뉴스_임시</t>
        </is>
      </c>
      <c r="B1430" s="10" t="n">
        <v>44262</v>
      </c>
      <c r="C1430" s="9" t="inlineStr">
        <is>
          <t>일</t>
        </is>
      </c>
      <c r="D1430" s="9" t="inlineStr">
        <is>
          <t>페이스북</t>
        </is>
      </c>
      <c r="E1430" s="9" t="inlineStr">
        <is>
          <t>샴푸</t>
        </is>
      </c>
      <c r="K1430" s="9" t="n">
        <v>500921</v>
      </c>
    </row>
    <row r="1431">
      <c r="A1431" s="9" t="inlineStr">
        <is>
          <t>현빈임시테스트</t>
        </is>
      </c>
      <c r="B1431" s="10" t="n">
        <v>44262</v>
      </c>
      <c r="C1431" s="9" t="inlineStr">
        <is>
          <t>일</t>
        </is>
      </c>
      <c r="D1431" s="9" t="inlineStr">
        <is>
          <t>페이스북</t>
        </is>
      </c>
      <c r="E1431" s="9" t="inlineStr">
        <is>
          <t>샴푸</t>
        </is>
      </c>
      <c r="K1431" s="9" t="n">
        <v>50719</v>
      </c>
    </row>
    <row r="1432">
      <c r="A1432" s="9" t="inlineStr">
        <is>
          <t>1201~단장키워드테스트</t>
        </is>
      </c>
      <c r="B1432" s="10" t="n">
        <v>44262</v>
      </c>
      <c r="C1432" s="9" t="inlineStr">
        <is>
          <t>일</t>
        </is>
      </c>
      <c r="D1432" s="9" t="inlineStr">
        <is>
          <t>페이스북</t>
        </is>
      </c>
      <c r="E1432" s="9" t="inlineStr">
        <is>
          <t>샴푸</t>
        </is>
      </c>
      <c r="K1432" s="9" t="n">
        <v>50320</v>
      </c>
    </row>
    <row r="1433">
      <c r="A1433" s="9" t="inlineStr">
        <is>
          <t>11/13 키워드 탐색</t>
        </is>
      </c>
      <c r="B1433" s="10" t="n">
        <v>44262</v>
      </c>
      <c r="C1433" s="9" t="inlineStr">
        <is>
          <t>일</t>
        </is>
      </c>
      <c r="D1433" s="9" t="inlineStr">
        <is>
          <t>페이스북</t>
        </is>
      </c>
      <c r="E1433" s="9" t="inlineStr">
        <is>
          <t>샴푸</t>
        </is>
      </c>
      <c r="K1433" s="9" t="n">
        <v>50260</v>
      </c>
    </row>
    <row r="1434">
      <c r="A1434" s="9" t="inlineStr">
        <is>
          <t>0118_샴푸_비듬똥균_4차</t>
        </is>
      </c>
      <c r="B1434" s="10" t="n">
        <v>44257</v>
      </c>
      <c r="C1434" s="9" t="inlineStr">
        <is>
          <t>화</t>
        </is>
      </c>
      <c r="D1434" s="9" t="inlineStr">
        <is>
          <t>유튜브</t>
        </is>
      </c>
      <c r="E1434" s="9" t="inlineStr">
        <is>
          <t>샴푸</t>
        </is>
      </c>
      <c r="K1434" s="9" t="n">
        <v>197304</v>
      </c>
    </row>
    <row r="1435">
      <c r="A1435" s="9" t="inlineStr">
        <is>
          <t>0127_GDN_비듬샴푸_잠재고객</t>
        </is>
      </c>
      <c r="B1435" s="10" t="n">
        <v>44257</v>
      </c>
      <c r="C1435" s="9" t="inlineStr">
        <is>
          <t>화</t>
        </is>
      </c>
      <c r="D1435" s="9" t="inlineStr">
        <is>
          <t>GDN</t>
        </is>
      </c>
      <c r="E1435" s="9" t="inlineStr">
        <is>
          <t>샴푸</t>
        </is>
      </c>
      <c r="K1435" s="9" t="n">
        <v>95082</v>
      </c>
    </row>
    <row r="1436">
      <c r="A1436" s="9" t="inlineStr">
        <is>
          <t>0217_샴푸_비듬똥균_5차</t>
        </is>
      </c>
      <c r="B1436" s="10" t="n">
        <v>44257</v>
      </c>
      <c r="C1436" s="9" t="inlineStr">
        <is>
          <t>화</t>
        </is>
      </c>
      <c r="D1436" s="9" t="inlineStr">
        <is>
          <t>유튜브</t>
        </is>
      </c>
      <c r="E1436" s="9" t="inlineStr">
        <is>
          <t>샴푸</t>
        </is>
      </c>
      <c r="K1436" s="9" t="n">
        <v>2781364</v>
      </c>
    </row>
    <row r="1437">
      <c r="A1437" s="9" t="inlineStr">
        <is>
          <t>0118_샴푸_비듬똥균_4차</t>
        </is>
      </c>
      <c r="B1437" s="10" t="n">
        <v>44258</v>
      </c>
      <c r="C1437" s="9" t="inlineStr">
        <is>
          <t>수</t>
        </is>
      </c>
      <c r="D1437" s="9" t="inlineStr">
        <is>
          <t>유튜브</t>
        </is>
      </c>
      <c r="E1437" s="9" t="inlineStr">
        <is>
          <t>샴푸</t>
        </is>
      </c>
      <c r="K1437" s="9" t="n">
        <v>57634</v>
      </c>
    </row>
    <row r="1438">
      <c r="A1438" s="9" t="inlineStr">
        <is>
          <t>0127_GDN_비듬샴푸_잠재고객</t>
        </is>
      </c>
      <c r="B1438" s="10" t="n">
        <v>44258</v>
      </c>
      <c r="C1438" s="9" t="inlineStr">
        <is>
          <t>수</t>
        </is>
      </c>
      <c r="D1438" s="9" t="inlineStr">
        <is>
          <t>GDN</t>
        </is>
      </c>
      <c r="E1438" s="9" t="inlineStr">
        <is>
          <t>샴푸</t>
        </is>
      </c>
      <c r="K1438" s="9" t="n">
        <v>80192</v>
      </c>
    </row>
    <row r="1439">
      <c r="A1439" s="9" t="inlineStr">
        <is>
          <t>0217_샴푸_비듬똥균_5차</t>
        </is>
      </c>
      <c r="B1439" s="10" t="n">
        <v>44258</v>
      </c>
      <c r="C1439" s="9" t="inlineStr">
        <is>
          <t>수</t>
        </is>
      </c>
      <c r="D1439" s="9" t="inlineStr">
        <is>
          <t>유튜브</t>
        </is>
      </c>
      <c r="E1439" s="9" t="inlineStr">
        <is>
          <t>샴푸</t>
        </is>
      </c>
      <c r="K1439" s="9" t="n">
        <v>3894205</v>
      </c>
    </row>
    <row r="1440">
      <c r="A1440" s="9" t="inlineStr">
        <is>
          <t>0303_샴푸_검색광고</t>
        </is>
      </c>
      <c r="B1440" s="10" t="n">
        <v>44258</v>
      </c>
      <c r="C1440" s="9" t="inlineStr">
        <is>
          <t>수</t>
        </is>
      </c>
      <c r="D1440" s="9" t="inlineStr">
        <is>
          <t>구글 검색</t>
        </is>
      </c>
      <c r="E1440" s="9" t="inlineStr">
        <is>
          <t>샴푸</t>
        </is>
      </c>
      <c r="K1440" s="9" t="n">
        <v>10136</v>
      </c>
    </row>
    <row r="1441">
      <c r="A1441" s="9" t="inlineStr">
        <is>
          <t>0303_샴푸_인스트림_동영상전환수</t>
        </is>
      </c>
      <c r="B1441" s="10" t="n">
        <v>44258</v>
      </c>
      <c r="C1441" s="9" t="inlineStr">
        <is>
          <t>수</t>
        </is>
      </c>
      <c r="D1441" s="9" t="inlineStr">
        <is>
          <t>유튜브</t>
        </is>
      </c>
      <c r="E1441" s="9" t="inlineStr">
        <is>
          <t>샴푸</t>
        </is>
      </c>
      <c r="K1441" s="9" t="n">
        <v>99910</v>
      </c>
    </row>
    <row r="1442">
      <c r="A1442" s="9" t="inlineStr">
        <is>
          <t>0118_샴푸_비듬똥균_4차</t>
        </is>
      </c>
      <c r="B1442" s="10" t="n">
        <v>44259</v>
      </c>
      <c r="C1442" s="9" t="inlineStr">
        <is>
          <t>목</t>
        </is>
      </c>
      <c r="D1442" s="9" t="inlineStr">
        <is>
          <t>유튜브</t>
        </is>
      </c>
      <c r="E1442" s="9" t="inlineStr">
        <is>
          <t>샴푸</t>
        </is>
      </c>
      <c r="K1442" s="9" t="n">
        <v>50316</v>
      </c>
    </row>
    <row r="1443">
      <c r="A1443" s="9" t="inlineStr">
        <is>
          <t>0127_GDN_비듬샴푸_잠재고객</t>
        </is>
      </c>
      <c r="B1443" s="10" t="n">
        <v>44259</v>
      </c>
      <c r="C1443" s="9" t="inlineStr">
        <is>
          <t>목</t>
        </is>
      </c>
      <c r="D1443" s="9" t="inlineStr">
        <is>
          <t>GDN</t>
        </is>
      </c>
      <c r="E1443" s="9" t="inlineStr">
        <is>
          <t>샴푸</t>
        </is>
      </c>
      <c r="K1443" s="9" t="n">
        <v>124711</v>
      </c>
    </row>
    <row r="1444">
      <c r="A1444" s="9" t="inlineStr">
        <is>
          <t>0217_샴푸_비듬똥균_5차</t>
        </is>
      </c>
      <c r="B1444" s="10" t="n">
        <v>44259</v>
      </c>
      <c r="C1444" s="9" t="inlineStr">
        <is>
          <t>목</t>
        </is>
      </c>
      <c r="D1444" s="9" t="inlineStr">
        <is>
          <t>유튜브</t>
        </is>
      </c>
      <c r="E1444" s="9" t="inlineStr">
        <is>
          <t>샴푸</t>
        </is>
      </c>
      <c r="K1444" s="9" t="n">
        <v>917009</v>
      </c>
    </row>
    <row r="1445">
      <c r="A1445" s="9" t="inlineStr">
        <is>
          <t>0303_샴푸_검색광고</t>
        </is>
      </c>
      <c r="B1445" s="10" t="n">
        <v>44259</v>
      </c>
      <c r="C1445" s="9" t="inlineStr">
        <is>
          <t>목</t>
        </is>
      </c>
      <c r="D1445" s="9" t="inlineStr">
        <is>
          <t>구글 검색</t>
        </is>
      </c>
      <c r="E1445" s="9" t="inlineStr">
        <is>
          <t>샴푸</t>
        </is>
      </c>
      <c r="K1445" s="9" t="n">
        <v>30681</v>
      </c>
    </row>
    <row r="1446">
      <c r="A1446" s="9" t="inlineStr">
        <is>
          <t>0303_샴푸_인스트림_동영상전환수</t>
        </is>
      </c>
      <c r="B1446" s="10" t="n">
        <v>44259</v>
      </c>
      <c r="C1446" s="9" t="inlineStr">
        <is>
          <t>목</t>
        </is>
      </c>
      <c r="D1446" s="9" t="inlineStr">
        <is>
          <t>유튜브</t>
        </is>
      </c>
      <c r="E1446" s="9" t="inlineStr">
        <is>
          <t>샴푸</t>
        </is>
      </c>
      <c r="K1446" s="9" t="n">
        <v>709930</v>
      </c>
    </row>
    <row r="1447">
      <c r="A1447" s="9" t="inlineStr">
        <is>
          <t>0304_샴푸_VAC</t>
        </is>
      </c>
      <c r="B1447" s="10" t="n">
        <v>44259</v>
      </c>
      <c r="C1447" s="9" t="inlineStr">
        <is>
          <t>목</t>
        </is>
      </c>
      <c r="D1447" s="9" t="inlineStr">
        <is>
          <t>유튜브</t>
        </is>
      </c>
      <c r="E1447" s="9" t="inlineStr">
        <is>
          <t>샴푸</t>
        </is>
      </c>
      <c r="K1447" s="9" t="n">
        <v>331582</v>
      </c>
    </row>
    <row r="1448">
      <c r="A1448" s="9" t="inlineStr">
        <is>
          <t>0118_샴푸_비듬똥균_4차</t>
        </is>
      </c>
      <c r="B1448" s="10" t="n">
        <v>44260</v>
      </c>
      <c r="C1448" s="9" t="inlineStr">
        <is>
          <t>금</t>
        </is>
      </c>
      <c r="D1448" s="9" t="inlineStr">
        <is>
          <t>유튜브</t>
        </is>
      </c>
      <c r="E1448" s="9" t="inlineStr">
        <is>
          <t>샴푸</t>
        </is>
      </c>
      <c r="K1448" s="9" t="n">
        <v>30653</v>
      </c>
    </row>
    <row r="1449">
      <c r="A1449" s="9" t="inlineStr">
        <is>
          <t>0127_GDN_비듬샴푸_잠재고객</t>
        </is>
      </c>
      <c r="B1449" s="10" t="n">
        <v>44260</v>
      </c>
      <c r="C1449" s="9" t="inlineStr">
        <is>
          <t>금</t>
        </is>
      </c>
      <c r="D1449" s="9" t="inlineStr">
        <is>
          <t>GDN</t>
        </is>
      </c>
      <c r="E1449" s="9" t="inlineStr">
        <is>
          <t>샴푸</t>
        </is>
      </c>
      <c r="K1449" s="9" t="n">
        <v>97418</v>
      </c>
    </row>
    <row r="1450">
      <c r="A1450" s="9" t="inlineStr">
        <is>
          <t>0217_샴푸_비듬똥균_5차</t>
        </is>
      </c>
      <c r="B1450" s="10" t="n">
        <v>44260</v>
      </c>
      <c r="C1450" s="9" t="inlineStr">
        <is>
          <t>금</t>
        </is>
      </c>
      <c r="D1450" s="9" t="inlineStr">
        <is>
          <t>유튜브</t>
        </is>
      </c>
      <c r="E1450" s="9" t="inlineStr">
        <is>
          <t>샴푸</t>
        </is>
      </c>
      <c r="K1450" s="9" t="n">
        <v>510751</v>
      </c>
    </row>
    <row r="1451">
      <c r="A1451" s="9" t="inlineStr">
        <is>
          <t>0303_샴푸_인스트림_동영상전환수</t>
        </is>
      </c>
      <c r="B1451" s="10" t="n">
        <v>44260</v>
      </c>
      <c r="C1451" s="9" t="inlineStr">
        <is>
          <t>금</t>
        </is>
      </c>
      <c r="D1451" s="9" t="inlineStr">
        <is>
          <t>유튜브</t>
        </is>
      </c>
      <c r="E1451" s="9" t="inlineStr">
        <is>
          <t>샴푸</t>
        </is>
      </c>
      <c r="K1451" s="9" t="n">
        <v>1792166</v>
      </c>
    </row>
    <row r="1452">
      <c r="A1452" s="9" t="inlineStr">
        <is>
          <t>0305_샴푸_인스트림_타겟CPA</t>
        </is>
      </c>
      <c r="B1452" s="10" t="n">
        <v>44260</v>
      </c>
      <c r="C1452" s="9" t="inlineStr">
        <is>
          <t>금</t>
        </is>
      </c>
      <c r="D1452" s="9" t="inlineStr">
        <is>
          <t>유튜브</t>
        </is>
      </c>
      <c r="E1452" s="9" t="inlineStr">
        <is>
          <t>샴푸</t>
        </is>
      </c>
      <c r="K1452" s="9" t="n">
        <v>1460</v>
      </c>
    </row>
    <row r="1453">
      <c r="A1453" s="9" t="inlineStr">
        <is>
          <t>0118_샴푸_비듬똥균_4차</t>
        </is>
      </c>
      <c r="B1453" s="10" t="n">
        <v>44261</v>
      </c>
      <c r="C1453" s="9" t="inlineStr">
        <is>
          <t>토</t>
        </is>
      </c>
      <c r="D1453" s="9" t="inlineStr">
        <is>
          <t>유튜브</t>
        </is>
      </c>
      <c r="E1453" s="9" t="inlineStr">
        <is>
          <t>샴푸</t>
        </is>
      </c>
      <c r="K1453" s="9" t="n">
        <v>35241</v>
      </c>
    </row>
    <row r="1454">
      <c r="A1454" s="9" t="inlineStr">
        <is>
          <t>0127_GDN_비듬샴푸_잠재고객</t>
        </is>
      </c>
      <c r="B1454" s="10" t="n">
        <v>44261</v>
      </c>
      <c r="C1454" s="9" t="inlineStr">
        <is>
          <t>토</t>
        </is>
      </c>
      <c r="D1454" s="9" t="inlineStr">
        <is>
          <t>GDN</t>
        </is>
      </c>
      <c r="E1454" s="9" t="inlineStr">
        <is>
          <t>샴푸</t>
        </is>
      </c>
      <c r="K1454" s="9" t="n">
        <v>98835</v>
      </c>
    </row>
    <row r="1455">
      <c r="A1455" s="9" t="inlineStr">
        <is>
          <t>0217_샴푸_비듬똥균_5차</t>
        </is>
      </c>
      <c r="B1455" s="10" t="n">
        <v>44261</v>
      </c>
      <c r="C1455" s="9" t="inlineStr">
        <is>
          <t>토</t>
        </is>
      </c>
      <c r="D1455" s="9" t="inlineStr">
        <is>
          <t>유튜브</t>
        </is>
      </c>
      <c r="E1455" s="9" t="inlineStr">
        <is>
          <t>샴푸</t>
        </is>
      </c>
      <c r="K1455" s="9" t="n">
        <v>56813</v>
      </c>
    </row>
    <row r="1456">
      <c r="A1456" s="9" t="inlineStr">
        <is>
          <t>0303_샴푸_인스트림_동영상전환수</t>
        </is>
      </c>
      <c r="B1456" s="10" t="n">
        <v>44261</v>
      </c>
      <c r="C1456" s="9" t="inlineStr">
        <is>
          <t>토</t>
        </is>
      </c>
      <c r="D1456" s="9" t="inlineStr">
        <is>
          <t>유튜브</t>
        </is>
      </c>
      <c r="E1456" s="9" t="inlineStr">
        <is>
          <t>샴푸</t>
        </is>
      </c>
      <c r="K1456" s="9" t="n">
        <v>1797407</v>
      </c>
    </row>
    <row r="1457">
      <c r="A1457" s="9" t="inlineStr">
        <is>
          <t>0305_샴푸_인스트림_타겟CPA</t>
        </is>
      </c>
      <c r="B1457" s="10" t="n">
        <v>44261</v>
      </c>
      <c r="C1457" s="9" t="inlineStr">
        <is>
          <t>토</t>
        </is>
      </c>
      <c r="D1457" s="9" t="inlineStr">
        <is>
          <t>유튜브</t>
        </is>
      </c>
      <c r="E1457" s="9" t="inlineStr">
        <is>
          <t>샴푸</t>
        </is>
      </c>
      <c r="K1457" s="9" t="n">
        <v>60099</v>
      </c>
    </row>
    <row r="1458">
      <c r="A1458" s="9" t="inlineStr">
        <is>
          <t>0118_샴푸_비듬똥균_4차</t>
        </is>
      </c>
      <c r="B1458" s="10" t="n">
        <v>44262</v>
      </c>
      <c r="C1458" s="9" t="inlineStr">
        <is>
          <t>일</t>
        </is>
      </c>
      <c r="D1458" s="9" t="inlineStr">
        <is>
          <t>유튜브</t>
        </is>
      </c>
      <c r="E1458" s="9" t="inlineStr">
        <is>
          <t>샴푸</t>
        </is>
      </c>
      <c r="K1458" s="9" t="n">
        <v>1509310</v>
      </c>
    </row>
    <row r="1459">
      <c r="A1459" s="9" t="inlineStr">
        <is>
          <t>0127_GDN_비듬샴푸_잠재고객</t>
        </is>
      </c>
      <c r="B1459" s="10" t="n">
        <v>44262</v>
      </c>
      <c r="C1459" s="9" t="inlineStr">
        <is>
          <t>일</t>
        </is>
      </c>
      <c r="D1459" s="9" t="inlineStr">
        <is>
          <t>GDN</t>
        </is>
      </c>
      <c r="E1459" s="9" t="inlineStr">
        <is>
          <t>샴푸</t>
        </is>
      </c>
      <c r="K1459" s="9" t="n">
        <v>97784</v>
      </c>
    </row>
    <row r="1460">
      <c r="A1460" s="9" t="inlineStr">
        <is>
          <t>0303_샴푸_인스트림_동영상전환수</t>
        </is>
      </c>
      <c r="B1460" s="10" t="n">
        <v>44262</v>
      </c>
      <c r="C1460" s="9" t="inlineStr">
        <is>
          <t>일</t>
        </is>
      </c>
      <c r="D1460" s="9" t="inlineStr">
        <is>
          <t>유튜브</t>
        </is>
      </c>
      <c r="E1460" s="9" t="inlineStr">
        <is>
          <t>샴푸</t>
        </is>
      </c>
      <c r="K1460" s="9" t="n">
        <v>1802829</v>
      </c>
    </row>
    <row r="1461">
      <c r="A1461" s="9" t="inlineStr">
        <is>
          <t>0305_샴푸_인스트림_타겟CPA</t>
        </is>
      </c>
      <c r="B1461" s="10" t="n">
        <v>44262</v>
      </c>
      <c r="C1461" s="9" t="inlineStr">
        <is>
          <t>일</t>
        </is>
      </c>
      <c r="D1461" s="9" t="inlineStr">
        <is>
          <t>유튜브</t>
        </is>
      </c>
      <c r="E1461" s="9" t="inlineStr">
        <is>
          <t>샴푸</t>
        </is>
      </c>
      <c r="K1461" s="9" t="n">
        <v>570944</v>
      </c>
    </row>
    <row r="1462">
      <c r="A1462" s="9" t="inlineStr">
        <is>
          <t>라베나 파워링크_샴푸_광고그룹#1</t>
        </is>
      </c>
      <c r="B1462" s="10" t="n">
        <v>44262</v>
      </c>
      <c r="C1462" s="9" t="inlineStr">
        <is>
          <t>일</t>
        </is>
      </c>
      <c r="D1462" s="9" t="inlineStr">
        <is>
          <t>네이버 검색</t>
        </is>
      </c>
      <c r="E1462" s="9" t="inlineStr">
        <is>
          <t>샴푸</t>
        </is>
      </c>
      <c r="K1462" s="9" t="n">
        <v>2650</v>
      </c>
    </row>
    <row r="1463">
      <c r="A1463" s="9" t="inlineStr">
        <is>
          <t>라베나 파워링크_샴푸#1_유튜브키워드기반</t>
        </is>
      </c>
      <c r="B1463" s="10" t="n">
        <v>44262</v>
      </c>
      <c r="C1463" s="9" t="inlineStr">
        <is>
          <t>일</t>
        </is>
      </c>
      <c r="D1463" s="9" t="inlineStr">
        <is>
          <t>네이버 검색</t>
        </is>
      </c>
      <c r="E1463" s="9" t="inlineStr">
        <is>
          <t>샴푸</t>
        </is>
      </c>
      <c r="K1463" s="9" t="n">
        <v>56349.99999999999</v>
      </c>
    </row>
    <row r="1464">
      <c r="A1464" s="9" t="inlineStr">
        <is>
          <t>샴푸_쇼핑검색#1_광고그룹#1</t>
        </is>
      </c>
      <c r="B1464" s="10" t="n">
        <v>44262</v>
      </c>
      <c r="C1464" s="9" t="inlineStr">
        <is>
          <t>일</t>
        </is>
      </c>
      <c r="D1464" s="9" t="inlineStr">
        <is>
          <t>네이버 검색</t>
        </is>
      </c>
      <c r="E1464" s="9" t="inlineStr">
        <is>
          <t>샴푸</t>
        </is>
      </c>
      <c r="K1464" s="9" t="n">
        <v>1070</v>
      </c>
    </row>
    <row r="1465">
      <c r="A1465" s="9" t="inlineStr">
        <is>
          <t>파워컨텐츠#1_비듬샴푸</t>
        </is>
      </c>
      <c r="B1465" s="10" t="n">
        <v>44262</v>
      </c>
      <c r="C1465" s="9" t="inlineStr">
        <is>
          <t>일</t>
        </is>
      </c>
      <c r="D1465" s="9" t="inlineStr">
        <is>
          <t>네이버 검색</t>
        </is>
      </c>
      <c r="E1465" s="9" t="inlineStr">
        <is>
          <t>샴푸</t>
        </is>
      </c>
      <c r="K1465" s="9" t="n">
        <v>140</v>
      </c>
    </row>
    <row r="1466">
      <c r="A1466" s="9" t="inlineStr">
        <is>
          <t>라베나 파워링크_샴푸_광고그룹#1</t>
        </is>
      </c>
      <c r="B1466" s="10" t="n">
        <v>44261</v>
      </c>
      <c r="C1466" s="9" t="inlineStr">
        <is>
          <t>토</t>
        </is>
      </c>
      <c r="D1466" s="9" t="inlineStr">
        <is>
          <t>네이버 검색</t>
        </is>
      </c>
      <c r="E1466" s="9" t="inlineStr">
        <is>
          <t>샴푸</t>
        </is>
      </c>
      <c r="K1466" s="9" t="n">
        <v>2740</v>
      </c>
    </row>
    <row r="1467">
      <c r="A1467" s="9" t="inlineStr">
        <is>
          <t>라베나 파워링크_샴푸#1_유튜브키워드기반</t>
        </is>
      </c>
      <c r="B1467" s="10" t="n">
        <v>44261</v>
      </c>
      <c r="C1467" s="9" t="inlineStr">
        <is>
          <t>토</t>
        </is>
      </c>
      <c r="D1467" s="9" t="inlineStr">
        <is>
          <t>네이버 검색</t>
        </is>
      </c>
      <c r="E1467" s="9" t="inlineStr">
        <is>
          <t>샴푸</t>
        </is>
      </c>
      <c r="K1467" s="9" t="n">
        <v>31350</v>
      </c>
    </row>
    <row r="1468">
      <c r="A1468" s="9" t="inlineStr">
        <is>
          <t>샴푸_쇼핑검색#1_광고그룹#1</t>
        </is>
      </c>
      <c r="B1468" s="10" t="n">
        <v>44261</v>
      </c>
      <c r="C1468" s="9" t="inlineStr">
        <is>
          <t>토</t>
        </is>
      </c>
      <c r="D1468" s="9" t="inlineStr">
        <is>
          <t>네이버 검색</t>
        </is>
      </c>
      <c r="E1468" s="9" t="inlineStr">
        <is>
          <t>샴푸</t>
        </is>
      </c>
      <c r="K1468" s="9" t="n">
        <v>1920</v>
      </c>
    </row>
    <row r="1469">
      <c r="A1469" s="9" t="inlineStr">
        <is>
          <t>파워컨텐츠#1_비듬샴푸</t>
        </is>
      </c>
      <c r="B1469" s="10" t="n">
        <v>44261</v>
      </c>
      <c r="C1469" s="9" t="inlineStr">
        <is>
          <t>토</t>
        </is>
      </c>
      <c r="D1469" s="9" t="inlineStr">
        <is>
          <t>네이버 검색</t>
        </is>
      </c>
      <c r="E1469" s="9" t="inlineStr">
        <is>
          <t>샴푸</t>
        </is>
      </c>
      <c r="K1469" s="9" t="n">
        <v>70</v>
      </c>
    </row>
    <row r="1470">
      <c r="A1470" s="9" t="inlineStr">
        <is>
          <t>0303_샴푸_비듬</t>
        </is>
      </c>
      <c r="B1470" s="10" t="n">
        <v>44260</v>
      </c>
      <c r="C1470" s="9" t="inlineStr">
        <is>
          <t>금</t>
        </is>
      </c>
      <c r="D1470" s="9" t="inlineStr">
        <is>
          <t>네이버 GFA</t>
        </is>
      </c>
      <c r="E1470" s="9" t="inlineStr">
        <is>
          <t>샴푸</t>
        </is>
      </c>
      <c r="K1470" s="9" t="n">
        <v>568.1818181818181</v>
      </c>
    </row>
    <row r="1471">
      <c r="A1471" s="9" t="inlineStr">
        <is>
          <t>라베나 파워링크_샴푸_광고그룹#1</t>
        </is>
      </c>
      <c r="B1471" s="10" t="n">
        <v>44260</v>
      </c>
      <c r="C1471" s="9" t="inlineStr">
        <is>
          <t>금</t>
        </is>
      </c>
      <c r="D1471" s="9" t="inlineStr">
        <is>
          <t>네이버 검색</t>
        </is>
      </c>
      <c r="E1471" s="9" t="inlineStr">
        <is>
          <t>샴푸</t>
        </is>
      </c>
      <c r="K1471" s="9" t="n">
        <v>3810</v>
      </c>
    </row>
    <row r="1472">
      <c r="A1472" s="9" t="inlineStr">
        <is>
          <t>라베나 파워링크_샴푸#1_유튜브키워드기반</t>
        </is>
      </c>
      <c r="B1472" s="10" t="n">
        <v>44260</v>
      </c>
      <c r="C1472" s="9" t="inlineStr">
        <is>
          <t>금</t>
        </is>
      </c>
      <c r="D1472" s="9" t="inlineStr">
        <is>
          <t>네이버 검색</t>
        </is>
      </c>
      <c r="E1472" s="9" t="inlineStr">
        <is>
          <t>샴푸</t>
        </is>
      </c>
      <c r="K1472" s="9" t="n">
        <v>30210</v>
      </c>
    </row>
    <row r="1473">
      <c r="A1473" s="9" t="inlineStr">
        <is>
          <t>샴푸_쇼핑검색#1_광고그룹#1</t>
        </is>
      </c>
      <c r="B1473" s="10" t="n">
        <v>44260</v>
      </c>
      <c r="C1473" s="9" t="inlineStr">
        <is>
          <t>금</t>
        </is>
      </c>
      <c r="D1473" s="9" t="inlineStr">
        <is>
          <t>네이버 검색</t>
        </is>
      </c>
      <c r="E1473" s="9" t="inlineStr">
        <is>
          <t>샴푸</t>
        </is>
      </c>
      <c r="K1473" s="9" t="n">
        <v>0</v>
      </c>
    </row>
    <row r="1474">
      <c r="A1474" s="9" t="inlineStr">
        <is>
          <t>파워컨텐츠#1_비듬샴푸</t>
        </is>
      </c>
      <c r="B1474" s="10" t="n">
        <v>44260</v>
      </c>
      <c r="C1474" s="9" t="inlineStr">
        <is>
          <t>금</t>
        </is>
      </c>
      <c r="D1474" s="9" t="inlineStr">
        <is>
          <t>네이버 검색</t>
        </is>
      </c>
      <c r="E1474" s="9" t="inlineStr">
        <is>
          <t>샴푸</t>
        </is>
      </c>
      <c r="K1474" s="9" t="n">
        <v>70</v>
      </c>
    </row>
    <row r="1475">
      <c r="A1475" s="9" t="inlineStr">
        <is>
          <t>0303_샴푸_비듬</t>
        </is>
      </c>
      <c r="B1475" s="10" t="n">
        <v>44259</v>
      </c>
      <c r="C1475" s="9" t="inlineStr">
        <is>
          <t>목</t>
        </is>
      </c>
      <c r="D1475" s="9" t="inlineStr">
        <is>
          <t>네이버 GFA</t>
        </is>
      </c>
      <c r="E1475" s="9" t="inlineStr">
        <is>
          <t>샴푸</t>
        </is>
      </c>
      <c r="K1475" s="9" t="n">
        <v>11914.54545454545</v>
      </c>
    </row>
    <row r="1476">
      <c r="A1476" s="9" t="inlineStr">
        <is>
          <t>0209_비듬샴푸_이현</t>
        </is>
      </c>
      <c r="B1476" s="10" t="n">
        <v>44259</v>
      </c>
      <c r="C1476" s="9" t="inlineStr">
        <is>
          <t>목</t>
        </is>
      </c>
      <c r="D1476" s="9" t="inlineStr">
        <is>
          <t>네이버 GFA</t>
        </is>
      </c>
      <c r="E1476" s="9" t="inlineStr">
        <is>
          <t>샴푸</t>
        </is>
      </c>
      <c r="K1476" s="9" t="n">
        <v>0</v>
      </c>
    </row>
    <row r="1477">
      <c r="A1477" s="9" t="inlineStr">
        <is>
          <t>라베나 파워링크_샴푸_광고그룹#1</t>
        </is>
      </c>
      <c r="B1477" s="10" t="n">
        <v>44259</v>
      </c>
      <c r="C1477" s="9" t="inlineStr">
        <is>
          <t>목</t>
        </is>
      </c>
      <c r="D1477" s="9" t="inlineStr">
        <is>
          <t>네이버 검색</t>
        </is>
      </c>
      <c r="E1477" s="9" t="inlineStr">
        <is>
          <t>샴푸</t>
        </is>
      </c>
      <c r="K1477" s="9" t="n">
        <v>3300</v>
      </c>
    </row>
    <row r="1478">
      <c r="A1478" s="9" t="inlineStr">
        <is>
          <t>라베나 파워링크_샴푸#1_유튜브키워드기반</t>
        </is>
      </c>
      <c r="B1478" s="10" t="n">
        <v>44259</v>
      </c>
      <c r="C1478" s="9" t="inlineStr">
        <is>
          <t>목</t>
        </is>
      </c>
      <c r="D1478" s="9" t="inlineStr">
        <is>
          <t>네이버 검색</t>
        </is>
      </c>
      <c r="E1478" s="9" t="inlineStr">
        <is>
          <t>샴푸</t>
        </is>
      </c>
      <c r="K1478" s="9" t="n">
        <v>38460</v>
      </c>
    </row>
    <row r="1479">
      <c r="A1479" s="9" t="inlineStr">
        <is>
          <t>샴푸_쇼핑검색#1_광고그룹#1</t>
        </is>
      </c>
      <c r="B1479" s="10" t="n">
        <v>44259</v>
      </c>
      <c r="C1479" s="9" t="inlineStr">
        <is>
          <t>목</t>
        </is>
      </c>
      <c r="D1479" s="9" t="inlineStr">
        <is>
          <t>네이버 검색</t>
        </is>
      </c>
      <c r="E1479" s="9" t="inlineStr">
        <is>
          <t>샴푸</t>
        </is>
      </c>
      <c r="K1479" s="9" t="n">
        <v>0</v>
      </c>
    </row>
    <row r="1480">
      <c r="A1480" s="9" t="inlineStr">
        <is>
          <t>파워컨텐츠#1_비듬샴푸</t>
        </is>
      </c>
      <c r="B1480" s="10" t="n">
        <v>44259</v>
      </c>
      <c r="C1480" s="9" t="inlineStr">
        <is>
          <t>목</t>
        </is>
      </c>
      <c r="D1480" s="9" t="inlineStr">
        <is>
          <t>네이버 검색</t>
        </is>
      </c>
      <c r="E1480" s="9" t="inlineStr">
        <is>
          <t>샴푸</t>
        </is>
      </c>
      <c r="K1480" s="9" t="n">
        <v>70</v>
      </c>
    </row>
    <row r="1481">
      <c r="A1481" s="9" t="inlineStr">
        <is>
          <t>0302_샴푸_40대단발_시즌2</t>
        </is>
      </c>
      <c r="B1481" s="10" t="n">
        <v>44258</v>
      </c>
      <c r="C1481" s="9" t="inlineStr">
        <is>
          <t>수</t>
        </is>
      </c>
      <c r="D1481" s="9" t="inlineStr">
        <is>
          <t>네이버 GFA</t>
        </is>
      </c>
      <c r="E1481" s="9" t="inlineStr">
        <is>
          <t>샴푸</t>
        </is>
      </c>
      <c r="K1481" s="9" t="n">
        <v>11788.18181818182</v>
      </c>
    </row>
    <row r="1482">
      <c r="A1482" s="9" t="inlineStr">
        <is>
          <t>라베나 파워링크_샴푸_광고그룹#1</t>
        </is>
      </c>
      <c r="B1482" s="10" t="n">
        <v>44258</v>
      </c>
      <c r="C1482" s="9" t="inlineStr">
        <is>
          <t>수</t>
        </is>
      </c>
      <c r="D1482" s="9" t="inlineStr">
        <is>
          <t>네이버 검색</t>
        </is>
      </c>
      <c r="E1482" s="9" t="inlineStr">
        <is>
          <t>샴푸</t>
        </is>
      </c>
      <c r="K1482" s="9" t="n">
        <v>5050</v>
      </c>
    </row>
    <row r="1483">
      <c r="A1483" s="9" t="inlineStr">
        <is>
          <t>라베나 파워링크_샴푸#1_유튜브키워드기반</t>
        </is>
      </c>
      <c r="B1483" s="10" t="n">
        <v>44258</v>
      </c>
      <c r="C1483" s="9" t="inlineStr">
        <is>
          <t>수</t>
        </is>
      </c>
      <c r="D1483" s="9" t="inlineStr">
        <is>
          <t>네이버 검색</t>
        </is>
      </c>
      <c r="E1483" s="9" t="inlineStr">
        <is>
          <t>샴푸</t>
        </is>
      </c>
      <c r="K1483" s="9" t="n">
        <v>55849.99999999999</v>
      </c>
    </row>
    <row r="1484">
      <c r="A1484" s="9" t="inlineStr">
        <is>
          <t>샴푸_쇼핑검색#1_광고그룹#1</t>
        </is>
      </c>
      <c r="B1484" s="10" t="n">
        <v>44258</v>
      </c>
      <c r="C1484" s="9" t="inlineStr">
        <is>
          <t>수</t>
        </is>
      </c>
      <c r="D1484" s="9" t="inlineStr">
        <is>
          <t>네이버 검색</t>
        </is>
      </c>
      <c r="E1484" s="9" t="inlineStr">
        <is>
          <t>샴푸</t>
        </is>
      </c>
      <c r="K1484" s="9" t="n">
        <v>580</v>
      </c>
    </row>
    <row r="1485">
      <c r="A1485" s="9" t="inlineStr">
        <is>
          <t>파워컨텐츠#1_비듬샴푸</t>
        </is>
      </c>
      <c r="B1485" s="10" t="n">
        <v>44258</v>
      </c>
      <c r="C1485" s="9" t="inlineStr">
        <is>
          <t>수</t>
        </is>
      </c>
      <c r="D1485" s="9" t="inlineStr">
        <is>
          <t>네이버 검색</t>
        </is>
      </c>
      <c r="E1485" s="9" t="inlineStr">
        <is>
          <t>샴푸</t>
        </is>
      </c>
      <c r="K1485" s="9" t="n">
        <v>0</v>
      </c>
    </row>
    <row r="1486">
      <c r="A1486" s="9" t="inlineStr">
        <is>
          <t>라베나 파워링크_샴푸_광고그룹#1</t>
        </is>
      </c>
      <c r="B1486" s="10" t="n">
        <v>44257</v>
      </c>
      <c r="C1486" s="9" t="inlineStr">
        <is>
          <t>화</t>
        </is>
      </c>
      <c r="D1486" s="9" t="inlineStr">
        <is>
          <t>네이버 검색</t>
        </is>
      </c>
      <c r="E1486" s="9" t="inlineStr">
        <is>
          <t>샴푸</t>
        </is>
      </c>
      <c r="K1486" s="9" t="n">
        <v>6569.999999999999</v>
      </c>
    </row>
    <row r="1487">
      <c r="A1487" s="9" t="inlineStr">
        <is>
          <t>라베나 파워링크_샴푸#1_유튜브키워드기반</t>
        </is>
      </c>
      <c r="B1487" s="10" t="n">
        <v>44257</v>
      </c>
      <c r="C1487" s="9" t="inlineStr">
        <is>
          <t>화</t>
        </is>
      </c>
      <c r="D1487" s="9" t="inlineStr">
        <is>
          <t>네이버 검색</t>
        </is>
      </c>
      <c r="E1487" s="9" t="inlineStr">
        <is>
          <t>샴푸</t>
        </is>
      </c>
      <c r="K1487" s="9" t="n">
        <v>75440</v>
      </c>
    </row>
    <row r="1488">
      <c r="A1488" s="9" t="inlineStr">
        <is>
          <t>샴푸_쇼핑검색#1_광고그룹#1</t>
        </is>
      </c>
      <c r="B1488" s="10" t="n">
        <v>44257</v>
      </c>
      <c r="C1488" s="9" t="inlineStr">
        <is>
          <t>화</t>
        </is>
      </c>
      <c r="D1488" s="9" t="inlineStr">
        <is>
          <t>네이버 검색</t>
        </is>
      </c>
      <c r="E1488" s="9" t="inlineStr">
        <is>
          <t>샴푸</t>
        </is>
      </c>
      <c r="K1488" s="9" t="n">
        <v>0</v>
      </c>
    </row>
    <row r="1489">
      <c r="A1489" s="9" t="inlineStr">
        <is>
          <t>파워컨텐츠#1_비듬샴푸</t>
        </is>
      </c>
      <c r="B1489" s="10" t="n">
        <v>44257</v>
      </c>
      <c r="C1489" s="9" t="inlineStr">
        <is>
          <t>화</t>
        </is>
      </c>
      <c r="D1489" s="9" t="inlineStr">
        <is>
          <t>네이버 검색</t>
        </is>
      </c>
      <c r="E1489" s="9" t="inlineStr">
        <is>
          <t>샴푸</t>
        </is>
      </c>
      <c r="K1489" s="9" t="n">
        <v>0</v>
      </c>
    </row>
    <row r="1490">
      <c r="B1490" s="10" t="n">
        <v>44257</v>
      </c>
      <c r="C1490" s="9" t="inlineStr">
        <is>
          <t>화</t>
        </is>
      </c>
      <c r="E1490" s="9" t="inlineStr">
        <is>
          <t>샴푸</t>
        </is>
      </c>
      <c r="F1490" s="9" t="inlineStr">
        <is>
          <t>라베나 CS</t>
        </is>
      </c>
      <c r="G1490" s="9" t="inlineStr">
        <is>
          <t>라베나 리커버리 15 리바이탈 바이오플라보노이드샴푸 [HAIR RÉ:COVERY 15 Revital Shampoo]제품선택=헤어 리커버리 15 리바이탈 샴푸 - 500ml</t>
        </is>
      </c>
      <c r="H1490" s="9" t="n">
        <v>2</v>
      </c>
      <c r="I1490" s="9" t="inlineStr">
        <is>
          <t>리바이탈 샴푸</t>
        </is>
      </c>
      <c r="J1490" s="9" t="inlineStr">
        <is>
          <t>210201</t>
        </is>
      </c>
      <c r="L1490" s="9" t="n">
        <v>0</v>
      </c>
      <c r="M1490" s="9" t="n">
        <v>0</v>
      </c>
      <c r="N1490" s="9" t="n">
        <v>5730</v>
      </c>
      <c r="O1490" s="9" t="inlineStr">
        <is>
          <t>라베나 CS샴푸라베나 리커버리 15 리바이탈 바이오플라보노이드샴푸 [HAIR RÉ:COVERY 15 Revital Shampoo]제품선택=헤어 리커버리 15 리바이탈 샴푸 - 500ml210201</t>
        </is>
      </c>
    </row>
    <row r="1491">
      <c r="B1491" s="10" t="n">
        <v>44257</v>
      </c>
      <c r="C1491" s="9" t="inlineStr">
        <is>
          <t>화</t>
        </is>
      </c>
      <c r="E1491" s="9" t="inlineStr">
        <is>
          <t>뉴트리셔스밤</t>
        </is>
      </c>
      <c r="F1491" s="9" t="inlineStr">
        <is>
          <t>카페24</t>
        </is>
      </c>
      <c r="G1491" s="9" t="inlineStr">
        <is>
          <t>라베나 리커버리 15 뉴트리셔스 밤 [HAIR RÉ:COVERY 15 Nutritious Balm]제품선택=헤어 리커버리 15 뉴트리셔스 밤</t>
        </is>
      </c>
      <c r="H1491" s="9" t="n">
        <v>8</v>
      </c>
      <c r="I1491" s="9" t="inlineStr">
        <is>
          <t>뉴트리셔스밤</t>
        </is>
      </c>
      <c r="J1491" s="9" t="inlineStr">
        <is>
          <t>210201</t>
        </is>
      </c>
      <c r="L1491" s="9" t="n">
        <v>199200</v>
      </c>
      <c r="M1491" s="9" t="n">
        <v>187546.8</v>
      </c>
      <c r="N1491" s="9" t="n">
        <v>12640</v>
      </c>
      <c r="O1491" s="9" t="inlineStr">
        <is>
          <t>카페24뉴트리셔스밤라베나 리커버리 15 뉴트리셔스 밤 [HAIR RÉ:COVERY 15 Nutritious Balm]제품선택=헤어 리커버리 15 뉴트리셔스 밤210201</t>
        </is>
      </c>
    </row>
    <row r="1492">
      <c r="B1492" s="10" t="n">
        <v>44257</v>
      </c>
      <c r="C1492" s="9" t="inlineStr">
        <is>
          <t>화</t>
        </is>
      </c>
      <c r="E1492" s="9" t="inlineStr">
        <is>
          <t>뉴트리셔스밤</t>
        </is>
      </c>
      <c r="F1492" s="9" t="inlineStr">
        <is>
          <t>카페24</t>
        </is>
      </c>
      <c r="G1492" s="9" t="inlineStr">
        <is>
          <t>라베나 리커버리 15 뉴트리셔스 밤 [HAIR RÉ:COVERY 15 Nutritious Balm]제품선택=뉴트리셔스 밤 2개 세트 5% 추가할인</t>
        </is>
      </c>
      <c r="H1492" s="9" t="n">
        <v>2</v>
      </c>
      <c r="I1492" s="9" t="inlineStr">
        <is>
          <t>뉴트리셔스밤 2set</t>
        </is>
      </c>
      <c r="J1492" s="9" t="inlineStr">
        <is>
          <t>210201</t>
        </is>
      </c>
      <c r="L1492" s="9" t="n">
        <v>94620</v>
      </c>
      <c r="M1492" s="9" t="n">
        <v>89084.73</v>
      </c>
      <c r="N1492" s="9" t="n">
        <v>6320</v>
      </c>
      <c r="O1492" s="9" t="inlineStr">
        <is>
          <t>카페24뉴트리셔스밤라베나 리커버리 15 뉴트리셔스 밤 [HAIR RÉ:COVERY 15 Nutritious Balm]제품선택=뉴트리셔스 밤 2개 세트 5% 추가할인210201</t>
        </is>
      </c>
    </row>
    <row r="1493">
      <c r="B1493" s="10" t="n">
        <v>44257</v>
      </c>
      <c r="C1493" s="9" t="inlineStr">
        <is>
          <t>화</t>
        </is>
      </c>
      <c r="E1493" s="9" t="inlineStr">
        <is>
          <t>샴푸</t>
        </is>
      </c>
      <c r="F1493" s="9" t="inlineStr">
        <is>
          <t>카페24</t>
        </is>
      </c>
      <c r="G1493" s="9" t="inlineStr">
        <is>
          <t>라베나 리커버리 15 리바이탈 바이오플라보노이드샴푸 [HAIR RÉ:COVERY 15 Revital Shampoo]제품선택=헤어 리커버리 15 리바이탈 샴푸 - 500ml</t>
        </is>
      </c>
      <c r="H1493" s="9" t="n">
        <v>258</v>
      </c>
      <c r="I1493" s="9" t="inlineStr">
        <is>
          <t>리바이탈 샴푸</t>
        </is>
      </c>
      <c r="J1493" s="9" t="inlineStr">
        <is>
          <t>210201</t>
        </is>
      </c>
      <c r="L1493" s="9" t="n">
        <v>6940200</v>
      </c>
      <c r="M1493" s="9" t="n">
        <v>6534198.3</v>
      </c>
      <c r="N1493" s="9" t="n">
        <v>739170</v>
      </c>
      <c r="O149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494">
      <c r="B1494" s="10" t="n">
        <v>44257</v>
      </c>
      <c r="C1494" s="9" t="inlineStr">
        <is>
          <t>화</t>
        </is>
      </c>
      <c r="E1494" s="9" t="inlineStr">
        <is>
          <t>샴푸</t>
        </is>
      </c>
      <c r="F1494" s="9" t="inlineStr">
        <is>
          <t>카페24</t>
        </is>
      </c>
      <c r="G1494" s="9" t="inlineStr">
        <is>
          <t>라베나 리커버리 15 리바이탈 바이오플라보노이드샴푸 [HAIR RÉ:COVERY 15 Revital Shampoo]제품선택=리바이탈 샴푸 2개 세트 5%추가할인</t>
        </is>
      </c>
      <c r="H1494" s="9" t="n">
        <v>80</v>
      </c>
      <c r="I1494" s="9" t="inlineStr">
        <is>
          <t>리바이탈 샴푸 2set</t>
        </is>
      </c>
      <c r="J1494" s="9" t="inlineStr">
        <is>
          <t>210201</t>
        </is>
      </c>
      <c r="L1494" s="9" t="n">
        <v>4088800</v>
      </c>
      <c r="M1494" s="9" t="n">
        <v>3849605.2</v>
      </c>
      <c r="N1494" s="9" t="n">
        <v>458400</v>
      </c>
      <c r="O149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495">
      <c r="B1495" s="10" t="n">
        <v>44257</v>
      </c>
      <c r="C1495" s="9" t="inlineStr">
        <is>
          <t>화</t>
        </is>
      </c>
      <c r="E1495" s="9" t="inlineStr">
        <is>
          <t>샴푸</t>
        </is>
      </c>
      <c r="F1495" s="9" t="inlineStr">
        <is>
          <t>카페24</t>
        </is>
      </c>
      <c r="G1495" s="9" t="inlineStr">
        <is>
          <t>라베나 리커버리 15 리바이탈 바이오플라보노이드샴푸 [HAIR RÉ:COVERY 15 Revital Shampoo]제품선택=리바이탈 샴푸 3개 세트 10% 추가할인</t>
        </is>
      </c>
      <c r="H1495" s="9" t="n">
        <v>27</v>
      </c>
      <c r="I1495" s="9" t="inlineStr">
        <is>
          <t>리바이탈 샴푸 3set</t>
        </is>
      </c>
      <c r="J1495" s="9" t="inlineStr">
        <is>
          <t>210201</t>
        </is>
      </c>
      <c r="L1495" s="9" t="n">
        <v>1961010</v>
      </c>
      <c r="M1495" s="9" t="n">
        <v>1846290.915</v>
      </c>
      <c r="N1495" s="9" t="n">
        <v>232065</v>
      </c>
      <c r="O149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496">
      <c r="B1496" s="10" t="n">
        <v>44257</v>
      </c>
      <c r="C1496" s="9" t="inlineStr">
        <is>
          <t>화</t>
        </is>
      </c>
      <c r="E1496" s="9" t="inlineStr">
        <is>
          <t>트리트먼트</t>
        </is>
      </c>
      <c r="F1496" s="9" t="inlineStr">
        <is>
          <t>카페24</t>
        </is>
      </c>
      <c r="G1496" s="9" t="inlineStr">
        <is>
          <t>라베나 리커버리 15 헤어팩 트리트먼트 [HAIR RÉ:COVERY 15 Hairpack Treatment]제품선택=헤어 리커버리 15 헤어팩 트리트먼트</t>
        </is>
      </c>
      <c r="H1496" s="9" t="n">
        <v>14</v>
      </c>
      <c r="I1496" s="9" t="inlineStr">
        <is>
          <t>트리트먼트</t>
        </is>
      </c>
      <c r="J1496" s="9" t="inlineStr">
        <is>
          <t>210201</t>
        </is>
      </c>
      <c r="L1496" s="9" t="n">
        <v>364000</v>
      </c>
      <c r="M1496" s="9" t="n">
        <v>342706</v>
      </c>
      <c r="N1496" s="9" t="n">
        <v>22358</v>
      </c>
      <c r="O149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497">
      <c r="B1497" s="10" t="n">
        <v>44257</v>
      </c>
      <c r="C1497" s="9" t="inlineStr">
        <is>
          <t>화</t>
        </is>
      </c>
      <c r="E1497" s="9" t="inlineStr">
        <is>
          <t>트리트먼트</t>
        </is>
      </c>
      <c r="F1497" s="9" t="inlineStr">
        <is>
          <t>카페24</t>
        </is>
      </c>
      <c r="G1497" s="9" t="inlineStr">
        <is>
          <t>라베나 리커버리 15 헤어팩 트리트먼트 [HAIR RÉ:COVERY 15 Hairpack Treatment]제품선택=헤어팩 트리트먼트 2개 세트 5% 추가할인</t>
        </is>
      </c>
      <c r="H1497" s="9" t="n">
        <v>5</v>
      </c>
      <c r="I1497" s="9" t="inlineStr">
        <is>
          <t>트리트먼트 2set</t>
        </is>
      </c>
      <c r="J1497" s="9" t="inlineStr">
        <is>
          <t>210201</t>
        </is>
      </c>
      <c r="L1497" s="9" t="n">
        <v>247000</v>
      </c>
      <c r="M1497" s="9" t="n">
        <v>232550.5</v>
      </c>
      <c r="N1497" s="9" t="n">
        <v>15970</v>
      </c>
      <c r="O149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498">
      <c r="B1498" s="10" t="n">
        <v>44258</v>
      </c>
      <c r="C1498" s="9" t="inlineStr">
        <is>
          <t>수</t>
        </is>
      </c>
      <c r="E1498" s="9" t="inlineStr">
        <is>
          <t>샴푸</t>
        </is>
      </c>
      <c r="F1498" s="9" t="inlineStr">
        <is>
          <t>라베나 CS</t>
        </is>
      </c>
      <c r="G1498" s="9" t="inlineStr">
        <is>
          <t>라베나 리커버리 15 리바이탈 바이오플라보노이드샴푸 [HAIR RÉ:COVERY 15 Revital Shampoo]제품선택=헤어 리커버리 15 리바이탈 샴푸 - 500ml</t>
        </is>
      </c>
      <c r="H1498" s="9" t="n">
        <v>2</v>
      </c>
      <c r="I1498" s="9" t="inlineStr">
        <is>
          <t>리바이탈 샴푸</t>
        </is>
      </c>
      <c r="J1498" s="9" t="inlineStr">
        <is>
          <t>210201</t>
        </is>
      </c>
      <c r="L1498" s="9" t="n">
        <v>0</v>
      </c>
      <c r="M1498" s="9" t="n">
        <v>0</v>
      </c>
      <c r="N1498" s="9" t="n">
        <v>5730</v>
      </c>
      <c r="O1498" s="9" t="inlineStr">
        <is>
          <t>라베나 CS샴푸라베나 리커버리 15 리바이탈 바이오플라보노이드샴푸 [HAIR RÉ:COVERY 15 Revital Shampoo]제품선택=헤어 리커버리 15 리바이탈 샴푸 - 500ml210201</t>
        </is>
      </c>
    </row>
    <row r="1499">
      <c r="B1499" s="10" t="n">
        <v>44258</v>
      </c>
      <c r="C1499" s="9" t="inlineStr">
        <is>
          <t>수</t>
        </is>
      </c>
      <c r="E1499" s="9" t="inlineStr">
        <is>
          <t>뉴트리셔스밤</t>
        </is>
      </c>
      <c r="F1499" s="9" t="inlineStr">
        <is>
          <t>카페24</t>
        </is>
      </c>
      <c r="G1499" s="9" t="inlineStr">
        <is>
          <t>라베나 리커버리 15 뉴트리셔스 밤 [HAIR RÉ:COVERY 15 Nutritious Balm]제품선택=헤어 리커버리 15 뉴트리셔스 밤</t>
        </is>
      </c>
      <c r="H1499" s="9" t="n">
        <v>5</v>
      </c>
      <c r="I1499" s="9" t="inlineStr">
        <is>
          <t>뉴트리셔스밤</t>
        </is>
      </c>
      <c r="J1499" s="9" t="inlineStr">
        <is>
          <t>210201</t>
        </is>
      </c>
      <c r="L1499" s="9" t="n">
        <v>124500</v>
      </c>
      <c r="M1499" s="9" t="n">
        <v>117216.75</v>
      </c>
      <c r="N1499" s="9" t="n">
        <v>7900</v>
      </c>
      <c r="O1499" s="9" t="inlineStr">
        <is>
          <t>카페24뉴트리셔스밤라베나 리커버리 15 뉴트리셔스 밤 [HAIR RÉ:COVERY 15 Nutritious Balm]제품선택=헤어 리커버리 15 뉴트리셔스 밤210201</t>
        </is>
      </c>
    </row>
    <row r="1500">
      <c r="B1500" s="10" t="n">
        <v>44258</v>
      </c>
      <c r="C1500" s="9" t="inlineStr">
        <is>
          <t>수</t>
        </is>
      </c>
      <c r="E1500" s="9" t="inlineStr">
        <is>
          <t>뉴트리셔스밤</t>
        </is>
      </c>
      <c r="F1500" s="9" t="inlineStr">
        <is>
          <t>카페24</t>
        </is>
      </c>
      <c r="G1500" s="9" t="inlineStr">
        <is>
          <t>라베나 리커버리 15 뉴트리셔스 밤 [HAIR RÉ:COVERY 15 Nutritious Balm]제품선택=뉴트리셔스 밤 2개 세트 5% 추가할인</t>
        </is>
      </c>
      <c r="H1500" s="9" t="n">
        <v>1</v>
      </c>
      <c r="I1500" s="9" t="inlineStr">
        <is>
          <t>뉴트리셔스밤 2set</t>
        </is>
      </c>
      <c r="J1500" s="9" t="inlineStr">
        <is>
          <t>210201</t>
        </is>
      </c>
      <c r="L1500" s="9" t="n">
        <v>47310</v>
      </c>
      <c r="M1500" s="9" t="n">
        <v>44542.365</v>
      </c>
      <c r="N1500" s="9" t="n">
        <v>3160</v>
      </c>
      <c r="O1500" s="9" t="inlineStr">
        <is>
          <t>카페24뉴트리셔스밤라베나 리커버리 15 뉴트리셔스 밤 [HAIR RÉ:COVERY 15 Nutritious Balm]제품선택=뉴트리셔스 밤 2개 세트 5% 추가할인210201</t>
        </is>
      </c>
    </row>
    <row r="1501">
      <c r="B1501" s="10" t="n">
        <v>44258</v>
      </c>
      <c r="C1501" s="9" t="inlineStr">
        <is>
          <t>수</t>
        </is>
      </c>
      <c r="E1501" s="9" t="inlineStr">
        <is>
          <t>뉴트리셔스밤</t>
        </is>
      </c>
      <c r="F1501" s="9" t="inlineStr">
        <is>
          <t>카페24</t>
        </is>
      </c>
      <c r="G1501" s="9" t="inlineStr">
        <is>
          <t>라베나 리커버리 15 뉴트리셔스 밤 [HAIR RÉ:COVERY 15 Nutritious Balm]제품선택=뉴트리셔스밤 1개 + 헤어팩 트리트먼트 1개 세트 5%추가할인</t>
        </is>
      </c>
      <c r="H1501" s="9" t="n">
        <v>1</v>
      </c>
      <c r="I1501" s="9" t="inlineStr">
        <is>
          <t>트리트먼트+뉴트리셔스밤</t>
        </is>
      </c>
      <c r="J1501" s="9" t="inlineStr">
        <is>
          <t>210201</t>
        </is>
      </c>
      <c r="L1501" s="9" t="n">
        <v>48355</v>
      </c>
      <c r="M1501" s="9" t="n">
        <v>45526.2325</v>
      </c>
      <c r="N1501" s="9" t="n">
        <v>3177</v>
      </c>
      <c r="O1501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502">
      <c r="B1502" s="10" t="n">
        <v>44258</v>
      </c>
      <c r="C1502" s="9" t="inlineStr">
        <is>
          <t>수</t>
        </is>
      </c>
      <c r="E1502" s="9" t="inlineStr">
        <is>
          <t>샴푸</t>
        </is>
      </c>
      <c r="F1502" s="9" t="inlineStr">
        <is>
          <t>카페24</t>
        </is>
      </c>
      <c r="G1502" s="9" t="inlineStr">
        <is>
          <t>라베나 리커버리 15 리바이탈 바이오플라보노이드샴푸 [HAIR RÉ:COVERY 15 Revital Shampoo]제품선택=헤어 리커버리 15 리바이탈 샴푸 - 500ml</t>
        </is>
      </c>
      <c r="H1502" s="9" t="n">
        <v>190</v>
      </c>
      <c r="I1502" s="9" t="inlineStr">
        <is>
          <t>리바이탈 샴푸</t>
        </is>
      </c>
      <c r="J1502" s="9" t="inlineStr">
        <is>
          <t>210201</t>
        </is>
      </c>
      <c r="L1502" s="9" t="n">
        <v>5111000</v>
      </c>
      <c r="M1502" s="9" t="n">
        <v>4812006.5</v>
      </c>
      <c r="N1502" s="9" t="n">
        <v>544350</v>
      </c>
      <c r="O150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03">
      <c r="B1503" s="10" t="n">
        <v>44258</v>
      </c>
      <c r="C1503" s="9" t="inlineStr">
        <is>
          <t>수</t>
        </is>
      </c>
      <c r="E1503" s="9" t="inlineStr">
        <is>
          <t>샴푸</t>
        </is>
      </c>
      <c r="F1503" s="9" t="inlineStr">
        <is>
          <t>카페24</t>
        </is>
      </c>
      <c r="G1503" s="9" t="inlineStr">
        <is>
          <t>라베나 리커버리 15 리바이탈 바이오플라보노이드샴푸 [HAIR RÉ:COVERY 15 Revital Shampoo]제품선택=리바이탈 샴푸 2개 세트 5%추가할인</t>
        </is>
      </c>
      <c r="H1503" s="9" t="n">
        <v>45</v>
      </c>
      <c r="I1503" s="9" t="inlineStr">
        <is>
          <t>리바이탈 샴푸 2set</t>
        </is>
      </c>
      <c r="J1503" s="9" t="inlineStr">
        <is>
          <t>210201</t>
        </is>
      </c>
      <c r="L1503" s="9" t="n">
        <v>2299950</v>
      </c>
      <c r="M1503" s="9" t="n">
        <v>2165402.925</v>
      </c>
      <c r="N1503" s="9" t="n">
        <v>257850</v>
      </c>
      <c r="O150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04">
      <c r="B1504" s="10" t="n">
        <v>44258</v>
      </c>
      <c r="C1504" s="9" t="inlineStr">
        <is>
          <t>수</t>
        </is>
      </c>
      <c r="E1504" s="9" t="inlineStr">
        <is>
          <t>샴푸</t>
        </is>
      </c>
      <c r="F1504" s="9" t="inlineStr">
        <is>
          <t>카페24</t>
        </is>
      </c>
      <c r="G1504" s="9" t="inlineStr">
        <is>
          <t>라베나 리커버리 15 리바이탈 바이오플라보노이드샴푸 [HAIR RÉ:COVERY 15 Revital Shampoo]제품선택=리바이탈 샴푸 3개 세트 10% 추가할인</t>
        </is>
      </c>
      <c r="H1504" s="9" t="n">
        <v>19</v>
      </c>
      <c r="I1504" s="9" t="inlineStr">
        <is>
          <t>리바이탈 샴푸 3set</t>
        </is>
      </c>
      <c r="J1504" s="9" t="inlineStr">
        <is>
          <t>210201</t>
        </is>
      </c>
      <c r="L1504" s="9" t="n">
        <v>1379970</v>
      </c>
      <c r="M1504" s="9" t="n">
        <v>1299241.755</v>
      </c>
      <c r="N1504" s="9" t="n">
        <v>163305</v>
      </c>
      <c r="O150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05">
      <c r="B1505" s="10" t="n">
        <v>44258</v>
      </c>
      <c r="C1505" s="9" t="inlineStr">
        <is>
          <t>수</t>
        </is>
      </c>
      <c r="E1505" s="9" t="inlineStr">
        <is>
          <t>트리트먼트</t>
        </is>
      </c>
      <c r="F1505" s="9" t="inlineStr">
        <is>
          <t>카페24</t>
        </is>
      </c>
      <c r="G1505" s="9" t="inlineStr">
        <is>
          <t>라베나 리커버리 15 헤어팩 트리트먼트 [HAIR RÉ:COVERY 15 Hairpack Treatment]제품선택=헤어 리커버리 15 헤어팩 트리트먼트</t>
        </is>
      </c>
      <c r="H1505" s="9" t="n">
        <v>10</v>
      </c>
      <c r="I1505" s="9" t="inlineStr">
        <is>
          <t>트리트먼트</t>
        </is>
      </c>
      <c r="J1505" s="9" t="inlineStr">
        <is>
          <t>210201</t>
        </is>
      </c>
      <c r="L1505" s="9" t="n">
        <v>260000</v>
      </c>
      <c r="M1505" s="9" t="n">
        <v>244790</v>
      </c>
      <c r="N1505" s="9" t="n">
        <v>15970</v>
      </c>
      <c r="O150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06">
      <c r="B1506" s="10" t="n">
        <v>44258</v>
      </c>
      <c r="C1506" s="9" t="inlineStr">
        <is>
          <t>수</t>
        </is>
      </c>
      <c r="E1506" s="9" t="inlineStr">
        <is>
          <t>트리트먼트</t>
        </is>
      </c>
      <c r="F1506" s="9" t="inlineStr">
        <is>
          <t>카페24</t>
        </is>
      </c>
      <c r="G1506" s="9" t="inlineStr">
        <is>
          <t>라베나 리커버리 15 헤어팩 트리트먼트 [HAIR RÉ:COVERY 15 Hairpack Treatment]제품선택=헤어팩 트리트먼트 2개 세트 5% 추가할인</t>
        </is>
      </c>
      <c r="H1506" s="9" t="n">
        <v>2</v>
      </c>
      <c r="I1506" s="9" t="inlineStr">
        <is>
          <t>트리트먼트 2set</t>
        </is>
      </c>
      <c r="J1506" s="9" t="inlineStr">
        <is>
          <t>210201</t>
        </is>
      </c>
      <c r="L1506" s="9" t="n">
        <v>98800</v>
      </c>
      <c r="M1506" s="9" t="n">
        <v>93020.2</v>
      </c>
      <c r="N1506" s="9" t="n">
        <v>6388</v>
      </c>
      <c r="O150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07">
      <c r="B1507" s="10" t="n">
        <v>44259</v>
      </c>
      <c r="C1507" s="9" t="inlineStr">
        <is>
          <t>목</t>
        </is>
      </c>
      <c r="E1507" s="9" t="inlineStr">
        <is>
          <t>샴푸</t>
        </is>
      </c>
      <c r="F1507" s="9" t="inlineStr">
        <is>
          <t>라베나 CS</t>
        </is>
      </c>
      <c r="G1507" s="9" t="inlineStr">
        <is>
          <t>라베나 리커버리 15 리바이탈 바이오플라보노이드샴푸 [HAIR RÉ:COVERY 15 Revital Shampoo]제품선택=헤어 리커버리 15 리바이탈 샴푸 - 500ml</t>
        </is>
      </c>
      <c r="H1507" s="9" t="n">
        <v>1</v>
      </c>
      <c r="I1507" s="9" t="inlineStr">
        <is>
          <t>리바이탈 샴푸</t>
        </is>
      </c>
      <c r="J1507" s="9" t="inlineStr">
        <is>
          <t>210201</t>
        </is>
      </c>
      <c r="L1507" s="9" t="n">
        <v>0</v>
      </c>
      <c r="M1507" s="9" t="n">
        <v>0</v>
      </c>
      <c r="N1507" s="9" t="n">
        <v>2865</v>
      </c>
      <c r="O1507" s="9" t="inlineStr">
        <is>
          <t>라베나 CS샴푸라베나 리커버리 15 리바이탈 바이오플라보노이드샴푸 [HAIR RÉ:COVERY 15 Revital Shampoo]제품선택=헤어 리커버리 15 리바이탈 샴푸 - 500ml210201</t>
        </is>
      </c>
    </row>
    <row r="1508">
      <c r="B1508" s="10" t="n">
        <v>44259</v>
      </c>
      <c r="C1508" s="9" t="inlineStr">
        <is>
          <t>목</t>
        </is>
      </c>
      <c r="E1508" s="9" t="inlineStr">
        <is>
          <t>뉴트리셔스밤</t>
        </is>
      </c>
      <c r="F1508" s="9" t="inlineStr">
        <is>
          <t>카페24</t>
        </is>
      </c>
      <c r="G1508" s="9" t="inlineStr">
        <is>
          <t>라베나 리커버리 15 뉴트리셔스 밤 [HAIR RÉ:COVERY 15 Nutritious Balm]제품선택=헤어 리커버리 15 뉴트리셔스 밤</t>
        </is>
      </c>
      <c r="H1508" s="9" t="n">
        <v>8</v>
      </c>
      <c r="I1508" s="9" t="inlineStr">
        <is>
          <t>뉴트리셔스밤</t>
        </is>
      </c>
      <c r="J1508" s="9" t="inlineStr">
        <is>
          <t>210201</t>
        </is>
      </c>
      <c r="L1508" s="9" t="n">
        <v>199200</v>
      </c>
      <c r="M1508" s="9" t="n">
        <v>187546.8</v>
      </c>
      <c r="N1508" s="9" t="n">
        <v>12640</v>
      </c>
      <c r="O1508" s="9" t="inlineStr">
        <is>
          <t>카페24뉴트리셔스밤라베나 리커버리 15 뉴트리셔스 밤 [HAIR RÉ:COVERY 15 Nutritious Balm]제품선택=헤어 리커버리 15 뉴트리셔스 밤210201</t>
        </is>
      </c>
    </row>
    <row r="1509">
      <c r="B1509" s="10" t="n">
        <v>44259</v>
      </c>
      <c r="C1509" s="9" t="inlineStr">
        <is>
          <t>목</t>
        </is>
      </c>
      <c r="E1509" s="9" t="inlineStr">
        <is>
          <t>뉴트리셔스밤</t>
        </is>
      </c>
      <c r="F1509" s="9" t="inlineStr">
        <is>
          <t>카페24</t>
        </is>
      </c>
      <c r="G1509" s="9" t="inlineStr">
        <is>
          <t>라베나 리커버리 15 뉴트리셔스 밤 [HAIR RÉ:COVERY 15 Nutritious Balm]제품선택=뉴트리셔스밤 1개 + 헤어팩 트리트먼트 1개 세트 5%추가할인</t>
        </is>
      </c>
      <c r="H1509" s="9" t="n">
        <v>1</v>
      </c>
      <c r="I1509" s="9" t="inlineStr">
        <is>
          <t>트리트먼트+뉴트리셔스밤</t>
        </is>
      </c>
      <c r="J1509" s="9" t="inlineStr">
        <is>
          <t>210201</t>
        </is>
      </c>
      <c r="L1509" s="9" t="n">
        <v>48355</v>
      </c>
      <c r="M1509" s="9" t="n">
        <v>45526.2325</v>
      </c>
      <c r="N1509" s="9" t="n">
        <v>3177</v>
      </c>
      <c r="O150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510">
      <c r="B1510" s="10" t="n">
        <v>44259</v>
      </c>
      <c r="C1510" s="9" t="inlineStr">
        <is>
          <t>목</t>
        </is>
      </c>
      <c r="E1510" s="9" t="inlineStr">
        <is>
          <t>샴푸</t>
        </is>
      </c>
      <c r="F1510" s="9" t="inlineStr">
        <is>
          <t>카페24</t>
        </is>
      </c>
      <c r="G1510" s="9" t="inlineStr">
        <is>
          <t>라베나 리커버리 15 리바이탈 바이오플라보노이드샴푸 [HAIR RÉ:COVERY 15 Revital Shampoo]제품선택=헤어 리커버리 15 리바이탈 샴푸 - 500ml</t>
        </is>
      </c>
      <c r="H1510" s="9" t="n">
        <v>192</v>
      </c>
      <c r="I1510" s="9" t="inlineStr">
        <is>
          <t>리바이탈 샴푸</t>
        </is>
      </c>
      <c r="J1510" s="9" t="inlineStr">
        <is>
          <t>210201</t>
        </is>
      </c>
      <c r="L1510" s="9" t="n">
        <v>5164800</v>
      </c>
      <c r="M1510" s="9" t="n">
        <v>4862659.199999999</v>
      </c>
      <c r="N1510" s="9" t="n">
        <v>550080</v>
      </c>
      <c r="O151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11">
      <c r="B1511" s="10" t="n">
        <v>44259</v>
      </c>
      <c r="C1511" s="9" t="inlineStr">
        <is>
          <t>목</t>
        </is>
      </c>
      <c r="E1511" s="9" t="inlineStr">
        <is>
          <t>샴푸</t>
        </is>
      </c>
      <c r="F1511" s="9" t="inlineStr">
        <is>
          <t>카페24</t>
        </is>
      </c>
      <c r="G1511" s="9" t="inlineStr">
        <is>
          <t>라베나 리커버리 15 리바이탈 바이오플라보노이드샴푸 [HAIR RÉ:COVERY 15 Revital Shampoo]제품선택=리바이탈 샴푸 2개 세트 5%추가할인</t>
        </is>
      </c>
      <c r="H1511" s="9" t="n">
        <v>47</v>
      </c>
      <c r="I1511" s="9" t="inlineStr">
        <is>
          <t>리바이탈 샴푸 2set</t>
        </is>
      </c>
      <c r="J1511" s="9" t="inlineStr">
        <is>
          <t>210201</t>
        </is>
      </c>
      <c r="L1511" s="9" t="n">
        <v>2402170</v>
      </c>
      <c r="M1511" s="9" t="n">
        <v>2261643.055</v>
      </c>
      <c r="N1511" s="9" t="n">
        <v>269310</v>
      </c>
      <c r="O151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12">
      <c r="B1512" s="10" t="n">
        <v>44259</v>
      </c>
      <c r="C1512" s="9" t="inlineStr">
        <is>
          <t>목</t>
        </is>
      </c>
      <c r="E1512" s="9" t="inlineStr">
        <is>
          <t>샴푸</t>
        </is>
      </c>
      <c r="F1512" s="9" t="inlineStr">
        <is>
          <t>카페24</t>
        </is>
      </c>
      <c r="G1512" s="9" t="inlineStr">
        <is>
          <t>라베나 리커버리 15 리바이탈 바이오플라보노이드샴푸 [HAIR RÉ:COVERY 15 Revital Shampoo]제품선택=리바이탈 샴푸 3개 세트 10% 추가할인</t>
        </is>
      </c>
      <c r="H1512" s="9" t="n">
        <v>13</v>
      </c>
      <c r="I1512" s="9" t="inlineStr">
        <is>
          <t>리바이탈 샴푸 3set</t>
        </is>
      </c>
      <c r="J1512" s="9" t="inlineStr">
        <is>
          <t>210201</t>
        </is>
      </c>
      <c r="L1512" s="9" t="n">
        <v>944190</v>
      </c>
      <c r="M1512" s="9" t="n">
        <v>888954.885</v>
      </c>
      <c r="N1512" s="9" t="n">
        <v>111735</v>
      </c>
      <c r="O151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13">
      <c r="B1513" s="10" t="n">
        <v>44259</v>
      </c>
      <c r="C1513" s="9" t="inlineStr">
        <is>
          <t>목</t>
        </is>
      </c>
      <c r="E1513" s="9" t="inlineStr">
        <is>
          <t>트리트먼트</t>
        </is>
      </c>
      <c r="F1513" s="9" t="inlineStr">
        <is>
          <t>카페24</t>
        </is>
      </c>
      <c r="G1513" s="9" t="inlineStr">
        <is>
          <t>라베나 리커버리 15 헤어팩 트리트먼트 [HAIR RÉ:COVERY 15 Hairpack Treatment]제품선택=헤어 리커버리 15 헤어팩 트리트먼트</t>
        </is>
      </c>
      <c r="H1513" s="9" t="n">
        <v>4</v>
      </c>
      <c r="I1513" s="9" t="inlineStr">
        <is>
          <t>트리트먼트</t>
        </is>
      </c>
      <c r="J1513" s="9" t="inlineStr">
        <is>
          <t>210201</t>
        </is>
      </c>
      <c r="L1513" s="9" t="n">
        <v>104000</v>
      </c>
      <c r="M1513" s="9" t="n">
        <v>97916</v>
      </c>
      <c r="N1513" s="9" t="n">
        <v>6388</v>
      </c>
      <c r="O151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14">
      <c r="B1514" s="10" t="n">
        <v>44259</v>
      </c>
      <c r="C1514" s="9" t="inlineStr">
        <is>
          <t>목</t>
        </is>
      </c>
      <c r="E1514" s="9" t="inlineStr">
        <is>
          <t>트리트먼트</t>
        </is>
      </c>
      <c r="F1514" s="9" t="inlineStr">
        <is>
          <t>카페24</t>
        </is>
      </c>
      <c r="G1514" s="9" t="inlineStr">
        <is>
          <t>라베나 리커버리 15 헤어팩 트리트먼트 [HAIR RÉ:COVERY 15 Hairpack Treatment]제품선택=헤어팩 트리트먼트 2개 세트 5% 추가할인</t>
        </is>
      </c>
      <c r="H1514" s="9" t="n">
        <v>1</v>
      </c>
      <c r="I1514" s="9" t="inlineStr">
        <is>
          <t>트리트먼트 2set</t>
        </is>
      </c>
      <c r="J1514" s="9" t="inlineStr">
        <is>
          <t>210201</t>
        </is>
      </c>
      <c r="L1514" s="9" t="n">
        <v>49400</v>
      </c>
      <c r="M1514" s="9" t="n">
        <v>46510.1</v>
      </c>
      <c r="N1514" s="9" t="n">
        <v>3194</v>
      </c>
      <c r="O151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15">
      <c r="B1515" s="10" t="n">
        <v>44259</v>
      </c>
      <c r="C1515" s="9" t="inlineStr">
        <is>
          <t>목</t>
        </is>
      </c>
      <c r="E1515" s="9" t="inlineStr">
        <is>
          <t>트리트먼트</t>
        </is>
      </c>
      <c r="F1515" s="9" t="inlineStr">
        <is>
          <t>카페24</t>
        </is>
      </c>
      <c r="G1515" s="9" t="inlineStr">
        <is>
          <t>라베나 리커버리 15 헤어팩 트리트먼트 [HAIR RÉ:COVERY 15 Hairpack Treatment]제품선택=헤어팩 트리트먼트 1개 + 뉴트리셔스밤 1개 세트 5% 추가할인</t>
        </is>
      </c>
      <c r="H1515" s="9" t="n">
        <v>2</v>
      </c>
      <c r="I1515" s="9" t="inlineStr">
        <is>
          <t>트리트먼트+뉴트리셔스밤</t>
        </is>
      </c>
      <c r="J1515" s="9" t="inlineStr">
        <is>
          <t>210201</t>
        </is>
      </c>
      <c r="L1515" s="9" t="n">
        <v>96710</v>
      </c>
      <c r="M1515" s="9" t="n">
        <v>91052.465</v>
      </c>
      <c r="N1515" s="9" t="n">
        <v>6354</v>
      </c>
      <c r="O1515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516">
      <c r="B1516" s="10" t="n">
        <v>44260</v>
      </c>
      <c r="C1516" s="9" t="inlineStr">
        <is>
          <t>금</t>
        </is>
      </c>
      <c r="E1516" s="9" t="inlineStr">
        <is>
          <t>뉴트리셔스밤</t>
        </is>
      </c>
      <c r="F1516" s="9" t="inlineStr">
        <is>
          <t>카페24</t>
        </is>
      </c>
      <c r="G1516" s="9" t="inlineStr">
        <is>
          <t>라베나 리커버리 15 뉴트리셔스 밤 [HAIR RÉ:COVERY 15 Nutritious Balm]제품선택=헤어 리커버리 15 뉴트리셔스 밤</t>
        </is>
      </c>
      <c r="H1516" s="9" t="n">
        <v>5</v>
      </c>
      <c r="I1516" s="9" t="inlineStr">
        <is>
          <t>뉴트리셔스밤</t>
        </is>
      </c>
      <c r="J1516" s="9" t="inlineStr">
        <is>
          <t>210201</t>
        </is>
      </c>
      <c r="L1516" s="9" t="n">
        <v>124500</v>
      </c>
      <c r="M1516" s="9" t="n">
        <v>117216.75</v>
      </c>
      <c r="N1516" s="9" t="n">
        <v>7900</v>
      </c>
      <c r="O1516" s="9" t="inlineStr">
        <is>
          <t>카페24뉴트리셔스밤라베나 리커버리 15 뉴트리셔스 밤 [HAIR RÉ:COVERY 15 Nutritious Balm]제품선택=헤어 리커버리 15 뉴트리셔스 밤210201</t>
        </is>
      </c>
    </row>
    <row r="1517">
      <c r="B1517" s="10" t="n">
        <v>44260</v>
      </c>
      <c r="C1517" s="9" t="inlineStr">
        <is>
          <t>금</t>
        </is>
      </c>
      <c r="E1517" s="9" t="inlineStr">
        <is>
          <t>뉴트리셔스밤</t>
        </is>
      </c>
      <c r="F1517" s="9" t="inlineStr">
        <is>
          <t>카페24</t>
        </is>
      </c>
      <c r="G1517" s="9" t="inlineStr">
        <is>
          <t>라베나 리커버리 15 뉴트리셔스 밤 [HAIR RÉ:COVERY 15 Nutritious Balm]제품선택=뉴트리셔스 밤 2개 세트 5% 추가할인</t>
        </is>
      </c>
      <c r="H1517" s="9" t="n">
        <v>1</v>
      </c>
      <c r="I1517" s="9" t="inlineStr">
        <is>
          <t>뉴트리셔스밤 2set</t>
        </is>
      </c>
      <c r="J1517" s="9" t="inlineStr">
        <is>
          <t>210201</t>
        </is>
      </c>
      <c r="L1517" s="9" t="n">
        <v>47310</v>
      </c>
      <c r="M1517" s="9" t="n">
        <v>44542.365</v>
      </c>
      <c r="N1517" s="9" t="n">
        <v>3160</v>
      </c>
      <c r="O1517" s="9" t="inlineStr">
        <is>
          <t>카페24뉴트리셔스밤라베나 리커버리 15 뉴트리셔스 밤 [HAIR RÉ:COVERY 15 Nutritious Balm]제품선택=뉴트리셔스 밤 2개 세트 5% 추가할인210201</t>
        </is>
      </c>
    </row>
    <row r="1518">
      <c r="B1518" s="10" t="n">
        <v>44260</v>
      </c>
      <c r="C1518" s="9" t="inlineStr">
        <is>
          <t>금</t>
        </is>
      </c>
      <c r="E1518" s="9" t="inlineStr">
        <is>
          <t>샴푸</t>
        </is>
      </c>
      <c r="F1518" s="9" t="inlineStr">
        <is>
          <t>카페24</t>
        </is>
      </c>
      <c r="G1518" s="9" t="inlineStr">
        <is>
          <t>라베나 리커버리 15 리바이탈 바이오플라보노이드샴푸 [HAIR RÉ:COVERY 15 Revital Shampoo]제품선택=헤어 리커버리 15 리바이탈 샴푸 - 500ml</t>
        </is>
      </c>
      <c r="H1518" s="9" t="n">
        <v>189</v>
      </c>
      <c r="I1518" s="9" t="inlineStr">
        <is>
          <t>리바이탈 샴푸</t>
        </is>
      </c>
      <c r="J1518" s="9" t="inlineStr">
        <is>
          <t>210201</t>
        </is>
      </c>
      <c r="L1518" s="9" t="n">
        <v>5084100</v>
      </c>
      <c r="M1518" s="9" t="n">
        <v>4786680.149999999</v>
      </c>
      <c r="N1518" s="9" t="n">
        <v>541485</v>
      </c>
      <c r="O151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19">
      <c r="B1519" s="10" t="n">
        <v>44260</v>
      </c>
      <c r="C1519" s="9" t="inlineStr">
        <is>
          <t>금</t>
        </is>
      </c>
      <c r="E1519" s="9" t="inlineStr">
        <is>
          <t>샴푸</t>
        </is>
      </c>
      <c r="F1519" s="9" t="inlineStr">
        <is>
          <t>카페24</t>
        </is>
      </c>
      <c r="G1519" s="9" t="inlineStr">
        <is>
          <t>라베나 리커버리 15 리바이탈 바이오플라보노이드샴푸 [HAIR RÉ:COVERY 15 Revital Shampoo]제품선택=리바이탈 샴푸 2개 세트 5%추가할인</t>
        </is>
      </c>
      <c r="H1519" s="9" t="n">
        <v>52</v>
      </c>
      <c r="I1519" s="9" t="inlineStr">
        <is>
          <t>리바이탈 샴푸 2set</t>
        </is>
      </c>
      <c r="J1519" s="9" t="inlineStr">
        <is>
          <t>210201</t>
        </is>
      </c>
      <c r="L1519" s="9" t="n">
        <v>2657720</v>
      </c>
      <c r="M1519" s="9" t="n">
        <v>2502243.38</v>
      </c>
      <c r="N1519" s="9" t="n">
        <v>297960</v>
      </c>
      <c r="O151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20">
      <c r="B1520" s="10" t="n">
        <v>44260</v>
      </c>
      <c r="C1520" s="9" t="inlineStr">
        <is>
          <t>금</t>
        </is>
      </c>
      <c r="E1520" s="9" t="inlineStr">
        <is>
          <t>샴푸</t>
        </is>
      </c>
      <c r="F1520" s="9" t="inlineStr">
        <is>
          <t>카페24</t>
        </is>
      </c>
      <c r="G1520" s="9" t="inlineStr">
        <is>
          <t>라베나 리커버리 15 리바이탈 바이오플라보노이드샴푸 [HAIR RÉ:COVERY 15 Revital Shampoo]제품선택=리바이탈 샴푸 3개 세트 10% 추가할인</t>
        </is>
      </c>
      <c r="H1520" s="9" t="n">
        <v>14</v>
      </c>
      <c r="I1520" s="9" t="inlineStr">
        <is>
          <t>리바이탈 샴푸 3set</t>
        </is>
      </c>
      <c r="J1520" s="9" t="inlineStr">
        <is>
          <t>210201</t>
        </is>
      </c>
      <c r="L1520" s="9" t="n">
        <v>1016820</v>
      </c>
      <c r="M1520" s="9" t="n">
        <v>957336.03</v>
      </c>
      <c r="N1520" s="9" t="n">
        <v>120330</v>
      </c>
      <c r="O152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21">
      <c r="B1521" s="10" t="n">
        <v>44260</v>
      </c>
      <c r="C1521" s="9" t="inlineStr">
        <is>
          <t>금</t>
        </is>
      </c>
      <c r="E1521" s="9" t="inlineStr">
        <is>
          <t>트리트먼트</t>
        </is>
      </c>
      <c r="F1521" s="9" t="inlineStr">
        <is>
          <t>카페24</t>
        </is>
      </c>
      <c r="G1521" s="9" t="inlineStr">
        <is>
          <t>라베나 리커버리 15 헤어팩 트리트먼트 [HAIR RÉ:COVERY 15 Hairpack Treatment]제품선택=헤어 리커버리 15 헤어팩 트리트먼트</t>
        </is>
      </c>
      <c r="H1521" s="9" t="n">
        <v>5</v>
      </c>
      <c r="I1521" s="9" t="inlineStr">
        <is>
          <t>트리트먼트</t>
        </is>
      </c>
      <c r="J1521" s="9" t="inlineStr">
        <is>
          <t>210201</t>
        </is>
      </c>
      <c r="L1521" s="9" t="n">
        <v>130000</v>
      </c>
      <c r="M1521" s="9" t="n">
        <v>122395</v>
      </c>
      <c r="N1521" s="9" t="n">
        <v>7985</v>
      </c>
      <c r="O152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22">
      <c r="B1522" s="10" t="n">
        <v>44260</v>
      </c>
      <c r="C1522" s="9" t="inlineStr">
        <is>
          <t>금</t>
        </is>
      </c>
      <c r="E1522" s="9" t="inlineStr">
        <is>
          <t>트리트먼트</t>
        </is>
      </c>
      <c r="F1522" s="9" t="inlineStr">
        <is>
          <t>카페24</t>
        </is>
      </c>
      <c r="G1522" s="9" t="inlineStr">
        <is>
          <t>라베나 리커버리 15 헤어팩 트리트먼트 [HAIR RÉ:COVERY 15 Hairpack Treatment]제품선택=헤어팩 트리트먼트 2개 세트 5% 추가할인</t>
        </is>
      </c>
      <c r="H1522" s="9" t="n">
        <v>1</v>
      </c>
      <c r="I1522" s="9" t="inlineStr">
        <is>
          <t>트리트먼트 2set</t>
        </is>
      </c>
      <c r="J1522" s="9" t="inlineStr">
        <is>
          <t>210201</t>
        </is>
      </c>
      <c r="L1522" s="9" t="n">
        <v>49400</v>
      </c>
      <c r="M1522" s="9" t="n">
        <v>46510.1</v>
      </c>
      <c r="N1522" s="9" t="n">
        <v>3194</v>
      </c>
      <c r="O1522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23">
      <c r="B1523" s="10" t="n">
        <v>44260</v>
      </c>
      <c r="C1523" s="9" t="inlineStr">
        <is>
          <t>금</t>
        </is>
      </c>
      <c r="E1523" s="9" t="inlineStr">
        <is>
          <t>트리트먼트</t>
        </is>
      </c>
      <c r="F1523" s="9" t="inlineStr">
        <is>
          <t>카페24</t>
        </is>
      </c>
      <c r="G1523" s="9" t="inlineStr">
        <is>
          <t>라베나 리커버리 15 헤어팩 트리트먼트 [HAIR RÉ:COVERY 15 Hairpack Treatment]제품선택=헤어팩 트리트먼트 3개 세트 10% 추가할인</t>
        </is>
      </c>
      <c r="H1523" s="9" t="n">
        <v>1</v>
      </c>
      <c r="I1523" s="9" t="inlineStr">
        <is>
          <t>트리트먼트 3set</t>
        </is>
      </c>
      <c r="J1523" s="9" t="inlineStr">
        <is>
          <t>210201</t>
        </is>
      </c>
      <c r="L1523" s="9" t="n">
        <v>70200</v>
      </c>
      <c r="M1523" s="9" t="n">
        <v>66093.3</v>
      </c>
      <c r="N1523" s="9" t="n">
        <v>4791</v>
      </c>
      <c r="O1523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524">
      <c r="B1524" s="10" t="n">
        <v>44261</v>
      </c>
      <c r="C1524" s="9" t="inlineStr">
        <is>
          <t>토</t>
        </is>
      </c>
      <c r="E1524" s="9" t="inlineStr">
        <is>
          <t>뉴트리셔스밤</t>
        </is>
      </c>
      <c r="F1524" s="9" t="inlineStr">
        <is>
          <t>카페24</t>
        </is>
      </c>
      <c r="G1524" s="9" t="inlineStr">
        <is>
          <t>라베나 리커버리 15 뉴트리셔스 밤 [HAIR RÉ:COVERY 15 Nutritious Balm]제품선택=헤어 리커버리 15 뉴트리셔스 밤</t>
        </is>
      </c>
      <c r="H1524" s="9" t="n">
        <v>5</v>
      </c>
      <c r="I1524" s="9" t="inlineStr">
        <is>
          <t>뉴트리셔스밤</t>
        </is>
      </c>
      <c r="J1524" s="9" t="inlineStr">
        <is>
          <t>210201</t>
        </is>
      </c>
      <c r="L1524" s="9" t="n">
        <v>124500</v>
      </c>
      <c r="M1524" s="9" t="n">
        <v>117216.75</v>
      </c>
      <c r="N1524" s="9" t="n">
        <v>7900</v>
      </c>
      <c r="O1524" s="9" t="inlineStr">
        <is>
          <t>카페24뉴트리셔스밤라베나 리커버리 15 뉴트리셔스 밤 [HAIR RÉ:COVERY 15 Nutritious Balm]제품선택=헤어 리커버리 15 뉴트리셔스 밤210201</t>
        </is>
      </c>
    </row>
    <row r="1525">
      <c r="B1525" s="10" t="n">
        <v>44261</v>
      </c>
      <c r="C1525" s="9" t="inlineStr">
        <is>
          <t>토</t>
        </is>
      </c>
      <c r="E1525" s="9" t="inlineStr">
        <is>
          <t>뉴트리셔스밤</t>
        </is>
      </c>
      <c r="F1525" s="9" t="inlineStr">
        <is>
          <t>카페24</t>
        </is>
      </c>
      <c r="G1525" s="9" t="inlineStr">
        <is>
          <t>라베나 리커버리 15 뉴트리셔스 밤 [HAIR RÉ:COVERY 15 Nutritious Balm]제품선택=뉴트리셔스 밤 3개 세트 10% 추가할인</t>
        </is>
      </c>
      <c r="H1525" s="9" t="n">
        <v>1</v>
      </c>
      <c r="I1525" s="9" t="inlineStr">
        <is>
          <t>뉴트리셔스밤 3set</t>
        </is>
      </c>
      <c r="J1525" s="9" t="inlineStr">
        <is>
          <t>210201</t>
        </is>
      </c>
      <c r="L1525" s="9" t="n">
        <v>67230</v>
      </c>
      <c r="M1525" s="9" t="n">
        <v>63297.045</v>
      </c>
      <c r="N1525" s="9" t="n">
        <v>4740</v>
      </c>
      <c r="O1525" s="9" t="inlineStr">
        <is>
          <t>카페24뉴트리셔스밤라베나 리커버리 15 뉴트리셔스 밤 [HAIR RÉ:COVERY 15 Nutritious Balm]제품선택=뉴트리셔스 밤 3개 세트 10% 추가할인210201</t>
        </is>
      </c>
    </row>
    <row r="1526">
      <c r="B1526" s="10" t="n">
        <v>44261</v>
      </c>
      <c r="C1526" s="9" t="inlineStr">
        <is>
          <t>토</t>
        </is>
      </c>
      <c r="E1526" s="9" t="inlineStr">
        <is>
          <t>뉴트리셔스밤</t>
        </is>
      </c>
      <c r="F1526" s="9" t="inlineStr">
        <is>
          <t>카페24</t>
        </is>
      </c>
      <c r="G1526" s="9" t="inlineStr">
        <is>
          <t>라베나 리커버리 15 뉴트리셔스 밤 [HAIR RÉ:COVERY 15 Nutritious Balm]제품선택=뉴트리셔스밤 1개 + 헤어팩 트리트먼트 1개 세트 5%추가할인</t>
        </is>
      </c>
      <c r="H1526" s="9" t="n">
        <v>1</v>
      </c>
      <c r="I1526" s="9" t="inlineStr">
        <is>
          <t>트리트먼트+뉴트리셔스밤</t>
        </is>
      </c>
      <c r="J1526" s="9" t="inlineStr">
        <is>
          <t>210201</t>
        </is>
      </c>
      <c r="L1526" s="9" t="n">
        <v>48355</v>
      </c>
      <c r="M1526" s="9" t="n">
        <v>45526.2325</v>
      </c>
      <c r="N1526" s="9" t="n">
        <v>3177</v>
      </c>
      <c r="O1526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527">
      <c r="B1527" s="10" t="n">
        <v>44261</v>
      </c>
      <c r="C1527" s="9" t="inlineStr">
        <is>
          <t>토</t>
        </is>
      </c>
      <c r="E1527" s="9" t="inlineStr">
        <is>
          <t>샴푸</t>
        </is>
      </c>
      <c r="F1527" s="9" t="inlineStr">
        <is>
          <t>카페24</t>
        </is>
      </c>
      <c r="G1527" s="9" t="inlineStr">
        <is>
          <t>라베나 리커버리 15 리바이탈 바이오플라보노이드샴푸 [HAIR RÉ:COVERY 15 Revital Shampoo]제품선택=헤어 리커버리 15 리바이탈 샴푸 - 500ml</t>
        </is>
      </c>
      <c r="H1527" s="9" t="n">
        <v>196</v>
      </c>
      <c r="I1527" s="9" t="inlineStr">
        <is>
          <t>리바이탈 샴푸</t>
        </is>
      </c>
      <c r="J1527" s="9" t="inlineStr">
        <is>
          <t>210201</t>
        </is>
      </c>
      <c r="L1527" s="9" t="n">
        <v>5272400</v>
      </c>
      <c r="M1527" s="9" t="n">
        <v>4963964.6</v>
      </c>
      <c r="N1527" s="9" t="n">
        <v>561540</v>
      </c>
      <c r="O152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28">
      <c r="B1528" s="10" t="n">
        <v>44261</v>
      </c>
      <c r="C1528" s="9" t="inlineStr">
        <is>
          <t>토</t>
        </is>
      </c>
      <c r="E1528" s="9" t="inlineStr">
        <is>
          <t>샴푸</t>
        </is>
      </c>
      <c r="F1528" s="9" t="inlineStr">
        <is>
          <t>카페24</t>
        </is>
      </c>
      <c r="G1528" s="9" t="inlineStr">
        <is>
          <t>라베나 리커버리 15 리바이탈 바이오플라보노이드샴푸 [HAIR RÉ:COVERY 15 Revital Shampoo]제품선택=리바이탈 샴푸 2개 세트 5%추가할인</t>
        </is>
      </c>
      <c r="H1528" s="9" t="n">
        <v>54</v>
      </c>
      <c r="I1528" s="9" t="inlineStr">
        <is>
          <t>리바이탈 샴푸 2set</t>
        </is>
      </c>
      <c r="J1528" s="9" t="inlineStr">
        <is>
          <t>210201</t>
        </is>
      </c>
      <c r="L1528" s="9" t="n">
        <v>2759940</v>
      </c>
      <c r="M1528" s="9" t="n">
        <v>2598483.51</v>
      </c>
      <c r="N1528" s="9" t="n">
        <v>309420</v>
      </c>
      <c r="O152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29">
      <c r="B1529" s="10" t="n">
        <v>44261</v>
      </c>
      <c r="C1529" s="9" t="inlineStr">
        <is>
          <t>토</t>
        </is>
      </c>
      <c r="E1529" s="9" t="inlineStr">
        <is>
          <t>샴푸</t>
        </is>
      </c>
      <c r="F1529" s="9" t="inlineStr">
        <is>
          <t>카페24</t>
        </is>
      </c>
      <c r="G1529" s="9" t="inlineStr">
        <is>
          <t>라베나 리커버리 15 리바이탈 바이오플라보노이드샴푸 [HAIR RÉ:COVERY 15 Revital Shampoo]제품선택=리바이탈 샴푸 3개 세트 10% 추가할인</t>
        </is>
      </c>
      <c r="H1529" s="9" t="n">
        <v>25</v>
      </c>
      <c r="I1529" s="9" t="inlineStr">
        <is>
          <t>리바이탈 샴푸 3set</t>
        </is>
      </c>
      <c r="J1529" s="9" t="inlineStr">
        <is>
          <t>210201</t>
        </is>
      </c>
      <c r="L1529" s="9" t="n">
        <v>1815750</v>
      </c>
      <c r="M1529" s="9" t="n">
        <v>1709528.625</v>
      </c>
      <c r="N1529" s="9" t="n">
        <v>214875</v>
      </c>
      <c r="O152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30">
      <c r="B1530" s="10" t="n">
        <v>44261</v>
      </c>
      <c r="C1530" s="9" t="inlineStr">
        <is>
          <t>토</t>
        </is>
      </c>
      <c r="E1530" s="9" t="inlineStr">
        <is>
          <t>트리트먼트</t>
        </is>
      </c>
      <c r="F1530" s="9" t="inlineStr">
        <is>
          <t>카페24</t>
        </is>
      </c>
      <c r="G1530" s="9" t="inlineStr">
        <is>
          <t>라베나 리커버리 15 헤어팩 트리트먼트 [HAIR RÉ:COVERY 15 Hairpack Treatment]제품선택=헤어 리커버리 15 헤어팩 트리트먼트</t>
        </is>
      </c>
      <c r="H1530" s="9" t="n">
        <v>7</v>
      </c>
      <c r="I1530" s="9" t="inlineStr">
        <is>
          <t>트리트먼트</t>
        </is>
      </c>
      <c r="J1530" s="9" t="inlineStr">
        <is>
          <t>210201</t>
        </is>
      </c>
      <c r="L1530" s="9" t="n">
        <v>182000</v>
      </c>
      <c r="M1530" s="9" t="n">
        <v>171353</v>
      </c>
      <c r="N1530" s="9" t="n">
        <v>11179</v>
      </c>
      <c r="O1530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31">
      <c r="B1531" s="10" t="n">
        <v>44261</v>
      </c>
      <c r="C1531" s="9" t="inlineStr">
        <is>
          <t>토</t>
        </is>
      </c>
      <c r="E1531" s="9" t="inlineStr">
        <is>
          <t>트리트먼트</t>
        </is>
      </c>
      <c r="F1531" s="9" t="inlineStr">
        <is>
          <t>카페24</t>
        </is>
      </c>
      <c r="G1531" s="9" t="inlineStr">
        <is>
          <t>라베나 리커버리 15 헤어팩 트리트먼트 [HAIR RÉ:COVERY 15 Hairpack Treatment]제품선택=헤어팩 트리트먼트 1개 + 뉴트리셔스밤 1개 세트 5% 추가할인</t>
        </is>
      </c>
      <c r="H1531" s="9" t="n">
        <v>1</v>
      </c>
      <c r="I1531" s="9" t="inlineStr">
        <is>
          <t>트리트먼트+뉴트리셔스밤</t>
        </is>
      </c>
      <c r="J1531" s="9" t="inlineStr">
        <is>
          <t>210201</t>
        </is>
      </c>
      <c r="L1531" s="9" t="n">
        <v>48355</v>
      </c>
      <c r="M1531" s="9" t="n">
        <v>45526.2325</v>
      </c>
      <c r="N1531" s="9" t="n">
        <v>3177</v>
      </c>
      <c r="O1531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532">
      <c r="B1532" s="10" t="n">
        <v>44262</v>
      </c>
      <c r="C1532" s="9" t="inlineStr">
        <is>
          <t>일</t>
        </is>
      </c>
      <c r="E1532" s="9" t="inlineStr">
        <is>
          <t>뉴트리셔스밤</t>
        </is>
      </c>
      <c r="F1532" s="9" t="inlineStr">
        <is>
          <t>카페24</t>
        </is>
      </c>
      <c r="G1532" s="9" t="inlineStr">
        <is>
          <t>라베나 리커버리 15 뉴트리셔스 밤 [HAIR RÉ:COVERY 15 Nutritious Balm]제품선택=헤어 리커버리 15 뉴트리셔스 밤</t>
        </is>
      </c>
      <c r="H1532" s="9" t="n">
        <v>7</v>
      </c>
      <c r="I1532" s="9" t="inlineStr">
        <is>
          <t>뉴트리셔스밤</t>
        </is>
      </c>
      <c r="J1532" s="9" t="inlineStr">
        <is>
          <t>210201</t>
        </is>
      </c>
      <c r="L1532" s="9" t="n">
        <v>174300</v>
      </c>
      <c r="M1532" s="9" t="n">
        <v>164103.45</v>
      </c>
      <c r="N1532" s="9" t="n">
        <v>11060</v>
      </c>
      <c r="O1532" s="9" t="inlineStr">
        <is>
          <t>카페24뉴트리셔스밤라베나 리커버리 15 뉴트리셔스 밤 [HAIR RÉ:COVERY 15 Nutritious Balm]제품선택=헤어 리커버리 15 뉴트리셔스 밤210201</t>
        </is>
      </c>
    </row>
    <row r="1533">
      <c r="B1533" s="10" t="n">
        <v>44262</v>
      </c>
      <c r="C1533" s="9" t="inlineStr">
        <is>
          <t>일</t>
        </is>
      </c>
      <c r="E1533" s="9" t="inlineStr">
        <is>
          <t>뉴트리셔스밤</t>
        </is>
      </c>
      <c r="F1533" s="9" t="inlineStr">
        <is>
          <t>카페24</t>
        </is>
      </c>
      <c r="G1533" s="9" t="inlineStr">
        <is>
          <t>라베나 리커버리 15 뉴트리셔스 밤 [HAIR RÉ:COVERY 15 Nutritious Balm]제품선택=뉴트리셔스 밤 2개 세트 5% 추가할인</t>
        </is>
      </c>
      <c r="H1533" s="9" t="n">
        <v>2</v>
      </c>
      <c r="I1533" s="9" t="inlineStr">
        <is>
          <t>뉴트리셔스밤 2set</t>
        </is>
      </c>
      <c r="J1533" s="9" t="inlineStr">
        <is>
          <t>210201</t>
        </is>
      </c>
      <c r="L1533" s="9" t="n">
        <v>94620</v>
      </c>
      <c r="M1533" s="9" t="n">
        <v>89084.73</v>
      </c>
      <c r="N1533" s="9" t="n">
        <v>6320</v>
      </c>
      <c r="O1533" s="9" t="inlineStr">
        <is>
          <t>카페24뉴트리셔스밤라베나 리커버리 15 뉴트리셔스 밤 [HAIR RÉ:COVERY 15 Nutritious Balm]제품선택=뉴트리셔스 밤 2개 세트 5% 추가할인210201</t>
        </is>
      </c>
    </row>
    <row r="1534">
      <c r="B1534" s="10" t="n">
        <v>44262</v>
      </c>
      <c r="C1534" s="9" t="inlineStr">
        <is>
          <t>일</t>
        </is>
      </c>
      <c r="E1534" s="9" t="inlineStr">
        <is>
          <t>뉴트리셔스밤</t>
        </is>
      </c>
      <c r="F1534" s="9" t="inlineStr">
        <is>
          <t>카페24</t>
        </is>
      </c>
      <c r="G1534" s="9" t="inlineStr">
        <is>
          <t>라베나 리커버리 15 뉴트리셔스 밤 [HAIR RÉ:COVERY 15 Nutritious Balm]제품선택=뉴트리셔스밤 1개 + 헤어팩 트리트먼트 1개 세트 5%추가할인</t>
        </is>
      </c>
      <c r="H1534" s="9" t="n">
        <v>4</v>
      </c>
      <c r="I1534" s="9" t="inlineStr">
        <is>
          <t>트리트먼트+뉴트리셔스밤</t>
        </is>
      </c>
      <c r="J1534" s="9" t="inlineStr">
        <is>
          <t>210201</t>
        </is>
      </c>
      <c r="L1534" s="9" t="n">
        <v>193420</v>
      </c>
      <c r="M1534" s="9" t="n">
        <v>182104.93</v>
      </c>
      <c r="N1534" s="9" t="n">
        <v>12708</v>
      </c>
      <c r="O1534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535">
      <c r="B1535" s="10" t="n">
        <v>44262</v>
      </c>
      <c r="C1535" s="9" t="inlineStr">
        <is>
          <t>일</t>
        </is>
      </c>
      <c r="E1535" s="9" t="inlineStr">
        <is>
          <t>샴푸</t>
        </is>
      </c>
      <c r="F1535" s="9" t="inlineStr">
        <is>
          <t>카페24</t>
        </is>
      </c>
      <c r="G1535" s="9" t="inlineStr">
        <is>
          <t>라베나 리커버리 15 리바이탈 바이오플라보노이드샴푸 [HAIR RÉ:COVERY 15 Revital Shampoo]제품선택=헤어 리커버리 15 리바이탈 샴푸 - 500ml</t>
        </is>
      </c>
      <c r="H1535" s="9" t="n">
        <v>237</v>
      </c>
      <c r="I1535" s="9" t="inlineStr">
        <is>
          <t>리바이탈 샴푸</t>
        </is>
      </c>
      <c r="J1535" s="9" t="inlineStr">
        <is>
          <t>210201</t>
        </is>
      </c>
      <c r="L1535" s="9" t="n">
        <v>6375300</v>
      </c>
      <c r="M1535" s="9" t="n">
        <v>6002344.949999999</v>
      </c>
      <c r="N1535" s="9" t="n">
        <v>679005</v>
      </c>
      <c r="O153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36">
      <c r="B1536" s="10" t="n">
        <v>44262</v>
      </c>
      <c r="C1536" s="9" t="inlineStr">
        <is>
          <t>일</t>
        </is>
      </c>
      <c r="E1536" s="9" t="inlineStr">
        <is>
          <t>샴푸</t>
        </is>
      </c>
      <c r="F1536" s="9" t="inlineStr">
        <is>
          <t>카페24</t>
        </is>
      </c>
      <c r="G1536" s="9" t="inlineStr">
        <is>
          <t>라베나 리커버리 15 리바이탈 바이오플라보노이드샴푸 [HAIR RÉ:COVERY 15 Revital Shampoo]제품선택=리바이탈 샴푸 2개 세트 5%추가할인</t>
        </is>
      </c>
      <c r="H1536" s="9" t="n">
        <v>84</v>
      </c>
      <c r="I1536" s="9" t="inlineStr">
        <is>
          <t>리바이탈 샴푸 2set</t>
        </is>
      </c>
      <c r="J1536" s="9" t="inlineStr">
        <is>
          <t>210201</t>
        </is>
      </c>
      <c r="L1536" s="9" t="n">
        <v>4293240</v>
      </c>
      <c r="M1536" s="9" t="n">
        <v>4042085.46</v>
      </c>
      <c r="N1536" s="9" t="n">
        <v>481320</v>
      </c>
      <c r="O153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37">
      <c r="B1537" s="10" t="n">
        <v>44262</v>
      </c>
      <c r="C1537" s="9" t="inlineStr">
        <is>
          <t>일</t>
        </is>
      </c>
      <c r="E1537" s="9" t="inlineStr">
        <is>
          <t>샴푸</t>
        </is>
      </c>
      <c r="F1537" s="9" t="inlineStr">
        <is>
          <t>카페24</t>
        </is>
      </c>
      <c r="G1537" s="9" t="inlineStr">
        <is>
          <t>라베나 리커버리 15 리바이탈 바이오플라보노이드샴푸 [HAIR RÉ:COVERY 15 Revital Shampoo]제품선택=리바이탈 샴푸 3개 세트 10% 추가할인</t>
        </is>
      </c>
      <c r="H1537" s="9" t="n">
        <v>35</v>
      </c>
      <c r="I1537" s="9" t="inlineStr">
        <is>
          <t>리바이탈 샴푸 3set</t>
        </is>
      </c>
      <c r="J1537" s="9" t="inlineStr">
        <is>
          <t>210201</t>
        </is>
      </c>
      <c r="L1537" s="9" t="n">
        <v>2542050</v>
      </c>
      <c r="M1537" s="9" t="n">
        <v>2393340.075</v>
      </c>
      <c r="N1537" s="9" t="n">
        <v>300825</v>
      </c>
      <c r="O153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38">
      <c r="B1538" s="10" t="n">
        <v>44262</v>
      </c>
      <c r="C1538" s="9" t="inlineStr">
        <is>
          <t>일</t>
        </is>
      </c>
      <c r="E1538" s="9" t="inlineStr">
        <is>
          <t>트리트먼트</t>
        </is>
      </c>
      <c r="F1538" s="9" t="inlineStr">
        <is>
          <t>카페24</t>
        </is>
      </c>
      <c r="G1538" s="9" t="inlineStr">
        <is>
          <t>라베나 리커버리 15 헤어팩 트리트먼트 [HAIR RÉ:COVERY 15 Hairpack Treatment]제품선택=헤어 리커버리 15 헤어팩 트리트먼트</t>
        </is>
      </c>
      <c r="H1538" s="9" t="n">
        <v>9</v>
      </c>
      <c r="I1538" s="9" t="inlineStr">
        <is>
          <t>트리트먼트</t>
        </is>
      </c>
      <c r="J1538" s="9" t="inlineStr">
        <is>
          <t>210201</t>
        </is>
      </c>
      <c r="L1538" s="9" t="n">
        <v>234000</v>
      </c>
      <c r="M1538" s="9" t="n">
        <v>220311</v>
      </c>
      <c r="N1538" s="9" t="n">
        <v>14373</v>
      </c>
      <c r="O153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39">
      <c r="B1539" s="10" t="n">
        <v>44262</v>
      </c>
      <c r="C1539" s="9" t="inlineStr">
        <is>
          <t>일</t>
        </is>
      </c>
      <c r="E1539" s="9" t="inlineStr">
        <is>
          <t>트리트먼트</t>
        </is>
      </c>
      <c r="F1539" s="9" t="inlineStr">
        <is>
          <t>카페24</t>
        </is>
      </c>
      <c r="G1539" s="9" t="inlineStr">
        <is>
          <t>라베나 리커버리 15 헤어팩 트리트먼트 [HAIR RÉ:COVERY 15 Hairpack Treatment]제품선택=헤어팩 트리트먼트 2개 세트 5% 추가할인</t>
        </is>
      </c>
      <c r="H1539" s="9" t="n">
        <v>3</v>
      </c>
      <c r="I1539" s="9" t="inlineStr">
        <is>
          <t>트리트먼트 2set</t>
        </is>
      </c>
      <c r="J1539" s="9" t="inlineStr">
        <is>
          <t>210201</t>
        </is>
      </c>
      <c r="L1539" s="9" t="n">
        <v>148200</v>
      </c>
      <c r="M1539" s="9" t="n">
        <v>139530.3</v>
      </c>
      <c r="N1539" s="9" t="n">
        <v>9582</v>
      </c>
      <c r="O1539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40">
      <c r="B1540" s="10" t="n">
        <v>44262</v>
      </c>
      <c r="C1540" s="9" t="inlineStr">
        <is>
          <t>일</t>
        </is>
      </c>
      <c r="E1540" s="9" t="inlineStr">
        <is>
          <t>트리트먼트</t>
        </is>
      </c>
      <c r="F1540" s="9" t="inlineStr">
        <is>
          <t>카페24</t>
        </is>
      </c>
      <c r="G1540" s="9" t="inlineStr">
        <is>
          <t>라베나 리커버리 15 헤어팩 트리트먼트 [HAIR RÉ:COVERY 15 Hairpack Treatment]제품선택=헤어팩 트리트먼트 3개 세트 10% 추가할인</t>
        </is>
      </c>
      <c r="H1540" s="9" t="n">
        <v>2</v>
      </c>
      <c r="I1540" s="9" t="inlineStr">
        <is>
          <t>트리트먼트 3set</t>
        </is>
      </c>
      <c r="J1540" s="9" t="inlineStr">
        <is>
          <t>210201</t>
        </is>
      </c>
      <c r="L1540" s="9" t="n">
        <v>140400</v>
      </c>
      <c r="M1540" s="9" t="n">
        <v>132186.6</v>
      </c>
      <c r="N1540" s="9" t="n">
        <v>9582</v>
      </c>
      <c r="O1540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541">
      <c r="A1541" s="9" t="inlineStr">
        <is>
          <t>0224_샴푸-비듬똥균_카드뉴스_임시</t>
        </is>
      </c>
      <c r="B1541" s="10" t="n">
        <v>44263</v>
      </c>
      <c r="C1541" s="9" t="inlineStr">
        <is>
          <t>월</t>
        </is>
      </c>
      <c r="D1541" s="9" t="inlineStr">
        <is>
          <t>페이스북</t>
        </is>
      </c>
      <c r="E1541" s="9" t="inlineStr">
        <is>
          <t>샴푸</t>
        </is>
      </c>
      <c r="K1541" s="9" t="n">
        <v>483777</v>
      </c>
    </row>
    <row r="1542">
      <c r="A1542" s="9" t="inlineStr">
        <is>
          <t>현빈임시테스트</t>
        </is>
      </c>
      <c r="B1542" s="10" t="n">
        <v>44263</v>
      </c>
      <c r="C1542" s="9" t="inlineStr">
        <is>
          <t>월</t>
        </is>
      </c>
      <c r="D1542" s="9" t="inlineStr">
        <is>
          <t>페이스북</t>
        </is>
      </c>
      <c r="E1542" s="9" t="inlineStr">
        <is>
          <t>샴푸</t>
        </is>
      </c>
      <c r="K1542" s="9" t="n">
        <v>47816</v>
      </c>
    </row>
    <row r="1543">
      <c r="A1543" s="9" t="inlineStr">
        <is>
          <t>1201~단장키워드테스트</t>
        </is>
      </c>
      <c r="B1543" s="10" t="n">
        <v>44263</v>
      </c>
      <c r="C1543" s="9" t="inlineStr">
        <is>
          <t>월</t>
        </is>
      </c>
      <c r="D1543" s="9" t="inlineStr">
        <is>
          <t>페이스북</t>
        </is>
      </c>
      <c r="E1543" s="9" t="inlineStr">
        <is>
          <t>샴푸</t>
        </is>
      </c>
      <c r="K1543" s="9" t="n">
        <v>48343</v>
      </c>
    </row>
    <row r="1544">
      <c r="A1544" s="9" t="inlineStr">
        <is>
          <t>11/13 키워드 탐색</t>
        </is>
      </c>
      <c r="B1544" s="10" t="n">
        <v>44263</v>
      </c>
      <c r="C1544" s="9" t="inlineStr">
        <is>
          <t>월</t>
        </is>
      </c>
      <c r="D1544" s="9" t="inlineStr">
        <is>
          <t>페이스북</t>
        </is>
      </c>
      <c r="E1544" s="9" t="inlineStr">
        <is>
          <t>샴푸</t>
        </is>
      </c>
      <c r="K1544" s="9" t="n">
        <v>47793</v>
      </c>
    </row>
    <row r="1545">
      <c r="A1545" s="9" t="inlineStr">
        <is>
          <t>0118_샴푸_비듬똥균_4차</t>
        </is>
      </c>
      <c r="B1545" s="10" t="n">
        <v>44263</v>
      </c>
      <c r="C1545" s="9" t="inlineStr">
        <is>
          <t>월</t>
        </is>
      </c>
      <c r="D1545" s="9" t="inlineStr">
        <is>
          <t>유튜브</t>
        </is>
      </c>
      <c r="E1545" s="9" t="inlineStr">
        <is>
          <t>샴푸</t>
        </is>
      </c>
      <c r="K1545" s="9" t="n">
        <v>1042929</v>
      </c>
    </row>
    <row r="1546">
      <c r="A1546" s="9" t="inlineStr">
        <is>
          <t>0127_GDN_비듬샴푸_잠재고객</t>
        </is>
      </c>
      <c r="B1546" s="10" t="n">
        <v>44263</v>
      </c>
      <c r="C1546" s="9" t="inlineStr">
        <is>
          <t>월</t>
        </is>
      </c>
      <c r="D1546" s="9" t="inlineStr">
        <is>
          <t>GDN</t>
        </is>
      </c>
      <c r="E1546" s="9" t="inlineStr">
        <is>
          <t>샴푸</t>
        </is>
      </c>
      <c r="K1546" s="9" t="n">
        <v>58988</v>
      </c>
    </row>
    <row r="1547">
      <c r="A1547" s="9" t="inlineStr">
        <is>
          <t>0303_샴푸_인스트림_동영상전환수</t>
        </is>
      </c>
      <c r="B1547" s="10" t="n">
        <v>44263</v>
      </c>
      <c r="C1547" s="9" t="inlineStr">
        <is>
          <t>월</t>
        </is>
      </c>
      <c r="D1547" s="9" t="inlineStr">
        <is>
          <t>유튜브</t>
        </is>
      </c>
      <c r="E1547" s="9" t="inlineStr">
        <is>
          <t>샴푸</t>
        </is>
      </c>
      <c r="K1547" s="9" t="n">
        <v>1880457</v>
      </c>
    </row>
    <row r="1548">
      <c r="A1548" s="9" t="inlineStr">
        <is>
          <t>0305_샴푸_인스트림_타겟CPA</t>
        </is>
      </c>
      <c r="B1548" s="10" t="n">
        <v>44263</v>
      </c>
      <c r="C1548" s="9" t="inlineStr">
        <is>
          <t>월</t>
        </is>
      </c>
      <c r="D1548" s="9" t="inlineStr">
        <is>
          <t>유튜브</t>
        </is>
      </c>
      <c r="E1548" s="9" t="inlineStr">
        <is>
          <t>샴푸</t>
        </is>
      </c>
      <c r="K1548" s="9" t="n">
        <v>590380</v>
      </c>
    </row>
    <row r="1549">
      <c r="A1549" s="9" t="inlineStr">
        <is>
          <t>라베나 파워링크_샴푸_광고그룹#1</t>
        </is>
      </c>
      <c r="B1549" s="10" t="n">
        <v>44263</v>
      </c>
      <c r="C1549" s="9" t="inlineStr">
        <is>
          <t>월</t>
        </is>
      </c>
      <c r="D1549" s="9" t="inlineStr">
        <is>
          <t>네이버 검색</t>
        </is>
      </c>
      <c r="E1549" s="9" t="inlineStr">
        <is>
          <t>샴푸</t>
        </is>
      </c>
      <c r="K1549" s="9" t="n">
        <v>3260</v>
      </c>
    </row>
    <row r="1550">
      <c r="A1550" s="9" t="inlineStr">
        <is>
          <t>라베나 파워링크_샴푸#1_유튜브키워드기반</t>
        </is>
      </c>
      <c r="B1550" s="10" t="n">
        <v>44263</v>
      </c>
      <c r="C1550" s="9" t="inlineStr">
        <is>
          <t>월</t>
        </is>
      </c>
      <c r="D1550" s="9" t="inlineStr">
        <is>
          <t>네이버 검색</t>
        </is>
      </c>
      <c r="E1550" s="9" t="inlineStr">
        <is>
          <t>샴푸</t>
        </is>
      </c>
      <c r="K1550" s="9" t="n">
        <v>45459.99999999999</v>
      </c>
    </row>
    <row r="1551">
      <c r="A1551" s="9" t="inlineStr">
        <is>
          <t>샴푸_쇼핑검색#1_광고그룹#1</t>
        </is>
      </c>
      <c r="B1551" s="10" t="n">
        <v>44263</v>
      </c>
      <c r="C1551" s="9" t="inlineStr">
        <is>
          <t>월</t>
        </is>
      </c>
      <c r="D1551" s="9" t="inlineStr">
        <is>
          <t>네이버 검색</t>
        </is>
      </c>
      <c r="E1551" s="9" t="inlineStr">
        <is>
          <t>샴푸</t>
        </is>
      </c>
      <c r="K1551" s="9" t="n">
        <v>0</v>
      </c>
    </row>
    <row r="1552">
      <c r="A1552" s="9" t="inlineStr">
        <is>
          <t>파워컨텐츠#1_비듬샴푸</t>
        </is>
      </c>
      <c r="B1552" s="10" t="n">
        <v>44263</v>
      </c>
      <c r="C1552" s="9" t="inlineStr">
        <is>
          <t>월</t>
        </is>
      </c>
      <c r="D1552" s="9" t="inlineStr">
        <is>
          <t>네이버 검색</t>
        </is>
      </c>
      <c r="E1552" s="9" t="inlineStr">
        <is>
          <t>샴푸</t>
        </is>
      </c>
      <c r="K1552" s="9" t="n">
        <v>0</v>
      </c>
    </row>
    <row r="1553">
      <c r="B1553" s="10" t="n">
        <v>44263</v>
      </c>
      <c r="C1553" s="9" t="inlineStr">
        <is>
          <t>월</t>
        </is>
      </c>
      <c r="E1553" s="9" t="inlineStr">
        <is>
          <t>뉴트리셔스밤</t>
        </is>
      </c>
      <c r="F1553" s="9" t="inlineStr">
        <is>
          <t>카페24</t>
        </is>
      </c>
      <c r="G1553" s="9" t="inlineStr">
        <is>
          <t>라베나 리커버리 15 뉴트리셔스 밤 [HAIR RÉ:COVERY 15 Nutritious Balm]제품선택=헤어 리커버리 15 뉴트리셔스 밤</t>
        </is>
      </c>
      <c r="H1553" s="9" t="n">
        <v>5</v>
      </c>
      <c r="I1553" s="9" t="inlineStr">
        <is>
          <t>뉴트리셔스밤</t>
        </is>
      </c>
      <c r="J1553" s="9" t="inlineStr">
        <is>
          <t>210201</t>
        </is>
      </c>
      <c r="L1553" s="9" t="n">
        <v>124500</v>
      </c>
      <c r="M1553" s="9" t="n">
        <v>117216.75</v>
      </c>
      <c r="N1553" s="9" t="n">
        <v>7900</v>
      </c>
      <c r="O1553" s="9" t="inlineStr">
        <is>
          <t>카페24뉴트리셔스밤라베나 리커버리 15 뉴트리셔스 밤 [HAIR RÉ:COVERY 15 Nutritious Balm]제품선택=헤어 리커버리 15 뉴트리셔스 밤210201</t>
        </is>
      </c>
    </row>
    <row r="1554">
      <c r="B1554" s="10" t="n">
        <v>44263</v>
      </c>
      <c r="C1554" s="9" t="inlineStr">
        <is>
          <t>월</t>
        </is>
      </c>
      <c r="E1554" s="9" t="inlineStr">
        <is>
          <t>샴푸</t>
        </is>
      </c>
      <c r="F1554" s="9" t="inlineStr">
        <is>
          <t>카페24</t>
        </is>
      </c>
      <c r="G1554" s="9" t="inlineStr">
        <is>
          <t>라베나 리커버리 15 리바이탈 바이오플라보노이드샴푸 [HAIR RÉ:COVERY 15 Revital Shampoo]제품선택=헤어 리커버리 15 리바이탈 샴푸 - 500ml</t>
        </is>
      </c>
      <c r="H1554" s="9" t="n">
        <v>266</v>
      </c>
      <c r="I1554" s="9" t="inlineStr">
        <is>
          <t>리바이탈 샴푸</t>
        </is>
      </c>
      <c r="J1554" s="9" t="inlineStr">
        <is>
          <t>210201</t>
        </is>
      </c>
      <c r="L1554" s="9" t="n">
        <v>7155400</v>
      </c>
      <c r="M1554" s="9" t="n">
        <v>6736809.1</v>
      </c>
      <c r="N1554" s="9" t="n">
        <v>762090</v>
      </c>
      <c r="O155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55">
      <c r="B1555" s="10" t="n">
        <v>44263</v>
      </c>
      <c r="C1555" s="9" t="inlineStr">
        <is>
          <t>월</t>
        </is>
      </c>
      <c r="E1555" s="9" t="inlineStr">
        <is>
          <t>샴푸</t>
        </is>
      </c>
      <c r="F1555" s="9" t="inlineStr">
        <is>
          <t>카페24</t>
        </is>
      </c>
      <c r="G1555" s="9" t="inlineStr">
        <is>
          <t>라베나 리커버리 15 리바이탈 바이오플라보노이드샴푸 [HAIR RÉ:COVERY 15 Revital Shampoo]제품선택=리바이탈 샴푸 2개 세트 5%추가할인</t>
        </is>
      </c>
      <c r="H1555" s="9" t="n">
        <v>84</v>
      </c>
      <c r="I1555" s="9" t="inlineStr">
        <is>
          <t>리바이탈 샴푸 2set</t>
        </is>
      </c>
      <c r="J1555" s="9" t="inlineStr">
        <is>
          <t>210201</t>
        </is>
      </c>
      <c r="L1555" s="9" t="n">
        <v>4293240</v>
      </c>
      <c r="M1555" s="9" t="n">
        <v>4042085.46</v>
      </c>
      <c r="N1555" s="9" t="n">
        <v>481320</v>
      </c>
      <c r="O155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56">
      <c r="B1556" s="10" t="n">
        <v>44263</v>
      </c>
      <c r="C1556" s="9" t="inlineStr">
        <is>
          <t>월</t>
        </is>
      </c>
      <c r="E1556" s="9" t="inlineStr">
        <is>
          <t>샴푸</t>
        </is>
      </c>
      <c r="F1556" s="9" t="inlineStr">
        <is>
          <t>카페24</t>
        </is>
      </c>
      <c r="G1556" s="9" t="inlineStr">
        <is>
          <t>라베나 리커버리 15 리바이탈 바이오플라보노이드샴푸 [HAIR RÉ:COVERY 15 Revital Shampoo]제품선택=리바이탈 샴푸 3개 세트 10% 추가할인</t>
        </is>
      </c>
      <c r="H1556" s="9" t="n">
        <v>25</v>
      </c>
      <c r="I1556" s="9" t="inlineStr">
        <is>
          <t>리바이탈 샴푸 3set</t>
        </is>
      </c>
      <c r="J1556" s="9" t="inlineStr">
        <is>
          <t>210201</t>
        </is>
      </c>
      <c r="L1556" s="9" t="n">
        <v>1815750</v>
      </c>
      <c r="M1556" s="9" t="n">
        <v>1709528.625</v>
      </c>
      <c r="N1556" s="9" t="n">
        <v>214875</v>
      </c>
      <c r="O155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57">
      <c r="B1557" s="10" t="n">
        <v>44263</v>
      </c>
      <c r="C1557" s="9" t="inlineStr">
        <is>
          <t>월</t>
        </is>
      </c>
      <c r="E1557" s="9" t="inlineStr">
        <is>
          <t>트리트먼트</t>
        </is>
      </c>
      <c r="F1557" s="9" t="inlineStr">
        <is>
          <t>카페24</t>
        </is>
      </c>
      <c r="G1557" s="9" t="inlineStr">
        <is>
          <t>라베나 리커버리 15 헤어팩 트리트먼트 [HAIR RÉ:COVERY 15 Hairpack Treatment]제품선택=헤어 리커버리 15 헤어팩 트리트먼트</t>
        </is>
      </c>
      <c r="H1557" s="9" t="n">
        <v>6</v>
      </c>
      <c r="I1557" s="9" t="inlineStr">
        <is>
          <t>트리트먼트</t>
        </is>
      </c>
      <c r="J1557" s="9" t="inlineStr">
        <is>
          <t>210201</t>
        </is>
      </c>
      <c r="L1557" s="9" t="n">
        <v>156000</v>
      </c>
      <c r="M1557" s="9" t="n">
        <v>146874</v>
      </c>
      <c r="N1557" s="9" t="n">
        <v>9582</v>
      </c>
      <c r="O155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58">
      <c r="B1558" s="10" t="n">
        <v>44263</v>
      </c>
      <c r="C1558" s="9" t="inlineStr">
        <is>
          <t>월</t>
        </is>
      </c>
      <c r="E1558" s="9" t="inlineStr">
        <is>
          <t>트리트먼트</t>
        </is>
      </c>
      <c r="F1558" s="9" t="inlineStr">
        <is>
          <t>카페24</t>
        </is>
      </c>
      <c r="G1558" s="9" t="inlineStr">
        <is>
          <t>라베나 리커버리 15 헤어팩 트리트먼트 [HAIR RÉ:COVERY 15 Hairpack Treatment]제품선택=헤어팩 트리트먼트 2개 세트 5% 추가할인</t>
        </is>
      </c>
      <c r="H1558" s="9" t="n">
        <v>5</v>
      </c>
      <c r="I1558" s="9" t="inlineStr">
        <is>
          <t>트리트먼트 2set</t>
        </is>
      </c>
      <c r="J1558" s="9" t="inlineStr">
        <is>
          <t>210201</t>
        </is>
      </c>
      <c r="L1558" s="9" t="n">
        <v>247000</v>
      </c>
      <c r="M1558" s="9" t="n">
        <v>232550.5</v>
      </c>
      <c r="N1558" s="9" t="n">
        <v>15970</v>
      </c>
      <c r="O1558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59">
      <c r="A1559" s="9" t="inlineStr">
        <is>
          <t>0224_샴푸-비듬똥균_카드뉴스_임시</t>
        </is>
      </c>
      <c r="B1559" s="10" t="n">
        <v>44264</v>
      </c>
      <c r="C1559" s="9" t="inlineStr">
        <is>
          <t>화</t>
        </is>
      </c>
      <c r="D1559" s="9" t="inlineStr">
        <is>
          <t>페이스북</t>
        </is>
      </c>
      <c r="E1559" s="9" t="inlineStr">
        <is>
          <t>샴푸</t>
        </is>
      </c>
      <c r="K1559" s="9" t="n">
        <v>500740</v>
      </c>
    </row>
    <row r="1560">
      <c r="A1560" s="9" t="inlineStr">
        <is>
          <t>현빈임시테스트</t>
        </is>
      </c>
      <c r="B1560" s="10" t="n">
        <v>44264</v>
      </c>
      <c r="C1560" s="9" t="inlineStr">
        <is>
          <t>화</t>
        </is>
      </c>
      <c r="D1560" s="9" t="inlineStr">
        <is>
          <t>페이스북</t>
        </is>
      </c>
      <c r="E1560" s="9" t="inlineStr">
        <is>
          <t>샴푸</t>
        </is>
      </c>
      <c r="K1560" s="9" t="n">
        <v>50091</v>
      </c>
    </row>
    <row r="1561">
      <c r="A1561" s="9" t="inlineStr">
        <is>
          <t>1201~단장키워드테스트</t>
        </is>
      </c>
      <c r="B1561" s="10" t="n">
        <v>44264</v>
      </c>
      <c r="C1561" s="9" t="inlineStr">
        <is>
          <t>화</t>
        </is>
      </c>
      <c r="D1561" s="9" t="inlineStr">
        <is>
          <t>페이스북</t>
        </is>
      </c>
      <c r="E1561" s="9" t="inlineStr">
        <is>
          <t>샴푸</t>
        </is>
      </c>
      <c r="K1561" s="9" t="n">
        <v>49322</v>
      </c>
    </row>
    <row r="1562">
      <c r="A1562" s="9" t="inlineStr">
        <is>
          <t>11/13 키워드 탐색</t>
        </is>
      </c>
      <c r="B1562" s="10" t="n">
        <v>44264</v>
      </c>
      <c r="C1562" s="9" t="inlineStr">
        <is>
          <t>화</t>
        </is>
      </c>
      <c r="D1562" s="9" t="inlineStr">
        <is>
          <t>페이스북</t>
        </is>
      </c>
      <c r="E1562" s="9" t="inlineStr">
        <is>
          <t>샴푸</t>
        </is>
      </c>
      <c r="K1562" s="9" t="n">
        <v>49947</v>
      </c>
    </row>
    <row r="1563">
      <c r="A1563" s="9" t="inlineStr">
        <is>
          <t>0118_샴푸_비듬똥균_4차</t>
        </is>
      </c>
      <c r="B1563" s="10" t="n">
        <v>44264</v>
      </c>
      <c r="C1563" s="9" t="inlineStr">
        <is>
          <t>화</t>
        </is>
      </c>
      <c r="D1563" s="9" t="inlineStr">
        <is>
          <t>유튜브</t>
        </is>
      </c>
      <c r="E1563" s="9" t="inlineStr">
        <is>
          <t>샴푸</t>
        </is>
      </c>
      <c r="K1563" s="9" t="n">
        <v>937722</v>
      </c>
    </row>
    <row r="1564">
      <c r="A1564" s="9" t="inlineStr">
        <is>
          <t>0127_GDN_비듬샴푸_잠재고객</t>
        </is>
      </c>
      <c r="B1564" s="10" t="n">
        <v>44264</v>
      </c>
      <c r="C1564" s="9" t="inlineStr">
        <is>
          <t>화</t>
        </is>
      </c>
      <c r="D1564" s="9" t="inlineStr">
        <is>
          <t>GDN</t>
        </is>
      </c>
      <c r="E1564" s="9" t="inlineStr">
        <is>
          <t>샴푸</t>
        </is>
      </c>
      <c r="K1564" s="9" t="n">
        <v>203917</v>
      </c>
    </row>
    <row r="1565">
      <c r="A1565" s="9" t="inlineStr">
        <is>
          <t>0303_샴푸_인스트림_동영상전환수</t>
        </is>
      </c>
      <c r="B1565" s="10" t="n">
        <v>44264</v>
      </c>
      <c r="C1565" s="9" t="inlineStr">
        <is>
          <t>화</t>
        </is>
      </c>
      <c r="D1565" s="9" t="inlineStr">
        <is>
          <t>유튜브</t>
        </is>
      </c>
      <c r="E1565" s="9" t="inlineStr">
        <is>
          <t>샴푸</t>
        </is>
      </c>
      <c r="K1565" s="9" t="n">
        <v>1857615</v>
      </c>
    </row>
    <row r="1566">
      <c r="A1566" s="9" t="inlineStr">
        <is>
          <t>0305_샴푸_인스트림_타겟CPA</t>
        </is>
      </c>
      <c r="B1566" s="10" t="n">
        <v>44264</v>
      </c>
      <c r="C1566" s="9" t="inlineStr">
        <is>
          <t>화</t>
        </is>
      </c>
      <c r="D1566" s="9" t="inlineStr">
        <is>
          <t>유튜브</t>
        </is>
      </c>
      <c r="E1566" s="9" t="inlineStr">
        <is>
          <t>샴푸</t>
        </is>
      </c>
      <c r="K1566" s="9" t="n">
        <v>615055</v>
      </c>
    </row>
    <row r="1567">
      <c r="A1567" s="9" t="inlineStr">
        <is>
          <t>라베나 파워링크_샴푸_광고그룹#1</t>
        </is>
      </c>
      <c r="B1567" s="10" t="n">
        <v>44264</v>
      </c>
      <c r="C1567" s="9" t="inlineStr">
        <is>
          <t>화</t>
        </is>
      </c>
      <c r="D1567" s="9" t="inlineStr">
        <is>
          <t>네이버 검색</t>
        </is>
      </c>
      <c r="E1567" s="9" t="inlineStr">
        <is>
          <t>샴푸</t>
        </is>
      </c>
      <c r="K1567" s="9" t="n">
        <v>3340</v>
      </c>
    </row>
    <row r="1568">
      <c r="A1568" s="9" t="inlineStr">
        <is>
          <t>라베나 파워링크_샴푸#1_유튜브키워드기반</t>
        </is>
      </c>
      <c r="B1568" s="10" t="n">
        <v>44264</v>
      </c>
      <c r="C1568" s="9" t="inlineStr">
        <is>
          <t>화</t>
        </is>
      </c>
      <c r="D1568" s="9" t="inlineStr">
        <is>
          <t>네이버 검색</t>
        </is>
      </c>
      <c r="E1568" s="9" t="inlineStr">
        <is>
          <t>샴푸</t>
        </is>
      </c>
      <c r="K1568" s="9" t="n">
        <v>45629.99999999999</v>
      </c>
    </row>
    <row r="1569">
      <c r="A1569" s="9" t="inlineStr">
        <is>
          <t>샴푸_쇼핑검색#1_광고그룹#1</t>
        </is>
      </c>
      <c r="B1569" s="10" t="n">
        <v>44264</v>
      </c>
      <c r="C1569" s="9" t="inlineStr">
        <is>
          <t>화</t>
        </is>
      </c>
      <c r="D1569" s="9" t="inlineStr">
        <is>
          <t>네이버 검색</t>
        </is>
      </c>
      <c r="E1569" s="9" t="inlineStr">
        <is>
          <t>샴푸</t>
        </is>
      </c>
      <c r="K1569" s="9" t="n">
        <v>0</v>
      </c>
    </row>
    <row r="1570">
      <c r="A1570" s="9" t="inlineStr">
        <is>
          <t>파워컨텐츠#1_비듬샴푸</t>
        </is>
      </c>
      <c r="B1570" s="10" t="n">
        <v>44264</v>
      </c>
      <c r="C1570" s="9" t="inlineStr">
        <is>
          <t>화</t>
        </is>
      </c>
      <c r="D1570" s="9" t="inlineStr">
        <is>
          <t>네이버 검색</t>
        </is>
      </c>
      <c r="E1570" s="9" t="inlineStr">
        <is>
          <t>샴푸</t>
        </is>
      </c>
      <c r="K1570" s="9" t="n">
        <v>0</v>
      </c>
    </row>
    <row r="1571">
      <c r="B1571" s="10" t="n">
        <v>44264</v>
      </c>
      <c r="C1571" s="9" t="inlineStr">
        <is>
          <t>화</t>
        </is>
      </c>
      <c r="E1571" s="9" t="inlineStr">
        <is>
          <t>뉴트리셔스밤</t>
        </is>
      </c>
      <c r="F1571" s="9" t="inlineStr">
        <is>
          <t>카페24</t>
        </is>
      </c>
      <c r="G1571" s="9" t="inlineStr">
        <is>
          <t>라베나 리커버리 15 뉴트리셔스 밤 [HAIR RÉ:COVERY 15 Nutritious Balm]제품선택=헤어 리커버리 15 뉴트리셔스 밤</t>
        </is>
      </c>
      <c r="H1571" s="9" t="n">
        <v>2</v>
      </c>
      <c r="I1571" s="9" t="inlineStr">
        <is>
          <t>뉴트리셔스밤</t>
        </is>
      </c>
      <c r="J1571" s="9" t="inlineStr">
        <is>
          <t>210201</t>
        </is>
      </c>
      <c r="L1571" s="9" t="n">
        <v>49800</v>
      </c>
      <c r="M1571" s="9" t="n">
        <v>46886.7</v>
      </c>
      <c r="N1571" s="9" t="n">
        <v>3160</v>
      </c>
      <c r="O1571" s="9" t="inlineStr">
        <is>
          <t>카페24뉴트리셔스밤라베나 리커버리 15 뉴트리셔스 밤 [HAIR RÉ:COVERY 15 Nutritious Balm]제품선택=헤어 리커버리 15 뉴트리셔스 밤210201</t>
        </is>
      </c>
    </row>
    <row r="1572">
      <c r="B1572" s="10" t="n">
        <v>44264</v>
      </c>
      <c r="C1572" s="9" t="inlineStr">
        <is>
          <t>화</t>
        </is>
      </c>
      <c r="E1572" s="9" t="inlineStr">
        <is>
          <t>샴푸</t>
        </is>
      </c>
      <c r="F1572" s="9" t="inlineStr">
        <is>
          <t>카페24</t>
        </is>
      </c>
      <c r="G1572" s="9" t="inlineStr">
        <is>
          <t>라베나 리커버리 15 리바이탈 바이오플라보노이드샴푸 [HAIR RÉ:COVERY 15 Revital Shampoo]제품선택=헤어 리커버리 15 리바이탈 샴푸 - 500ml</t>
        </is>
      </c>
      <c r="H1572" s="9" t="n">
        <v>220</v>
      </c>
      <c r="I1572" s="9" t="inlineStr">
        <is>
          <t>리바이탈 샴푸</t>
        </is>
      </c>
      <c r="J1572" s="9" t="inlineStr">
        <is>
          <t>210201</t>
        </is>
      </c>
      <c r="L1572" s="9" t="n">
        <v>5918000</v>
      </c>
      <c r="M1572" s="9" t="n">
        <v>5571797</v>
      </c>
      <c r="N1572" s="9" t="n">
        <v>630300</v>
      </c>
      <c r="O157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73">
      <c r="B1573" s="10" t="n">
        <v>44264</v>
      </c>
      <c r="C1573" s="9" t="inlineStr">
        <is>
          <t>화</t>
        </is>
      </c>
      <c r="E1573" s="9" t="inlineStr">
        <is>
          <t>샴푸</t>
        </is>
      </c>
      <c r="F1573" s="9" t="inlineStr">
        <is>
          <t>카페24</t>
        </is>
      </c>
      <c r="G1573" s="9" t="inlineStr">
        <is>
          <t>라베나 리커버리 15 리바이탈 바이오플라보노이드샴푸 [HAIR RÉ:COVERY 15 Revital Shampoo]제품선택=리바이탈 샴푸 2개 세트 5%추가할인</t>
        </is>
      </c>
      <c r="H1573" s="9" t="n">
        <v>72</v>
      </c>
      <c r="I1573" s="9" t="inlineStr">
        <is>
          <t>리바이탈 샴푸 2set</t>
        </is>
      </c>
      <c r="J1573" s="9" t="inlineStr">
        <is>
          <t>210201</t>
        </is>
      </c>
      <c r="L1573" s="9" t="n">
        <v>3679920</v>
      </c>
      <c r="M1573" s="9" t="n">
        <v>3464644.68</v>
      </c>
      <c r="N1573" s="9" t="n">
        <v>412560</v>
      </c>
      <c r="O157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74">
      <c r="B1574" s="10" t="n">
        <v>44264</v>
      </c>
      <c r="C1574" s="9" t="inlineStr">
        <is>
          <t>화</t>
        </is>
      </c>
      <c r="E1574" s="9" t="inlineStr">
        <is>
          <t>샴푸</t>
        </is>
      </c>
      <c r="F1574" s="9" t="inlineStr">
        <is>
          <t>카페24</t>
        </is>
      </c>
      <c r="G1574" s="9" t="inlineStr">
        <is>
          <t>라베나 리커버리 15 리바이탈 바이오플라보노이드샴푸 [HAIR RÉ:COVERY 15 Revital Shampoo]제품선택=리바이탈 샴푸 3개 세트 10% 추가할인</t>
        </is>
      </c>
      <c r="H1574" s="9" t="n">
        <v>15</v>
      </c>
      <c r="I1574" s="9" t="inlineStr">
        <is>
          <t>리바이탈 샴푸 3set</t>
        </is>
      </c>
      <c r="J1574" s="9" t="inlineStr">
        <is>
          <t>210201</t>
        </is>
      </c>
      <c r="L1574" s="9" t="n">
        <v>1089450</v>
      </c>
      <c r="M1574" s="9" t="n">
        <v>1025717.175</v>
      </c>
      <c r="N1574" s="9" t="n">
        <v>128925</v>
      </c>
      <c r="O157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75">
      <c r="B1575" s="10" t="n">
        <v>44264</v>
      </c>
      <c r="C1575" s="9" t="inlineStr">
        <is>
          <t>화</t>
        </is>
      </c>
      <c r="E1575" s="9" t="inlineStr">
        <is>
          <t>트리트먼트</t>
        </is>
      </c>
      <c r="F1575" s="9" t="inlineStr">
        <is>
          <t>카페24</t>
        </is>
      </c>
      <c r="G1575" s="9" t="inlineStr">
        <is>
          <t>라베나 리커버리 15 헤어팩 트리트먼트 [HAIR RÉ:COVERY 15 Hairpack Treatment]제품선택=헤어 리커버리 15 헤어팩 트리트먼트</t>
        </is>
      </c>
      <c r="H1575" s="9" t="n">
        <v>6</v>
      </c>
      <c r="I1575" s="9" t="inlineStr">
        <is>
          <t>트리트먼트</t>
        </is>
      </c>
      <c r="J1575" s="9" t="inlineStr">
        <is>
          <t>210201</t>
        </is>
      </c>
      <c r="L1575" s="9" t="n">
        <v>156000</v>
      </c>
      <c r="M1575" s="9" t="n">
        <v>146874</v>
      </c>
      <c r="N1575" s="9" t="n">
        <v>9582</v>
      </c>
      <c r="O157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76">
      <c r="B1576" s="10" t="n">
        <v>44264</v>
      </c>
      <c r="C1576" s="9" t="inlineStr">
        <is>
          <t>화</t>
        </is>
      </c>
      <c r="E1576" s="9" t="inlineStr">
        <is>
          <t>트리트먼트</t>
        </is>
      </c>
      <c r="F1576" s="9" t="inlineStr">
        <is>
          <t>카페24</t>
        </is>
      </c>
      <c r="G1576" s="9" t="inlineStr">
        <is>
          <t>라베나 리커버리 15 헤어팩 트리트먼트 [HAIR RÉ:COVERY 15 Hairpack Treatment]제품선택=헤어팩 트리트먼트 2개 세트 5% 추가할인</t>
        </is>
      </c>
      <c r="H1576" s="9" t="n">
        <v>2</v>
      </c>
      <c r="I1576" s="9" t="inlineStr">
        <is>
          <t>트리트먼트 2set</t>
        </is>
      </c>
      <c r="J1576" s="9" t="inlineStr">
        <is>
          <t>210201</t>
        </is>
      </c>
      <c r="L1576" s="9" t="n">
        <v>98800</v>
      </c>
      <c r="M1576" s="9" t="n">
        <v>93020.2</v>
      </c>
      <c r="N1576" s="9" t="n">
        <v>6388</v>
      </c>
      <c r="O157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77">
      <c r="B1577" s="10" t="n">
        <v>44264</v>
      </c>
      <c r="C1577" s="9" t="inlineStr">
        <is>
          <t>화</t>
        </is>
      </c>
      <c r="E1577" s="9" t="inlineStr">
        <is>
          <t>트리트먼트</t>
        </is>
      </c>
      <c r="F1577" s="9" t="inlineStr">
        <is>
          <t>카페24</t>
        </is>
      </c>
      <c r="G1577" s="9" t="inlineStr">
        <is>
          <t>라베나 리커버리 15 헤어팩 트리트먼트 [HAIR RÉ:COVERY 15 Hairpack Treatment]제품선택=헤어팩 트리트먼트 3개 세트 10% 추가할인</t>
        </is>
      </c>
      <c r="H1577" s="9" t="n">
        <v>1</v>
      </c>
      <c r="I1577" s="9" t="inlineStr">
        <is>
          <t>트리트먼트 3set</t>
        </is>
      </c>
      <c r="J1577" s="9" t="inlineStr">
        <is>
          <t>210201</t>
        </is>
      </c>
      <c r="L1577" s="9" t="n">
        <v>70200</v>
      </c>
      <c r="M1577" s="9" t="n">
        <v>66093.3</v>
      </c>
      <c r="N1577" s="9" t="n">
        <v>4791</v>
      </c>
      <c r="O1577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578">
      <c r="B1578" s="10" t="n">
        <v>44264</v>
      </c>
      <c r="C1578" s="9" t="inlineStr">
        <is>
          <t>화</t>
        </is>
      </c>
      <c r="E1578" s="9" t="inlineStr">
        <is>
          <t>트리트먼트</t>
        </is>
      </c>
      <c r="F1578" s="9" t="inlineStr">
        <is>
          <t>카페24</t>
        </is>
      </c>
      <c r="G1578" s="9" t="inlineStr">
        <is>
          <t>라베나 리커버리 15 헤어팩 트리트먼트 [HAIR RÉ:COVERY 15 Hairpack Treatment]제품선택=헤어팩 트리트먼트 1개 + 뉴트리셔스밤 1개 세트 5% 추가할인</t>
        </is>
      </c>
      <c r="H1578" s="9" t="n">
        <v>4</v>
      </c>
      <c r="I1578" s="9" t="inlineStr">
        <is>
          <t>트리트먼트+뉴트리셔스밤</t>
        </is>
      </c>
      <c r="J1578" s="9" t="inlineStr">
        <is>
          <t>210201</t>
        </is>
      </c>
      <c r="L1578" s="9" t="n">
        <v>193420</v>
      </c>
      <c r="M1578" s="9" t="n">
        <v>182104.93</v>
      </c>
      <c r="N1578" s="9" t="n">
        <v>12708</v>
      </c>
      <c r="O1578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579">
      <c r="A1579" s="9" t="inlineStr">
        <is>
          <t>0224_샴푸-비듬똥균_카드뉴스_임시</t>
        </is>
      </c>
      <c r="B1579" s="10" t="n">
        <v>44265</v>
      </c>
      <c r="C1579" s="9" t="inlineStr">
        <is>
          <t>수</t>
        </is>
      </c>
      <c r="D1579" s="9" t="inlineStr">
        <is>
          <t>페이스북</t>
        </is>
      </c>
      <c r="E1579" s="9" t="inlineStr">
        <is>
          <t>샴푸</t>
        </is>
      </c>
      <c r="K1579" s="9" t="n">
        <v>493695</v>
      </c>
    </row>
    <row r="1580">
      <c r="A1580" s="9" t="inlineStr">
        <is>
          <t>현빈임시테스트</t>
        </is>
      </c>
      <c r="B1580" s="10" t="n">
        <v>44265</v>
      </c>
      <c r="C1580" s="9" t="inlineStr">
        <is>
          <t>수</t>
        </is>
      </c>
      <c r="D1580" s="9" t="inlineStr">
        <is>
          <t>페이스북</t>
        </is>
      </c>
      <c r="E1580" s="9" t="inlineStr">
        <is>
          <t>샴푸</t>
        </is>
      </c>
      <c r="K1580" s="9" t="n">
        <v>49404</v>
      </c>
    </row>
    <row r="1581">
      <c r="A1581" s="9" t="inlineStr">
        <is>
          <t>1201~단장키워드테스트</t>
        </is>
      </c>
      <c r="B1581" s="10" t="n">
        <v>44265</v>
      </c>
      <c r="C1581" s="9" t="inlineStr">
        <is>
          <t>수</t>
        </is>
      </c>
      <c r="D1581" s="9" t="inlineStr">
        <is>
          <t>페이스북</t>
        </is>
      </c>
      <c r="E1581" s="9" t="inlineStr">
        <is>
          <t>샴푸</t>
        </is>
      </c>
      <c r="K1581" s="9" t="n">
        <v>49244</v>
      </c>
    </row>
    <row r="1582">
      <c r="A1582" s="9" t="inlineStr">
        <is>
          <t>11/13 키워드 탐색</t>
        </is>
      </c>
      <c r="B1582" s="10" t="n">
        <v>44265</v>
      </c>
      <c r="C1582" s="9" t="inlineStr">
        <is>
          <t>수</t>
        </is>
      </c>
      <c r="D1582" s="9" t="inlineStr">
        <is>
          <t>페이스북</t>
        </is>
      </c>
      <c r="E1582" s="9" t="inlineStr">
        <is>
          <t>샴푸</t>
        </is>
      </c>
      <c r="K1582" s="9" t="n">
        <v>49504</v>
      </c>
    </row>
    <row r="1583">
      <c r="A1583" s="9" t="inlineStr">
        <is>
          <t>0118_샴푸_비듬똥균_4차</t>
        </is>
      </c>
      <c r="B1583" s="10" t="n">
        <v>44265</v>
      </c>
      <c r="C1583" s="9" t="inlineStr">
        <is>
          <t>수</t>
        </is>
      </c>
      <c r="D1583" s="9" t="inlineStr">
        <is>
          <t>유튜브</t>
        </is>
      </c>
      <c r="E1583" s="9" t="inlineStr">
        <is>
          <t>샴푸</t>
        </is>
      </c>
      <c r="K1583" s="9" t="n">
        <v>614735</v>
      </c>
    </row>
    <row r="1584">
      <c r="A1584" s="9" t="inlineStr">
        <is>
          <t>0127_GDN_비듬샴푸_잠재고객</t>
        </is>
      </c>
      <c r="B1584" s="10" t="n">
        <v>44265</v>
      </c>
      <c r="C1584" s="9" t="inlineStr">
        <is>
          <t>수</t>
        </is>
      </c>
      <c r="D1584" s="9" t="inlineStr">
        <is>
          <t>GDN</t>
        </is>
      </c>
      <c r="E1584" s="9" t="inlineStr">
        <is>
          <t>샴푸</t>
        </is>
      </c>
      <c r="K1584" s="9" t="n">
        <v>269937</v>
      </c>
    </row>
    <row r="1585">
      <c r="A1585" s="9" t="inlineStr">
        <is>
          <t>0303_샴푸_인스트림_동영상전환수</t>
        </is>
      </c>
      <c r="B1585" s="10" t="n">
        <v>44265</v>
      </c>
      <c r="C1585" s="9" t="inlineStr">
        <is>
          <t>수</t>
        </is>
      </c>
      <c r="D1585" s="9" t="inlineStr">
        <is>
          <t>유튜브</t>
        </is>
      </c>
      <c r="E1585" s="9" t="inlineStr">
        <is>
          <t>샴푸</t>
        </is>
      </c>
      <c r="K1585" s="9" t="n">
        <v>1848056</v>
      </c>
    </row>
    <row r="1586">
      <c r="A1586" s="9" t="inlineStr">
        <is>
          <t>0305_샴푸_인스트림_타겟CPA</t>
        </is>
      </c>
      <c r="B1586" s="10" t="n">
        <v>44265</v>
      </c>
      <c r="C1586" s="9" t="inlineStr">
        <is>
          <t>수</t>
        </is>
      </c>
      <c r="D1586" s="9" t="inlineStr">
        <is>
          <t>유튜브</t>
        </is>
      </c>
      <c r="E1586" s="9" t="inlineStr">
        <is>
          <t>샴푸</t>
        </is>
      </c>
      <c r="K1586" s="9" t="n">
        <v>1372986</v>
      </c>
    </row>
    <row r="1587">
      <c r="A1587" s="9" t="inlineStr">
        <is>
          <t>0310_샴푸_검색</t>
        </is>
      </c>
      <c r="B1587" s="10" t="n">
        <v>44265</v>
      </c>
      <c r="C1587" s="9" t="inlineStr">
        <is>
          <t>수</t>
        </is>
      </c>
      <c r="D1587" s="9" t="inlineStr">
        <is>
          <t>구글 검색</t>
        </is>
      </c>
      <c r="E1587" s="9" t="inlineStr">
        <is>
          <t>샴푸</t>
        </is>
      </c>
      <c r="K1587" s="9" t="n">
        <v>9198</v>
      </c>
    </row>
    <row r="1588">
      <c r="A1588" s="9" t="inlineStr">
        <is>
          <t>라베나 파워링크_샴푸_광고그룹#1</t>
        </is>
      </c>
      <c r="B1588" s="10" t="n">
        <v>44265</v>
      </c>
      <c r="C1588" s="9" t="inlineStr">
        <is>
          <t>수</t>
        </is>
      </c>
      <c r="D1588" s="9" t="inlineStr">
        <is>
          <t>네이버 검색</t>
        </is>
      </c>
      <c r="E1588" s="9" t="inlineStr">
        <is>
          <t>샴푸</t>
        </is>
      </c>
      <c r="K1588" s="9" t="n">
        <v>3350</v>
      </c>
    </row>
    <row r="1589">
      <c r="A1589" s="9" t="inlineStr">
        <is>
          <t>라베나 파워링크_샴푸#1_유튜브키워드기반</t>
        </is>
      </c>
      <c r="B1589" s="10" t="n">
        <v>44265</v>
      </c>
      <c r="C1589" s="9" t="inlineStr">
        <is>
          <t>수</t>
        </is>
      </c>
      <c r="D1589" s="9" t="inlineStr">
        <is>
          <t>네이버 검색</t>
        </is>
      </c>
      <c r="E1589" s="9" t="inlineStr">
        <is>
          <t>샴푸</t>
        </is>
      </c>
      <c r="K1589" s="9" t="n">
        <v>43680</v>
      </c>
    </row>
    <row r="1590">
      <c r="A1590" s="9" t="inlineStr">
        <is>
          <t>샴푸_쇼핑검색#1_광고그룹#1</t>
        </is>
      </c>
      <c r="B1590" s="10" t="n">
        <v>44265</v>
      </c>
      <c r="C1590" s="9" t="inlineStr">
        <is>
          <t>수</t>
        </is>
      </c>
      <c r="D1590" s="9" t="inlineStr">
        <is>
          <t>네이버 검색</t>
        </is>
      </c>
      <c r="E1590" s="9" t="inlineStr">
        <is>
          <t>샴푸</t>
        </is>
      </c>
      <c r="K1590" s="9" t="n">
        <v>260</v>
      </c>
    </row>
    <row r="1591">
      <c r="A1591" s="9" t="inlineStr">
        <is>
          <t>파워컨텐츠#1_비듬샴푸</t>
        </is>
      </c>
      <c r="B1591" s="10" t="n">
        <v>44265</v>
      </c>
      <c r="C1591" s="9" t="inlineStr">
        <is>
          <t>수</t>
        </is>
      </c>
      <c r="D1591" s="9" t="inlineStr">
        <is>
          <t>네이버 검색</t>
        </is>
      </c>
      <c r="E1591" s="9" t="inlineStr">
        <is>
          <t>샴푸</t>
        </is>
      </c>
      <c r="K1591" s="9" t="n">
        <v>210</v>
      </c>
    </row>
    <row r="1592">
      <c r="B1592" s="10" t="n">
        <v>44265</v>
      </c>
      <c r="C1592" s="9" t="inlineStr">
        <is>
          <t>수</t>
        </is>
      </c>
      <c r="E1592" s="9" t="inlineStr">
        <is>
          <t>뉴트리셔스밤</t>
        </is>
      </c>
      <c r="F1592" s="9" t="inlineStr">
        <is>
          <t>카페24</t>
        </is>
      </c>
      <c r="G1592" s="9" t="inlineStr">
        <is>
          <t>라베나 리커버리 15 뉴트리셔스 밤 [HAIR RÉ:COVERY 15 Nutritious Balm]제품선택=헤어 리커버리 15 뉴트리셔스 밤</t>
        </is>
      </c>
      <c r="H1592" s="9" t="n">
        <v>5</v>
      </c>
      <c r="I1592" s="9" t="inlineStr">
        <is>
          <t>뉴트리셔스밤</t>
        </is>
      </c>
      <c r="J1592" s="9" t="inlineStr">
        <is>
          <t>210201</t>
        </is>
      </c>
      <c r="L1592" s="9" t="n">
        <v>124500</v>
      </c>
      <c r="M1592" s="9" t="n">
        <v>117216.75</v>
      </c>
      <c r="N1592" s="9" t="n">
        <v>7900</v>
      </c>
      <c r="O1592" s="9" t="inlineStr">
        <is>
          <t>카페24뉴트리셔스밤라베나 리커버리 15 뉴트리셔스 밤 [HAIR RÉ:COVERY 15 Nutritious Balm]제품선택=헤어 리커버리 15 뉴트리셔스 밤210201</t>
        </is>
      </c>
    </row>
    <row r="1593">
      <c r="B1593" s="10" t="n">
        <v>44265</v>
      </c>
      <c r="C1593" s="9" t="inlineStr">
        <is>
          <t>수</t>
        </is>
      </c>
      <c r="E1593" s="9" t="inlineStr">
        <is>
          <t>샴푸</t>
        </is>
      </c>
      <c r="F1593" s="9" t="inlineStr">
        <is>
          <t>카페24</t>
        </is>
      </c>
      <c r="G1593" s="9" t="inlineStr">
        <is>
          <t>라베나 리커버리 15 리바이탈 바이오플라보노이드샴푸 [HAIR RÉ:COVERY 15 Revital Shampoo]제품선택=헤어 리커버리 15 리바이탈 샴푸 - 500ml</t>
        </is>
      </c>
      <c r="H1593" s="9" t="n">
        <v>239</v>
      </c>
      <c r="I1593" s="9" t="inlineStr">
        <is>
          <t>리바이탈 샴푸</t>
        </is>
      </c>
      <c r="J1593" s="9" t="inlineStr">
        <is>
          <t>210201</t>
        </is>
      </c>
      <c r="L1593" s="9" t="n">
        <v>6429100</v>
      </c>
      <c r="M1593" s="9" t="n">
        <v>6052997.649999999</v>
      </c>
      <c r="N1593" s="9" t="n">
        <v>684735</v>
      </c>
      <c r="O159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594">
      <c r="B1594" s="10" t="n">
        <v>44265</v>
      </c>
      <c r="C1594" s="9" t="inlineStr">
        <is>
          <t>수</t>
        </is>
      </c>
      <c r="E1594" s="9" t="inlineStr">
        <is>
          <t>샴푸</t>
        </is>
      </c>
      <c r="F1594" s="9" t="inlineStr">
        <is>
          <t>카페24</t>
        </is>
      </c>
      <c r="G1594" s="9" t="inlineStr">
        <is>
          <t>라베나 리커버리 15 리바이탈 바이오플라보노이드샴푸 [HAIR RÉ:COVERY 15 Revital Shampoo]제품선택=리바이탈 샴푸 2개 세트 5%추가할인</t>
        </is>
      </c>
      <c r="H1594" s="9" t="n">
        <v>69</v>
      </c>
      <c r="I1594" s="9" t="inlineStr">
        <is>
          <t>리바이탈 샴푸 2set</t>
        </is>
      </c>
      <c r="J1594" s="9" t="inlineStr">
        <is>
          <t>210201</t>
        </is>
      </c>
      <c r="L1594" s="9" t="n">
        <v>3526590</v>
      </c>
      <c r="M1594" s="9" t="n">
        <v>3320284.485</v>
      </c>
      <c r="N1594" s="9" t="n">
        <v>395370</v>
      </c>
      <c r="O159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595">
      <c r="B1595" s="10" t="n">
        <v>44265</v>
      </c>
      <c r="C1595" s="9" t="inlineStr">
        <is>
          <t>수</t>
        </is>
      </c>
      <c r="E1595" s="9" t="inlineStr">
        <is>
          <t>샴푸</t>
        </is>
      </c>
      <c r="F1595" s="9" t="inlineStr">
        <is>
          <t>카페24</t>
        </is>
      </c>
      <c r="G1595" s="9" t="inlineStr">
        <is>
          <t>라베나 리커버리 15 리바이탈 바이오플라보노이드샴푸 [HAIR RÉ:COVERY 15 Revital Shampoo]제품선택=리바이탈 샴푸 3개 세트 10% 추가할인</t>
        </is>
      </c>
      <c r="H1595" s="9" t="n">
        <v>25</v>
      </c>
      <c r="I1595" s="9" t="inlineStr">
        <is>
          <t>리바이탈 샴푸 3set</t>
        </is>
      </c>
      <c r="J1595" s="9" t="inlineStr">
        <is>
          <t>210201</t>
        </is>
      </c>
      <c r="L1595" s="9" t="n">
        <v>1815750</v>
      </c>
      <c r="M1595" s="9" t="n">
        <v>1709528.625</v>
      </c>
      <c r="N1595" s="9" t="n">
        <v>214875</v>
      </c>
      <c r="O159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596">
      <c r="B1596" s="10" t="n">
        <v>44265</v>
      </c>
      <c r="C1596" s="9" t="inlineStr">
        <is>
          <t>수</t>
        </is>
      </c>
      <c r="E1596" s="9" t="inlineStr">
        <is>
          <t>트리트먼트</t>
        </is>
      </c>
      <c r="F1596" s="9" t="inlineStr">
        <is>
          <t>카페24</t>
        </is>
      </c>
      <c r="G1596" s="9" t="inlineStr">
        <is>
          <t>라베나 리커버리 15 헤어팩 트리트먼트 [HAIR RÉ:COVERY 15 Hairpack Treatment]제품선택=헤어 리커버리 15 헤어팩 트리트먼트</t>
        </is>
      </c>
      <c r="H1596" s="9" t="n">
        <v>8</v>
      </c>
      <c r="I1596" s="9" t="inlineStr">
        <is>
          <t>트리트먼트</t>
        </is>
      </c>
      <c r="J1596" s="9" t="inlineStr">
        <is>
          <t>210201</t>
        </is>
      </c>
      <c r="L1596" s="9" t="n">
        <v>208000</v>
      </c>
      <c r="M1596" s="9" t="n">
        <v>195832</v>
      </c>
      <c r="N1596" s="9" t="n">
        <v>12776</v>
      </c>
      <c r="O159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597">
      <c r="B1597" s="10" t="n">
        <v>44265</v>
      </c>
      <c r="C1597" s="9" t="inlineStr">
        <is>
          <t>수</t>
        </is>
      </c>
      <c r="E1597" s="9" t="inlineStr">
        <is>
          <t>트리트먼트</t>
        </is>
      </c>
      <c r="F1597" s="9" t="inlineStr">
        <is>
          <t>카페24</t>
        </is>
      </c>
      <c r="G1597" s="9" t="inlineStr">
        <is>
          <t>라베나 리커버리 15 헤어팩 트리트먼트 [HAIR RÉ:COVERY 15 Hairpack Treatment]제품선택=헤어팩 트리트먼트 2개 세트 5% 추가할인</t>
        </is>
      </c>
      <c r="H1597" s="9" t="n">
        <v>4</v>
      </c>
      <c r="I1597" s="9" t="inlineStr">
        <is>
          <t>트리트먼트 2set</t>
        </is>
      </c>
      <c r="J1597" s="9" t="inlineStr">
        <is>
          <t>210201</t>
        </is>
      </c>
      <c r="L1597" s="9" t="n">
        <v>197600</v>
      </c>
      <c r="M1597" s="9" t="n">
        <v>186040.4</v>
      </c>
      <c r="N1597" s="9" t="n">
        <v>12776</v>
      </c>
      <c r="O159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598">
      <c r="B1598" s="10" t="n">
        <v>44265</v>
      </c>
      <c r="C1598" s="9" t="inlineStr">
        <is>
          <t>수</t>
        </is>
      </c>
      <c r="E1598" s="9" t="inlineStr">
        <is>
          <t>트리트먼트</t>
        </is>
      </c>
      <c r="F1598" s="9" t="inlineStr">
        <is>
          <t>카페24</t>
        </is>
      </c>
      <c r="G1598" s="9" t="inlineStr">
        <is>
          <t>라베나 리커버리 15 헤어팩 트리트먼트 [HAIR RÉ:COVERY 15 Hairpack Treatment]제품선택=헤어팩 트리트먼트 3개 세트 10% 추가할인</t>
        </is>
      </c>
      <c r="H1598" s="9" t="n">
        <v>1</v>
      </c>
      <c r="I1598" s="9" t="inlineStr">
        <is>
          <t>트리트먼트 3set</t>
        </is>
      </c>
      <c r="J1598" s="9" t="inlineStr">
        <is>
          <t>210201</t>
        </is>
      </c>
      <c r="L1598" s="9" t="n">
        <v>70200</v>
      </c>
      <c r="M1598" s="9" t="n">
        <v>66093.3</v>
      </c>
      <c r="N1598" s="9" t="n">
        <v>4791</v>
      </c>
      <c r="O159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599">
      <c r="B1599" s="10" t="n">
        <v>44265</v>
      </c>
      <c r="C1599" s="9" t="inlineStr">
        <is>
          <t>수</t>
        </is>
      </c>
      <c r="E1599" s="9" t="inlineStr">
        <is>
          <t>트리트먼트</t>
        </is>
      </c>
      <c r="F1599" s="9" t="inlineStr">
        <is>
          <t>카페24</t>
        </is>
      </c>
      <c r="G1599" s="9" t="inlineStr">
        <is>
          <t>라베나 리커버리 15 헤어팩 트리트먼트 [HAIR RÉ:COVERY 15 Hairpack Treatment]제품선택=헤어팩 트리트먼트 1개 + 뉴트리셔스밤 1개 세트 5% 추가할인</t>
        </is>
      </c>
      <c r="H1599" s="9" t="n">
        <v>5</v>
      </c>
      <c r="I1599" s="9" t="inlineStr">
        <is>
          <t>트리트먼트+뉴트리셔스밤</t>
        </is>
      </c>
      <c r="J1599" s="9" t="inlineStr">
        <is>
          <t>210201</t>
        </is>
      </c>
      <c r="L1599" s="9" t="n">
        <v>241775</v>
      </c>
      <c r="M1599" s="9" t="n">
        <v>227631.1625</v>
      </c>
      <c r="N1599" s="9" t="n">
        <v>15885</v>
      </c>
      <c r="O1599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600">
      <c r="A1600" s="9" t="inlineStr">
        <is>
          <t>0311_현빈_카드뉴스_재업</t>
        </is>
      </c>
      <c r="B1600" s="10" t="n">
        <v>44266</v>
      </c>
      <c r="C1600" s="9" t="inlineStr">
        <is>
          <t>목</t>
        </is>
      </c>
      <c r="D1600" s="9" t="inlineStr">
        <is>
          <t>페이스북</t>
        </is>
      </c>
      <c r="E1600" s="9" t="inlineStr">
        <is>
          <t>샴푸</t>
        </is>
      </c>
      <c r="K1600" s="9" t="n">
        <v>101062</v>
      </c>
    </row>
    <row r="1601">
      <c r="A1601" s="9" t="inlineStr">
        <is>
          <t>현빈임시테스트</t>
        </is>
      </c>
      <c r="B1601" s="10" t="n">
        <v>44266</v>
      </c>
      <c r="C1601" s="9" t="inlineStr">
        <is>
          <t>목</t>
        </is>
      </c>
      <c r="D1601" s="9" t="inlineStr">
        <is>
          <t>페이스북</t>
        </is>
      </c>
      <c r="E1601" s="9" t="inlineStr">
        <is>
          <t>샴푸</t>
        </is>
      </c>
      <c r="K1601" s="9" t="n">
        <v>50234</v>
      </c>
    </row>
    <row r="1602">
      <c r="A1602" s="9" t="inlineStr">
        <is>
          <t>1201~단장키워드테스트</t>
        </is>
      </c>
      <c r="B1602" s="10" t="n">
        <v>44266</v>
      </c>
      <c r="C1602" s="9" t="inlineStr">
        <is>
          <t>목</t>
        </is>
      </c>
      <c r="D1602" s="9" t="inlineStr">
        <is>
          <t>페이스북</t>
        </is>
      </c>
      <c r="E1602" s="9" t="inlineStr">
        <is>
          <t>샴푸</t>
        </is>
      </c>
      <c r="K1602" s="9" t="n">
        <v>49898</v>
      </c>
    </row>
    <row r="1603">
      <c r="A1603" s="9" t="inlineStr">
        <is>
          <t>11/13 키워드 탐색</t>
        </is>
      </c>
      <c r="B1603" s="10" t="n">
        <v>44266</v>
      </c>
      <c r="C1603" s="9" t="inlineStr">
        <is>
          <t>목</t>
        </is>
      </c>
      <c r="D1603" s="9" t="inlineStr">
        <is>
          <t>페이스북</t>
        </is>
      </c>
      <c r="E1603" s="9" t="inlineStr">
        <is>
          <t>샴푸</t>
        </is>
      </c>
      <c r="K1603" s="9" t="n">
        <v>49118</v>
      </c>
    </row>
    <row r="1604">
      <c r="A1604" s="9" t="inlineStr">
        <is>
          <t>0224_샴푸-비듬똥균_카드뉴스_임시</t>
        </is>
      </c>
      <c r="B1604" s="10" t="n">
        <v>44266</v>
      </c>
      <c r="C1604" s="9" t="inlineStr">
        <is>
          <t>목</t>
        </is>
      </c>
      <c r="D1604" s="9" t="inlineStr">
        <is>
          <t>페이스북</t>
        </is>
      </c>
      <c r="E1604" s="9" t="inlineStr">
        <is>
          <t>샴푸</t>
        </is>
      </c>
      <c r="K1604" s="9" t="n">
        <v>141564</v>
      </c>
    </row>
    <row r="1605">
      <c r="A1605" s="9" t="inlineStr">
        <is>
          <t>0118_샴푸_비듬똥균_4차</t>
        </is>
      </c>
      <c r="B1605" s="10" t="n">
        <v>44266</v>
      </c>
      <c r="C1605" s="9" t="inlineStr">
        <is>
          <t>목</t>
        </is>
      </c>
      <c r="D1605" s="9" t="inlineStr">
        <is>
          <t>유튜브</t>
        </is>
      </c>
      <c r="E1605" s="9" t="inlineStr">
        <is>
          <t>샴푸</t>
        </is>
      </c>
      <c r="K1605" s="9" t="n">
        <v>304265</v>
      </c>
    </row>
    <row r="1606">
      <c r="A1606" s="9" t="inlineStr">
        <is>
          <t>0127_GDN_비듬샴푸_잠재고객</t>
        </is>
      </c>
      <c r="B1606" s="10" t="n">
        <v>44266</v>
      </c>
      <c r="C1606" s="9" t="inlineStr">
        <is>
          <t>목</t>
        </is>
      </c>
      <c r="D1606" s="9" t="inlineStr">
        <is>
          <t>GDN</t>
        </is>
      </c>
      <c r="E1606" s="9" t="inlineStr">
        <is>
          <t>샴푸</t>
        </is>
      </c>
      <c r="K1606" s="9" t="n">
        <v>206573</v>
      </c>
    </row>
    <row r="1607">
      <c r="A1607" s="9" t="inlineStr">
        <is>
          <t>0303_샴푸_인스트림_동영상전환수</t>
        </is>
      </c>
      <c r="B1607" s="10" t="n">
        <v>44266</v>
      </c>
      <c r="C1607" s="9" t="inlineStr">
        <is>
          <t>목</t>
        </is>
      </c>
      <c r="D1607" s="9" t="inlineStr">
        <is>
          <t>유튜브</t>
        </is>
      </c>
      <c r="E1607" s="9" t="inlineStr">
        <is>
          <t>샴푸</t>
        </is>
      </c>
      <c r="K1607" s="9" t="n">
        <v>1837507</v>
      </c>
    </row>
    <row r="1608">
      <c r="A1608" s="9" t="inlineStr">
        <is>
          <t>0305_샴푸_인스트림_타겟CPA</t>
        </is>
      </c>
      <c r="B1608" s="10" t="n">
        <v>44266</v>
      </c>
      <c r="C1608" s="9" t="inlineStr">
        <is>
          <t>목</t>
        </is>
      </c>
      <c r="D1608" s="9" t="inlineStr">
        <is>
          <t>유튜브</t>
        </is>
      </c>
      <c r="E1608" s="9" t="inlineStr">
        <is>
          <t>샴푸</t>
        </is>
      </c>
      <c r="K1608" s="9" t="n">
        <v>116416</v>
      </c>
    </row>
    <row r="1609">
      <c r="A1609" s="9" t="inlineStr">
        <is>
          <t>0310_샴푸_검색</t>
        </is>
      </c>
      <c r="B1609" s="10" t="n">
        <v>44266</v>
      </c>
      <c r="C1609" s="9" t="inlineStr">
        <is>
          <t>목</t>
        </is>
      </c>
      <c r="D1609" s="9" t="inlineStr">
        <is>
          <t>구글 검색</t>
        </is>
      </c>
      <c r="E1609" s="9" t="inlineStr">
        <is>
          <t>샴푸</t>
        </is>
      </c>
      <c r="K1609" s="9" t="n">
        <v>8559</v>
      </c>
    </row>
    <row r="1610">
      <c r="A1610" s="9" t="inlineStr">
        <is>
          <t>0311_샴푸_인스트림_잠재제외</t>
        </is>
      </c>
      <c r="B1610" s="10" t="n">
        <v>44266</v>
      </c>
      <c r="C1610" s="9" t="inlineStr">
        <is>
          <t>목</t>
        </is>
      </c>
      <c r="D1610" s="9" t="inlineStr">
        <is>
          <t>유튜브</t>
        </is>
      </c>
      <c r="E1610" s="9" t="inlineStr">
        <is>
          <t>샴푸</t>
        </is>
      </c>
      <c r="K1610" s="9" t="n">
        <v>287710</v>
      </c>
    </row>
    <row r="1611">
      <c r="A1611" s="9" t="inlineStr">
        <is>
          <t>0311_샴푸_비듬똥균_6차</t>
        </is>
      </c>
      <c r="B1611" s="10" t="n">
        <v>44266</v>
      </c>
      <c r="C1611" s="9" t="inlineStr">
        <is>
          <t>목</t>
        </is>
      </c>
      <c r="D1611" s="9" t="inlineStr">
        <is>
          <t>유튜브</t>
        </is>
      </c>
      <c r="E1611" s="9" t="inlineStr">
        <is>
          <t>샴푸</t>
        </is>
      </c>
      <c r="K1611" s="9" t="n">
        <v>1026013</v>
      </c>
    </row>
    <row r="1612">
      <c r="A1612" s="9" t="inlineStr">
        <is>
          <t>라베나 파워링크_샴푸_광고그룹#1</t>
        </is>
      </c>
      <c r="B1612" s="10" t="n">
        <v>44266</v>
      </c>
      <c r="C1612" s="9" t="inlineStr">
        <is>
          <t>목</t>
        </is>
      </c>
      <c r="D1612" s="9" t="inlineStr">
        <is>
          <t>네이버 검색</t>
        </is>
      </c>
      <c r="E1612" s="9" t="inlineStr">
        <is>
          <t>샴푸</t>
        </is>
      </c>
      <c r="K1612" s="9" t="n">
        <v>3530</v>
      </c>
    </row>
    <row r="1613">
      <c r="A1613" s="9" t="inlineStr">
        <is>
          <t>라베나 파워링크_샴푸#1_유튜브키워드기반</t>
        </is>
      </c>
      <c r="B1613" s="10" t="n">
        <v>44266</v>
      </c>
      <c r="C1613" s="9" t="inlineStr">
        <is>
          <t>목</t>
        </is>
      </c>
      <c r="D1613" s="9" t="inlineStr">
        <is>
          <t>네이버 검색</t>
        </is>
      </c>
      <c r="E1613" s="9" t="inlineStr">
        <is>
          <t>샴푸</t>
        </is>
      </c>
      <c r="K1613" s="9" t="n">
        <v>42640</v>
      </c>
    </row>
    <row r="1614">
      <c r="A1614" s="9" t="inlineStr">
        <is>
          <t>샴푸_쇼핑검색#1_광고그룹#1</t>
        </is>
      </c>
      <c r="B1614" s="10" t="n">
        <v>44266</v>
      </c>
      <c r="C1614" s="9" t="inlineStr">
        <is>
          <t>목</t>
        </is>
      </c>
      <c r="D1614" s="9" t="inlineStr">
        <is>
          <t>네이버 검색</t>
        </is>
      </c>
      <c r="E1614" s="9" t="inlineStr">
        <is>
          <t>샴푸</t>
        </is>
      </c>
      <c r="K1614" s="9" t="n">
        <v>829.9999999999999</v>
      </c>
    </row>
    <row r="1615">
      <c r="A1615" s="9" t="inlineStr">
        <is>
          <t>파워컨텐츠#1_비듬샴푸</t>
        </is>
      </c>
      <c r="B1615" s="10" t="n">
        <v>44266</v>
      </c>
      <c r="C1615" s="9" t="inlineStr">
        <is>
          <t>목</t>
        </is>
      </c>
      <c r="D1615" s="9" t="inlineStr">
        <is>
          <t>네이버 검색</t>
        </is>
      </c>
      <c r="E1615" s="9" t="inlineStr">
        <is>
          <t>샴푸</t>
        </is>
      </c>
      <c r="K1615" s="9" t="n">
        <v>0</v>
      </c>
    </row>
    <row r="1616">
      <c r="B1616" s="10" t="n">
        <v>44266</v>
      </c>
      <c r="C1616" s="9" t="inlineStr">
        <is>
          <t>목</t>
        </is>
      </c>
      <c r="E1616" s="9" t="inlineStr">
        <is>
          <t>뉴트리셔스밤</t>
        </is>
      </c>
      <c r="F1616" s="9" t="inlineStr">
        <is>
          <t>카페24</t>
        </is>
      </c>
      <c r="G1616" s="9" t="inlineStr">
        <is>
          <t>라베나 리커버리 15 뉴트리셔스 밤 [HAIR RÉ:COVERY 15 Nutritious Balm]제품선택=헤어 리커버리 15 뉴트리셔스 밤</t>
        </is>
      </c>
      <c r="H1616" s="9" t="n">
        <v>5</v>
      </c>
      <c r="I1616" s="9" t="inlineStr">
        <is>
          <t>뉴트리셔스밤</t>
        </is>
      </c>
      <c r="J1616" s="9" t="inlineStr">
        <is>
          <t>210201</t>
        </is>
      </c>
      <c r="L1616" s="9" t="n">
        <v>124500</v>
      </c>
      <c r="M1616" s="9" t="n">
        <v>117216.75</v>
      </c>
      <c r="N1616" s="9" t="n">
        <v>7900</v>
      </c>
      <c r="O1616" s="9" t="inlineStr">
        <is>
          <t>카페24뉴트리셔스밤라베나 리커버리 15 뉴트리셔스 밤 [HAIR RÉ:COVERY 15 Nutritious Balm]제품선택=헤어 리커버리 15 뉴트리셔스 밤210201</t>
        </is>
      </c>
    </row>
    <row r="1617">
      <c r="B1617" s="10" t="n">
        <v>44266</v>
      </c>
      <c r="C1617" s="9" t="inlineStr">
        <is>
          <t>목</t>
        </is>
      </c>
      <c r="E1617" s="9" t="inlineStr">
        <is>
          <t>뉴트리셔스밤</t>
        </is>
      </c>
      <c r="F1617" s="9" t="inlineStr">
        <is>
          <t>카페24</t>
        </is>
      </c>
      <c r="G1617" s="9" t="inlineStr">
        <is>
          <t>라베나 리커버리 15 뉴트리셔스 밤 [HAIR RÉ:COVERY 15 Nutritious Balm]제품선택=뉴트리셔스 밤 2개 세트 5% 추가할인</t>
        </is>
      </c>
      <c r="H1617" s="9" t="n">
        <v>1</v>
      </c>
      <c r="I1617" s="9" t="inlineStr">
        <is>
          <t>뉴트리셔스밤 2set</t>
        </is>
      </c>
      <c r="J1617" s="9" t="inlineStr">
        <is>
          <t>210201</t>
        </is>
      </c>
      <c r="L1617" s="9" t="n">
        <v>47310</v>
      </c>
      <c r="M1617" s="9" t="n">
        <v>44542.365</v>
      </c>
      <c r="N1617" s="9" t="n">
        <v>3160</v>
      </c>
      <c r="O1617" s="9" t="inlineStr">
        <is>
          <t>카페24뉴트리셔스밤라베나 리커버리 15 뉴트리셔스 밤 [HAIR RÉ:COVERY 15 Nutritious Balm]제품선택=뉴트리셔스 밤 2개 세트 5% 추가할인210201</t>
        </is>
      </c>
    </row>
    <row r="1618">
      <c r="B1618" s="10" t="n">
        <v>44266</v>
      </c>
      <c r="C1618" s="9" t="inlineStr">
        <is>
          <t>목</t>
        </is>
      </c>
      <c r="E1618" s="9" t="inlineStr">
        <is>
          <t>샴푸</t>
        </is>
      </c>
      <c r="F1618" s="9" t="inlineStr">
        <is>
          <t>카페24</t>
        </is>
      </c>
      <c r="G1618" s="9" t="inlineStr">
        <is>
          <t>라베나 리커버리 15 리바이탈 바이오플라보노이드샴푸 [HAIR RÉ:COVERY 15 Revital Shampoo]제품선택=헤어 리커버리 15 리바이탈 샴푸 - 500ml</t>
        </is>
      </c>
      <c r="H1618" s="9" t="n">
        <v>189</v>
      </c>
      <c r="I1618" s="9" t="inlineStr">
        <is>
          <t>리바이탈 샴푸</t>
        </is>
      </c>
      <c r="J1618" s="9" t="inlineStr">
        <is>
          <t>210201</t>
        </is>
      </c>
      <c r="L1618" s="9" t="n">
        <v>5084100</v>
      </c>
      <c r="M1618" s="9" t="n">
        <v>4786680.149999999</v>
      </c>
      <c r="N1618" s="9" t="n">
        <v>541485</v>
      </c>
      <c r="O161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619">
      <c r="B1619" s="10" t="n">
        <v>44266</v>
      </c>
      <c r="C1619" s="9" t="inlineStr">
        <is>
          <t>목</t>
        </is>
      </c>
      <c r="E1619" s="9" t="inlineStr">
        <is>
          <t>샴푸</t>
        </is>
      </c>
      <c r="F1619" s="9" t="inlineStr">
        <is>
          <t>카페24</t>
        </is>
      </c>
      <c r="G1619" s="9" t="inlineStr">
        <is>
          <t>라베나 리커버리 15 리바이탈 바이오플라보노이드샴푸 [HAIR RÉ:COVERY 15 Revital Shampoo]제품선택=리바이탈 샴푸 2개 세트 5%추가할인</t>
        </is>
      </c>
      <c r="H1619" s="9" t="n">
        <v>54</v>
      </c>
      <c r="I1619" s="9" t="inlineStr">
        <is>
          <t>리바이탈 샴푸 2set</t>
        </is>
      </c>
      <c r="J1619" s="9" t="inlineStr">
        <is>
          <t>210201</t>
        </is>
      </c>
      <c r="L1619" s="9" t="n">
        <v>2759940</v>
      </c>
      <c r="M1619" s="9" t="n">
        <v>2598483.51</v>
      </c>
      <c r="N1619" s="9" t="n">
        <v>309420</v>
      </c>
      <c r="O161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620">
      <c r="B1620" s="10" t="n">
        <v>44266</v>
      </c>
      <c r="C1620" s="9" t="inlineStr">
        <is>
          <t>목</t>
        </is>
      </c>
      <c r="E1620" s="9" t="inlineStr">
        <is>
          <t>샴푸</t>
        </is>
      </c>
      <c r="F1620" s="9" t="inlineStr">
        <is>
          <t>카페24</t>
        </is>
      </c>
      <c r="G1620" s="9" t="inlineStr">
        <is>
          <t>라베나 리커버리 15 리바이탈 바이오플라보노이드샴푸 [HAIR RÉ:COVERY 15 Revital Shampoo]제품선택=리바이탈 샴푸 3개 세트 10% 추가할인</t>
        </is>
      </c>
      <c r="H1620" s="9" t="n">
        <v>19</v>
      </c>
      <c r="I1620" s="9" t="inlineStr">
        <is>
          <t>리바이탈 샴푸 3set</t>
        </is>
      </c>
      <c r="J1620" s="9" t="inlineStr">
        <is>
          <t>210201</t>
        </is>
      </c>
      <c r="L1620" s="9" t="n">
        <v>1379970</v>
      </c>
      <c r="M1620" s="9" t="n">
        <v>1299241.755</v>
      </c>
      <c r="N1620" s="9" t="n">
        <v>163305</v>
      </c>
      <c r="O162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621">
      <c r="B1621" s="10" t="n">
        <v>44266</v>
      </c>
      <c r="C1621" s="9" t="inlineStr">
        <is>
          <t>목</t>
        </is>
      </c>
      <c r="E1621" s="9" t="inlineStr">
        <is>
          <t>트리트먼트</t>
        </is>
      </c>
      <c r="F1621" s="9" t="inlineStr">
        <is>
          <t>카페24</t>
        </is>
      </c>
      <c r="G1621" s="9" t="inlineStr">
        <is>
          <t>라베나 리커버리 15 헤어팩 트리트먼트 [HAIR RÉ:COVERY 15 Hairpack Treatment]제품선택=헤어 리커버리 15 헤어팩 트리트먼트</t>
        </is>
      </c>
      <c r="H1621" s="9" t="n">
        <v>5</v>
      </c>
      <c r="I1621" s="9" t="inlineStr">
        <is>
          <t>트리트먼트</t>
        </is>
      </c>
      <c r="J1621" s="9" t="inlineStr">
        <is>
          <t>210201</t>
        </is>
      </c>
      <c r="L1621" s="9" t="n">
        <v>130000</v>
      </c>
      <c r="M1621" s="9" t="n">
        <v>122395</v>
      </c>
      <c r="N1621" s="9" t="n">
        <v>7985</v>
      </c>
      <c r="O162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622">
      <c r="B1622" s="10" t="n">
        <v>44266</v>
      </c>
      <c r="C1622" s="9" t="inlineStr">
        <is>
          <t>목</t>
        </is>
      </c>
      <c r="E1622" s="9" t="inlineStr">
        <is>
          <t>트리트먼트</t>
        </is>
      </c>
      <c r="F1622" s="9" t="inlineStr">
        <is>
          <t>카페24</t>
        </is>
      </c>
      <c r="G1622" s="9" t="inlineStr">
        <is>
          <t>라베나 리커버리 15 헤어팩 트리트먼트 [HAIR RÉ:COVERY 15 Hairpack Treatment]제품선택=헤어팩 트리트먼트 2개 세트 5% 추가할인</t>
        </is>
      </c>
      <c r="H1622" s="9" t="n">
        <v>1</v>
      </c>
      <c r="I1622" s="9" t="inlineStr">
        <is>
          <t>트리트먼트 2set</t>
        </is>
      </c>
      <c r="J1622" s="9" t="inlineStr">
        <is>
          <t>210201</t>
        </is>
      </c>
      <c r="L1622" s="9" t="n">
        <v>49400</v>
      </c>
      <c r="M1622" s="9" t="n">
        <v>46510.1</v>
      </c>
      <c r="N1622" s="9" t="n">
        <v>3194</v>
      </c>
      <c r="O1622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623">
      <c r="B1623" s="10" t="n">
        <v>44266</v>
      </c>
      <c r="C1623" s="9" t="inlineStr">
        <is>
          <t>목</t>
        </is>
      </c>
      <c r="E1623" s="9" t="inlineStr">
        <is>
          <t>트리트먼트</t>
        </is>
      </c>
      <c r="F1623" s="9" t="inlineStr">
        <is>
          <t>카페24</t>
        </is>
      </c>
      <c r="G1623" s="9" t="inlineStr">
        <is>
          <t>라베나 리커버리 15 헤어팩 트리트먼트 [HAIR RÉ:COVERY 15 Hairpack Treatment]제품선택=헤어팩 트리트먼트 3개 세트 10% 추가할인</t>
        </is>
      </c>
      <c r="H1623" s="9" t="n">
        <v>1</v>
      </c>
      <c r="I1623" s="9" t="inlineStr">
        <is>
          <t>트리트먼트 3set</t>
        </is>
      </c>
      <c r="J1623" s="9" t="inlineStr">
        <is>
          <t>210201</t>
        </is>
      </c>
      <c r="L1623" s="9" t="n">
        <v>70200</v>
      </c>
      <c r="M1623" s="9" t="n">
        <v>66093.3</v>
      </c>
      <c r="N1623" s="9" t="n">
        <v>4791</v>
      </c>
      <c r="O1623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624">
      <c r="B1624" s="10" t="n">
        <v>44266</v>
      </c>
      <c r="C1624" s="9" t="inlineStr">
        <is>
          <t>목</t>
        </is>
      </c>
      <c r="E1624" s="9" t="inlineStr">
        <is>
          <t>트리트먼트</t>
        </is>
      </c>
      <c r="F1624" s="9" t="inlineStr">
        <is>
          <t>카페24</t>
        </is>
      </c>
      <c r="G1624" s="9" t="inlineStr">
        <is>
          <t>라베나 리커버리 15 헤어팩 트리트먼트 [HAIR RÉ:COVERY 15 Hairpack Treatment]제품선택=헤어팩 트리트먼트 1개 + 뉴트리셔스밤 1개 세트 5% 추가할인</t>
        </is>
      </c>
      <c r="H1624" s="9" t="n">
        <v>1</v>
      </c>
      <c r="I1624" s="9" t="inlineStr">
        <is>
          <t>트리트먼트+뉴트리셔스밤</t>
        </is>
      </c>
      <c r="J1624" s="9" t="inlineStr">
        <is>
          <t>210201</t>
        </is>
      </c>
      <c r="L1624" s="9" t="n">
        <v>48355</v>
      </c>
      <c r="M1624" s="9" t="n">
        <v>45526.2325</v>
      </c>
      <c r="N1624" s="9" t="n">
        <v>3177</v>
      </c>
      <c r="O1624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625">
      <c r="A1625" s="9" t="inlineStr">
        <is>
          <t>0311_현빈_카드뉴스_재업</t>
        </is>
      </c>
      <c r="B1625" s="10" t="n">
        <v>44267</v>
      </c>
      <c r="C1625" s="9" t="inlineStr">
        <is>
          <t>금</t>
        </is>
      </c>
      <c r="D1625" s="9" t="inlineStr">
        <is>
          <t>페이스북</t>
        </is>
      </c>
      <c r="E1625" s="9" t="inlineStr">
        <is>
          <t>샴푸</t>
        </is>
      </c>
      <c r="K1625" s="9" t="n">
        <v>146668</v>
      </c>
    </row>
    <row r="1626">
      <c r="A1626" s="9" t="inlineStr">
        <is>
          <t>현빈임시테스트</t>
        </is>
      </c>
      <c r="B1626" s="10" t="n">
        <v>44267</v>
      </c>
      <c r="C1626" s="9" t="inlineStr">
        <is>
          <t>금</t>
        </is>
      </c>
      <c r="D1626" s="9" t="inlineStr">
        <is>
          <t>페이스북</t>
        </is>
      </c>
      <c r="E1626" s="9" t="inlineStr">
        <is>
          <t>샴푸</t>
        </is>
      </c>
      <c r="K1626" s="9" t="n">
        <v>49712</v>
      </c>
    </row>
    <row r="1627">
      <c r="A1627" s="9" t="inlineStr">
        <is>
          <t>1201~단장키워드테스트</t>
        </is>
      </c>
      <c r="B1627" s="10" t="n">
        <v>44267</v>
      </c>
      <c r="C1627" s="9" t="inlineStr">
        <is>
          <t>금</t>
        </is>
      </c>
      <c r="D1627" s="9" t="inlineStr">
        <is>
          <t>페이스북</t>
        </is>
      </c>
      <c r="E1627" s="9" t="inlineStr">
        <is>
          <t>샴푸</t>
        </is>
      </c>
      <c r="K1627" s="9" t="n">
        <v>50525</v>
      </c>
    </row>
    <row r="1628">
      <c r="A1628" s="9" t="inlineStr">
        <is>
          <t>11/13 키워드 탐색</t>
        </is>
      </c>
      <c r="B1628" s="10" t="n">
        <v>44267</v>
      </c>
      <c r="C1628" s="9" t="inlineStr">
        <is>
          <t>금</t>
        </is>
      </c>
      <c r="D1628" s="9" t="inlineStr">
        <is>
          <t>페이스북</t>
        </is>
      </c>
      <c r="E1628" s="9" t="inlineStr">
        <is>
          <t>샴푸</t>
        </is>
      </c>
      <c r="K1628" s="9" t="n">
        <v>49481</v>
      </c>
    </row>
    <row r="1629">
      <c r="A1629" s="9" t="inlineStr">
        <is>
          <t>현빈임시테스트</t>
        </is>
      </c>
      <c r="B1629" s="10" t="n">
        <v>44268</v>
      </c>
      <c r="C1629" s="9" t="inlineStr">
        <is>
          <t>토</t>
        </is>
      </c>
      <c r="D1629" s="9" t="inlineStr">
        <is>
          <t>페이스북</t>
        </is>
      </c>
      <c r="E1629" s="9" t="inlineStr">
        <is>
          <t>샴푸</t>
        </is>
      </c>
      <c r="K1629" s="9" t="n">
        <v>51847</v>
      </c>
    </row>
    <row r="1630">
      <c r="A1630" s="9" t="inlineStr">
        <is>
          <t>1201~단장키워드테스트</t>
        </is>
      </c>
      <c r="B1630" s="10" t="n">
        <v>44268</v>
      </c>
      <c r="C1630" s="9" t="inlineStr">
        <is>
          <t>토</t>
        </is>
      </c>
      <c r="D1630" s="9" t="inlineStr">
        <is>
          <t>페이스북</t>
        </is>
      </c>
      <c r="E1630" s="9" t="inlineStr">
        <is>
          <t>샴푸</t>
        </is>
      </c>
      <c r="K1630" s="9" t="n">
        <v>52042</v>
      </c>
    </row>
    <row r="1631">
      <c r="A1631" s="9" t="inlineStr">
        <is>
          <t>11/13 키워드 탐색</t>
        </is>
      </c>
      <c r="B1631" s="10" t="n">
        <v>44268</v>
      </c>
      <c r="C1631" s="9" t="inlineStr">
        <is>
          <t>토</t>
        </is>
      </c>
      <c r="D1631" s="9" t="inlineStr">
        <is>
          <t>페이스북</t>
        </is>
      </c>
      <c r="E1631" s="9" t="inlineStr">
        <is>
          <t>샴푸</t>
        </is>
      </c>
      <c r="K1631" s="9" t="n">
        <v>53796</v>
      </c>
    </row>
    <row r="1632">
      <c r="A1632" s="9" t="inlineStr">
        <is>
          <t>현빈임시테스트</t>
        </is>
      </c>
      <c r="B1632" s="10" t="n">
        <v>44269</v>
      </c>
      <c r="C1632" s="9" t="inlineStr">
        <is>
          <t>일</t>
        </is>
      </c>
      <c r="D1632" s="9" t="inlineStr">
        <is>
          <t>페이스북</t>
        </is>
      </c>
      <c r="E1632" s="9" t="inlineStr">
        <is>
          <t>샴푸</t>
        </is>
      </c>
      <c r="K1632" s="9" t="n">
        <v>50499</v>
      </c>
    </row>
    <row r="1633">
      <c r="A1633" s="9" t="inlineStr">
        <is>
          <t>1201~단장키워드테스트</t>
        </is>
      </c>
      <c r="B1633" s="10" t="n">
        <v>44269</v>
      </c>
      <c r="C1633" s="9" t="inlineStr">
        <is>
          <t>일</t>
        </is>
      </c>
      <c r="D1633" s="9" t="inlineStr">
        <is>
          <t>페이스북</t>
        </is>
      </c>
      <c r="E1633" s="9" t="inlineStr">
        <is>
          <t>샴푸</t>
        </is>
      </c>
      <c r="K1633" s="9" t="n">
        <v>50333</v>
      </c>
    </row>
    <row r="1634">
      <c r="A1634" s="9" t="inlineStr">
        <is>
          <t>11/13 키워드 탐색</t>
        </is>
      </c>
      <c r="B1634" s="10" t="n">
        <v>44269</v>
      </c>
      <c r="C1634" s="9" t="inlineStr">
        <is>
          <t>일</t>
        </is>
      </c>
      <c r="D1634" s="9" t="inlineStr">
        <is>
          <t>페이스북</t>
        </is>
      </c>
      <c r="E1634" s="9" t="inlineStr">
        <is>
          <t>샴푸</t>
        </is>
      </c>
      <c r="K1634" s="9" t="n">
        <v>50111</v>
      </c>
    </row>
    <row r="1635">
      <c r="A1635" s="9" t="inlineStr">
        <is>
          <t>0118_샴푸_비듬똥균_4차</t>
        </is>
      </c>
      <c r="B1635" s="10" t="n">
        <v>44267</v>
      </c>
      <c r="C1635" s="9" t="inlineStr">
        <is>
          <t>금</t>
        </is>
      </c>
      <c r="D1635" s="9" t="inlineStr">
        <is>
          <t>유튜브</t>
        </is>
      </c>
      <c r="E1635" s="9" t="inlineStr">
        <is>
          <t>샴푸</t>
        </is>
      </c>
      <c r="K1635" s="9" t="n">
        <v>17023</v>
      </c>
    </row>
    <row r="1636">
      <c r="A1636" s="9" t="inlineStr">
        <is>
          <t>0127_GDN_비듬샴푸_잠재고객</t>
        </is>
      </c>
      <c r="B1636" s="10" t="n">
        <v>44267</v>
      </c>
      <c r="C1636" s="9" t="inlineStr">
        <is>
          <t>금</t>
        </is>
      </c>
      <c r="D1636" s="9" t="inlineStr">
        <is>
          <t>GDN</t>
        </is>
      </c>
      <c r="E1636" s="9" t="inlineStr">
        <is>
          <t>샴푸</t>
        </is>
      </c>
      <c r="K1636" s="9" t="n">
        <v>201325</v>
      </c>
    </row>
    <row r="1637">
      <c r="A1637" s="9" t="inlineStr">
        <is>
          <t>0303_샴푸_인스트림_동영상전환수</t>
        </is>
      </c>
      <c r="B1637" s="10" t="n">
        <v>44267</v>
      </c>
      <c r="C1637" s="9" t="inlineStr">
        <is>
          <t>금</t>
        </is>
      </c>
      <c r="D1637" s="9" t="inlineStr">
        <is>
          <t>유튜브</t>
        </is>
      </c>
      <c r="E1637" s="9" t="inlineStr">
        <is>
          <t>샴푸</t>
        </is>
      </c>
      <c r="K1637" s="9" t="n">
        <v>1792175</v>
      </c>
    </row>
    <row r="1638">
      <c r="A1638" s="9" t="inlineStr">
        <is>
          <t>0305_샴푸_인스트림_타겟CPA</t>
        </is>
      </c>
      <c r="B1638" s="10" t="n">
        <v>44267</v>
      </c>
      <c r="C1638" s="9" t="inlineStr">
        <is>
          <t>금</t>
        </is>
      </c>
      <c r="D1638" s="9" t="inlineStr">
        <is>
          <t>유튜브</t>
        </is>
      </c>
      <c r="E1638" s="9" t="inlineStr">
        <is>
          <t>샴푸</t>
        </is>
      </c>
      <c r="K1638" s="9" t="n">
        <v>27274</v>
      </c>
    </row>
    <row r="1639">
      <c r="A1639" s="9" t="inlineStr">
        <is>
          <t>0311_샴푸_비듬똥균_6차</t>
        </is>
      </c>
      <c r="B1639" s="10" t="n">
        <v>44267</v>
      </c>
      <c r="C1639" s="9" t="inlineStr">
        <is>
          <t>금</t>
        </is>
      </c>
      <c r="D1639" s="9" t="inlineStr">
        <is>
          <t>유튜브</t>
        </is>
      </c>
      <c r="E1639" s="9" t="inlineStr">
        <is>
          <t>샴푸</t>
        </is>
      </c>
      <c r="K1639" s="9" t="n">
        <v>476096</v>
      </c>
    </row>
    <row r="1640">
      <c r="A1640" s="9" t="inlineStr">
        <is>
          <t>0312_샴푸_VAC</t>
        </is>
      </c>
      <c r="B1640" s="10" t="n">
        <v>44267</v>
      </c>
      <c r="C1640" s="9" t="inlineStr">
        <is>
          <t>금</t>
        </is>
      </c>
      <c r="D1640" s="9" t="inlineStr">
        <is>
          <t>유튜브</t>
        </is>
      </c>
      <c r="E1640" s="9" t="inlineStr">
        <is>
          <t>샴푸</t>
        </is>
      </c>
      <c r="K1640" s="9" t="n">
        <v>500048</v>
      </c>
    </row>
    <row r="1641">
      <c r="A1641" s="9" t="inlineStr">
        <is>
          <t>0312_샴푸_3차_재업</t>
        </is>
      </c>
      <c r="B1641" s="10" t="n">
        <v>44267</v>
      </c>
      <c r="C1641" s="9" t="inlineStr">
        <is>
          <t>금</t>
        </is>
      </c>
      <c r="D1641" s="9" t="inlineStr">
        <is>
          <t>유튜브</t>
        </is>
      </c>
      <c r="E1641" s="9" t="inlineStr">
        <is>
          <t>샴푸</t>
        </is>
      </c>
      <c r="K1641" s="9" t="n">
        <v>9111</v>
      </c>
    </row>
    <row r="1642">
      <c r="A1642" s="9" t="inlineStr">
        <is>
          <t>0312_노워시_인스트림_테스트</t>
        </is>
      </c>
      <c r="B1642" s="10" t="n">
        <v>44267</v>
      </c>
      <c r="C1642" s="9" t="inlineStr">
        <is>
          <t>금</t>
        </is>
      </c>
      <c r="D1642" s="9" t="inlineStr">
        <is>
          <t>유튜브</t>
        </is>
      </c>
      <c r="E1642" s="9" t="inlineStr">
        <is>
          <t>뉴트리셔스밤</t>
        </is>
      </c>
      <c r="K1642" s="9" t="n">
        <v>100302</v>
      </c>
    </row>
    <row r="1643">
      <c r="A1643" s="9" t="inlineStr">
        <is>
          <t>0127_GDN_비듬샴푸_잠재고객</t>
        </is>
      </c>
      <c r="B1643" s="10" t="n">
        <v>44268</v>
      </c>
      <c r="C1643" s="9" t="inlineStr">
        <is>
          <t>토</t>
        </is>
      </c>
      <c r="D1643" s="9" t="inlineStr">
        <is>
          <t>GDN</t>
        </is>
      </c>
      <c r="E1643" s="9" t="inlineStr">
        <is>
          <t>샴푸</t>
        </is>
      </c>
      <c r="K1643" s="9" t="n">
        <v>178262</v>
      </c>
    </row>
    <row r="1644">
      <c r="A1644" s="9" t="inlineStr">
        <is>
          <t>0303_샴푸_인스트림_동영상전환수</t>
        </is>
      </c>
      <c r="B1644" s="10" t="n">
        <v>44268</v>
      </c>
      <c r="C1644" s="9" t="inlineStr">
        <is>
          <t>토</t>
        </is>
      </c>
      <c r="D1644" s="9" t="inlineStr">
        <is>
          <t>유튜브</t>
        </is>
      </c>
      <c r="E1644" s="9" t="inlineStr">
        <is>
          <t>샴푸</t>
        </is>
      </c>
      <c r="K1644" s="9" t="n">
        <v>2495126</v>
      </c>
    </row>
    <row r="1645">
      <c r="A1645" s="9" t="inlineStr">
        <is>
          <t>0311_샴푸_비듬똥균_6차</t>
        </is>
      </c>
      <c r="B1645" s="10" t="n">
        <v>44268</v>
      </c>
      <c r="C1645" s="9" t="inlineStr">
        <is>
          <t>토</t>
        </is>
      </c>
      <c r="D1645" s="9" t="inlineStr">
        <is>
          <t>유튜브</t>
        </is>
      </c>
      <c r="E1645" s="9" t="inlineStr">
        <is>
          <t>샴푸</t>
        </is>
      </c>
      <c r="K1645" s="9" t="n">
        <v>1178</v>
      </c>
    </row>
    <row r="1646">
      <c r="A1646" s="9" t="inlineStr">
        <is>
          <t>0312_샴푸_VAC</t>
        </is>
      </c>
      <c r="B1646" s="10" t="n">
        <v>44268</v>
      </c>
      <c r="C1646" s="9" t="inlineStr">
        <is>
          <t>토</t>
        </is>
      </c>
      <c r="D1646" s="9" t="inlineStr">
        <is>
          <t>유튜브</t>
        </is>
      </c>
      <c r="E1646" s="9" t="inlineStr">
        <is>
          <t>샴푸</t>
        </is>
      </c>
      <c r="K1646" s="9" t="n">
        <v>463572</v>
      </c>
    </row>
    <row r="1647">
      <c r="A1647" s="9" t="inlineStr">
        <is>
          <t>0312_샴푸_3차_재업</t>
        </is>
      </c>
      <c r="B1647" s="10" t="n">
        <v>44268</v>
      </c>
      <c r="C1647" s="9" t="inlineStr">
        <is>
          <t>토</t>
        </is>
      </c>
      <c r="D1647" s="9" t="inlineStr">
        <is>
          <t>유튜브</t>
        </is>
      </c>
      <c r="E1647" s="9" t="inlineStr">
        <is>
          <t>샴푸</t>
        </is>
      </c>
      <c r="K1647" s="9" t="n">
        <v>32674</v>
      </c>
    </row>
    <row r="1648">
      <c r="A1648" s="9" t="inlineStr">
        <is>
          <t>0312_노워시_인스트림_테스트</t>
        </is>
      </c>
      <c r="B1648" s="10" t="n">
        <v>44268</v>
      </c>
      <c r="C1648" s="9" t="inlineStr">
        <is>
          <t>토</t>
        </is>
      </c>
      <c r="D1648" s="9" t="inlineStr">
        <is>
          <t>유튜브</t>
        </is>
      </c>
      <c r="E1648" s="9" t="inlineStr">
        <is>
          <t>뉴트리셔스밤</t>
        </is>
      </c>
      <c r="K1648" s="9" t="n">
        <v>8643</v>
      </c>
    </row>
    <row r="1649">
      <c r="A1649" s="9" t="inlineStr">
        <is>
          <t>0127_GDN_비듬샴푸_잠재고객</t>
        </is>
      </c>
      <c r="B1649" s="10" t="n">
        <v>44269</v>
      </c>
      <c r="C1649" s="9" t="inlineStr">
        <is>
          <t>일</t>
        </is>
      </c>
      <c r="D1649" s="9" t="inlineStr">
        <is>
          <t>GDN</t>
        </is>
      </c>
      <c r="E1649" s="9" t="inlineStr">
        <is>
          <t>샴푸</t>
        </is>
      </c>
      <c r="K1649" s="9" t="n">
        <v>206122</v>
      </c>
    </row>
    <row r="1650">
      <c r="A1650" s="9" t="inlineStr">
        <is>
          <t>0303_샴푸_인스트림_동영상전환수</t>
        </is>
      </c>
      <c r="B1650" s="10" t="n">
        <v>44269</v>
      </c>
      <c r="C1650" s="9" t="inlineStr">
        <is>
          <t>일</t>
        </is>
      </c>
      <c r="D1650" s="9" t="inlineStr">
        <is>
          <t>유튜브</t>
        </is>
      </c>
      <c r="E1650" s="9" t="inlineStr">
        <is>
          <t>샴푸</t>
        </is>
      </c>
      <c r="K1650" s="9" t="n">
        <v>3198380</v>
      </c>
    </row>
    <row r="1651">
      <c r="A1651" s="9" t="inlineStr">
        <is>
          <t>0311_샴푸_비듬똥균_6차</t>
        </is>
      </c>
      <c r="B1651" s="10" t="n">
        <v>44269</v>
      </c>
      <c r="C1651" s="9" t="inlineStr">
        <is>
          <t>일</t>
        </is>
      </c>
      <c r="D1651" s="9" t="inlineStr">
        <is>
          <t>유튜브</t>
        </is>
      </c>
      <c r="E1651" s="9" t="inlineStr">
        <is>
          <t>샴푸</t>
        </is>
      </c>
      <c r="K1651" s="9" t="n">
        <v>1470</v>
      </c>
    </row>
    <row r="1652">
      <c r="A1652" s="9" t="inlineStr">
        <is>
          <t>0312_샴푸_3차_재업</t>
        </is>
      </c>
      <c r="B1652" s="10" t="n">
        <v>44269</v>
      </c>
      <c r="C1652" s="9" t="inlineStr">
        <is>
          <t>일</t>
        </is>
      </c>
      <c r="D1652" s="9" t="inlineStr">
        <is>
          <t>유튜브</t>
        </is>
      </c>
      <c r="E1652" s="9" t="inlineStr">
        <is>
          <t>샴푸</t>
        </is>
      </c>
      <c r="K1652" s="9" t="n">
        <v>1706979</v>
      </c>
    </row>
    <row r="1653">
      <c r="A1653" s="9" t="inlineStr">
        <is>
          <t>라베나 파워링크_샴푸_광고그룹#1</t>
        </is>
      </c>
      <c r="B1653" s="10" t="n">
        <v>44269</v>
      </c>
      <c r="C1653" s="9" t="inlineStr">
        <is>
          <t>일</t>
        </is>
      </c>
      <c r="D1653" s="9" t="inlineStr">
        <is>
          <t>네이버 검색</t>
        </is>
      </c>
      <c r="E1653" s="9" t="inlineStr">
        <is>
          <t>샴푸</t>
        </is>
      </c>
      <c r="K1653" s="9" t="n">
        <v>2890</v>
      </c>
    </row>
    <row r="1654">
      <c r="A1654" s="9" t="inlineStr">
        <is>
          <t>라베나 파워링크_샴푸#1_유튜브키워드기반</t>
        </is>
      </c>
      <c r="B1654" s="10" t="n">
        <v>44269</v>
      </c>
      <c r="C1654" s="9" t="inlineStr">
        <is>
          <t>일</t>
        </is>
      </c>
      <c r="D1654" s="9" t="inlineStr">
        <is>
          <t>네이버 검색</t>
        </is>
      </c>
      <c r="E1654" s="9" t="inlineStr">
        <is>
          <t>샴푸</t>
        </is>
      </c>
      <c r="K1654" s="9" t="n">
        <v>47979.99999999999</v>
      </c>
    </row>
    <row r="1655">
      <c r="A1655" s="9" t="inlineStr">
        <is>
          <t>샴푸_쇼핑검색#1_광고그룹#1</t>
        </is>
      </c>
      <c r="B1655" s="10" t="n">
        <v>44269</v>
      </c>
      <c r="C1655" s="9" t="inlineStr">
        <is>
          <t>일</t>
        </is>
      </c>
      <c r="D1655" s="9" t="inlineStr">
        <is>
          <t>네이버 검색</t>
        </is>
      </c>
      <c r="E1655" s="9" t="inlineStr">
        <is>
          <t>샴푸</t>
        </is>
      </c>
      <c r="K1655" s="9" t="n">
        <v>14380</v>
      </c>
    </row>
    <row r="1656">
      <c r="A1656" s="9" t="inlineStr">
        <is>
          <t>파워컨텐츠#1_비듬샴푸</t>
        </is>
      </c>
      <c r="B1656" s="10" t="n">
        <v>44269</v>
      </c>
      <c r="C1656" s="9" t="inlineStr">
        <is>
          <t>일</t>
        </is>
      </c>
      <c r="D1656" s="9" t="inlineStr">
        <is>
          <t>네이버 검색</t>
        </is>
      </c>
      <c r="E1656" s="9" t="inlineStr">
        <is>
          <t>샴푸</t>
        </is>
      </c>
      <c r="K1656" s="9" t="n">
        <v>70</v>
      </c>
    </row>
    <row r="1657">
      <c r="A1657" s="9" t="inlineStr">
        <is>
          <t>라베나 파워링크_샴푸_광고그룹#1</t>
        </is>
      </c>
      <c r="B1657" s="10" t="n">
        <v>44268</v>
      </c>
      <c r="C1657" s="9" t="inlineStr">
        <is>
          <t>토</t>
        </is>
      </c>
      <c r="D1657" s="9" t="inlineStr">
        <is>
          <t>네이버 검색</t>
        </is>
      </c>
      <c r="E1657" s="9" t="inlineStr">
        <is>
          <t>샴푸</t>
        </is>
      </c>
      <c r="K1657" s="9" t="n">
        <v>1230</v>
      </c>
    </row>
    <row r="1658">
      <c r="A1658" s="9" t="inlineStr">
        <is>
          <t>라베나 파워링크_샴푸#1_유튜브키워드기반</t>
        </is>
      </c>
      <c r="B1658" s="10" t="n">
        <v>44268</v>
      </c>
      <c r="C1658" s="9" t="inlineStr">
        <is>
          <t>토</t>
        </is>
      </c>
      <c r="D1658" s="9" t="inlineStr">
        <is>
          <t>네이버 검색</t>
        </is>
      </c>
      <c r="E1658" s="9" t="inlineStr">
        <is>
          <t>샴푸</t>
        </is>
      </c>
      <c r="K1658" s="9" t="n">
        <v>23750</v>
      </c>
    </row>
    <row r="1659">
      <c r="A1659" s="9" t="inlineStr">
        <is>
          <t>샴푸_쇼핑검색#1_광고그룹#1</t>
        </is>
      </c>
      <c r="B1659" s="10" t="n">
        <v>44268</v>
      </c>
      <c r="C1659" s="9" t="inlineStr">
        <is>
          <t>토</t>
        </is>
      </c>
      <c r="D1659" s="9" t="inlineStr">
        <is>
          <t>네이버 검색</t>
        </is>
      </c>
      <c r="E1659" s="9" t="inlineStr">
        <is>
          <t>샴푸</t>
        </is>
      </c>
      <c r="K1659" s="9" t="n">
        <v>3640</v>
      </c>
    </row>
    <row r="1660">
      <c r="A1660" s="9" t="inlineStr">
        <is>
          <t>파워컨텐츠#1_비듬샴푸</t>
        </is>
      </c>
      <c r="B1660" s="10" t="n">
        <v>44268</v>
      </c>
      <c r="C1660" s="9" t="inlineStr">
        <is>
          <t>토</t>
        </is>
      </c>
      <c r="D1660" s="9" t="inlineStr">
        <is>
          <t>네이버 검색</t>
        </is>
      </c>
      <c r="E1660" s="9" t="inlineStr">
        <is>
          <t>샴푸</t>
        </is>
      </c>
      <c r="K1660" s="9" t="n">
        <v>0</v>
      </c>
    </row>
    <row r="1661">
      <c r="A1661" s="9" t="inlineStr">
        <is>
          <t>라베나 파워링크_샴푸_광고그룹#1</t>
        </is>
      </c>
      <c r="B1661" s="10" t="n">
        <v>44267</v>
      </c>
      <c r="C1661" s="9" t="inlineStr">
        <is>
          <t>금</t>
        </is>
      </c>
      <c r="D1661" s="9" t="inlineStr">
        <is>
          <t>네이버 검색</t>
        </is>
      </c>
      <c r="E1661" s="9" t="inlineStr">
        <is>
          <t>샴푸</t>
        </is>
      </c>
      <c r="K1661" s="9" t="n">
        <v>2270</v>
      </c>
    </row>
    <row r="1662">
      <c r="A1662" s="9" t="inlineStr">
        <is>
          <t>라베나 파워링크_샴푸#1_유튜브키워드기반</t>
        </is>
      </c>
      <c r="B1662" s="10" t="n">
        <v>44267</v>
      </c>
      <c r="C1662" s="9" t="inlineStr">
        <is>
          <t>금</t>
        </is>
      </c>
      <c r="D1662" s="9" t="inlineStr">
        <is>
          <t>네이버 검색</t>
        </is>
      </c>
      <c r="E1662" s="9" t="inlineStr">
        <is>
          <t>샴푸</t>
        </is>
      </c>
      <c r="K1662" s="9" t="n">
        <v>35740</v>
      </c>
    </row>
    <row r="1663">
      <c r="A1663" s="9" t="inlineStr">
        <is>
          <t>샴푸_쇼핑검색#1_광고그룹#1</t>
        </is>
      </c>
      <c r="B1663" s="10" t="n">
        <v>44267</v>
      </c>
      <c r="C1663" s="9" t="inlineStr">
        <is>
          <t>금</t>
        </is>
      </c>
      <c r="D1663" s="9" t="inlineStr">
        <is>
          <t>네이버 검색</t>
        </is>
      </c>
      <c r="E1663" s="9" t="inlineStr">
        <is>
          <t>샴푸</t>
        </is>
      </c>
      <c r="K1663" s="9" t="n">
        <v>660</v>
      </c>
    </row>
    <row r="1664">
      <c r="A1664" s="9" t="inlineStr">
        <is>
          <t>파워컨텐츠#1_비듬샴푸</t>
        </is>
      </c>
      <c r="B1664" s="10" t="n">
        <v>44267</v>
      </c>
      <c r="C1664" s="9" t="inlineStr">
        <is>
          <t>금</t>
        </is>
      </c>
      <c r="D1664" s="9" t="inlineStr">
        <is>
          <t>네이버 검색</t>
        </is>
      </c>
      <c r="E1664" s="9" t="inlineStr">
        <is>
          <t>샴푸</t>
        </is>
      </c>
      <c r="K1664" s="9" t="n">
        <v>70</v>
      </c>
    </row>
    <row r="1665">
      <c r="B1665" s="10" t="n">
        <v>44267</v>
      </c>
      <c r="C1665" s="9" t="inlineStr">
        <is>
          <t>금</t>
        </is>
      </c>
      <c r="E1665" s="9" t="inlineStr">
        <is>
          <t>뉴트리셔스밤</t>
        </is>
      </c>
      <c r="F1665" s="9" t="inlineStr">
        <is>
          <t>카페24</t>
        </is>
      </c>
      <c r="G1665" s="9" t="inlineStr">
        <is>
          <t>라베나 리커버리 15 뉴트리셔스 밤 [HAIR RÉ:COVERY 15 Nutritious Balm]제품선택=헤어 리커버리 15 뉴트리셔스 밤</t>
        </is>
      </c>
      <c r="H1665" s="9" t="n">
        <v>3</v>
      </c>
      <c r="I1665" s="9" t="inlineStr">
        <is>
          <t>뉴트리셔스밤</t>
        </is>
      </c>
      <c r="J1665" s="9" t="inlineStr">
        <is>
          <t>210201</t>
        </is>
      </c>
      <c r="L1665" s="9" t="n">
        <v>74700</v>
      </c>
      <c r="M1665" s="9" t="n">
        <v>70330.04999999999</v>
      </c>
      <c r="N1665" s="9" t="n">
        <v>4740</v>
      </c>
      <c r="O1665" s="9" t="inlineStr">
        <is>
          <t>카페24뉴트리셔스밤라베나 리커버리 15 뉴트리셔스 밤 [HAIR RÉ:COVERY 15 Nutritious Balm]제품선택=헤어 리커버리 15 뉴트리셔스 밤210201</t>
        </is>
      </c>
    </row>
    <row r="1666">
      <c r="B1666" s="10" t="n">
        <v>44267</v>
      </c>
      <c r="C1666" s="9" t="inlineStr">
        <is>
          <t>금</t>
        </is>
      </c>
      <c r="E1666" s="9" t="inlineStr">
        <is>
          <t>뉴트리셔스밤</t>
        </is>
      </c>
      <c r="F1666" s="9" t="inlineStr">
        <is>
          <t>카페24</t>
        </is>
      </c>
      <c r="G1666" s="9" t="inlineStr">
        <is>
          <t>라베나 리커버리 15 뉴트리셔스 밤 [HAIR RÉ:COVERY 15 Nutritious Balm]제품선택=뉴트리셔스 밤 2개 세트 5% 추가할인</t>
        </is>
      </c>
      <c r="H1666" s="9" t="n">
        <v>1</v>
      </c>
      <c r="I1666" s="9" t="inlineStr">
        <is>
          <t>뉴트리셔스밤 2set</t>
        </is>
      </c>
      <c r="J1666" s="9" t="inlineStr">
        <is>
          <t>210201</t>
        </is>
      </c>
      <c r="L1666" s="9" t="n">
        <v>47310</v>
      </c>
      <c r="M1666" s="9" t="n">
        <v>44542.365</v>
      </c>
      <c r="N1666" s="9" t="n">
        <v>3160</v>
      </c>
      <c r="O1666" s="9" t="inlineStr">
        <is>
          <t>카페24뉴트리셔스밤라베나 리커버리 15 뉴트리셔스 밤 [HAIR RÉ:COVERY 15 Nutritious Balm]제품선택=뉴트리셔스 밤 2개 세트 5% 추가할인210201</t>
        </is>
      </c>
    </row>
    <row r="1667">
      <c r="B1667" s="10" t="n">
        <v>44267</v>
      </c>
      <c r="C1667" s="9" t="inlineStr">
        <is>
          <t>금</t>
        </is>
      </c>
      <c r="E1667" s="9" t="inlineStr">
        <is>
          <t>뉴트리셔스밤</t>
        </is>
      </c>
      <c r="F1667" s="9" t="inlineStr">
        <is>
          <t>카페24</t>
        </is>
      </c>
      <c r="G1667" s="9" t="inlineStr">
        <is>
          <t>라베나 리커버리 15 뉴트리셔스 밤 [HAIR RÉ:COVERY 15 Nutritious Balm]제품선택=뉴트리셔스 밤 3개 세트 10% 추가할인</t>
        </is>
      </c>
      <c r="H1667" s="9" t="n">
        <v>1</v>
      </c>
      <c r="I1667" s="9" t="inlineStr">
        <is>
          <t>뉴트리셔스밤 3set</t>
        </is>
      </c>
      <c r="J1667" s="9" t="inlineStr">
        <is>
          <t>210201</t>
        </is>
      </c>
      <c r="L1667" s="9" t="n">
        <v>67230</v>
      </c>
      <c r="M1667" s="9" t="n">
        <v>63297.045</v>
      </c>
      <c r="N1667" s="9" t="n">
        <v>4740</v>
      </c>
      <c r="O1667" s="9" t="inlineStr">
        <is>
          <t>카페24뉴트리셔스밤라베나 리커버리 15 뉴트리셔스 밤 [HAIR RÉ:COVERY 15 Nutritious Balm]제품선택=뉴트리셔스 밤 3개 세트 10% 추가할인210201</t>
        </is>
      </c>
    </row>
    <row r="1668">
      <c r="B1668" s="10" t="n">
        <v>44267</v>
      </c>
      <c r="C1668" s="9" t="inlineStr">
        <is>
          <t>금</t>
        </is>
      </c>
      <c r="E1668" s="9" t="inlineStr">
        <is>
          <t>뉴트리셔스밤</t>
        </is>
      </c>
      <c r="F1668" s="9" t="inlineStr">
        <is>
          <t>카페24</t>
        </is>
      </c>
      <c r="G1668" s="9" t="inlineStr">
        <is>
          <t>라베나 리커버리 15 뉴트리셔스 밤 [HAIR RÉ:COVERY 15 Nutritious Balm]제품선택=뉴트리셔스밤 1개 + 헤어팩 트리트먼트 1개 세트 5%추가할인</t>
        </is>
      </c>
      <c r="H1668" s="9" t="n">
        <v>1</v>
      </c>
      <c r="I1668" s="9" t="inlineStr">
        <is>
          <t>트리트먼트+뉴트리셔스밤</t>
        </is>
      </c>
      <c r="J1668" s="9" t="inlineStr">
        <is>
          <t>210201</t>
        </is>
      </c>
      <c r="L1668" s="9" t="n">
        <v>48355</v>
      </c>
      <c r="M1668" s="9" t="n">
        <v>45526.2325</v>
      </c>
      <c r="N1668" s="9" t="n">
        <v>3177</v>
      </c>
      <c r="O1668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669">
      <c r="B1669" s="10" t="n">
        <v>44267</v>
      </c>
      <c r="C1669" s="9" t="inlineStr">
        <is>
          <t>금</t>
        </is>
      </c>
      <c r="E1669" s="9" t="inlineStr">
        <is>
          <t>샴푸</t>
        </is>
      </c>
      <c r="F1669" s="9" t="inlineStr">
        <is>
          <t>카페24</t>
        </is>
      </c>
      <c r="G1669" s="9" t="inlineStr">
        <is>
          <t>라베나 리커버리 15 리바이탈 바이오플라보노이드샴푸 [HAIR RÉ:COVERY 15 Revital Shampoo]제품선택=헤어 리커버리 15 리바이탈 샴푸 - 500ml</t>
        </is>
      </c>
      <c r="H1669" s="9" t="n">
        <v>131</v>
      </c>
      <c r="I1669" s="9" t="inlineStr">
        <is>
          <t>리바이탈 샴푸</t>
        </is>
      </c>
      <c r="J1669" s="9" t="inlineStr">
        <is>
          <t>210201</t>
        </is>
      </c>
      <c r="L1669" s="9" t="n">
        <v>3523900</v>
      </c>
      <c r="M1669" s="9" t="n">
        <v>3317751.85</v>
      </c>
      <c r="N1669" s="9" t="n">
        <v>375315</v>
      </c>
      <c r="O1669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670">
      <c r="B1670" s="10" t="n">
        <v>44267</v>
      </c>
      <c r="C1670" s="9" t="inlineStr">
        <is>
          <t>금</t>
        </is>
      </c>
      <c r="E1670" s="9" t="inlineStr">
        <is>
          <t>샴푸</t>
        </is>
      </c>
      <c r="F1670" s="9" t="inlineStr">
        <is>
          <t>카페24</t>
        </is>
      </c>
      <c r="G1670" s="9" t="inlineStr">
        <is>
          <t>라베나 리커버리 15 리바이탈 바이오플라보노이드샴푸 [HAIR RÉ:COVERY 15 Revital Shampoo]제품선택=리바이탈 샴푸 2개 세트 5%추가할인</t>
        </is>
      </c>
      <c r="H1670" s="9" t="n">
        <v>47</v>
      </c>
      <c r="I1670" s="9" t="inlineStr">
        <is>
          <t>리바이탈 샴푸 2set</t>
        </is>
      </c>
      <c r="J1670" s="9" t="inlineStr">
        <is>
          <t>210201</t>
        </is>
      </c>
      <c r="L1670" s="9" t="n">
        <v>2402170</v>
      </c>
      <c r="M1670" s="9" t="n">
        <v>2261643.055</v>
      </c>
      <c r="N1670" s="9" t="n">
        <v>269310</v>
      </c>
      <c r="O1670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671">
      <c r="B1671" s="10" t="n">
        <v>44267</v>
      </c>
      <c r="C1671" s="9" t="inlineStr">
        <is>
          <t>금</t>
        </is>
      </c>
      <c r="E1671" s="9" t="inlineStr">
        <is>
          <t>샴푸</t>
        </is>
      </c>
      <c r="F1671" s="9" t="inlineStr">
        <is>
          <t>카페24</t>
        </is>
      </c>
      <c r="G1671" s="9" t="inlineStr">
        <is>
          <t>라베나 리커버리 15 리바이탈 바이오플라보노이드샴푸 [HAIR RÉ:COVERY 15 Revital Shampoo]제품선택=리바이탈 샴푸 3개 세트 10% 추가할인</t>
        </is>
      </c>
      <c r="H1671" s="9" t="n">
        <v>14</v>
      </c>
      <c r="I1671" s="9" t="inlineStr">
        <is>
          <t>리바이탈 샴푸 3set</t>
        </is>
      </c>
      <c r="J1671" s="9" t="inlineStr">
        <is>
          <t>210201</t>
        </is>
      </c>
      <c r="L1671" s="9" t="n">
        <v>1016820</v>
      </c>
      <c r="M1671" s="9" t="n">
        <v>957336.03</v>
      </c>
      <c r="N1671" s="9" t="n">
        <v>120330</v>
      </c>
      <c r="O1671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672">
      <c r="B1672" s="10" t="n">
        <v>44267</v>
      </c>
      <c r="C1672" s="9" t="inlineStr">
        <is>
          <t>금</t>
        </is>
      </c>
      <c r="E1672" s="9" t="inlineStr">
        <is>
          <t>트리트먼트</t>
        </is>
      </c>
      <c r="F1672" s="9" t="inlineStr">
        <is>
          <t>카페24</t>
        </is>
      </c>
      <c r="G1672" s="9" t="inlineStr">
        <is>
          <t>라베나 리커버리 15 헤어팩 트리트먼트 [HAIR RÉ:COVERY 15 Hairpack Treatment]제품선택=헤어 리커버리 15 헤어팩 트리트먼트</t>
        </is>
      </c>
      <c r="H1672" s="9" t="n">
        <v>2</v>
      </c>
      <c r="I1672" s="9" t="inlineStr">
        <is>
          <t>트리트먼트</t>
        </is>
      </c>
      <c r="J1672" s="9" t="inlineStr">
        <is>
          <t>210201</t>
        </is>
      </c>
      <c r="L1672" s="9" t="n">
        <v>52000</v>
      </c>
      <c r="M1672" s="9" t="n">
        <v>48958</v>
      </c>
      <c r="N1672" s="9" t="n">
        <v>3194</v>
      </c>
      <c r="O1672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673">
      <c r="B1673" s="10" t="n">
        <v>44267</v>
      </c>
      <c r="C1673" s="9" t="inlineStr">
        <is>
          <t>금</t>
        </is>
      </c>
      <c r="E1673" s="9" t="inlineStr">
        <is>
          <t>트리트먼트</t>
        </is>
      </c>
      <c r="F1673" s="9" t="inlineStr">
        <is>
          <t>카페24</t>
        </is>
      </c>
      <c r="G1673" s="9" t="inlineStr">
        <is>
          <t>라베나 리커버리 15 헤어팩 트리트먼트 [HAIR RÉ:COVERY 15 Hairpack Treatment]제품선택=헤어팩 트리트먼트 2개 세트 5% 추가할인</t>
        </is>
      </c>
      <c r="H1673" s="9" t="n">
        <v>2</v>
      </c>
      <c r="I1673" s="9" t="inlineStr">
        <is>
          <t>트리트먼트 2set</t>
        </is>
      </c>
      <c r="J1673" s="9" t="inlineStr">
        <is>
          <t>210201</t>
        </is>
      </c>
      <c r="L1673" s="9" t="n">
        <v>98800</v>
      </c>
      <c r="M1673" s="9" t="n">
        <v>93020.2</v>
      </c>
      <c r="N1673" s="9" t="n">
        <v>6388</v>
      </c>
      <c r="O1673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674">
      <c r="B1674" s="10" t="n">
        <v>44268</v>
      </c>
      <c r="C1674" s="9" t="inlineStr">
        <is>
          <t>토</t>
        </is>
      </c>
      <c r="E1674" s="9" t="inlineStr">
        <is>
          <t>뉴트리셔스밤</t>
        </is>
      </c>
      <c r="F1674" s="9" t="inlineStr">
        <is>
          <t>카페24</t>
        </is>
      </c>
      <c r="G1674" s="9" t="inlineStr">
        <is>
          <t>라베나 리커버리 15 뉴트리셔스 밤 [HAIR RÉ:COVERY 15 Nutritious Balm]제품선택=헤어 리커버리 15 뉴트리셔스 밤</t>
        </is>
      </c>
      <c r="H1674" s="9" t="n">
        <v>4</v>
      </c>
      <c r="I1674" s="9" t="inlineStr">
        <is>
          <t>뉴트리셔스밤</t>
        </is>
      </c>
      <c r="J1674" s="9" t="inlineStr">
        <is>
          <t>210201</t>
        </is>
      </c>
      <c r="L1674" s="9" t="n">
        <v>99600</v>
      </c>
      <c r="M1674" s="9" t="n">
        <v>93773.39999999999</v>
      </c>
      <c r="N1674" s="9" t="n">
        <v>6320</v>
      </c>
      <c r="O1674" s="9" t="inlineStr">
        <is>
          <t>카페24뉴트리셔스밤라베나 리커버리 15 뉴트리셔스 밤 [HAIR RÉ:COVERY 15 Nutritious Balm]제품선택=헤어 리커버리 15 뉴트리셔스 밤210201</t>
        </is>
      </c>
    </row>
    <row r="1675">
      <c r="B1675" s="10" t="n">
        <v>44268</v>
      </c>
      <c r="C1675" s="9" t="inlineStr">
        <is>
          <t>토</t>
        </is>
      </c>
      <c r="E1675" s="9" t="inlineStr">
        <is>
          <t>뉴트리셔스밤</t>
        </is>
      </c>
      <c r="F1675" s="9" t="inlineStr">
        <is>
          <t>카페24</t>
        </is>
      </c>
      <c r="G1675" s="9" t="inlineStr">
        <is>
          <t>라베나 리커버리 15 뉴트리셔스 밤 [HAIR RÉ:COVERY 15 Nutritious Balm]제품선택=뉴트리셔스 밤 2개 세트 5% 추가할인</t>
        </is>
      </c>
      <c r="H1675" s="9" t="n">
        <v>1</v>
      </c>
      <c r="I1675" s="9" t="inlineStr">
        <is>
          <t>뉴트리셔스밤 2set</t>
        </is>
      </c>
      <c r="J1675" s="9" t="inlineStr">
        <is>
          <t>210201</t>
        </is>
      </c>
      <c r="L1675" s="9" t="n">
        <v>47310</v>
      </c>
      <c r="M1675" s="9" t="n">
        <v>44542.365</v>
      </c>
      <c r="N1675" s="9" t="n">
        <v>3160</v>
      </c>
      <c r="O1675" s="9" t="inlineStr">
        <is>
          <t>카페24뉴트리셔스밤라베나 리커버리 15 뉴트리셔스 밤 [HAIR RÉ:COVERY 15 Nutritious Balm]제품선택=뉴트리셔스 밤 2개 세트 5% 추가할인210201</t>
        </is>
      </c>
    </row>
    <row r="1676">
      <c r="B1676" s="10" t="n">
        <v>44268</v>
      </c>
      <c r="C1676" s="9" t="inlineStr">
        <is>
          <t>토</t>
        </is>
      </c>
      <c r="E1676" s="9" t="inlineStr">
        <is>
          <t>샴푸</t>
        </is>
      </c>
      <c r="F1676" s="9" t="inlineStr">
        <is>
          <t>카페24</t>
        </is>
      </c>
      <c r="G1676" s="9" t="inlineStr">
        <is>
          <t>라베나 리커버리 15 리바이탈 바이오플라보노이드샴푸 [HAIR RÉ:COVERY 15 Revital Shampoo]제품선택=헤어 리커버리 15 리바이탈 샴푸 - 500ml</t>
        </is>
      </c>
      <c r="H1676" s="9" t="n">
        <v>110</v>
      </c>
      <c r="I1676" s="9" t="inlineStr">
        <is>
          <t>리바이탈 샴푸</t>
        </is>
      </c>
      <c r="J1676" s="9" t="inlineStr">
        <is>
          <t>210201</t>
        </is>
      </c>
      <c r="L1676" s="9" t="n">
        <v>2959000</v>
      </c>
      <c r="M1676" s="9" t="n">
        <v>2785898.5</v>
      </c>
      <c r="N1676" s="9" t="n">
        <v>315150</v>
      </c>
      <c r="O167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677">
      <c r="B1677" s="10" t="n">
        <v>44268</v>
      </c>
      <c r="C1677" s="9" t="inlineStr">
        <is>
          <t>토</t>
        </is>
      </c>
      <c r="E1677" s="9" t="inlineStr">
        <is>
          <t>샴푸</t>
        </is>
      </c>
      <c r="F1677" s="9" t="inlineStr">
        <is>
          <t>카페24</t>
        </is>
      </c>
      <c r="G1677" s="9" t="inlineStr">
        <is>
          <t>라베나 리커버리 15 리바이탈 바이오플라보노이드샴푸 [HAIR RÉ:COVERY 15 Revital Shampoo]제품선택=리바이탈 샴푸 2개 세트 5%추가할인</t>
        </is>
      </c>
      <c r="H1677" s="9" t="n">
        <v>36</v>
      </c>
      <c r="I1677" s="9" t="inlineStr">
        <is>
          <t>리바이탈 샴푸 2set</t>
        </is>
      </c>
      <c r="J1677" s="9" t="inlineStr">
        <is>
          <t>210201</t>
        </is>
      </c>
      <c r="L1677" s="9" t="n">
        <v>1839960</v>
      </c>
      <c r="M1677" s="9" t="n">
        <v>1732322.34</v>
      </c>
      <c r="N1677" s="9" t="n">
        <v>206280</v>
      </c>
      <c r="O167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678">
      <c r="B1678" s="10" t="n">
        <v>44268</v>
      </c>
      <c r="C1678" s="9" t="inlineStr">
        <is>
          <t>토</t>
        </is>
      </c>
      <c r="E1678" s="9" t="inlineStr">
        <is>
          <t>샴푸</t>
        </is>
      </c>
      <c r="F1678" s="9" t="inlineStr">
        <is>
          <t>카페24</t>
        </is>
      </c>
      <c r="G1678" s="9" t="inlineStr">
        <is>
          <t>라베나 리커버리 15 리바이탈 바이오플라보노이드샴푸 [HAIR RÉ:COVERY 15 Revital Shampoo]제품선택=리바이탈 샴푸 3개 세트 10% 추가할인</t>
        </is>
      </c>
      <c r="H1678" s="9" t="n">
        <v>15</v>
      </c>
      <c r="I1678" s="9" t="inlineStr">
        <is>
          <t>리바이탈 샴푸 3set</t>
        </is>
      </c>
      <c r="J1678" s="9" t="inlineStr">
        <is>
          <t>210201</t>
        </is>
      </c>
      <c r="L1678" s="9" t="n">
        <v>1089450</v>
      </c>
      <c r="M1678" s="9" t="n">
        <v>1025717.175</v>
      </c>
      <c r="N1678" s="9" t="n">
        <v>128925</v>
      </c>
      <c r="O167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679">
      <c r="B1679" s="10" t="n">
        <v>44268</v>
      </c>
      <c r="C1679" s="9" t="inlineStr">
        <is>
          <t>토</t>
        </is>
      </c>
      <c r="E1679" s="9" t="inlineStr">
        <is>
          <t>트리트먼트</t>
        </is>
      </c>
      <c r="F1679" s="9" t="inlineStr">
        <is>
          <t>카페24</t>
        </is>
      </c>
      <c r="G1679" s="9" t="inlineStr">
        <is>
          <t>라베나 리커버리 15 헤어팩 트리트먼트 [HAIR RÉ:COVERY 15 Hairpack Treatment]제품선택=헤어 리커버리 15 헤어팩 트리트먼트</t>
        </is>
      </c>
      <c r="H1679" s="9" t="n">
        <v>5</v>
      </c>
      <c r="I1679" s="9" t="inlineStr">
        <is>
          <t>트리트먼트</t>
        </is>
      </c>
      <c r="J1679" s="9" t="inlineStr">
        <is>
          <t>210201</t>
        </is>
      </c>
      <c r="L1679" s="9" t="n">
        <v>130000</v>
      </c>
      <c r="M1679" s="9" t="n">
        <v>122395</v>
      </c>
      <c r="N1679" s="9" t="n">
        <v>7985</v>
      </c>
      <c r="O167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680">
      <c r="B1680" s="10" t="n">
        <v>44269</v>
      </c>
      <c r="C1680" s="9" t="inlineStr">
        <is>
          <t>일</t>
        </is>
      </c>
      <c r="E1680" s="9" t="inlineStr">
        <is>
          <t>뉴트리셔스밤</t>
        </is>
      </c>
      <c r="F1680" s="9" t="inlineStr">
        <is>
          <t>카페24</t>
        </is>
      </c>
      <c r="G1680" s="9" t="inlineStr">
        <is>
          <t>라베나 리커버리 15 뉴트리셔스 밤 [HAIR RÉ:COVERY 15 Nutritious Balm]제품선택=헤어 리커버리 15 뉴트리셔스 밤</t>
        </is>
      </c>
      <c r="H1680" s="9" t="n">
        <v>1</v>
      </c>
      <c r="I1680" s="9" t="inlineStr">
        <is>
          <t>뉴트리셔스밤</t>
        </is>
      </c>
      <c r="J1680" s="9" t="inlineStr">
        <is>
          <t>210201</t>
        </is>
      </c>
      <c r="L1680" s="9" t="n">
        <v>24900</v>
      </c>
      <c r="M1680" s="9" t="n">
        <v>23443.35</v>
      </c>
      <c r="N1680" s="9" t="n">
        <v>1580</v>
      </c>
      <c r="O1680" s="9" t="inlineStr">
        <is>
          <t>카페24뉴트리셔스밤라베나 리커버리 15 뉴트리셔스 밤 [HAIR RÉ:COVERY 15 Nutritious Balm]제품선택=헤어 리커버리 15 뉴트리셔스 밤210201</t>
        </is>
      </c>
    </row>
    <row r="1681">
      <c r="B1681" s="10" t="n">
        <v>44269</v>
      </c>
      <c r="C1681" s="9" t="inlineStr">
        <is>
          <t>일</t>
        </is>
      </c>
      <c r="E1681" s="9" t="inlineStr">
        <is>
          <t>뉴트리셔스밤</t>
        </is>
      </c>
      <c r="F1681" s="9" t="inlineStr">
        <is>
          <t>카페24</t>
        </is>
      </c>
      <c r="G1681" s="9" t="inlineStr">
        <is>
          <t>라베나 리커버리 15 뉴트리셔스 밤 [HAIR RÉ:COVERY 15 Nutritious Balm]제품선택=뉴트리셔스 밤 2개 세트 5% 추가할인</t>
        </is>
      </c>
      <c r="H1681" s="9" t="n">
        <v>1</v>
      </c>
      <c r="I1681" s="9" t="inlineStr">
        <is>
          <t>뉴트리셔스밤 2set</t>
        </is>
      </c>
      <c r="J1681" s="9" t="inlineStr">
        <is>
          <t>210201</t>
        </is>
      </c>
      <c r="L1681" s="9" t="n">
        <v>47310</v>
      </c>
      <c r="M1681" s="9" t="n">
        <v>44542.365</v>
      </c>
      <c r="N1681" s="9" t="n">
        <v>3160</v>
      </c>
      <c r="O1681" s="9" t="inlineStr">
        <is>
          <t>카페24뉴트리셔스밤라베나 리커버리 15 뉴트리셔스 밤 [HAIR RÉ:COVERY 15 Nutritious Balm]제품선택=뉴트리셔스 밤 2개 세트 5% 추가할인210201</t>
        </is>
      </c>
    </row>
    <row r="1682">
      <c r="B1682" s="10" t="n">
        <v>44269</v>
      </c>
      <c r="C1682" s="9" t="inlineStr">
        <is>
          <t>일</t>
        </is>
      </c>
      <c r="E1682" s="9" t="inlineStr">
        <is>
          <t>뉴트리셔스밤</t>
        </is>
      </c>
      <c r="F1682" s="9" t="inlineStr">
        <is>
          <t>카페24</t>
        </is>
      </c>
      <c r="G1682" s="9" t="inlineStr">
        <is>
          <t>라베나 리커버리 15 뉴트리셔스 밤 [HAIR RÉ:COVERY 15 Nutritious Balm]제품선택=뉴트리셔스밤 1개 + 헤어팩 트리트먼트 1개 세트 5%추가할인</t>
        </is>
      </c>
      <c r="H1682" s="9" t="n">
        <v>1</v>
      </c>
      <c r="I1682" s="9" t="inlineStr">
        <is>
          <t>트리트먼트+뉴트리셔스밤</t>
        </is>
      </c>
      <c r="J1682" s="9" t="inlineStr">
        <is>
          <t>210201</t>
        </is>
      </c>
      <c r="L1682" s="9" t="n">
        <v>48355</v>
      </c>
      <c r="M1682" s="9" t="n">
        <v>45526.2325</v>
      </c>
      <c r="N1682" s="9" t="n">
        <v>3177</v>
      </c>
      <c r="O1682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683">
      <c r="B1683" s="10" t="n">
        <v>44269</v>
      </c>
      <c r="C1683" s="9" t="inlineStr">
        <is>
          <t>일</t>
        </is>
      </c>
      <c r="E1683" s="9" t="inlineStr">
        <is>
          <t>샴푸</t>
        </is>
      </c>
      <c r="F1683" s="9" t="inlineStr">
        <is>
          <t>카페24</t>
        </is>
      </c>
      <c r="G1683" s="9" t="inlineStr">
        <is>
          <t>라베나 리커버리 15 리바이탈 바이오플라보노이드샴푸 [HAIR RÉ:COVERY 15 Revital Shampoo]제품선택=헤어 리커버리 15 리바이탈 샴푸 - 500ml</t>
        </is>
      </c>
      <c r="H1683" s="9" t="n">
        <v>201</v>
      </c>
      <c r="I1683" s="9" t="inlineStr">
        <is>
          <t>리바이탈 샴푸</t>
        </is>
      </c>
      <c r="J1683" s="9" t="inlineStr">
        <is>
          <t>210201</t>
        </is>
      </c>
      <c r="L1683" s="9" t="n">
        <v>5406900</v>
      </c>
      <c r="M1683" s="9" t="n">
        <v>5090596.35</v>
      </c>
      <c r="N1683" s="9" t="n">
        <v>575865</v>
      </c>
      <c r="O168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684">
      <c r="B1684" s="10" t="n">
        <v>44269</v>
      </c>
      <c r="C1684" s="9" t="inlineStr">
        <is>
          <t>일</t>
        </is>
      </c>
      <c r="E1684" s="9" t="inlineStr">
        <is>
          <t>샴푸</t>
        </is>
      </c>
      <c r="F1684" s="9" t="inlineStr">
        <is>
          <t>카페24</t>
        </is>
      </c>
      <c r="G1684" s="9" t="inlineStr">
        <is>
          <t>라베나 리커버리 15 리바이탈 바이오플라보노이드샴푸 [HAIR RÉ:COVERY 15 Revital Shampoo]제품선택=리바이탈 샴푸 2개 세트 5%추가할인</t>
        </is>
      </c>
      <c r="H1684" s="9" t="n">
        <v>64</v>
      </c>
      <c r="I1684" s="9" t="inlineStr">
        <is>
          <t>리바이탈 샴푸 2set</t>
        </is>
      </c>
      <c r="J1684" s="9" t="inlineStr">
        <is>
          <t>210201</t>
        </is>
      </c>
      <c r="L1684" s="9" t="n">
        <v>3271040</v>
      </c>
      <c r="M1684" s="9" t="n">
        <v>3079684.16</v>
      </c>
      <c r="N1684" s="9" t="n">
        <v>366720</v>
      </c>
      <c r="O168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685">
      <c r="B1685" s="10" t="n">
        <v>44269</v>
      </c>
      <c r="C1685" s="9" t="inlineStr">
        <is>
          <t>일</t>
        </is>
      </c>
      <c r="E1685" s="9" t="inlineStr">
        <is>
          <t>샴푸</t>
        </is>
      </c>
      <c r="F1685" s="9" t="inlineStr">
        <is>
          <t>카페24</t>
        </is>
      </c>
      <c r="G1685" s="9" t="inlineStr">
        <is>
          <t>라베나 리커버리 15 리바이탈 바이오플라보노이드샴푸 [HAIR RÉ:COVERY 15 Revital Shampoo]제품선택=리바이탈 샴푸 3개 세트 10% 추가할인</t>
        </is>
      </c>
      <c r="H1685" s="9" t="n">
        <v>18</v>
      </c>
      <c r="I1685" s="9" t="inlineStr">
        <is>
          <t>리바이탈 샴푸 3set</t>
        </is>
      </c>
      <c r="J1685" s="9" t="inlineStr">
        <is>
          <t>210201</t>
        </is>
      </c>
      <c r="L1685" s="9" t="n">
        <v>1307340</v>
      </c>
      <c r="M1685" s="9" t="n">
        <v>1230860.61</v>
      </c>
      <c r="N1685" s="9" t="n">
        <v>154710</v>
      </c>
      <c r="O168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686">
      <c r="B1686" s="10" t="n">
        <v>44269</v>
      </c>
      <c r="C1686" s="9" t="inlineStr">
        <is>
          <t>일</t>
        </is>
      </c>
      <c r="E1686" s="9" t="inlineStr">
        <is>
          <t>트리트먼트</t>
        </is>
      </c>
      <c r="F1686" s="9" t="inlineStr">
        <is>
          <t>카페24</t>
        </is>
      </c>
      <c r="G1686" s="9" t="inlineStr">
        <is>
          <t>라베나 리커버리 15 헤어팩 트리트먼트 [HAIR RÉ:COVERY 15 Hairpack Treatment]제품선택=헤어 리커버리 15 헤어팩 트리트먼트</t>
        </is>
      </c>
      <c r="H1686" s="9" t="n">
        <v>1</v>
      </c>
      <c r="I1686" s="9" t="inlineStr">
        <is>
          <t>트리트먼트</t>
        </is>
      </c>
      <c r="J1686" s="9" t="inlineStr">
        <is>
          <t>210201</t>
        </is>
      </c>
      <c r="L1686" s="9" t="n">
        <v>26000</v>
      </c>
      <c r="M1686" s="9" t="n">
        <v>24479</v>
      </c>
      <c r="N1686" s="9" t="n">
        <v>1597</v>
      </c>
      <c r="O168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687">
      <c r="B1687" s="10" t="n">
        <v>44269</v>
      </c>
      <c r="C1687" s="9" t="inlineStr">
        <is>
          <t>일</t>
        </is>
      </c>
      <c r="E1687" s="9" t="inlineStr">
        <is>
          <t>트리트먼트</t>
        </is>
      </c>
      <c r="F1687" s="9" t="inlineStr">
        <is>
          <t>카페24</t>
        </is>
      </c>
      <c r="G1687" s="9" t="inlineStr">
        <is>
          <t>라베나 리커버리 15 헤어팩 트리트먼트 [HAIR RÉ:COVERY 15 Hairpack Treatment]제품선택=헤어팩 트리트먼트 2개 세트 5% 추가할인</t>
        </is>
      </c>
      <c r="H1687" s="9" t="n">
        <v>4</v>
      </c>
      <c r="I1687" s="9" t="inlineStr">
        <is>
          <t>트리트먼트 2set</t>
        </is>
      </c>
      <c r="J1687" s="9" t="inlineStr">
        <is>
          <t>210201</t>
        </is>
      </c>
      <c r="L1687" s="9" t="n">
        <v>197600</v>
      </c>
      <c r="M1687" s="9" t="n">
        <v>186040.4</v>
      </c>
      <c r="N1687" s="9" t="n">
        <v>12776</v>
      </c>
      <c r="O168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688">
      <c r="B1688" s="10" t="n">
        <v>44269</v>
      </c>
      <c r="C1688" s="9" t="inlineStr">
        <is>
          <t>일</t>
        </is>
      </c>
      <c r="E1688" s="9" t="inlineStr">
        <is>
          <t>트리트먼트</t>
        </is>
      </c>
      <c r="F1688" s="9" t="inlineStr">
        <is>
          <t>카페24</t>
        </is>
      </c>
      <c r="G1688" s="9" t="inlineStr">
        <is>
          <t>라베나 리커버리 15 헤어팩 트리트먼트 [HAIR RÉ:COVERY 15 Hairpack Treatment]제품선택=헤어팩 트리트먼트 1개 + 뉴트리셔스밤 1개 세트 5% 추가할인</t>
        </is>
      </c>
      <c r="H1688" s="9" t="n">
        <v>2</v>
      </c>
      <c r="I1688" s="9" t="inlineStr">
        <is>
          <t>트리트먼트+뉴트리셔스밤</t>
        </is>
      </c>
      <c r="J1688" s="9" t="inlineStr">
        <is>
          <t>210201</t>
        </is>
      </c>
      <c r="L1688" s="9" t="n">
        <v>96710</v>
      </c>
      <c r="M1688" s="9" t="n">
        <v>91052.465</v>
      </c>
      <c r="N1688" s="9" t="n">
        <v>6354</v>
      </c>
      <c r="O1688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689">
      <c r="A1689" s="9" t="inlineStr">
        <is>
          <t>현빈임시테스트</t>
        </is>
      </c>
      <c r="B1689" s="10" t="n">
        <v>44270</v>
      </c>
      <c r="C1689" s="9" t="inlineStr">
        <is>
          <t>월</t>
        </is>
      </c>
      <c r="D1689" s="9" t="inlineStr">
        <is>
          <t>페이스북</t>
        </is>
      </c>
      <c r="E1689" s="9" t="inlineStr">
        <is>
          <t>샴푸</t>
        </is>
      </c>
      <c r="K1689" s="9" t="n">
        <v>48591</v>
      </c>
    </row>
    <row r="1690">
      <c r="A1690" s="9" t="inlineStr">
        <is>
          <t>1201~단장키워드테스트</t>
        </is>
      </c>
      <c r="B1690" s="10" t="n">
        <v>44270</v>
      </c>
      <c r="C1690" s="9" t="inlineStr">
        <is>
          <t>월</t>
        </is>
      </c>
      <c r="D1690" s="9" t="inlineStr">
        <is>
          <t>페이스북</t>
        </is>
      </c>
      <c r="E1690" s="9" t="inlineStr">
        <is>
          <t>샴푸</t>
        </is>
      </c>
      <c r="K1690" s="9" t="n">
        <v>47879</v>
      </c>
    </row>
    <row r="1691">
      <c r="A1691" s="9" t="inlineStr">
        <is>
          <t>11/13 키워드 탐색</t>
        </is>
      </c>
      <c r="B1691" s="10" t="n">
        <v>44270</v>
      </c>
      <c r="C1691" s="9" t="inlineStr">
        <is>
          <t>월</t>
        </is>
      </c>
      <c r="D1691" s="9" t="inlineStr">
        <is>
          <t>페이스북</t>
        </is>
      </c>
      <c r="E1691" s="9" t="inlineStr">
        <is>
          <t>샴푸</t>
        </is>
      </c>
      <c r="K1691" s="9" t="n">
        <v>47957</v>
      </c>
    </row>
    <row r="1692">
      <c r="A1692" s="9" t="inlineStr">
        <is>
          <t>0127_GDN_비듬샴푸_잠재고객</t>
        </is>
      </c>
      <c r="B1692" s="10" t="n">
        <v>44270</v>
      </c>
      <c r="C1692" s="9" t="inlineStr">
        <is>
          <t>월</t>
        </is>
      </c>
      <c r="D1692" s="9" t="inlineStr">
        <is>
          <t>GDN</t>
        </is>
      </c>
      <c r="E1692" s="9" t="inlineStr">
        <is>
          <t>샴푸</t>
        </is>
      </c>
      <c r="K1692" s="9" t="n">
        <v>104443</v>
      </c>
    </row>
    <row r="1693">
      <c r="A1693" s="9" t="inlineStr">
        <is>
          <t>0303_샴푸_인스트림_동영상전환수</t>
        </is>
      </c>
      <c r="B1693" s="10" t="n">
        <v>44270</v>
      </c>
      <c r="C1693" s="9" t="inlineStr">
        <is>
          <t>월</t>
        </is>
      </c>
      <c r="D1693" s="9" t="inlineStr">
        <is>
          <t>유튜브</t>
        </is>
      </c>
      <c r="E1693" s="9" t="inlineStr">
        <is>
          <t>샴푸</t>
        </is>
      </c>
      <c r="K1693" s="9" t="n">
        <v>3327785</v>
      </c>
    </row>
    <row r="1694">
      <c r="A1694" s="9" t="inlineStr">
        <is>
          <t>0312_샴푸_3차_재업</t>
        </is>
      </c>
      <c r="B1694" s="10" t="n">
        <v>44270</v>
      </c>
      <c r="C1694" s="9" t="inlineStr">
        <is>
          <t>월</t>
        </is>
      </c>
      <c r="D1694" s="9" t="inlineStr">
        <is>
          <t>유튜브</t>
        </is>
      </c>
      <c r="E1694" s="9" t="inlineStr">
        <is>
          <t>샴푸</t>
        </is>
      </c>
      <c r="K1694" s="9" t="n">
        <v>241445</v>
      </c>
    </row>
    <row r="1695">
      <c r="A1695" s="9" t="inlineStr">
        <is>
          <t>0315_샴푸_비듬똥균_영상변경</t>
        </is>
      </c>
      <c r="B1695" s="10" t="n">
        <v>44270</v>
      </c>
      <c r="C1695" s="9" t="inlineStr">
        <is>
          <t>월</t>
        </is>
      </c>
      <c r="D1695" s="9" t="inlineStr">
        <is>
          <t>유튜브</t>
        </is>
      </c>
      <c r="E1695" s="9" t="inlineStr">
        <is>
          <t>샴푸</t>
        </is>
      </c>
      <c r="K1695" s="9" t="n">
        <v>27821</v>
      </c>
    </row>
    <row r="1696">
      <c r="A1696" s="9" t="inlineStr">
        <is>
          <t>라베나 파워링크_샴푸_광고그룹#1</t>
        </is>
      </c>
      <c r="B1696" s="10" t="n">
        <v>44270</v>
      </c>
      <c r="C1696" s="9" t="inlineStr">
        <is>
          <t>월</t>
        </is>
      </c>
      <c r="D1696" s="9" t="inlineStr">
        <is>
          <t>네이버 검색</t>
        </is>
      </c>
      <c r="E1696" s="9" t="inlineStr">
        <is>
          <t>샴푸</t>
        </is>
      </c>
      <c r="K1696" s="9" t="n">
        <v>1890</v>
      </c>
    </row>
    <row r="1697">
      <c r="A1697" s="9" t="inlineStr">
        <is>
          <t>라베나 파워링크_샴푸#1_유튜브키워드기반</t>
        </is>
      </c>
      <c r="B1697" s="10" t="n">
        <v>44270</v>
      </c>
      <c r="C1697" s="9" t="inlineStr">
        <is>
          <t>월</t>
        </is>
      </c>
      <c r="D1697" s="9" t="inlineStr">
        <is>
          <t>네이버 검색</t>
        </is>
      </c>
      <c r="E1697" s="9" t="inlineStr">
        <is>
          <t>샴푸</t>
        </is>
      </c>
      <c r="K1697" s="9" t="n">
        <v>34170</v>
      </c>
    </row>
    <row r="1698">
      <c r="A1698" s="9" t="inlineStr">
        <is>
          <t>샴푸_쇼핑검색#1_광고그룹#1</t>
        </is>
      </c>
      <c r="B1698" s="10" t="n">
        <v>44270</v>
      </c>
      <c r="C1698" s="9" t="inlineStr">
        <is>
          <t>월</t>
        </is>
      </c>
      <c r="D1698" s="9" t="inlineStr">
        <is>
          <t>네이버 검색</t>
        </is>
      </c>
      <c r="E1698" s="9" t="inlineStr">
        <is>
          <t>샴푸</t>
        </is>
      </c>
      <c r="K1698" s="9" t="n">
        <v>3650</v>
      </c>
    </row>
    <row r="1699">
      <c r="A1699" s="9" t="inlineStr">
        <is>
          <t>파워컨텐츠#1_비듬샴푸</t>
        </is>
      </c>
      <c r="B1699" s="10" t="n">
        <v>44270</v>
      </c>
      <c r="C1699" s="9" t="inlineStr">
        <is>
          <t>월</t>
        </is>
      </c>
      <c r="D1699" s="9" t="inlineStr">
        <is>
          <t>네이버 검색</t>
        </is>
      </c>
      <c r="E1699" s="9" t="inlineStr">
        <is>
          <t>샴푸</t>
        </is>
      </c>
      <c r="K1699" s="9" t="n">
        <v>0</v>
      </c>
    </row>
    <row r="1700">
      <c r="B1700" s="10" t="n">
        <v>44270</v>
      </c>
      <c r="C1700" s="9" t="inlineStr">
        <is>
          <t>월</t>
        </is>
      </c>
      <c r="E1700" s="9" t="inlineStr">
        <is>
          <t>뉴트리셔스밤</t>
        </is>
      </c>
      <c r="F1700" s="9" t="inlineStr">
        <is>
          <t>카페24</t>
        </is>
      </c>
      <c r="G1700" s="9" t="inlineStr">
        <is>
          <t>라베나 리커버리 15 뉴트리셔스 밤 [HAIR RÉ:COVERY 15 Nutritious Balm]제품선택=헤어 리커버리 15 뉴트리셔스 밤</t>
        </is>
      </c>
      <c r="H1700" s="9" t="n">
        <v>1</v>
      </c>
      <c r="I1700" s="9" t="inlineStr">
        <is>
          <t>뉴트리셔스밤</t>
        </is>
      </c>
      <c r="J1700" s="9" t="inlineStr">
        <is>
          <t>210201</t>
        </is>
      </c>
      <c r="L1700" s="9" t="n">
        <v>24900</v>
      </c>
      <c r="M1700" s="9" t="n">
        <v>23443.35</v>
      </c>
      <c r="N1700" s="9" t="n">
        <v>1580</v>
      </c>
      <c r="O1700" s="9" t="inlineStr">
        <is>
          <t>카페24뉴트리셔스밤라베나 리커버리 15 뉴트리셔스 밤 [HAIR RÉ:COVERY 15 Nutritious Balm]제품선택=헤어 리커버리 15 뉴트리셔스 밤210201</t>
        </is>
      </c>
    </row>
    <row r="1701">
      <c r="B1701" s="10" t="n">
        <v>44270</v>
      </c>
      <c r="C1701" s="9" t="inlineStr">
        <is>
          <t>월</t>
        </is>
      </c>
      <c r="E1701" s="9" t="inlineStr">
        <is>
          <t>뉴트리셔스밤</t>
        </is>
      </c>
      <c r="F1701" s="9" t="inlineStr">
        <is>
          <t>카페24</t>
        </is>
      </c>
      <c r="G1701" s="9" t="inlineStr">
        <is>
          <t>라베나 리커버리 15 뉴트리셔스 밤 [HAIR RÉ:COVERY 15 Nutritious Balm]제품선택=뉴트리셔스 밤 2개 세트 5% 추가할인</t>
        </is>
      </c>
      <c r="H1701" s="9" t="n">
        <v>1</v>
      </c>
      <c r="I1701" s="9" t="inlineStr">
        <is>
          <t>뉴트리셔스밤 2set</t>
        </is>
      </c>
      <c r="J1701" s="9" t="inlineStr">
        <is>
          <t>210201</t>
        </is>
      </c>
      <c r="L1701" s="9" t="n">
        <v>47310</v>
      </c>
      <c r="M1701" s="9" t="n">
        <v>44542.365</v>
      </c>
      <c r="N1701" s="9" t="n">
        <v>3160</v>
      </c>
      <c r="O1701" s="9" t="inlineStr">
        <is>
          <t>카페24뉴트리셔스밤라베나 리커버리 15 뉴트리셔스 밤 [HAIR RÉ:COVERY 15 Nutritious Balm]제품선택=뉴트리셔스 밤 2개 세트 5% 추가할인210201</t>
        </is>
      </c>
    </row>
    <row r="1702">
      <c r="B1702" s="10" t="n">
        <v>44270</v>
      </c>
      <c r="C1702" s="9" t="inlineStr">
        <is>
          <t>월</t>
        </is>
      </c>
      <c r="E1702" s="9" t="inlineStr">
        <is>
          <t>샴푸</t>
        </is>
      </c>
      <c r="F1702" s="9" t="inlineStr">
        <is>
          <t>카페24</t>
        </is>
      </c>
      <c r="G1702" s="9" t="inlineStr">
        <is>
          <t>라베나 리커버리 15 리바이탈 바이오플라보노이드샴푸 [HAIR RÉ:COVERY 15 Revital Shampoo]제품선택=헤어 리커버리 15 리바이탈 샴푸 - 500ml</t>
        </is>
      </c>
      <c r="H1702" s="9" t="n">
        <v>142</v>
      </c>
      <c r="I1702" s="9" t="inlineStr">
        <is>
          <t>리바이탈 샴푸</t>
        </is>
      </c>
      <c r="J1702" s="9" t="inlineStr">
        <is>
          <t>210201</t>
        </is>
      </c>
      <c r="L1702" s="9" t="n">
        <v>3819800</v>
      </c>
      <c r="M1702" s="9" t="n">
        <v>3596341.7</v>
      </c>
      <c r="N1702" s="9" t="n">
        <v>406830</v>
      </c>
      <c r="O170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703">
      <c r="B1703" s="10" t="n">
        <v>44270</v>
      </c>
      <c r="C1703" s="9" t="inlineStr">
        <is>
          <t>월</t>
        </is>
      </c>
      <c r="E1703" s="9" t="inlineStr">
        <is>
          <t>샴푸</t>
        </is>
      </c>
      <c r="F1703" s="9" t="inlineStr">
        <is>
          <t>카페24</t>
        </is>
      </c>
      <c r="G1703" s="9" t="inlineStr">
        <is>
          <t>라베나 리커버리 15 리바이탈 바이오플라보노이드샴푸 [HAIR RÉ:COVERY 15 Revital Shampoo]제품선택=리바이탈 샴푸 2개 세트 5%추가할인</t>
        </is>
      </c>
      <c r="H1703" s="9" t="n">
        <v>48</v>
      </c>
      <c r="I1703" s="9" t="inlineStr">
        <is>
          <t>리바이탈 샴푸 2set</t>
        </is>
      </c>
      <c r="J1703" s="9" t="inlineStr">
        <is>
          <t>210201</t>
        </is>
      </c>
      <c r="L1703" s="9" t="n">
        <v>2453280</v>
      </c>
      <c r="M1703" s="9" t="n">
        <v>2309763.12</v>
      </c>
      <c r="N1703" s="9" t="n">
        <v>275040</v>
      </c>
      <c r="O170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704">
      <c r="B1704" s="10" t="n">
        <v>44270</v>
      </c>
      <c r="C1704" s="9" t="inlineStr">
        <is>
          <t>월</t>
        </is>
      </c>
      <c r="E1704" s="9" t="inlineStr">
        <is>
          <t>샴푸</t>
        </is>
      </c>
      <c r="F1704" s="9" t="inlineStr">
        <is>
          <t>카페24</t>
        </is>
      </c>
      <c r="G1704" s="9" t="inlineStr">
        <is>
          <t>라베나 리커버리 15 리바이탈 바이오플라보노이드샴푸 [HAIR RÉ:COVERY 15 Revital Shampoo]제품선택=리바이탈 샴푸 3개 세트 10% 추가할인</t>
        </is>
      </c>
      <c r="H1704" s="9" t="n">
        <v>13</v>
      </c>
      <c r="I1704" s="9" t="inlineStr">
        <is>
          <t>리바이탈 샴푸 3set</t>
        </is>
      </c>
      <c r="J1704" s="9" t="inlineStr">
        <is>
          <t>210201</t>
        </is>
      </c>
      <c r="L1704" s="9" t="n">
        <v>944190</v>
      </c>
      <c r="M1704" s="9" t="n">
        <v>888954.885</v>
      </c>
      <c r="N1704" s="9" t="n">
        <v>111735</v>
      </c>
      <c r="O170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705">
      <c r="B1705" s="10" t="n">
        <v>44270</v>
      </c>
      <c r="C1705" s="9" t="inlineStr">
        <is>
          <t>월</t>
        </is>
      </c>
      <c r="E1705" s="9" t="inlineStr">
        <is>
          <t>트리트먼트</t>
        </is>
      </c>
      <c r="F1705" s="9" t="inlineStr">
        <is>
          <t>카페24</t>
        </is>
      </c>
      <c r="G1705" s="9" t="inlineStr">
        <is>
          <t>라베나 리커버리 15 헤어팩 트리트먼트 [HAIR RÉ:COVERY 15 Hairpack Treatment]제품선택=헤어 리커버리 15 헤어팩 트리트먼트</t>
        </is>
      </c>
      <c r="H1705" s="9" t="n">
        <v>6</v>
      </c>
      <c r="I1705" s="9" t="inlineStr">
        <is>
          <t>트리트먼트</t>
        </is>
      </c>
      <c r="J1705" s="9" t="inlineStr">
        <is>
          <t>210201</t>
        </is>
      </c>
      <c r="L1705" s="9" t="n">
        <v>156000</v>
      </c>
      <c r="M1705" s="9" t="n">
        <v>146874</v>
      </c>
      <c r="N1705" s="9" t="n">
        <v>9582</v>
      </c>
      <c r="O170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706">
      <c r="B1706" s="10" t="n">
        <v>44270</v>
      </c>
      <c r="C1706" s="9" t="inlineStr">
        <is>
          <t>월</t>
        </is>
      </c>
      <c r="E1706" s="9" t="inlineStr">
        <is>
          <t>트리트먼트</t>
        </is>
      </c>
      <c r="F1706" s="9" t="inlineStr">
        <is>
          <t>카페24</t>
        </is>
      </c>
      <c r="G1706" s="9" t="inlineStr">
        <is>
          <t>라베나 리커버리 15 헤어팩 트리트먼트 [HAIR RÉ:COVERY 15 Hairpack Treatment]제품선택=헤어팩 트리트먼트 2개 세트 5% 추가할인</t>
        </is>
      </c>
      <c r="H1706" s="9" t="n">
        <v>3</v>
      </c>
      <c r="I1706" s="9" t="inlineStr">
        <is>
          <t>트리트먼트 2set</t>
        </is>
      </c>
      <c r="J1706" s="9" t="inlineStr">
        <is>
          <t>210201</t>
        </is>
      </c>
      <c r="L1706" s="9" t="n">
        <v>148200</v>
      </c>
      <c r="M1706" s="9" t="n">
        <v>139530.3</v>
      </c>
      <c r="N1706" s="9" t="n">
        <v>9582</v>
      </c>
      <c r="O170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707">
      <c r="B1707" s="10" t="n">
        <v>44270</v>
      </c>
      <c r="C1707" s="9" t="inlineStr">
        <is>
          <t>월</t>
        </is>
      </c>
      <c r="E1707" s="9" t="inlineStr">
        <is>
          <t>트리트먼트</t>
        </is>
      </c>
      <c r="F1707" s="9" t="inlineStr">
        <is>
          <t>카페24</t>
        </is>
      </c>
      <c r="G1707" s="9" t="inlineStr">
        <is>
          <t>라베나 리커버리 15 헤어팩 트리트먼트 [HAIR RÉ:COVERY 15 Hairpack Treatment]제품선택=헤어팩 트리트먼트 1개 + 뉴트리셔스밤 1개 세트 5% 추가할인</t>
        </is>
      </c>
      <c r="H1707" s="9" t="n">
        <v>1</v>
      </c>
      <c r="I1707" s="9" t="inlineStr">
        <is>
          <t>트리트먼트+뉴트리셔스밤</t>
        </is>
      </c>
      <c r="J1707" s="9" t="inlineStr">
        <is>
          <t>210201</t>
        </is>
      </c>
      <c r="L1707" s="9" t="n">
        <v>48355</v>
      </c>
      <c r="M1707" s="9" t="n">
        <v>45526.2325</v>
      </c>
      <c r="N1707" s="9" t="n">
        <v>3177</v>
      </c>
      <c r="O1707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708">
      <c r="A1708" s="9" t="inlineStr">
        <is>
          <t>0316~영상베리</t>
        </is>
      </c>
      <c r="B1708" s="10" t="n">
        <v>44271</v>
      </c>
      <c r="C1708" s="9" t="inlineStr">
        <is>
          <t>화</t>
        </is>
      </c>
      <c r="D1708" s="9" t="inlineStr">
        <is>
          <t>페이스북</t>
        </is>
      </c>
      <c r="E1708" s="9" t="inlineStr">
        <is>
          <t>샴푸</t>
        </is>
      </c>
      <c r="K1708" s="9" t="n">
        <v>58296</v>
      </c>
    </row>
    <row r="1709">
      <c r="A1709" s="9" t="inlineStr">
        <is>
          <t>현빈임시테스트</t>
        </is>
      </c>
      <c r="B1709" s="10" t="n">
        <v>44271</v>
      </c>
      <c r="C1709" s="9" t="inlineStr">
        <is>
          <t>화</t>
        </is>
      </c>
      <c r="D1709" s="9" t="inlineStr">
        <is>
          <t>페이스북</t>
        </is>
      </c>
      <c r="E1709" s="9" t="inlineStr">
        <is>
          <t>샴푸</t>
        </is>
      </c>
      <c r="K1709" s="9" t="n">
        <v>48646</v>
      </c>
    </row>
    <row r="1710">
      <c r="A1710" s="9" t="inlineStr">
        <is>
          <t>1201~단장키워드테스트</t>
        </is>
      </c>
      <c r="B1710" s="10" t="n">
        <v>44271</v>
      </c>
      <c r="C1710" s="9" t="inlineStr">
        <is>
          <t>화</t>
        </is>
      </c>
      <c r="D1710" s="9" t="inlineStr">
        <is>
          <t>페이스북</t>
        </is>
      </c>
      <c r="E1710" s="9" t="inlineStr">
        <is>
          <t>샴푸</t>
        </is>
      </c>
      <c r="K1710" s="9" t="n">
        <v>49689</v>
      </c>
    </row>
    <row r="1711">
      <c r="A1711" s="9" t="inlineStr">
        <is>
          <t>11/13 키워드 탐색</t>
        </is>
      </c>
      <c r="B1711" s="10" t="n">
        <v>44271</v>
      </c>
      <c r="C1711" s="9" t="inlineStr">
        <is>
          <t>화</t>
        </is>
      </c>
      <c r="D1711" s="9" t="inlineStr">
        <is>
          <t>페이스북</t>
        </is>
      </c>
      <c r="E1711" s="9" t="inlineStr">
        <is>
          <t>샴푸</t>
        </is>
      </c>
      <c r="K1711" s="9" t="n">
        <v>50014</v>
      </c>
    </row>
    <row r="1712">
      <c r="A1712" s="9" t="inlineStr">
        <is>
          <t>0127_GDN_비듬샴푸_잠재고객</t>
        </is>
      </c>
      <c r="B1712" s="10" t="n">
        <v>44271</v>
      </c>
      <c r="C1712" s="9" t="inlineStr">
        <is>
          <t>화</t>
        </is>
      </c>
      <c r="D1712" s="9" t="inlineStr">
        <is>
          <t>GDN</t>
        </is>
      </c>
      <c r="E1712" s="9" t="inlineStr">
        <is>
          <t>샴푸</t>
        </is>
      </c>
      <c r="K1712" s="9" t="n">
        <v>174791</v>
      </c>
    </row>
    <row r="1713">
      <c r="A1713" s="9" t="inlineStr">
        <is>
          <t>0303_샴푸_인스트림_동영상전환수</t>
        </is>
      </c>
      <c r="B1713" s="10" t="n">
        <v>44271</v>
      </c>
      <c r="C1713" s="9" t="inlineStr">
        <is>
          <t>화</t>
        </is>
      </c>
      <c r="D1713" s="9" t="inlineStr">
        <is>
          <t>유튜브</t>
        </is>
      </c>
      <c r="E1713" s="9" t="inlineStr">
        <is>
          <t>샴푸</t>
        </is>
      </c>
      <c r="K1713" s="9" t="n">
        <v>4278316</v>
      </c>
    </row>
    <row r="1714">
      <c r="A1714" s="9" t="inlineStr">
        <is>
          <t>0312_샴푸_3차_재업</t>
        </is>
      </c>
      <c r="B1714" s="10" t="n">
        <v>44271</v>
      </c>
      <c r="C1714" s="9" t="inlineStr">
        <is>
          <t>화</t>
        </is>
      </c>
      <c r="D1714" s="9" t="inlineStr">
        <is>
          <t>유튜브</t>
        </is>
      </c>
      <c r="E1714" s="9" t="inlineStr">
        <is>
          <t>샴푸</t>
        </is>
      </c>
      <c r="K1714" s="9" t="n">
        <v>97042</v>
      </c>
    </row>
    <row r="1715">
      <c r="A1715" s="9" t="inlineStr">
        <is>
          <t>0315_샴푸_비듬똥균_영상변경</t>
        </is>
      </c>
      <c r="B1715" s="10" t="n">
        <v>44271</v>
      </c>
      <c r="C1715" s="9" t="inlineStr">
        <is>
          <t>화</t>
        </is>
      </c>
      <c r="D1715" s="9" t="inlineStr">
        <is>
          <t>유튜브</t>
        </is>
      </c>
      <c r="E1715" s="9" t="inlineStr">
        <is>
          <t>샴푸</t>
        </is>
      </c>
      <c r="K1715" s="9" t="n">
        <v>197306</v>
      </c>
    </row>
    <row r="1716">
      <c r="A1716" s="9" t="inlineStr">
        <is>
          <t>라베나 파워링크_샴푸_광고그룹#1</t>
        </is>
      </c>
      <c r="B1716" s="10" t="n">
        <v>44271</v>
      </c>
      <c r="C1716" s="9" t="inlineStr">
        <is>
          <t>화</t>
        </is>
      </c>
      <c r="D1716" s="9" t="inlineStr">
        <is>
          <t>네이버 검색</t>
        </is>
      </c>
      <c r="E1716" s="9" t="inlineStr">
        <is>
          <t>샴푸</t>
        </is>
      </c>
      <c r="K1716" s="9" t="n">
        <v>2250</v>
      </c>
    </row>
    <row r="1717">
      <c r="A1717" s="9" t="inlineStr">
        <is>
          <t>라베나 파워링크_샴푸#1_유튜브키워드기반</t>
        </is>
      </c>
      <c r="B1717" s="10" t="n">
        <v>44271</v>
      </c>
      <c r="C1717" s="9" t="inlineStr">
        <is>
          <t>화</t>
        </is>
      </c>
      <c r="D1717" s="9" t="inlineStr">
        <is>
          <t>네이버 검색</t>
        </is>
      </c>
      <c r="E1717" s="9" t="inlineStr">
        <is>
          <t>샴푸</t>
        </is>
      </c>
      <c r="K1717" s="9" t="n">
        <v>26160</v>
      </c>
    </row>
    <row r="1718">
      <c r="A1718" s="9" t="inlineStr">
        <is>
          <t>샴푸_쇼핑검색#1_광고그룹#1</t>
        </is>
      </c>
      <c r="B1718" s="10" t="n">
        <v>44271</v>
      </c>
      <c r="C1718" s="9" t="inlineStr">
        <is>
          <t>화</t>
        </is>
      </c>
      <c r="D1718" s="9" t="inlineStr">
        <is>
          <t>네이버 검색</t>
        </is>
      </c>
      <c r="E1718" s="9" t="inlineStr">
        <is>
          <t>샴푸</t>
        </is>
      </c>
      <c r="K1718" s="9" t="n">
        <v>7539.999999999999</v>
      </c>
    </row>
    <row r="1719">
      <c r="A1719" s="9" t="inlineStr">
        <is>
          <t>파워컨텐츠#1_비듬샴푸</t>
        </is>
      </c>
      <c r="B1719" s="10" t="n">
        <v>44271</v>
      </c>
      <c r="C1719" s="9" t="inlineStr">
        <is>
          <t>화</t>
        </is>
      </c>
      <c r="D1719" s="9" t="inlineStr">
        <is>
          <t>네이버 검색</t>
        </is>
      </c>
      <c r="E1719" s="9" t="inlineStr">
        <is>
          <t>샴푸</t>
        </is>
      </c>
      <c r="K1719" s="9" t="n">
        <v>0</v>
      </c>
    </row>
    <row r="1720">
      <c r="B1720" s="10" t="n">
        <v>44271</v>
      </c>
      <c r="C1720" s="9" t="inlineStr">
        <is>
          <t>화</t>
        </is>
      </c>
      <c r="E1720" s="9" t="inlineStr">
        <is>
          <t>뉴트리셔스밤</t>
        </is>
      </c>
      <c r="F1720" s="9" t="inlineStr">
        <is>
          <t>카페24</t>
        </is>
      </c>
      <c r="G1720" s="9" t="inlineStr">
        <is>
          <t>라베나 리커버리 15 뉴트리셔스 밤 [HAIR RÉ:COVERY 15 Nutritious Balm]제품선택=헤어 리커버리 15 뉴트리셔스 밤</t>
        </is>
      </c>
      <c r="H1720" s="9" t="n">
        <v>1</v>
      </c>
      <c r="I1720" s="9" t="inlineStr">
        <is>
          <t>뉴트리셔스밤</t>
        </is>
      </c>
      <c r="J1720" s="9" t="inlineStr">
        <is>
          <t>210201</t>
        </is>
      </c>
      <c r="L1720" s="9" t="n">
        <v>24900</v>
      </c>
      <c r="M1720" s="9" t="n">
        <v>23443.35</v>
      </c>
      <c r="N1720" s="9" t="n">
        <v>1580</v>
      </c>
      <c r="O1720" s="9" t="inlineStr">
        <is>
          <t>카페24뉴트리셔스밤라베나 리커버리 15 뉴트리셔스 밤 [HAIR RÉ:COVERY 15 Nutritious Balm]제품선택=헤어 리커버리 15 뉴트리셔스 밤210201</t>
        </is>
      </c>
    </row>
    <row r="1721">
      <c r="B1721" s="10" t="n">
        <v>44271</v>
      </c>
      <c r="C1721" s="9" t="inlineStr">
        <is>
          <t>화</t>
        </is>
      </c>
      <c r="E1721" s="9" t="inlineStr">
        <is>
          <t>뉴트리셔스밤</t>
        </is>
      </c>
      <c r="F1721" s="9" t="inlineStr">
        <is>
          <t>카페24</t>
        </is>
      </c>
      <c r="G1721" s="9" t="inlineStr">
        <is>
          <t>라베나 리커버리 15 뉴트리셔스 밤 [HAIR RÉ:COVERY 15 Nutritious Balm]제품선택=뉴트리셔스 밤 3개 세트 10% 추가할인</t>
        </is>
      </c>
      <c r="H1721" s="9" t="n">
        <v>1</v>
      </c>
      <c r="I1721" s="9" t="inlineStr">
        <is>
          <t>뉴트리셔스밤 3set</t>
        </is>
      </c>
      <c r="J1721" s="9" t="inlineStr">
        <is>
          <t>210201</t>
        </is>
      </c>
      <c r="L1721" s="9" t="n">
        <v>67230</v>
      </c>
      <c r="M1721" s="9" t="n">
        <v>63297.045</v>
      </c>
      <c r="N1721" s="9" t="n">
        <v>4740</v>
      </c>
      <c r="O1721" s="9" t="inlineStr">
        <is>
          <t>카페24뉴트리셔스밤라베나 리커버리 15 뉴트리셔스 밤 [HAIR RÉ:COVERY 15 Nutritious Balm]제품선택=뉴트리셔스 밤 3개 세트 10% 추가할인210201</t>
        </is>
      </c>
    </row>
    <row r="1722">
      <c r="B1722" s="10" t="n">
        <v>44271</v>
      </c>
      <c r="C1722" s="9" t="inlineStr">
        <is>
          <t>화</t>
        </is>
      </c>
      <c r="E1722" s="9" t="inlineStr">
        <is>
          <t>샴푸</t>
        </is>
      </c>
      <c r="F1722" s="9" t="inlineStr">
        <is>
          <t>카페24</t>
        </is>
      </c>
      <c r="G1722" s="9" t="inlineStr">
        <is>
          <t>라베나 리커버리 15 리바이탈 바이오플라보노이드샴푸 [HAIR RÉ:COVERY 15 Revital Shampoo]제품선택=헤어 리커버리 15 리바이탈 샴푸 - 500ml</t>
        </is>
      </c>
      <c r="H1722" s="9" t="n">
        <v>149</v>
      </c>
      <c r="I1722" s="9" t="inlineStr">
        <is>
          <t>리바이탈 샴푸</t>
        </is>
      </c>
      <c r="J1722" s="9" t="inlineStr">
        <is>
          <t>210201</t>
        </is>
      </c>
      <c r="L1722" s="9" t="n">
        <v>4008100</v>
      </c>
      <c r="M1722" s="9" t="n">
        <v>3773626.15</v>
      </c>
      <c r="N1722" s="9" t="n">
        <v>426885</v>
      </c>
      <c r="O172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723">
      <c r="B1723" s="10" t="n">
        <v>44271</v>
      </c>
      <c r="C1723" s="9" t="inlineStr">
        <is>
          <t>화</t>
        </is>
      </c>
      <c r="E1723" s="9" t="inlineStr">
        <is>
          <t>샴푸</t>
        </is>
      </c>
      <c r="F1723" s="9" t="inlineStr">
        <is>
          <t>카페24</t>
        </is>
      </c>
      <c r="G1723" s="9" t="inlineStr">
        <is>
          <t>라베나 리커버리 15 리바이탈 바이오플라보노이드샴푸 [HAIR RÉ:COVERY 15 Revital Shampoo]제품선택=리바이탈 샴푸 2개 세트 5%추가할인</t>
        </is>
      </c>
      <c r="H1723" s="9" t="n">
        <v>60</v>
      </c>
      <c r="I1723" s="9" t="inlineStr">
        <is>
          <t>리바이탈 샴푸 2set</t>
        </is>
      </c>
      <c r="J1723" s="9" t="inlineStr">
        <is>
          <t>210201</t>
        </is>
      </c>
      <c r="L1723" s="9" t="n">
        <v>3066600</v>
      </c>
      <c r="M1723" s="9" t="n">
        <v>2887203.9</v>
      </c>
      <c r="N1723" s="9" t="n">
        <v>343800</v>
      </c>
      <c r="O172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724">
      <c r="B1724" s="10" t="n">
        <v>44271</v>
      </c>
      <c r="C1724" s="9" t="inlineStr">
        <is>
          <t>화</t>
        </is>
      </c>
      <c r="E1724" s="9" t="inlineStr">
        <is>
          <t>샴푸</t>
        </is>
      </c>
      <c r="F1724" s="9" t="inlineStr">
        <is>
          <t>카페24</t>
        </is>
      </c>
      <c r="G1724" s="9" t="inlineStr">
        <is>
          <t>라베나 리커버리 15 리바이탈 바이오플라보노이드샴푸 [HAIR RÉ:COVERY 15 Revital Shampoo]제품선택=리바이탈 샴푸 3개 세트 10% 추가할인</t>
        </is>
      </c>
      <c r="H1724" s="9" t="n">
        <v>30</v>
      </c>
      <c r="I1724" s="9" t="inlineStr">
        <is>
          <t>리바이탈 샴푸 3set</t>
        </is>
      </c>
      <c r="J1724" s="9" t="inlineStr">
        <is>
          <t>210201</t>
        </is>
      </c>
      <c r="L1724" s="9" t="n">
        <v>2178900</v>
      </c>
      <c r="M1724" s="9" t="n">
        <v>2051434.35</v>
      </c>
      <c r="N1724" s="9" t="n">
        <v>257850</v>
      </c>
      <c r="O172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725">
      <c r="B1725" s="10" t="n">
        <v>44271</v>
      </c>
      <c r="C1725" s="9" t="inlineStr">
        <is>
          <t>화</t>
        </is>
      </c>
      <c r="E1725" s="9" t="inlineStr">
        <is>
          <t>트리트먼트</t>
        </is>
      </c>
      <c r="F1725" s="9" t="inlineStr">
        <is>
          <t>카페24</t>
        </is>
      </c>
      <c r="G1725" s="9" t="inlineStr">
        <is>
          <t>라베나 리커버리 15 헤어팩 트리트먼트 [HAIR RÉ:COVERY 15 Hairpack Treatment]제품선택=헤어 리커버리 15 헤어팩 트리트먼트</t>
        </is>
      </c>
      <c r="H1725" s="9" t="n">
        <v>6</v>
      </c>
      <c r="I1725" s="9" t="inlineStr">
        <is>
          <t>트리트먼트</t>
        </is>
      </c>
      <c r="J1725" s="9" t="inlineStr">
        <is>
          <t>210201</t>
        </is>
      </c>
      <c r="L1725" s="9" t="n">
        <v>156000</v>
      </c>
      <c r="M1725" s="9" t="n">
        <v>146874</v>
      </c>
      <c r="N1725" s="9" t="n">
        <v>9582</v>
      </c>
      <c r="O172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726">
      <c r="B1726" s="10" t="n">
        <v>44271</v>
      </c>
      <c r="C1726" s="9" t="inlineStr">
        <is>
          <t>화</t>
        </is>
      </c>
      <c r="E1726" s="9" t="inlineStr">
        <is>
          <t>트리트먼트</t>
        </is>
      </c>
      <c r="F1726" s="9" t="inlineStr">
        <is>
          <t>카페24</t>
        </is>
      </c>
      <c r="G1726" s="9" t="inlineStr">
        <is>
          <t>라베나 리커버리 15 헤어팩 트리트먼트 [HAIR RÉ:COVERY 15 Hairpack Treatment]제품선택=헤어팩 트리트먼트 2개 세트 5% 추가할인</t>
        </is>
      </c>
      <c r="H1726" s="9" t="n">
        <v>2</v>
      </c>
      <c r="I1726" s="9" t="inlineStr">
        <is>
          <t>트리트먼트 2set</t>
        </is>
      </c>
      <c r="J1726" s="9" t="inlineStr">
        <is>
          <t>210201</t>
        </is>
      </c>
      <c r="L1726" s="9" t="n">
        <v>98800</v>
      </c>
      <c r="M1726" s="9" t="n">
        <v>93020.2</v>
      </c>
      <c r="N1726" s="9" t="n">
        <v>6388</v>
      </c>
      <c r="O172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727">
      <c r="B1727" s="10" t="n">
        <v>44271</v>
      </c>
      <c r="C1727" s="9" t="inlineStr">
        <is>
          <t>화</t>
        </is>
      </c>
      <c r="E1727" s="9" t="inlineStr">
        <is>
          <t>트리트먼트</t>
        </is>
      </c>
      <c r="F1727" s="9" t="inlineStr">
        <is>
          <t>카페24</t>
        </is>
      </c>
      <c r="G1727" s="9" t="inlineStr">
        <is>
          <t>라베나 리커버리 15 헤어팩 트리트먼트 [HAIR RÉ:COVERY 15 Hairpack Treatment]제품선택=헤어팩 트리트먼트 3개 세트 10% 추가할인</t>
        </is>
      </c>
      <c r="H1727" s="9" t="n">
        <v>1</v>
      </c>
      <c r="I1727" s="9" t="inlineStr">
        <is>
          <t>트리트먼트 3set</t>
        </is>
      </c>
      <c r="J1727" s="9" t="inlineStr">
        <is>
          <t>210201</t>
        </is>
      </c>
      <c r="L1727" s="9" t="n">
        <v>70200</v>
      </c>
      <c r="M1727" s="9" t="n">
        <v>66093.3</v>
      </c>
      <c r="N1727" s="9" t="n">
        <v>4791</v>
      </c>
      <c r="O1727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728">
      <c r="A1728" s="9" t="inlineStr">
        <is>
          <t>0317~영상배너_short</t>
        </is>
      </c>
      <c r="B1728" s="10" t="n">
        <v>44272</v>
      </c>
      <c r="C1728" s="9" t="inlineStr">
        <is>
          <t>수</t>
        </is>
      </c>
      <c r="D1728" s="9" t="inlineStr">
        <is>
          <t>페이스북</t>
        </is>
      </c>
      <c r="E1728" s="9" t="inlineStr">
        <is>
          <t>샴푸</t>
        </is>
      </c>
      <c r="K1728" s="9" t="n">
        <v>129741</v>
      </c>
    </row>
    <row r="1729">
      <c r="A1729" s="9" t="inlineStr">
        <is>
          <t>0316~영상베리</t>
        </is>
      </c>
      <c r="B1729" s="10" t="n">
        <v>44272</v>
      </c>
      <c r="C1729" s="9" t="inlineStr">
        <is>
          <t>수</t>
        </is>
      </c>
      <c r="D1729" s="9" t="inlineStr">
        <is>
          <t>페이스북</t>
        </is>
      </c>
      <c r="E1729" s="9" t="inlineStr">
        <is>
          <t>샴푸</t>
        </is>
      </c>
      <c r="K1729" s="9" t="n">
        <v>317310</v>
      </c>
    </row>
    <row r="1730">
      <c r="A1730" s="9" t="inlineStr">
        <is>
          <t>현빈임시테스트</t>
        </is>
      </c>
      <c r="B1730" s="10" t="n">
        <v>44272</v>
      </c>
      <c r="C1730" s="9" t="inlineStr">
        <is>
          <t>수</t>
        </is>
      </c>
      <c r="D1730" s="9" t="inlineStr">
        <is>
          <t>페이스북</t>
        </is>
      </c>
      <c r="E1730" s="9" t="inlineStr">
        <is>
          <t>샴푸</t>
        </is>
      </c>
      <c r="K1730" s="9" t="n">
        <v>49881</v>
      </c>
    </row>
    <row r="1731">
      <c r="A1731" s="9" t="inlineStr">
        <is>
          <t>1201~단장키워드테스트</t>
        </is>
      </c>
      <c r="B1731" s="10" t="n">
        <v>44272</v>
      </c>
      <c r="C1731" s="9" t="inlineStr">
        <is>
          <t>수</t>
        </is>
      </c>
      <c r="D1731" s="9" t="inlineStr">
        <is>
          <t>페이스북</t>
        </is>
      </c>
      <c r="E1731" s="9" t="inlineStr">
        <is>
          <t>샴푸</t>
        </is>
      </c>
      <c r="K1731" s="9" t="n">
        <v>49371</v>
      </c>
    </row>
    <row r="1732">
      <c r="A1732" s="9" t="inlineStr">
        <is>
          <t>11/13 키워드 탐색</t>
        </is>
      </c>
      <c r="B1732" s="10" t="n">
        <v>44272</v>
      </c>
      <c r="C1732" s="9" t="inlineStr">
        <is>
          <t>수</t>
        </is>
      </c>
      <c r="D1732" s="9" t="inlineStr">
        <is>
          <t>페이스북</t>
        </is>
      </c>
      <c r="E1732" s="9" t="inlineStr">
        <is>
          <t>샴푸</t>
        </is>
      </c>
      <c r="K1732" s="9" t="n">
        <v>49649</v>
      </c>
    </row>
    <row r="1733">
      <c r="A1733" s="9" t="inlineStr">
        <is>
          <t>0127_GDN_비듬샴푸_잠재고객</t>
        </is>
      </c>
      <c r="B1733" s="10" t="n">
        <v>44272</v>
      </c>
      <c r="C1733" s="9" t="inlineStr">
        <is>
          <t>수</t>
        </is>
      </c>
      <c r="D1733" s="9" t="inlineStr">
        <is>
          <t>GDN</t>
        </is>
      </c>
      <c r="E1733" s="9" t="inlineStr">
        <is>
          <t>샴푸</t>
        </is>
      </c>
      <c r="K1733" s="9" t="n">
        <v>234865</v>
      </c>
    </row>
    <row r="1734">
      <c r="A1734" s="9" t="inlineStr">
        <is>
          <t>0303_샴푸_인스트림_동영상전환수</t>
        </is>
      </c>
      <c r="B1734" s="10" t="n">
        <v>44272</v>
      </c>
      <c r="C1734" s="9" t="inlineStr">
        <is>
          <t>수</t>
        </is>
      </c>
      <c r="D1734" s="9" t="inlineStr">
        <is>
          <t>유튜브</t>
        </is>
      </c>
      <c r="E1734" s="9" t="inlineStr">
        <is>
          <t>샴푸</t>
        </is>
      </c>
      <c r="K1734" s="9" t="n">
        <v>4177591</v>
      </c>
    </row>
    <row r="1735">
      <c r="A1735" s="9" t="inlineStr">
        <is>
          <t>0312_샴푸_3차_재업</t>
        </is>
      </c>
      <c r="B1735" s="10" t="n">
        <v>44272</v>
      </c>
      <c r="C1735" s="9" t="inlineStr">
        <is>
          <t>수</t>
        </is>
      </c>
      <c r="D1735" s="9" t="inlineStr">
        <is>
          <t>유튜브</t>
        </is>
      </c>
      <c r="E1735" s="9" t="inlineStr">
        <is>
          <t>샴푸</t>
        </is>
      </c>
      <c r="K1735" s="9" t="n">
        <v>1281</v>
      </c>
    </row>
    <row r="1736">
      <c r="A1736" s="9" t="inlineStr">
        <is>
          <t>라베나 파워링크_샴푸_광고그룹#1</t>
        </is>
      </c>
      <c r="B1736" s="10" t="n">
        <v>44272</v>
      </c>
      <c r="C1736" s="9" t="inlineStr">
        <is>
          <t>수</t>
        </is>
      </c>
      <c r="D1736" s="9" t="inlineStr">
        <is>
          <t>네이버 검색</t>
        </is>
      </c>
      <c r="E1736" s="9" t="inlineStr">
        <is>
          <t>샴푸</t>
        </is>
      </c>
      <c r="K1736" s="9" t="n">
        <v>2000</v>
      </c>
    </row>
    <row r="1737">
      <c r="A1737" s="9" t="inlineStr">
        <is>
          <t>라베나 파워링크_샴푸#1_유튜브키워드기반</t>
        </is>
      </c>
      <c r="B1737" s="10" t="n">
        <v>44272</v>
      </c>
      <c r="C1737" s="9" t="inlineStr">
        <is>
          <t>수</t>
        </is>
      </c>
      <c r="D1737" s="9" t="inlineStr">
        <is>
          <t>네이버 검색</t>
        </is>
      </c>
      <c r="E1737" s="9" t="inlineStr">
        <is>
          <t>샴푸</t>
        </is>
      </c>
      <c r="K1737" s="9" t="n">
        <v>19640</v>
      </c>
    </row>
    <row r="1738">
      <c r="A1738" s="9" t="inlineStr">
        <is>
          <t>샴푸_쇼핑검색#1_광고그룹#1</t>
        </is>
      </c>
      <c r="B1738" s="10" t="n">
        <v>44272</v>
      </c>
      <c r="C1738" s="9" t="inlineStr">
        <is>
          <t>수</t>
        </is>
      </c>
      <c r="D1738" s="9" t="inlineStr">
        <is>
          <t>네이버 검색</t>
        </is>
      </c>
      <c r="E1738" s="9" t="inlineStr">
        <is>
          <t>샴푸</t>
        </is>
      </c>
      <c r="K1738" s="9" t="n">
        <v>2720</v>
      </c>
    </row>
    <row r="1739">
      <c r="A1739" s="9" t="inlineStr">
        <is>
          <t>파워컨텐츠#1_비듬샴푸</t>
        </is>
      </c>
      <c r="B1739" s="10" t="n">
        <v>44272</v>
      </c>
      <c r="C1739" s="9" t="inlineStr">
        <is>
          <t>수</t>
        </is>
      </c>
      <c r="D1739" s="9" t="inlineStr">
        <is>
          <t>네이버 검색</t>
        </is>
      </c>
      <c r="E1739" s="9" t="inlineStr">
        <is>
          <t>샴푸</t>
        </is>
      </c>
      <c r="K1739" s="9" t="n">
        <v>0</v>
      </c>
    </row>
    <row r="1740">
      <c r="B1740" s="10" t="n">
        <v>44272</v>
      </c>
      <c r="C1740" s="9" t="inlineStr">
        <is>
          <t>수</t>
        </is>
      </c>
      <c r="E1740" s="9" t="inlineStr">
        <is>
          <t>뉴트리셔스밤</t>
        </is>
      </c>
      <c r="F1740" s="9" t="inlineStr">
        <is>
          <t>카페24</t>
        </is>
      </c>
      <c r="G1740" s="9" t="inlineStr">
        <is>
          <t>라베나 리커버리 15 뉴트리셔스 밤 [HAIR RÉ:COVERY 15 Nutritious Balm]제품선택=헤어 리커버리 15 뉴트리셔스 밤</t>
        </is>
      </c>
      <c r="H1740" s="9" t="n">
        <v>3</v>
      </c>
      <c r="I1740" s="9" t="inlineStr">
        <is>
          <t>뉴트리셔스밤</t>
        </is>
      </c>
      <c r="J1740" s="9" t="inlineStr">
        <is>
          <t>210201</t>
        </is>
      </c>
      <c r="L1740" s="9" t="n">
        <v>74700</v>
      </c>
      <c r="M1740" s="9" t="n">
        <v>70330.04999999999</v>
      </c>
      <c r="N1740" s="9" t="n">
        <v>4740</v>
      </c>
      <c r="O1740" s="9" t="inlineStr">
        <is>
          <t>카페24뉴트리셔스밤라베나 리커버리 15 뉴트리셔스 밤 [HAIR RÉ:COVERY 15 Nutritious Balm]제품선택=헤어 리커버리 15 뉴트리셔스 밤210201</t>
        </is>
      </c>
    </row>
    <row r="1741">
      <c r="B1741" s="10" t="n">
        <v>44272</v>
      </c>
      <c r="C1741" s="9" t="inlineStr">
        <is>
          <t>수</t>
        </is>
      </c>
      <c r="E1741" s="9" t="inlineStr">
        <is>
          <t>샴푸</t>
        </is>
      </c>
      <c r="F1741" s="9" t="inlineStr">
        <is>
          <t>카페24</t>
        </is>
      </c>
      <c r="G1741" s="9" t="inlineStr">
        <is>
          <t>라베나 리커버리 15 리바이탈 바이오플라보노이드샴푸 [HAIR RÉ:COVERY 15 Revital Shampoo]제품선택=헤어 리커버리 15 리바이탈 샴푸 - 500ml</t>
        </is>
      </c>
      <c r="H1741" s="9" t="n">
        <v>160</v>
      </c>
      <c r="I1741" s="9" t="inlineStr">
        <is>
          <t>리바이탈 샴푸</t>
        </is>
      </c>
      <c r="J1741" s="9" t="inlineStr">
        <is>
          <t>210201</t>
        </is>
      </c>
      <c r="L1741" s="9" t="n">
        <v>4304000</v>
      </c>
      <c r="M1741" s="9" t="n">
        <v>4052216</v>
      </c>
      <c r="N1741" s="9" t="n">
        <v>458400</v>
      </c>
      <c r="O174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742">
      <c r="B1742" s="10" t="n">
        <v>44272</v>
      </c>
      <c r="C1742" s="9" t="inlineStr">
        <is>
          <t>수</t>
        </is>
      </c>
      <c r="E1742" s="9" t="inlineStr">
        <is>
          <t>샴푸</t>
        </is>
      </c>
      <c r="F1742" s="9" t="inlineStr">
        <is>
          <t>카페24</t>
        </is>
      </c>
      <c r="G1742" s="9" t="inlineStr">
        <is>
          <t>라베나 리커버리 15 리바이탈 바이오플라보노이드샴푸 [HAIR RÉ:COVERY 15 Revital Shampoo]제품선택=리바이탈 샴푸 2개 세트 5%추가할인</t>
        </is>
      </c>
      <c r="H1742" s="9" t="n">
        <v>54</v>
      </c>
      <c r="I1742" s="9" t="inlineStr">
        <is>
          <t>리바이탈 샴푸 2set</t>
        </is>
      </c>
      <c r="J1742" s="9" t="inlineStr">
        <is>
          <t>210201</t>
        </is>
      </c>
      <c r="L1742" s="9" t="n">
        <v>2759940</v>
      </c>
      <c r="M1742" s="9" t="n">
        <v>2598483.51</v>
      </c>
      <c r="N1742" s="9" t="n">
        <v>309420</v>
      </c>
      <c r="O174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743">
      <c r="B1743" s="10" t="n">
        <v>44272</v>
      </c>
      <c r="C1743" s="9" t="inlineStr">
        <is>
          <t>수</t>
        </is>
      </c>
      <c r="E1743" s="9" t="inlineStr">
        <is>
          <t>샴푸</t>
        </is>
      </c>
      <c r="F1743" s="9" t="inlineStr">
        <is>
          <t>카페24</t>
        </is>
      </c>
      <c r="G1743" s="9" t="inlineStr">
        <is>
          <t>라베나 리커버리 15 리바이탈 바이오플라보노이드샴푸 [HAIR RÉ:COVERY 15 Revital Shampoo]제품선택=리바이탈 샴푸 3개 세트 10% 추가할인</t>
        </is>
      </c>
      <c r="H1743" s="9" t="n">
        <v>16</v>
      </c>
      <c r="I1743" s="9" t="inlineStr">
        <is>
          <t>리바이탈 샴푸 3set</t>
        </is>
      </c>
      <c r="J1743" s="9" t="inlineStr">
        <is>
          <t>210201</t>
        </is>
      </c>
      <c r="L1743" s="9" t="n">
        <v>1162080</v>
      </c>
      <c r="M1743" s="9" t="n">
        <v>1094098.32</v>
      </c>
      <c r="N1743" s="9" t="n">
        <v>137520</v>
      </c>
      <c r="O174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744">
      <c r="B1744" s="10" t="n">
        <v>44272</v>
      </c>
      <c r="C1744" s="9" t="inlineStr">
        <is>
          <t>수</t>
        </is>
      </c>
      <c r="E1744" s="9" t="inlineStr">
        <is>
          <t>트리트먼트</t>
        </is>
      </c>
      <c r="F1744" s="9" t="inlineStr">
        <is>
          <t>카페24</t>
        </is>
      </c>
      <c r="G1744" s="9" t="inlineStr">
        <is>
          <t>라베나 리커버리 15 헤어팩 트리트먼트 [HAIR RÉ:COVERY 15 Hairpack Treatment]제품선택=헤어 리커버리 15 헤어팩 트리트먼트</t>
        </is>
      </c>
      <c r="H1744" s="9" t="n">
        <v>5</v>
      </c>
      <c r="I1744" s="9" t="inlineStr">
        <is>
          <t>트리트먼트</t>
        </is>
      </c>
      <c r="J1744" s="9" t="inlineStr">
        <is>
          <t>210201</t>
        </is>
      </c>
      <c r="L1744" s="9" t="n">
        <v>130000</v>
      </c>
      <c r="M1744" s="9" t="n">
        <v>122395</v>
      </c>
      <c r="N1744" s="9" t="n">
        <v>7985</v>
      </c>
      <c r="O174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745">
      <c r="B1745" s="10" t="n">
        <v>44272</v>
      </c>
      <c r="C1745" s="9" t="inlineStr">
        <is>
          <t>수</t>
        </is>
      </c>
      <c r="E1745" s="9" t="inlineStr">
        <is>
          <t>트리트먼트</t>
        </is>
      </c>
      <c r="F1745" s="9" t="inlineStr">
        <is>
          <t>카페24</t>
        </is>
      </c>
      <c r="G1745" s="9" t="inlineStr">
        <is>
          <t>라베나 리커버리 15 헤어팩 트리트먼트 [HAIR RÉ:COVERY 15 Hairpack Treatment]제품선택=헤어팩 트리트먼트 2개 세트 5% 추가할인</t>
        </is>
      </c>
      <c r="H1745" s="9" t="n">
        <v>2</v>
      </c>
      <c r="I1745" s="9" t="inlineStr">
        <is>
          <t>트리트먼트 2set</t>
        </is>
      </c>
      <c r="J1745" s="9" t="inlineStr">
        <is>
          <t>210201</t>
        </is>
      </c>
      <c r="L1745" s="9" t="n">
        <v>98800</v>
      </c>
      <c r="M1745" s="9" t="n">
        <v>93020.2</v>
      </c>
      <c r="N1745" s="9" t="n">
        <v>6388</v>
      </c>
      <c r="O1745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746">
      <c r="B1746" s="10" t="n">
        <v>44272</v>
      </c>
      <c r="C1746" s="9" t="inlineStr">
        <is>
          <t>수</t>
        </is>
      </c>
      <c r="E1746" s="9" t="inlineStr">
        <is>
          <t>트리트먼트</t>
        </is>
      </c>
      <c r="F1746" s="9" t="inlineStr">
        <is>
          <t>카페24</t>
        </is>
      </c>
      <c r="G1746" s="9" t="inlineStr">
        <is>
          <t>라베나 리커버리 15 헤어팩 트리트먼트 [HAIR RÉ:COVERY 15 Hairpack Treatment]제품선택=헤어팩 트리트먼트 3개 세트 10% 추가할인</t>
        </is>
      </c>
      <c r="H1746" s="9" t="n">
        <v>2</v>
      </c>
      <c r="I1746" s="9" t="inlineStr">
        <is>
          <t>트리트먼트 3set</t>
        </is>
      </c>
      <c r="J1746" s="9" t="inlineStr">
        <is>
          <t>210201</t>
        </is>
      </c>
      <c r="L1746" s="9" t="n">
        <v>140400</v>
      </c>
      <c r="M1746" s="9" t="n">
        <v>132186.6</v>
      </c>
      <c r="N1746" s="9" t="n">
        <v>9582</v>
      </c>
      <c r="O1746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747">
      <c r="B1747" s="10" t="n">
        <v>44272</v>
      </c>
      <c r="C1747" s="9" t="inlineStr">
        <is>
          <t>수</t>
        </is>
      </c>
      <c r="E1747" s="9" t="inlineStr">
        <is>
          <t>트리트먼트</t>
        </is>
      </c>
      <c r="F1747" s="9" t="inlineStr">
        <is>
          <t>카페24</t>
        </is>
      </c>
      <c r="G1747" s="9" t="inlineStr">
        <is>
          <t>라베나 리커버리 15 헤어팩 트리트먼트 [HAIR RÉ:COVERY 15 Hairpack Treatment]제품선택=헤어팩 트리트먼트 1개 + 뉴트리셔스밤 1개 세트 5% 추가할인</t>
        </is>
      </c>
      <c r="H1747" s="9" t="n">
        <v>5</v>
      </c>
      <c r="I1747" s="9" t="inlineStr">
        <is>
          <t>트리트먼트+뉴트리셔스밤</t>
        </is>
      </c>
      <c r="J1747" s="9" t="inlineStr">
        <is>
          <t>210201</t>
        </is>
      </c>
      <c r="L1747" s="9" t="n">
        <v>241775</v>
      </c>
      <c r="M1747" s="9" t="n">
        <v>227631.1625</v>
      </c>
      <c r="N1747" s="9" t="n">
        <v>15885</v>
      </c>
      <c r="O1747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748">
      <c r="A1748" s="9" t="inlineStr">
        <is>
          <t>0318~영상기반 단장</t>
        </is>
      </c>
      <c r="B1748" s="10" t="n">
        <v>44273</v>
      </c>
      <c r="C1748" s="9" t="inlineStr">
        <is>
          <t>목</t>
        </is>
      </c>
      <c r="D1748" s="9" t="inlineStr">
        <is>
          <t>페이스북</t>
        </is>
      </c>
      <c r="E1748" s="9" t="inlineStr">
        <is>
          <t>샴푸</t>
        </is>
      </c>
      <c r="K1748" s="9" t="n">
        <v>113430</v>
      </c>
    </row>
    <row r="1749">
      <c r="A1749" s="9" t="inlineStr">
        <is>
          <t>0317~영상배너_short</t>
        </is>
      </c>
      <c r="B1749" s="10" t="n">
        <v>44273</v>
      </c>
      <c r="C1749" s="9" t="inlineStr">
        <is>
          <t>목</t>
        </is>
      </c>
      <c r="D1749" s="9" t="inlineStr">
        <is>
          <t>페이스북</t>
        </is>
      </c>
      <c r="E1749" s="9" t="inlineStr">
        <is>
          <t>샴푸</t>
        </is>
      </c>
      <c r="K1749" s="9" t="n">
        <v>239899</v>
      </c>
    </row>
    <row r="1750">
      <c r="A1750" s="9" t="inlineStr">
        <is>
          <t>0316~영상베리</t>
        </is>
      </c>
      <c r="B1750" s="10" t="n">
        <v>44273</v>
      </c>
      <c r="C1750" s="9" t="inlineStr">
        <is>
          <t>목</t>
        </is>
      </c>
      <c r="D1750" s="9" t="inlineStr">
        <is>
          <t>페이스북</t>
        </is>
      </c>
      <c r="E1750" s="9" t="inlineStr">
        <is>
          <t>샴푸</t>
        </is>
      </c>
      <c r="K1750" s="9" t="n">
        <v>251174</v>
      </c>
    </row>
    <row r="1751">
      <c r="A1751" s="9" t="inlineStr">
        <is>
          <t>현빈임시테스트</t>
        </is>
      </c>
      <c r="B1751" s="10" t="n">
        <v>44273</v>
      </c>
      <c r="C1751" s="9" t="inlineStr">
        <is>
          <t>목</t>
        </is>
      </c>
      <c r="D1751" s="9" t="inlineStr">
        <is>
          <t>페이스북</t>
        </is>
      </c>
      <c r="E1751" s="9" t="inlineStr">
        <is>
          <t>샴푸</t>
        </is>
      </c>
      <c r="K1751" s="9" t="n">
        <v>50577</v>
      </c>
    </row>
    <row r="1752">
      <c r="A1752" s="9" t="inlineStr">
        <is>
          <t>1201~단장키워드테스트</t>
        </is>
      </c>
      <c r="B1752" s="10" t="n">
        <v>44273</v>
      </c>
      <c r="C1752" s="9" t="inlineStr">
        <is>
          <t>목</t>
        </is>
      </c>
      <c r="D1752" s="9" t="inlineStr">
        <is>
          <t>페이스북</t>
        </is>
      </c>
      <c r="E1752" s="9" t="inlineStr">
        <is>
          <t>샴푸</t>
        </is>
      </c>
      <c r="K1752" s="9" t="n">
        <v>31222</v>
      </c>
    </row>
    <row r="1753">
      <c r="A1753" s="9" t="inlineStr">
        <is>
          <t>11/13 키워드 탐색</t>
        </is>
      </c>
      <c r="B1753" s="10" t="n">
        <v>44273</v>
      </c>
      <c r="C1753" s="9" t="inlineStr">
        <is>
          <t>목</t>
        </is>
      </c>
      <c r="D1753" s="9" t="inlineStr">
        <is>
          <t>페이스북</t>
        </is>
      </c>
      <c r="E1753" s="9" t="inlineStr">
        <is>
          <t>샴푸</t>
        </is>
      </c>
      <c r="K1753" s="9" t="n">
        <v>30778</v>
      </c>
    </row>
    <row r="1754">
      <c r="A1754" s="9" t="inlineStr">
        <is>
          <t>0127_GDN_비듬샴푸_잠재고객</t>
        </is>
      </c>
      <c r="B1754" s="10" t="n">
        <v>44273</v>
      </c>
      <c r="C1754" s="9" t="inlineStr">
        <is>
          <t>목</t>
        </is>
      </c>
      <c r="D1754" s="9" t="inlineStr">
        <is>
          <t>GDN</t>
        </is>
      </c>
      <c r="E1754" s="9" t="inlineStr">
        <is>
          <t>샴푸</t>
        </is>
      </c>
      <c r="K1754" s="9" t="n">
        <v>183153</v>
      </c>
    </row>
    <row r="1755">
      <c r="A1755" s="9" t="inlineStr">
        <is>
          <t>0303_샴푸_인스트림_동영상전환수</t>
        </is>
      </c>
      <c r="B1755" s="10" t="n">
        <v>44273</v>
      </c>
      <c r="C1755" s="9" t="inlineStr">
        <is>
          <t>목</t>
        </is>
      </c>
      <c r="D1755" s="9" t="inlineStr">
        <is>
          <t>유튜브</t>
        </is>
      </c>
      <c r="E1755" s="9" t="inlineStr">
        <is>
          <t>샴푸</t>
        </is>
      </c>
      <c r="K1755" s="9" t="n">
        <v>4062521</v>
      </c>
    </row>
    <row r="1756">
      <c r="A1756" s="9" t="inlineStr">
        <is>
          <t>0312_샴푸_3차_재업</t>
        </is>
      </c>
      <c r="B1756" s="10" t="n">
        <v>44273</v>
      </c>
      <c r="C1756" s="9" t="inlineStr">
        <is>
          <t>목</t>
        </is>
      </c>
      <c r="D1756" s="9" t="inlineStr">
        <is>
          <t>유튜브</t>
        </is>
      </c>
      <c r="E1756" s="9" t="inlineStr">
        <is>
          <t>샴푸</t>
        </is>
      </c>
      <c r="K1756" s="9" t="n">
        <v>1457</v>
      </c>
    </row>
    <row r="1757">
      <c r="A1757" s="9" t="inlineStr">
        <is>
          <t>0318_샴푸_VAC_잠재고객_키워드</t>
        </is>
      </c>
      <c r="B1757" s="10" t="n">
        <v>44273</v>
      </c>
      <c r="C1757" s="9" t="inlineStr">
        <is>
          <t>목</t>
        </is>
      </c>
      <c r="D1757" s="9" t="inlineStr">
        <is>
          <t>유튜브</t>
        </is>
      </c>
      <c r="E1757" s="9" t="inlineStr">
        <is>
          <t>샴푸</t>
        </is>
      </c>
      <c r="K1757" s="9" t="n">
        <v>356364</v>
      </c>
    </row>
    <row r="1758">
      <c r="A1758" s="9" t="inlineStr">
        <is>
          <t>0318_샴푸_1차_새로운채널</t>
        </is>
      </c>
      <c r="B1758" s="10" t="n">
        <v>44273</v>
      </c>
      <c r="C1758" s="9" t="inlineStr">
        <is>
          <t>목</t>
        </is>
      </c>
      <c r="D1758" s="9" t="inlineStr">
        <is>
          <t>유튜브</t>
        </is>
      </c>
      <c r="E1758" s="9" t="inlineStr">
        <is>
          <t>샴푸</t>
        </is>
      </c>
      <c r="K1758" s="9" t="n">
        <v>19645</v>
      </c>
    </row>
    <row r="1759">
      <c r="A1759" s="9" t="inlineStr">
        <is>
          <t>0318_샴푸_VAC_CPA</t>
        </is>
      </c>
      <c r="B1759" s="10" t="n">
        <v>44273</v>
      </c>
      <c r="C1759" s="9" t="inlineStr">
        <is>
          <t>목</t>
        </is>
      </c>
      <c r="D1759" s="9" t="inlineStr">
        <is>
          <t>유튜브</t>
        </is>
      </c>
      <c r="E1759" s="9" t="inlineStr">
        <is>
          <t>샴푸</t>
        </is>
      </c>
      <c r="K1759" s="9" t="n">
        <v>1735551</v>
      </c>
    </row>
    <row r="1760">
      <c r="A1760" s="9" t="inlineStr">
        <is>
          <t>라베나 파워링크_샴푸_광고그룹#1</t>
        </is>
      </c>
      <c r="B1760" s="10" t="n">
        <v>44273</v>
      </c>
      <c r="C1760" s="9" t="inlineStr">
        <is>
          <t>목</t>
        </is>
      </c>
      <c r="D1760" s="9" t="inlineStr">
        <is>
          <t>네이버 검색</t>
        </is>
      </c>
      <c r="E1760" s="9" t="inlineStr">
        <is>
          <t>샴푸</t>
        </is>
      </c>
      <c r="K1760" s="9" t="n">
        <v>1320</v>
      </c>
    </row>
    <row r="1761">
      <c r="A1761" s="9" t="inlineStr">
        <is>
          <t>라베나 파워링크_샴푸#1_유튜브키워드기반</t>
        </is>
      </c>
      <c r="B1761" s="10" t="n">
        <v>44273</v>
      </c>
      <c r="C1761" s="9" t="inlineStr">
        <is>
          <t>목</t>
        </is>
      </c>
      <c r="D1761" s="9" t="inlineStr">
        <is>
          <t>네이버 검색</t>
        </is>
      </c>
      <c r="E1761" s="9" t="inlineStr">
        <is>
          <t>샴푸</t>
        </is>
      </c>
      <c r="K1761" s="9" t="n">
        <v>26440</v>
      </c>
    </row>
    <row r="1762">
      <c r="A1762" s="9" t="inlineStr">
        <is>
          <t>샴푸_쇼핑검색#1_광고그룹#1</t>
        </is>
      </c>
      <c r="B1762" s="10" t="n">
        <v>44273</v>
      </c>
      <c r="C1762" s="9" t="inlineStr">
        <is>
          <t>목</t>
        </is>
      </c>
      <c r="D1762" s="9" t="inlineStr">
        <is>
          <t>네이버 검색</t>
        </is>
      </c>
      <c r="E1762" s="9" t="inlineStr">
        <is>
          <t>샴푸</t>
        </is>
      </c>
      <c r="K1762" s="9" t="n">
        <v>7319.999999999999</v>
      </c>
    </row>
    <row r="1763">
      <c r="A1763" s="9" t="inlineStr">
        <is>
          <t>파워컨텐츠#1_비듬샴푸</t>
        </is>
      </c>
      <c r="B1763" s="10" t="n">
        <v>44273</v>
      </c>
      <c r="C1763" s="9" t="inlineStr">
        <is>
          <t>목</t>
        </is>
      </c>
      <c r="D1763" s="9" t="inlineStr">
        <is>
          <t>네이버 검색</t>
        </is>
      </c>
      <c r="E1763" s="9" t="inlineStr">
        <is>
          <t>샴푸</t>
        </is>
      </c>
      <c r="K1763" s="9" t="n">
        <v>70</v>
      </c>
    </row>
    <row r="1764">
      <c r="B1764" s="10" t="n">
        <v>44273</v>
      </c>
      <c r="C1764" s="9" t="inlineStr">
        <is>
          <t>목</t>
        </is>
      </c>
      <c r="E1764" s="9" t="inlineStr">
        <is>
          <t>뉴트리셔스밤</t>
        </is>
      </c>
      <c r="F1764" s="9" t="inlineStr">
        <is>
          <t>카페24</t>
        </is>
      </c>
      <c r="G1764" s="9" t="inlineStr">
        <is>
          <t>라베나 리커버리 15 뉴트리셔스 밤 [HAIR RÉ:COVERY 15 Nutritious Balm]제품선택=헤어 리커버리 15 뉴트리셔스 밤</t>
        </is>
      </c>
      <c r="H1764" s="9" t="n">
        <v>3</v>
      </c>
      <c r="I1764" s="9" t="inlineStr">
        <is>
          <t>뉴트리셔스밤</t>
        </is>
      </c>
      <c r="J1764" s="9" t="inlineStr">
        <is>
          <t>210201</t>
        </is>
      </c>
      <c r="L1764" s="9" t="n">
        <v>74700</v>
      </c>
      <c r="M1764" s="9" t="n">
        <v>70330.04999999999</v>
      </c>
      <c r="N1764" s="9" t="n">
        <v>4740</v>
      </c>
      <c r="O1764" s="9" t="inlineStr">
        <is>
          <t>카페24뉴트리셔스밤라베나 리커버리 15 뉴트리셔스 밤 [HAIR RÉ:COVERY 15 Nutritious Balm]제품선택=헤어 리커버리 15 뉴트리셔스 밤210201</t>
        </is>
      </c>
    </row>
    <row r="1765">
      <c r="B1765" s="10" t="n">
        <v>44273</v>
      </c>
      <c r="C1765" s="9" t="inlineStr">
        <is>
          <t>목</t>
        </is>
      </c>
      <c r="E1765" s="9" t="inlineStr">
        <is>
          <t>샴푸</t>
        </is>
      </c>
      <c r="F1765" s="9" t="inlineStr">
        <is>
          <t>카페24</t>
        </is>
      </c>
      <c r="G1765" s="9" t="inlineStr">
        <is>
          <t>라베나 리커버리 15 리바이탈 바이오플라보노이드샴푸 [HAIR RÉ:COVERY 15 Revital Shampoo]제품선택=헤어 리커버리 15 리바이탈 샴푸 - 500ml</t>
        </is>
      </c>
      <c r="H1765" s="9" t="n">
        <v>185</v>
      </c>
      <c r="I1765" s="9" t="inlineStr">
        <is>
          <t>리바이탈 샴푸</t>
        </is>
      </c>
      <c r="J1765" s="9" t="inlineStr">
        <is>
          <t>210201</t>
        </is>
      </c>
      <c r="L1765" s="9" t="n">
        <v>4976500</v>
      </c>
      <c r="M1765" s="9" t="n">
        <v>4685374.75</v>
      </c>
      <c r="N1765" s="9" t="n">
        <v>530025</v>
      </c>
      <c r="O176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766">
      <c r="B1766" s="10" t="n">
        <v>44273</v>
      </c>
      <c r="C1766" s="9" t="inlineStr">
        <is>
          <t>목</t>
        </is>
      </c>
      <c r="E1766" s="9" t="inlineStr">
        <is>
          <t>샴푸</t>
        </is>
      </c>
      <c r="F1766" s="9" t="inlineStr">
        <is>
          <t>카페24</t>
        </is>
      </c>
      <c r="G1766" s="9" t="inlineStr">
        <is>
          <t>라베나 리커버리 15 리바이탈 바이오플라보노이드샴푸 [HAIR RÉ:COVERY 15 Revital Shampoo]제품선택=리바이탈 샴푸 2개 세트 5%추가할인</t>
        </is>
      </c>
      <c r="H1766" s="9" t="n">
        <v>79</v>
      </c>
      <c r="I1766" s="9" t="inlineStr">
        <is>
          <t>리바이탈 샴푸 2set</t>
        </is>
      </c>
      <c r="J1766" s="9" t="inlineStr">
        <is>
          <t>210201</t>
        </is>
      </c>
      <c r="L1766" s="9" t="n">
        <v>4037690</v>
      </c>
      <c r="M1766" s="9" t="n">
        <v>3801485.135</v>
      </c>
      <c r="N1766" s="9" t="n">
        <v>452670</v>
      </c>
      <c r="O176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767">
      <c r="B1767" s="10" t="n">
        <v>44273</v>
      </c>
      <c r="C1767" s="9" t="inlineStr">
        <is>
          <t>목</t>
        </is>
      </c>
      <c r="E1767" s="9" t="inlineStr">
        <is>
          <t>샴푸</t>
        </is>
      </c>
      <c r="F1767" s="9" t="inlineStr">
        <is>
          <t>카페24</t>
        </is>
      </c>
      <c r="G1767" s="9" t="inlineStr">
        <is>
          <t>라베나 리커버리 15 리바이탈 바이오플라보노이드샴푸 [HAIR RÉ:COVERY 15 Revital Shampoo]제품선택=리바이탈 샴푸 3개 세트 10% 추가할인</t>
        </is>
      </c>
      <c r="H1767" s="9" t="n">
        <v>15</v>
      </c>
      <c r="I1767" s="9" t="inlineStr">
        <is>
          <t>리바이탈 샴푸 3set</t>
        </is>
      </c>
      <c r="J1767" s="9" t="inlineStr">
        <is>
          <t>210201</t>
        </is>
      </c>
      <c r="L1767" s="9" t="n">
        <v>1089450</v>
      </c>
      <c r="M1767" s="9" t="n">
        <v>1025717.175</v>
      </c>
      <c r="N1767" s="9" t="n">
        <v>128925</v>
      </c>
      <c r="O176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768">
      <c r="B1768" s="10" t="n">
        <v>44273</v>
      </c>
      <c r="C1768" s="9" t="inlineStr">
        <is>
          <t>목</t>
        </is>
      </c>
      <c r="E1768" s="9" t="inlineStr">
        <is>
          <t>트리트먼트</t>
        </is>
      </c>
      <c r="F1768" s="9" t="inlineStr">
        <is>
          <t>카페24</t>
        </is>
      </c>
      <c r="G1768" s="9" t="inlineStr">
        <is>
          <t>라베나 리커버리 15 헤어팩 트리트먼트 [HAIR RÉ:COVERY 15 Hairpack Treatment]제품선택=헤어 리커버리 15 헤어팩 트리트먼트</t>
        </is>
      </c>
      <c r="H1768" s="9" t="n">
        <v>7</v>
      </c>
      <c r="I1768" s="9" t="inlineStr">
        <is>
          <t>트리트먼트</t>
        </is>
      </c>
      <c r="J1768" s="9" t="inlineStr">
        <is>
          <t>210201</t>
        </is>
      </c>
      <c r="L1768" s="9" t="n">
        <v>182000</v>
      </c>
      <c r="M1768" s="9" t="n">
        <v>171353</v>
      </c>
      <c r="N1768" s="9" t="n">
        <v>11179</v>
      </c>
      <c r="O176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769">
      <c r="B1769" s="10" t="n">
        <v>44273</v>
      </c>
      <c r="C1769" s="9" t="inlineStr">
        <is>
          <t>목</t>
        </is>
      </c>
      <c r="E1769" s="9" t="inlineStr">
        <is>
          <t>트리트먼트</t>
        </is>
      </c>
      <c r="F1769" s="9" t="inlineStr">
        <is>
          <t>카페24</t>
        </is>
      </c>
      <c r="G1769" s="9" t="inlineStr">
        <is>
          <t>라베나 리커버리 15 헤어팩 트리트먼트 [HAIR RÉ:COVERY 15 Hairpack Treatment]제품선택=헤어팩 트리트먼트 2개 세트 5% 추가할인</t>
        </is>
      </c>
      <c r="H1769" s="9" t="n">
        <v>1</v>
      </c>
      <c r="I1769" s="9" t="inlineStr">
        <is>
          <t>트리트먼트 2set</t>
        </is>
      </c>
      <c r="J1769" s="9" t="inlineStr">
        <is>
          <t>210201</t>
        </is>
      </c>
      <c r="L1769" s="9" t="n">
        <v>49400</v>
      </c>
      <c r="M1769" s="9" t="n">
        <v>46510.1</v>
      </c>
      <c r="N1769" s="9" t="n">
        <v>3194</v>
      </c>
      <c r="O1769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770">
      <c r="B1770" s="10" t="n">
        <v>44273</v>
      </c>
      <c r="C1770" s="9" t="inlineStr">
        <is>
          <t>목</t>
        </is>
      </c>
      <c r="E1770" s="9" t="inlineStr">
        <is>
          <t>트리트먼트</t>
        </is>
      </c>
      <c r="F1770" s="9" t="inlineStr">
        <is>
          <t>카페24</t>
        </is>
      </c>
      <c r="G1770" s="9" t="inlineStr">
        <is>
          <t>라베나 리커버리 15 헤어팩 트리트먼트 [HAIR RÉ:COVERY 15 Hairpack Treatment]제품선택=헤어팩 트리트먼트 1개 + 뉴트리셔스밤 1개 세트 5% 추가할인</t>
        </is>
      </c>
      <c r="H1770" s="9" t="n">
        <v>1</v>
      </c>
      <c r="I1770" s="9" t="inlineStr">
        <is>
          <t>트리트먼트+뉴트리셔스밤</t>
        </is>
      </c>
      <c r="J1770" s="9" t="inlineStr">
        <is>
          <t>210201</t>
        </is>
      </c>
      <c r="L1770" s="9" t="n">
        <v>48355</v>
      </c>
      <c r="M1770" s="9" t="n">
        <v>45526.2325</v>
      </c>
      <c r="N1770" s="9" t="n">
        <v>3177</v>
      </c>
      <c r="O1770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771">
      <c r="A1771" s="9" t="inlineStr">
        <is>
          <t>0318~영상기반 단장</t>
        </is>
      </c>
      <c r="B1771" s="10" t="n">
        <v>44274</v>
      </c>
      <c r="C1771" s="9" t="inlineStr">
        <is>
          <t>금</t>
        </is>
      </c>
      <c r="D1771" s="9" t="inlineStr">
        <is>
          <t>페이스북</t>
        </is>
      </c>
      <c r="E1771" s="9" t="inlineStr">
        <is>
          <t>샴푸</t>
        </is>
      </c>
      <c r="K1771" s="9" t="n">
        <v>136421</v>
      </c>
    </row>
    <row r="1772">
      <c r="A1772" s="9" t="inlineStr">
        <is>
          <t>0317~영상배너_short</t>
        </is>
      </c>
      <c r="B1772" s="10" t="n">
        <v>44274</v>
      </c>
      <c r="C1772" s="9" t="inlineStr">
        <is>
          <t>금</t>
        </is>
      </c>
      <c r="D1772" s="9" t="inlineStr">
        <is>
          <t>페이스북</t>
        </is>
      </c>
      <c r="E1772" s="9" t="inlineStr">
        <is>
          <t>샴푸</t>
        </is>
      </c>
      <c r="K1772" s="9" t="n">
        <v>125721</v>
      </c>
    </row>
    <row r="1773">
      <c r="A1773" s="9" t="inlineStr">
        <is>
          <t>0316~영상베리</t>
        </is>
      </c>
      <c r="B1773" s="10" t="n">
        <v>44274</v>
      </c>
      <c r="C1773" s="9" t="inlineStr">
        <is>
          <t>금</t>
        </is>
      </c>
      <c r="D1773" s="9" t="inlineStr">
        <is>
          <t>페이스북</t>
        </is>
      </c>
      <c r="E1773" s="9" t="inlineStr">
        <is>
          <t>샴푸</t>
        </is>
      </c>
      <c r="K1773" s="9" t="n">
        <v>346238</v>
      </c>
    </row>
    <row r="1774">
      <c r="A1774" s="9" t="inlineStr">
        <is>
          <t>현빈임시테스트</t>
        </is>
      </c>
      <c r="B1774" s="10" t="n">
        <v>44274</v>
      </c>
      <c r="C1774" s="9" t="inlineStr">
        <is>
          <t>금</t>
        </is>
      </c>
      <c r="D1774" s="9" t="inlineStr">
        <is>
          <t>페이스북</t>
        </is>
      </c>
      <c r="E1774" s="9" t="inlineStr">
        <is>
          <t>샴푸</t>
        </is>
      </c>
      <c r="K1774" s="9" t="n">
        <v>49653</v>
      </c>
    </row>
    <row r="1775">
      <c r="A1775" s="9" t="inlineStr">
        <is>
          <t>0318~영상기반 단장</t>
        </is>
      </c>
      <c r="B1775" s="10" t="n">
        <v>44275</v>
      </c>
      <c r="C1775" s="9" t="inlineStr">
        <is>
          <t>토</t>
        </is>
      </c>
      <c r="D1775" s="9" t="inlineStr">
        <is>
          <t>페이스북</t>
        </is>
      </c>
      <c r="E1775" s="9" t="inlineStr">
        <is>
          <t>샴푸</t>
        </is>
      </c>
      <c r="K1775" s="9" t="n">
        <v>192827</v>
      </c>
    </row>
    <row r="1776">
      <c r="A1776" s="9" t="inlineStr">
        <is>
          <t>0317~영상배너_short</t>
        </is>
      </c>
      <c r="B1776" s="10" t="n">
        <v>44275</v>
      </c>
      <c r="C1776" s="9" t="inlineStr">
        <is>
          <t>토</t>
        </is>
      </c>
      <c r="D1776" s="9" t="inlineStr">
        <is>
          <t>페이스북</t>
        </is>
      </c>
      <c r="E1776" s="9" t="inlineStr">
        <is>
          <t>샴푸</t>
        </is>
      </c>
      <c r="K1776" s="9" t="n">
        <v>140271</v>
      </c>
    </row>
    <row r="1777">
      <c r="A1777" s="9" t="inlineStr">
        <is>
          <t>0316~영상베리</t>
        </is>
      </c>
      <c r="B1777" s="10" t="n">
        <v>44275</v>
      </c>
      <c r="C1777" s="9" t="inlineStr">
        <is>
          <t>토</t>
        </is>
      </c>
      <c r="D1777" s="9" t="inlineStr">
        <is>
          <t>페이스북</t>
        </is>
      </c>
      <c r="E1777" s="9" t="inlineStr">
        <is>
          <t>샴푸</t>
        </is>
      </c>
      <c r="K1777" s="9" t="n">
        <v>309531</v>
      </c>
    </row>
    <row r="1778">
      <c r="A1778" s="9" t="inlineStr">
        <is>
          <t>현빈임시테스트</t>
        </is>
      </c>
      <c r="B1778" s="10" t="n">
        <v>44275</v>
      </c>
      <c r="C1778" s="9" t="inlineStr">
        <is>
          <t>토</t>
        </is>
      </c>
      <c r="D1778" s="9" t="inlineStr">
        <is>
          <t>페이스북</t>
        </is>
      </c>
      <c r="E1778" s="9" t="inlineStr">
        <is>
          <t>샴푸</t>
        </is>
      </c>
      <c r="K1778" s="9" t="n">
        <v>51402</v>
      </c>
    </row>
    <row r="1779">
      <c r="A1779" s="9" t="inlineStr">
        <is>
          <t>0318~영상기반 단장</t>
        </is>
      </c>
      <c r="B1779" s="10" t="n">
        <v>44276</v>
      </c>
      <c r="C1779" s="9" t="inlineStr">
        <is>
          <t>일</t>
        </is>
      </c>
      <c r="D1779" s="9" t="inlineStr">
        <is>
          <t>페이스북</t>
        </is>
      </c>
      <c r="E1779" s="9" t="inlineStr">
        <is>
          <t>샴푸</t>
        </is>
      </c>
      <c r="K1779" s="9" t="n">
        <v>153944</v>
      </c>
    </row>
    <row r="1780">
      <c r="A1780" s="9" t="inlineStr">
        <is>
          <t>0317~영상배너_short</t>
        </is>
      </c>
      <c r="B1780" s="10" t="n">
        <v>44276</v>
      </c>
      <c r="C1780" s="9" t="inlineStr">
        <is>
          <t>일</t>
        </is>
      </c>
      <c r="D1780" s="9" t="inlineStr">
        <is>
          <t>페이스북</t>
        </is>
      </c>
      <c r="E1780" s="9" t="inlineStr">
        <is>
          <t>샴푸</t>
        </is>
      </c>
      <c r="K1780" s="9" t="n">
        <v>102241</v>
      </c>
    </row>
    <row r="1781">
      <c r="A1781" s="9" t="inlineStr">
        <is>
          <t>0316~영상베리</t>
        </is>
      </c>
      <c r="B1781" s="10" t="n">
        <v>44276</v>
      </c>
      <c r="C1781" s="9" t="inlineStr">
        <is>
          <t>일</t>
        </is>
      </c>
      <c r="D1781" s="9" t="inlineStr">
        <is>
          <t>페이스북</t>
        </is>
      </c>
      <c r="E1781" s="9" t="inlineStr">
        <is>
          <t>샴푸</t>
        </is>
      </c>
      <c r="K1781" s="9" t="n">
        <v>210489</v>
      </c>
    </row>
    <row r="1782">
      <c r="A1782" s="9" t="inlineStr">
        <is>
          <t>현빈임시테스트</t>
        </is>
      </c>
      <c r="B1782" s="10" t="n">
        <v>44276</v>
      </c>
      <c r="C1782" s="9" t="inlineStr">
        <is>
          <t>일</t>
        </is>
      </c>
      <c r="D1782" s="9" t="inlineStr">
        <is>
          <t>페이스북</t>
        </is>
      </c>
      <c r="E1782" s="9" t="inlineStr">
        <is>
          <t>샴푸</t>
        </is>
      </c>
      <c r="K1782" s="9" t="n">
        <v>1508</v>
      </c>
    </row>
    <row r="1783">
      <c r="A1783" s="9" t="inlineStr">
        <is>
          <t>0127_GDN_비듬샴푸_잠재고객</t>
        </is>
      </c>
      <c r="B1783" s="10" t="n">
        <v>44274</v>
      </c>
      <c r="C1783" s="9" t="inlineStr">
        <is>
          <t>금</t>
        </is>
      </c>
      <c r="D1783" s="9" t="inlineStr">
        <is>
          <t>GDN</t>
        </is>
      </c>
      <c r="E1783" s="9" t="inlineStr">
        <is>
          <t>샴푸</t>
        </is>
      </c>
      <c r="K1783" s="9" t="n">
        <v>217579</v>
      </c>
    </row>
    <row r="1784">
      <c r="A1784" s="9" t="inlineStr">
        <is>
          <t>0303_샴푸_인스트림_동영상전환수</t>
        </is>
      </c>
      <c r="B1784" s="10" t="n">
        <v>44274</v>
      </c>
      <c r="C1784" s="9" t="inlineStr">
        <is>
          <t>금</t>
        </is>
      </c>
      <c r="D1784" s="9" t="inlineStr">
        <is>
          <t>유튜브</t>
        </is>
      </c>
      <c r="E1784" s="9" t="inlineStr">
        <is>
          <t>샴푸</t>
        </is>
      </c>
      <c r="K1784" s="9" t="n">
        <v>343609</v>
      </c>
    </row>
    <row r="1785">
      <c r="A1785" s="9" t="inlineStr">
        <is>
          <t>0312_샴푸_3차_재업</t>
        </is>
      </c>
      <c r="B1785" s="10" t="n">
        <v>44274</v>
      </c>
      <c r="C1785" s="9" t="inlineStr">
        <is>
          <t>금</t>
        </is>
      </c>
      <c r="D1785" s="9" t="inlineStr">
        <is>
          <t>유튜브</t>
        </is>
      </c>
      <c r="E1785" s="9" t="inlineStr">
        <is>
          <t>샴푸</t>
        </is>
      </c>
      <c r="K1785" s="9" t="n">
        <v>13490</v>
      </c>
    </row>
    <row r="1786">
      <c r="A1786" s="9" t="inlineStr">
        <is>
          <t>0318_샴푸_VAC_잠재고객_키워드</t>
        </is>
      </c>
      <c r="B1786" s="10" t="n">
        <v>44274</v>
      </c>
      <c r="C1786" s="9" t="inlineStr">
        <is>
          <t>금</t>
        </is>
      </c>
      <c r="D1786" s="9" t="inlineStr">
        <is>
          <t>유튜브</t>
        </is>
      </c>
      <c r="E1786" s="9" t="inlineStr">
        <is>
          <t>샴푸</t>
        </is>
      </c>
      <c r="K1786" s="9" t="n">
        <v>273893</v>
      </c>
    </row>
    <row r="1787">
      <c r="A1787" s="9" t="inlineStr">
        <is>
          <t>0318_샴푸_1차_새로운채널</t>
        </is>
      </c>
      <c r="B1787" s="10" t="n">
        <v>44274</v>
      </c>
      <c r="C1787" s="9" t="inlineStr">
        <is>
          <t>금</t>
        </is>
      </c>
      <c r="D1787" s="9" t="inlineStr">
        <is>
          <t>유튜브</t>
        </is>
      </c>
      <c r="E1787" s="9" t="inlineStr">
        <is>
          <t>샴푸</t>
        </is>
      </c>
      <c r="K1787" s="9" t="n">
        <v>455879</v>
      </c>
    </row>
    <row r="1788">
      <c r="A1788" s="9" t="inlineStr">
        <is>
          <t>0318_샴푸_VAC_CPA</t>
        </is>
      </c>
      <c r="B1788" s="10" t="n">
        <v>44274</v>
      </c>
      <c r="C1788" s="9" t="inlineStr">
        <is>
          <t>금</t>
        </is>
      </c>
      <c r="D1788" s="9" t="inlineStr">
        <is>
          <t>유튜브</t>
        </is>
      </c>
      <c r="E1788" s="9" t="inlineStr">
        <is>
          <t>샴푸</t>
        </is>
      </c>
      <c r="K1788" s="9" t="n">
        <v>2427830</v>
      </c>
    </row>
    <row r="1789">
      <c r="A1789" s="9" t="inlineStr">
        <is>
          <t>0127_GDN_비듬샴푸_잠재고객</t>
        </is>
      </c>
      <c r="B1789" s="10" t="n">
        <v>44275</v>
      </c>
      <c r="C1789" s="9" t="inlineStr">
        <is>
          <t>토</t>
        </is>
      </c>
      <c r="D1789" s="9" t="inlineStr">
        <is>
          <t>GDN</t>
        </is>
      </c>
      <c r="E1789" s="9" t="inlineStr">
        <is>
          <t>샴푸</t>
        </is>
      </c>
      <c r="K1789" s="9" t="n">
        <v>198225</v>
      </c>
    </row>
    <row r="1790">
      <c r="A1790" s="9" t="inlineStr">
        <is>
          <t>0303_샴푸_인스트림_동영상전환수</t>
        </is>
      </c>
      <c r="B1790" s="10" t="n">
        <v>44275</v>
      </c>
      <c r="C1790" s="9" t="inlineStr">
        <is>
          <t>토</t>
        </is>
      </c>
      <c r="D1790" s="9" t="inlineStr">
        <is>
          <t>유튜브</t>
        </is>
      </c>
      <c r="E1790" s="9" t="inlineStr">
        <is>
          <t>샴푸</t>
        </is>
      </c>
      <c r="K1790" s="9" t="n">
        <v>328846</v>
      </c>
    </row>
    <row r="1791">
      <c r="A1791" s="9" t="inlineStr">
        <is>
          <t>0312_샴푸_3차_재업</t>
        </is>
      </c>
      <c r="B1791" s="10" t="n">
        <v>44275</v>
      </c>
      <c r="C1791" s="9" t="inlineStr">
        <is>
          <t>토</t>
        </is>
      </c>
      <c r="D1791" s="9" t="inlineStr">
        <is>
          <t>유튜브</t>
        </is>
      </c>
      <c r="E1791" s="9" t="inlineStr">
        <is>
          <t>샴푸</t>
        </is>
      </c>
      <c r="K1791" s="9" t="n">
        <v>274531</v>
      </c>
    </row>
    <row r="1792">
      <c r="A1792" s="9" t="inlineStr">
        <is>
          <t>0318_샴푸_1차_새로운채널</t>
        </is>
      </c>
      <c r="B1792" s="10" t="n">
        <v>44275</v>
      </c>
      <c r="C1792" s="9" t="inlineStr">
        <is>
          <t>토</t>
        </is>
      </c>
      <c r="D1792" s="9" t="inlineStr">
        <is>
          <t>유튜브</t>
        </is>
      </c>
      <c r="E1792" s="9" t="inlineStr">
        <is>
          <t>샴푸</t>
        </is>
      </c>
      <c r="K1792" s="9" t="n">
        <v>16248</v>
      </c>
    </row>
    <row r="1793">
      <c r="A1793" s="9" t="inlineStr">
        <is>
          <t>0318_샴푸_VAC_CPA</t>
        </is>
      </c>
      <c r="B1793" s="10" t="n">
        <v>44275</v>
      </c>
      <c r="C1793" s="9" t="inlineStr">
        <is>
          <t>토</t>
        </is>
      </c>
      <c r="D1793" s="9" t="inlineStr">
        <is>
          <t>유튜브</t>
        </is>
      </c>
      <c r="E1793" s="9" t="inlineStr">
        <is>
          <t>샴푸</t>
        </is>
      </c>
      <c r="K1793" s="9" t="n">
        <v>40929</v>
      </c>
    </row>
    <row r="1794">
      <c r="A1794" s="9" t="inlineStr">
        <is>
          <t>0320_샴푸_VAC_안타서임시로만듦</t>
        </is>
      </c>
      <c r="B1794" s="10" t="n">
        <v>44275</v>
      </c>
      <c r="C1794" s="9" t="inlineStr">
        <is>
          <t>토</t>
        </is>
      </c>
      <c r="D1794" s="9" t="inlineStr">
        <is>
          <t>유튜브</t>
        </is>
      </c>
      <c r="E1794" s="9" t="inlineStr">
        <is>
          <t>샴푸</t>
        </is>
      </c>
      <c r="K1794" s="9" t="n">
        <v>210</v>
      </c>
    </row>
    <row r="1795">
      <c r="A1795" s="9" t="inlineStr">
        <is>
          <t>0127_GDN_비듬샴푸_잠재고객</t>
        </is>
      </c>
      <c r="B1795" s="10" t="n">
        <v>44276</v>
      </c>
      <c r="C1795" s="9" t="inlineStr">
        <is>
          <t>일</t>
        </is>
      </c>
      <c r="D1795" s="9" t="inlineStr">
        <is>
          <t>GDN</t>
        </is>
      </c>
      <c r="E1795" s="9" t="inlineStr">
        <is>
          <t>샴푸</t>
        </is>
      </c>
      <c r="K1795" s="9" t="n">
        <v>215378</v>
      </c>
    </row>
    <row r="1796">
      <c r="A1796" s="9" t="inlineStr">
        <is>
          <t>0303_샴푸_인스트림_동영상전환수</t>
        </is>
      </c>
      <c r="B1796" s="10" t="n">
        <v>44276</v>
      </c>
      <c r="C1796" s="9" t="inlineStr">
        <is>
          <t>일</t>
        </is>
      </c>
      <c r="D1796" s="9" t="inlineStr">
        <is>
          <t>유튜브</t>
        </is>
      </c>
      <c r="E1796" s="9" t="inlineStr">
        <is>
          <t>샴푸</t>
        </is>
      </c>
      <c r="K1796" s="9" t="n">
        <v>367136</v>
      </c>
    </row>
    <row r="1797">
      <c r="A1797" s="9" t="inlineStr">
        <is>
          <t>0312_샴푸_3차_재업</t>
        </is>
      </c>
      <c r="B1797" s="10" t="n">
        <v>44276</v>
      </c>
      <c r="C1797" s="9" t="inlineStr">
        <is>
          <t>일</t>
        </is>
      </c>
      <c r="D1797" s="9" t="inlineStr">
        <is>
          <t>유튜브</t>
        </is>
      </c>
      <c r="E1797" s="9" t="inlineStr">
        <is>
          <t>샴푸</t>
        </is>
      </c>
      <c r="K1797" s="9" t="n">
        <v>10606</v>
      </c>
    </row>
    <row r="1798">
      <c r="A1798" s="9" t="inlineStr">
        <is>
          <t>0318_샴푸_1차_새로운채널</t>
        </is>
      </c>
      <c r="B1798" s="10" t="n">
        <v>44276</v>
      </c>
      <c r="C1798" s="9" t="inlineStr">
        <is>
          <t>일</t>
        </is>
      </c>
      <c r="D1798" s="9" t="inlineStr">
        <is>
          <t>유튜브</t>
        </is>
      </c>
      <c r="E1798" s="9" t="inlineStr">
        <is>
          <t>샴푸</t>
        </is>
      </c>
      <c r="K1798" s="9" t="n">
        <v>98</v>
      </c>
    </row>
    <row r="1799">
      <c r="A1799" s="9" t="inlineStr">
        <is>
          <t>0318_샴푸_VAC_CPA</t>
        </is>
      </c>
      <c r="B1799" s="10" t="n">
        <v>44276</v>
      </c>
      <c r="C1799" s="9" t="inlineStr">
        <is>
          <t>일</t>
        </is>
      </c>
      <c r="D1799" s="9" t="inlineStr">
        <is>
          <t>유튜브</t>
        </is>
      </c>
      <c r="E1799" s="9" t="inlineStr">
        <is>
          <t>샴푸</t>
        </is>
      </c>
      <c r="K1799" s="9" t="n">
        <v>250675</v>
      </c>
    </row>
    <row r="1800">
      <c r="A1800" s="9" t="inlineStr">
        <is>
          <t>0321_VAC_임시용</t>
        </is>
      </c>
      <c r="B1800" s="10" t="n">
        <v>44276</v>
      </c>
      <c r="C1800" s="9" t="inlineStr">
        <is>
          <t>일</t>
        </is>
      </c>
      <c r="D1800" s="9" t="inlineStr">
        <is>
          <t>유튜브</t>
        </is>
      </c>
      <c r="E1800" s="9" t="inlineStr">
        <is>
          <t>샴푸</t>
        </is>
      </c>
      <c r="K1800" s="9" t="n">
        <v>209</v>
      </c>
    </row>
    <row r="1801">
      <c r="A1801" s="9" t="inlineStr">
        <is>
          <t>0321_임시VAC</t>
        </is>
      </c>
      <c r="B1801" s="10" t="n">
        <v>44276</v>
      </c>
      <c r="C1801" s="9" t="inlineStr">
        <is>
          <t>일</t>
        </is>
      </c>
      <c r="D1801" s="9" t="inlineStr">
        <is>
          <t>유튜브</t>
        </is>
      </c>
      <c r="E1801" s="9" t="inlineStr">
        <is>
          <t>샴푸</t>
        </is>
      </c>
      <c r="K1801" s="9" t="n">
        <v>611</v>
      </c>
    </row>
    <row r="1802">
      <c r="A1802" s="9" t="inlineStr">
        <is>
          <t>라베나 파워링크_샴푸_광고그룹#1</t>
        </is>
      </c>
      <c r="B1802" s="10" t="n">
        <v>44276</v>
      </c>
      <c r="C1802" s="9" t="inlineStr">
        <is>
          <t>일</t>
        </is>
      </c>
      <c r="D1802" s="9" t="inlineStr">
        <is>
          <t>네이버 검색</t>
        </is>
      </c>
      <c r="E1802" s="9" t="inlineStr">
        <is>
          <t>샴푸</t>
        </is>
      </c>
      <c r="K1802" s="9" t="n">
        <v>999.9999999999999</v>
      </c>
    </row>
    <row r="1803">
      <c r="A1803" s="9" t="inlineStr">
        <is>
          <t>라베나 파워링크_샴푸#1_유튜브키워드기반</t>
        </is>
      </c>
      <c r="B1803" s="10" t="n">
        <v>44276</v>
      </c>
      <c r="C1803" s="9" t="inlineStr">
        <is>
          <t>일</t>
        </is>
      </c>
      <c r="D1803" s="9" t="inlineStr">
        <is>
          <t>네이버 검색</t>
        </is>
      </c>
      <c r="E1803" s="9" t="inlineStr">
        <is>
          <t>샴푸</t>
        </is>
      </c>
      <c r="K1803" s="9" t="n">
        <v>11910</v>
      </c>
    </row>
    <row r="1804">
      <c r="A1804" s="9" t="inlineStr">
        <is>
          <t>샴푸_쇼핑검색#1_광고그룹#1</t>
        </is>
      </c>
      <c r="B1804" s="10" t="n">
        <v>44276</v>
      </c>
      <c r="C1804" s="9" t="inlineStr">
        <is>
          <t>일</t>
        </is>
      </c>
      <c r="D1804" s="9" t="inlineStr">
        <is>
          <t>네이버 검색</t>
        </is>
      </c>
      <c r="E1804" s="9" t="inlineStr">
        <is>
          <t>샴푸</t>
        </is>
      </c>
      <c r="K1804" s="9" t="n">
        <v>630</v>
      </c>
    </row>
    <row r="1805">
      <c r="A1805" s="9" t="inlineStr">
        <is>
          <t>파워컨텐츠#1_비듬샴푸</t>
        </is>
      </c>
      <c r="B1805" s="10" t="n">
        <v>44276</v>
      </c>
      <c r="C1805" s="9" t="inlineStr">
        <is>
          <t>일</t>
        </is>
      </c>
      <c r="D1805" s="9" t="inlineStr">
        <is>
          <t>네이버 검색</t>
        </is>
      </c>
      <c r="E1805" s="9" t="inlineStr">
        <is>
          <t>샴푸</t>
        </is>
      </c>
      <c r="K1805" s="9" t="n">
        <v>140</v>
      </c>
    </row>
    <row r="1806">
      <c r="A1806" s="9" t="inlineStr">
        <is>
          <t>라베나 파워링크_샴푸_광고그룹#1</t>
        </is>
      </c>
      <c r="B1806" s="10" t="n">
        <v>44275</v>
      </c>
      <c r="C1806" s="9" t="inlineStr">
        <is>
          <t>토</t>
        </is>
      </c>
      <c r="D1806" s="9" t="inlineStr">
        <is>
          <t>네이버 검색</t>
        </is>
      </c>
      <c r="E1806" s="9" t="inlineStr">
        <is>
          <t>샴푸</t>
        </is>
      </c>
      <c r="K1806" s="9" t="n">
        <v>1680</v>
      </c>
    </row>
    <row r="1807">
      <c r="A1807" s="9" t="inlineStr">
        <is>
          <t>라베나 파워링크_샴푸#1_유튜브키워드기반</t>
        </is>
      </c>
      <c r="B1807" s="10" t="n">
        <v>44275</v>
      </c>
      <c r="C1807" s="9" t="inlineStr">
        <is>
          <t>토</t>
        </is>
      </c>
      <c r="D1807" s="9" t="inlineStr">
        <is>
          <t>네이버 검색</t>
        </is>
      </c>
      <c r="E1807" s="9" t="inlineStr">
        <is>
          <t>샴푸</t>
        </is>
      </c>
      <c r="K1807" s="9" t="n">
        <v>13000</v>
      </c>
    </row>
    <row r="1808">
      <c r="A1808" s="9" t="inlineStr">
        <is>
          <t>샴푸_쇼핑검색#1_광고그룹#1</t>
        </is>
      </c>
      <c r="B1808" s="10" t="n">
        <v>44275</v>
      </c>
      <c r="C1808" s="9" t="inlineStr">
        <is>
          <t>토</t>
        </is>
      </c>
      <c r="D1808" s="9" t="inlineStr">
        <is>
          <t>네이버 검색</t>
        </is>
      </c>
      <c r="E1808" s="9" t="inlineStr">
        <is>
          <t>샴푸</t>
        </is>
      </c>
      <c r="K1808" s="9" t="n">
        <v>5410</v>
      </c>
    </row>
    <row r="1809">
      <c r="A1809" s="9" t="inlineStr">
        <is>
          <t>파워컨텐츠#1_비듬샴푸</t>
        </is>
      </c>
      <c r="B1809" s="10" t="n">
        <v>44275</v>
      </c>
      <c r="C1809" s="9" t="inlineStr">
        <is>
          <t>토</t>
        </is>
      </c>
      <c r="D1809" s="9" t="inlineStr">
        <is>
          <t>네이버 검색</t>
        </is>
      </c>
      <c r="E1809" s="9" t="inlineStr">
        <is>
          <t>샴푸</t>
        </is>
      </c>
      <c r="K1809" s="9" t="n">
        <v>70</v>
      </c>
    </row>
    <row r="1810">
      <c r="A1810" s="9" t="inlineStr">
        <is>
          <t>라베나 파워링크_샴푸_광고그룹#1</t>
        </is>
      </c>
      <c r="B1810" s="10" t="n">
        <v>44274</v>
      </c>
      <c r="C1810" s="9" t="inlineStr">
        <is>
          <t>금</t>
        </is>
      </c>
      <c r="D1810" s="9" t="inlineStr">
        <is>
          <t>네이버 검색</t>
        </is>
      </c>
      <c r="E1810" s="9" t="inlineStr">
        <is>
          <t>샴푸</t>
        </is>
      </c>
      <c r="K1810" s="9" t="n">
        <v>1770</v>
      </c>
    </row>
    <row r="1811">
      <c r="A1811" s="9" t="inlineStr">
        <is>
          <t>라베나 파워링크_샴푸#1_유튜브키워드기반</t>
        </is>
      </c>
      <c r="B1811" s="10" t="n">
        <v>44274</v>
      </c>
      <c r="C1811" s="9" t="inlineStr">
        <is>
          <t>금</t>
        </is>
      </c>
      <c r="D1811" s="9" t="inlineStr">
        <is>
          <t>네이버 검색</t>
        </is>
      </c>
      <c r="E1811" s="9" t="inlineStr">
        <is>
          <t>샴푸</t>
        </is>
      </c>
      <c r="K1811" s="9" t="n">
        <v>25060</v>
      </c>
    </row>
    <row r="1812">
      <c r="A1812" s="9" t="inlineStr">
        <is>
          <t>샴푸_쇼핑검색#1_광고그룹#1</t>
        </is>
      </c>
      <c r="B1812" s="10" t="n">
        <v>44274</v>
      </c>
      <c r="C1812" s="9" t="inlineStr">
        <is>
          <t>금</t>
        </is>
      </c>
      <c r="D1812" s="9" t="inlineStr">
        <is>
          <t>네이버 검색</t>
        </is>
      </c>
      <c r="E1812" s="9" t="inlineStr">
        <is>
          <t>샴푸</t>
        </is>
      </c>
      <c r="K1812" s="9" t="n">
        <v>3040</v>
      </c>
    </row>
    <row r="1813">
      <c r="A1813" s="9" t="inlineStr">
        <is>
          <t>파워컨텐츠#1_비듬샴푸</t>
        </is>
      </c>
      <c r="B1813" s="10" t="n">
        <v>44274</v>
      </c>
      <c r="C1813" s="9" t="inlineStr">
        <is>
          <t>금</t>
        </is>
      </c>
      <c r="D1813" s="9" t="inlineStr">
        <is>
          <t>네이버 검색</t>
        </is>
      </c>
      <c r="E1813" s="9" t="inlineStr">
        <is>
          <t>샴푸</t>
        </is>
      </c>
      <c r="K1813" s="9" t="n">
        <v>70</v>
      </c>
    </row>
    <row r="1814">
      <c r="B1814" s="10" t="n">
        <v>44274</v>
      </c>
      <c r="C1814" s="9" t="inlineStr">
        <is>
          <t>금</t>
        </is>
      </c>
      <c r="E1814" s="9" t="inlineStr">
        <is>
          <t>샴푸</t>
        </is>
      </c>
      <c r="F1814" s="9" t="inlineStr">
        <is>
          <t>라베나 CS</t>
        </is>
      </c>
      <c r="G1814" s="9" t="inlineStr">
        <is>
          <t>라베나 리커버리 15 리바이탈 바이오플라보노이드샴푸 [HAIR RÉ:COVERY 15 Revital Shampoo]제품선택=헤어 리커버리 15 리바이탈 샴푸 - 500ml</t>
        </is>
      </c>
      <c r="H1814" s="9" t="n">
        <v>1</v>
      </c>
      <c r="I1814" s="9" t="inlineStr">
        <is>
          <t>리바이탈 샴푸</t>
        </is>
      </c>
      <c r="J1814" s="9" t="inlineStr">
        <is>
          <t>210201</t>
        </is>
      </c>
      <c r="L1814" s="9" t="n">
        <v>0</v>
      </c>
      <c r="M1814" s="9" t="n">
        <v>0</v>
      </c>
      <c r="N1814" s="9" t="n">
        <v>2865</v>
      </c>
      <c r="O1814" s="9" t="inlineStr">
        <is>
          <t>라베나 CS샴푸라베나 리커버리 15 리바이탈 바이오플라보노이드샴푸 [HAIR RÉ:COVERY 15 Revital Shampoo]제품선택=헤어 리커버리 15 리바이탈 샴푸 - 500ml210201</t>
        </is>
      </c>
    </row>
    <row r="1815">
      <c r="B1815" s="10" t="n">
        <v>44274</v>
      </c>
      <c r="C1815" s="9" t="inlineStr">
        <is>
          <t>금</t>
        </is>
      </c>
      <c r="E1815" s="9" t="inlineStr">
        <is>
          <t>뉴트리셔스밤</t>
        </is>
      </c>
      <c r="F1815" s="9" t="inlineStr">
        <is>
          <t>카페24</t>
        </is>
      </c>
      <c r="G1815" s="9" t="inlineStr">
        <is>
          <t>라베나 리커버리 15 뉴트리셔스 밤 [HAIR RÉ:COVERY 15 Nutritious Balm]제품선택=헤어 리커버리 15 뉴트리셔스 밤</t>
        </is>
      </c>
      <c r="H1815" s="9" t="n">
        <v>1</v>
      </c>
      <c r="I1815" s="9" t="inlineStr">
        <is>
          <t>뉴트리셔스밤</t>
        </is>
      </c>
      <c r="J1815" s="9" t="inlineStr">
        <is>
          <t>210201</t>
        </is>
      </c>
      <c r="L1815" s="9" t="n">
        <v>24900</v>
      </c>
      <c r="M1815" s="9" t="n">
        <v>23443.35</v>
      </c>
      <c r="N1815" s="9" t="n">
        <v>1580</v>
      </c>
      <c r="O1815" s="9" t="inlineStr">
        <is>
          <t>카페24뉴트리셔스밤라베나 리커버리 15 뉴트리셔스 밤 [HAIR RÉ:COVERY 15 Nutritious Balm]제품선택=헤어 리커버리 15 뉴트리셔스 밤210201</t>
        </is>
      </c>
    </row>
    <row r="1816">
      <c r="B1816" s="10" t="n">
        <v>44274</v>
      </c>
      <c r="C1816" s="9" t="inlineStr">
        <is>
          <t>금</t>
        </is>
      </c>
      <c r="E1816" s="9" t="inlineStr">
        <is>
          <t>뉴트리셔스밤</t>
        </is>
      </c>
      <c r="F1816" s="9" t="inlineStr">
        <is>
          <t>카페24</t>
        </is>
      </c>
      <c r="G1816" s="9" t="inlineStr">
        <is>
          <t>라베나 리커버리 15 뉴트리셔스 밤 [HAIR RÉ:COVERY 15 Nutritious Balm]제품선택=뉴트리셔스 밤 2개 세트 5% 추가할인</t>
        </is>
      </c>
      <c r="H1816" s="9" t="n">
        <v>1</v>
      </c>
      <c r="I1816" s="9" t="inlineStr">
        <is>
          <t>뉴트리셔스밤 2set</t>
        </is>
      </c>
      <c r="J1816" s="9" t="inlineStr">
        <is>
          <t>210201</t>
        </is>
      </c>
      <c r="L1816" s="9" t="n">
        <v>47310</v>
      </c>
      <c r="M1816" s="9" t="n">
        <v>44542.365</v>
      </c>
      <c r="N1816" s="9" t="n">
        <v>3160</v>
      </c>
      <c r="O1816" s="9" t="inlineStr">
        <is>
          <t>카페24뉴트리셔스밤라베나 리커버리 15 뉴트리셔스 밤 [HAIR RÉ:COVERY 15 Nutritious Balm]제품선택=뉴트리셔스 밤 2개 세트 5% 추가할인210201</t>
        </is>
      </c>
    </row>
    <row r="1817">
      <c r="B1817" s="10" t="n">
        <v>44274</v>
      </c>
      <c r="C1817" s="9" t="inlineStr">
        <is>
          <t>금</t>
        </is>
      </c>
      <c r="E1817" s="9" t="inlineStr">
        <is>
          <t>뉴트리셔스밤</t>
        </is>
      </c>
      <c r="F1817" s="9" t="inlineStr">
        <is>
          <t>카페24</t>
        </is>
      </c>
      <c r="G1817" s="9" t="inlineStr">
        <is>
          <t>라베나 리커버리 15 뉴트리셔스 밤 [HAIR RÉ:COVERY 15 Nutritious Balm]제품선택=뉴트리셔스 밤 3개 세트 10% 추가할인</t>
        </is>
      </c>
      <c r="H1817" s="9" t="n">
        <v>1</v>
      </c>
      <c r="I1817" s="9" t="inlineStr">
        <is>
          <t>뉴트리셔스밤 3set</t>
        </is>
      </c>
      <c r="J1817" s="9" t="inlineStr">
        <is>
          <t>210201</t>
        </is>
      </c>
      <c r="L1817" s="9" t="n">
        <v>67230</v>
      </c>
      <c r="M1817" s="9" t="n">
        <v>63297.045</v>
      </c>
      <c r="N1817" s="9" t="n">
        <v>4740</v>
      </c>
      <c r="O1817" s="9" t="inlineStr">
        <is>
          <t>카페24뉴트리셔스밤라베나 리커버리 15 뉴트리셔스 밤 [HAIR RÉ:COVERY 15 Nutritious Balm]제품선택=뉴트리셔스 밤 3개 세트 10% 추가할인210201</t>
        </is>
      </c>
    </row>
    <row r="1818">
      <c r="B1818" s="10" t="n">
        <v>44274</v>
      </c>
      <c r="C1818" s="9" t="inlineStr">
        <is>
          <t>금</t>
        </is>
      </c>
      <c r="E1818" s="9" t="inlineStr">
        <is>
          <t>샴푸</t>
        </is>
      </c>
      <c r="F1818" s="9" t="inlineStr">
        <is>
          <t>카페24</t>
        </is>
      </c>
      <c r="G1818" s="9" t="inlineStr">
        <is>
          <t>라베나 리커버리 15 리바이탈 바이오플라보노이드샴푸 [HAIR RÉ:COVERY 15 Revital Shampoo]제품선택=헤어 리커버리 15 리바이탈 샴푸 - 500ml</t>
        </is>
      </c>
      <c r="H1818" s="9" t="n">
        <v>184</v>
      </c>
      <c r="I1818" s="9" t="inlineStr">
        <is>
          <t>리바이탈 샴푸</t>
        </is>
      </c>
      <c r="J1818" s="9" t="inlineStr">
        <is>
          <t>210201</t>
        </is>
      </c>
      <c r="L1818" s="9" t="n">
        <v>4949600</v>
      </c>
      <c r="M1818" s="9" t="n">
        <v>4660048.399999999</v>
      </c>
      <c r="N1818" s="9" t="n">
        <v>527160</v>
      </c>
      <c r="O181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819">
      <c r="B1819" s="10" t="n">
        <v>44274</v>
      </c>
      <c r="C1819" s="9" t="inlineStr">
        <is>
          <t>금</t>
        </is>
      </c>
      <c r="E1819" s="9" t="inlineStr">
        <is>
          <t>샴푸</t>
        </is>
      </c>
      <c r="F1819" s="9" t="inlineStr">
        <is>
          <t>카페24</t>
        </is>
      </c>
      <c r="G1819" s="9" t="inlineStr">
        <is>
          <t>라베나 리커버리 15 리바이탈 바이오플라보노이드샴푸 [HAIR RÉ:COVERY 15 Revital Shampoo]제품선택=리바이탈 샴푸 2개 세트 5%추가할인</t>
        </is>
      </c>
      <c r="H1819" s="9" t="n">
        <v>48</v>
      </c>
      <c r="I1819" s="9" t="inlineStr">
        <is>
          <t>리바이탈 샴푸 2set</t>
        </is>
      </c>
      <c r="J1819" s="9" t="inlineStr">
        <is>
          <t>210201</t>
        </is>
      </c>
      <c r="L1819" s="9" t="n">
        <v>2453280</v>
      </c>
      <c r="M1819" s="9" t="n">
        <v>2309763.12</v>
      </c>
      <c r="N1819" s="9" t="n">
        <v>275040</v>
      </c>
      <c r="O181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820">
      <c r="B1820" s="10" t="n">
        <v>44274</v>
      </c>
      <c r="C1820" s="9" t="inlineStr">
        <is>
          <t>금</t>
        </is>
      </c>
      <c r="E1820" s="9" t="inlineStr">
        <is>
          <t>샴푸</t>
        </is>
      </c>
      <c r="F1820" s="9" t="inlineStr">
        <is>
          <t>카페24</t>
        </is>
      </c>
      <c r="G1820" s="9" t="inlineStr">
        <is>
          <t>라베나 리커버리 15 리바이탈 바이오플라보노이드샴푸 [HAIR RÉ:COVERY 15 Revital Shampoo]제품선택=리바이탈 샴푸 3개 세트 10% 추가할인</t>
        </is>
      </c>
      <c r="H1820" s="9" t="n">
        <v>19</v>
      </c>
      <c r="I1820" s="9" t="inlineStr">
        <is>
          <t>리바이탈 샴푸 3set</t>
        </is>
      </c>
      <c r="J1820" s="9" t="inlineStr">
        <is>
          <t>210201</t>
        </is>
      </c>
      <c r="L1820" s="9" t="n">
        <v>1379970</v>
      </c>
      <c r="M1820" s="9" t="n">
        <v>1299241.755</v>
      </c>
      <c r="N1820" s="9" t="n">
        <v>163305</v>
      </c>
      <c r="O182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821">
      <c r="B1821" s="10" t="n">
        <v>44274</v>
      </c>
      <c r="C1821" s="9" t="inlineStr">
        <is>
          <t>금</t>
        </is>
      </c>
      <c r="E1821" s="9" t="inlineStr">
        <is>
          <t>트리트먼트</t>
        </is>
      </c>
      <c r="F1821" s="9" t="inlineStr">
        <is>
          <t>카페24</t>
        </is>
      </c>
      <c r="G1821" s="9" t="inlineStr">
        <is>
          <t>라베나 리커버리 15 헤어팩 트리트먼트 [HAIR RÉ:COVERY 15 Hairpack Treatment]제품선택=헤어 리커버리 15 헤어팩 트리트먼트</t>
        </is>
      </c>
      <c r="H1821" s="9" t="n">
        <v>2</v>
      </c>
      <c r="I1821" s="9" t="inlineStr">
        <is>
          <t>트리트먼트</t>
        </is>
      </c>
      <c r="J1821" s="9" t="inlineStr">
        <is>
          <t>210201</t>
        </is>
      </c>
      <c r="L1821" s="9" t="n">
        <v>52000</v>
      </c>
      <c r="M1821" s="9" t="n">
        <v>48958</v>
      </c>
      <c r="N1821" s="9" t="n">
        <v>3194</v>
      </c>
      <c r="O182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822">
      <c r="B1822" s="10" t="n">
        <v>44274</v>
      </c>
      <c r="C1822" s="9" t="inlineStr">
        <is>
          <t>금</t>
        </is>
      </c>
      <c r="E1822" s="9" t="inlineStr">
        <is>
          <t>트리트먼트</t>
        </is>
      </c>
      <c r="F1822" s="9" t="inlineStr">
        <is>
          <t>카페24</t>
        </is>
      </c>
      <c r="G1822" s="9" t="inlineStr">
        <is>
          <t>라베나 리커버리 15 헤어팩 트리트먼트 [HAIR RÉ:COVERY 15 Hairpack Treatment]제품선택=헤어팩 트리트먼트 1개 + 뉴트리셔스밤 1개 세트 5% 추가할인</t>
        </is>
      </c>
      <c r="H1822" s="9" t="n">
        <v>1</v>
      </c>
      <c r="I1822" s="9" t="inlineStr">
        <is>
          <t>트리트먼트+뉴트리셔스밤</t>
        </is>
      </c>
      <c r="J1822" s="9" t="inlineStr">
        <is>
          <t>210201</t>
        </is>
      </c>
      <c r="L1822" s="9" t="n">
        <v>48355</v>
      </c>
      <c r="M1822" s="9" t="n">
        <v>45526.2325</v>
      </c>
      <c r="N1822" s="9" t="n">
        <v>3177</v>
      </c>
      <c r="O1822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823">
      <c r="B1823" s="10" t="n">
        <v>44275</v>
      </c>
      <c r="C1823" s="9" t="inlineStr">
        <is>
          <t>토</t>
        </is>
      </c>
      <c r="E1823" s="9" t="inlineStr">
        <is>
          <t>뉴트리셔스밤</t>
        </is>
      </c>
      <c r="F1823" s="9" t="inlineStr">
        <is>
          <t>카페24</t>
        </is>
      </c>
      <c r="G1823" s="9" t="inlineStr">
        <is>
          <t>라베나 리커버리 15 뉴트리셔스 밤 [HAIR RÉ:COVERY 15 Nutritious Balm]제품선택=뉴트리셔스밤 1개 + 헤어팩 트리트먼트 1개 세트 5%추가할인</t>
        </is>
      </c>
      <c r="H1823" s="9" t="n">
        <v>1</v>
      </c>
      <c r="I1823" s="9" t="inlineStr">
        <is>
          <t>트리트먼트+뉴트리셔스밤</t>
        </is>
      </c>
      <c r="J1823" s="9" t="inlineStr">
        <is>
          <t>210201</t>
        </is>
      </c>
      <c r="L1823" s="9" t="n">
        <v>48355</v>
      </c>
      <c r="M1823" s="9" t="n">
        <v>45526.2325</v>
      </c>
      <c r="N1823" s="9" t="n">
        <v>3177</v>
      </c>
      <c r="O1823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824">
      <c r="B1824" s="10" t="n">
        <v>44275</v>
      </c>
      <c r="C1824" s="9" t="inlineStr">
        <is>
          <t>토</t>
        </is>
      </c>
      <c r="E1824" s="9" t="inlineStr">
        <is>
          <t>샴푸</t>
        </is>
      </c>
      <c r="F1824" s="9" t="inlineStr">
        <is>
          <t>카페24</t>
        </is>
      </c>
      <c r="G1824" s="9" t="inlineStr">
        <is>
          <t>라베나 리커버리 15 리바이탈 바이오플라보노이드샴푸 [HAIR RÉ:COVERY 15 Revital Shampoo]제품선택=헤어 리커버리 15 리바이탈 샴푸 - 500ml</t>
        </is>
      </c>
      <c r="H1824" s="9" t="n">
        <v>87</v>
      </c>
      <c r="I1824" s="9" t="inlineStr">
        <is>
          <t>리바이탈 샴푸</t>
        </is>
      </c>
      <c r="J1824" s="9" t="inlineStr">
        <is>
          <t>210201</t>
        </is>
      </c>
      <c r="L1824" s="9" t="n">
        <v>2340300</v>
      </c>
      <c r="M1824" s="9" t="n">
        <v>2203392.45</v>
      </c>
      <c r="N1824" s="9" t="n">
        <v>249255</v>
      </c>
      <c r="O182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825">
      <c r="B1825" s="10" t="n">
        <v>44275</v>
      </c>
      <c r="C1825" s="9" t="inlineStr">
        <is>
          <t>토</t>
        </is>
      </c>
      <c r="E1825" s="9" t="inlineStr">
        <is>
          <t>샴푸</t>
        </is>
      </c>
      <c r="F1825" s="9" t="inlineStr">
        <is>
          <t>카페24</t>
        </is>
      </c>
      <c r="G1825" s="9" t="inlineStr">
        <is>
          <t>라베나 리커버리 15 리바이탈 바이오플라보노이드샴푸 [HAIR RÉ:COVERY 15 Revital Shampoo]제품선택=리바이탈 샴푸 2개 세트 5%추가할인</t>
        </is>
      </c>
      <c r="H1825" s="9" t="n">
        <v>21</v>
      </c>
      <c r="I1825" s="9" t="inlineStr">
        <is>
          <t>리바이탈 샴푸 2set</t>
        </is>
      </c>
      <c r="J1825" s="9" t="inlineStr">
        <is>
          <t>210201</t>
        </is>
      </c>
      <c r="L1825" s="9" t="n">
        <v>1073310</v>
      </c>
      <c r="M1825" s="9" t="n">
        <v>1010521.365</v>
      </c>
      <c r="N1825" s="9" t="n">
        <v>120330</v>
      </c>
      <c r="O182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826">
      <c r="B1826" s="10" t="n">
        <v>44275</v>
      </c>
      <c r="C1826" s="9" t="inlineStr">
        <is>
          <t>토</t>
        </is>
      </c>
      <c r="E1826" s="9" t="inlineStr">
        <is>
          <t>샴푸</t>
        </is>
      </c>
      <c r="F1826" s="9" t="inlineStr">
        <is>
          <t>카페24</t>
        </is>
      </c>
      <c r="G1826" s="9" t="inlineStr">
        <is>
          <t>라베나 리커버리 15 리바이탈 바이오플라보노이드샴푸 [HAIR RÉ:COVERY 15 Revital Shampoo]제품선택=리바이탈 샴푸 3개 세트 10% 추가할인</t>
        </is>
      </c>
      <c r="H1826" s="9" t="n">
        <v>8</v>
      </c>
      <c r="I1826" s="9" t="inlineStr">
        <is>
          <t>리바이탈 샴푸 3set</t>
        </is>
      </c>
      <c r="J1826" s="9" t="inlineStr">
        <is>
          <t>210201</t>
        </is>
      </c>
      <c r="L1826" s="9" t="n">
        <v>581040</v>
      </c>
      <c r="M1826" s="9" t="n">
        <v>547049.16</v>
      </c>
      <c r="N1826" s="9" t="n">
        <v>68760</v>
      </c>
      <c r="O182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827">
      <c r="B1827" s="10" t="n">
        <v>44275</v>
      </c>
      <c r="C1827" s="9" t="inlineStr">
        <is>
          <t>토</t>
        </is>
      </c>
      <c r="E1827" s="9" t="inlineStr">
        <is>
          <t>트리트먼트</t>
        </is>
      </c>
      <c r="F1827" s="9" t="inlineStr">
        <is>
          <t>카페24</t>
        </is>
      </c>
      <c r="G1827" s="9" t="inlineStr">
        <is>
          <t>라베나 리커버리 15 헤어팩 트리트먼트 [HAIR RÉ:COVERY 15 Hairpack Treatment]제품선택=헤어 리커버리 15 헤어팩 트리트먼트</t>
        </is>
      </c>
      <c r="H1827" s="9" t="n">
        <v>1</v>
      </c>
      <c r="I1827" s="9" t="inlineStr">
        <is>
          <t>트리트먼트</t>
        </is>
      </c>
      <c r="J1827" s="9" t="inlineStr">
        <is>
          <t>210201</t>
        </is>
      </c>
      <c r="L1827" s="9" t="n">
        <v>26000</v>
      </c>
      <c r="M1827" s="9" t="n">
        <v>24479</v>
      </c>
      <c r="N1827" s="9" t="n">
        <v>1597</v>
      </c>
      <c r="O182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828">
      <c r="B1828" s="10" t="n">
        <v>44275</v>
      </c>
      <c r="C1828" s="9" t="inlineStr">
        <is>
          <t>토</t>
        </is>
      </c>
      <c r="E1828" s="9" t="inlineStr">
        <is>
          <t>트리트먼트</t>
        </is>
      </c>
      <c r="F1828" s="9" t="inlineStr">
        <is>
          <t>카페24</t>
        </is>
      </c>
      <c r="G1828" s="9" t="inlineStr">
        <is>
          <t>라베나 리커버리 15 헤어팩 트리트먼트 [HAIR RÉ:COVERY 15 Hairpack Treatment]제품선택=헤어팩 트리트먼트 2개 세트 5% 추가할인</t>
        </is>
      </c>
      <c r="H1828" s="9" t="n">
        <v>2</v>
      </c>
      <c r="I1828" s="9" t="inlineStr">
        <is>
          <t>트리트먼트 2set</t>
        </is>
      </c>
      <c r="J1828" s="9" t="inlineStr">
        <is>
          <t>210201</t>
        </is>
      </c>
      <c r="L1828" s="9" t="n">
        <v>98800</v>
      </c>
      <c r="M1828" s="9" t="n">
        <v>93020.2</v>
      </c>
      <c r="N1828" s="9" t="n">
        <v>6388</v>
      </c>
      <c r="O1828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829">
      <c r="B1829" s="10" t="n">
        <v>44275</v>
      </c>
      <c r="C1829" s="9" t="inlineStr">
        <is>
          <t>토</t>
        </is>
      </c>
      <c r="E1829" s="9" t="inlineStr">
        <is>
          <t>트리트먼트</t>
        </is>
      </c>
      <c r="F1829" s="9" t="inlineStr">
        <is>
          <t>카페24</t>
        </is>
      </c>
      <c r="G1829" s="9" t="inlineStr">
        <is>
          <t>라베나 리커버리 15 헤어팩 트리트먼트 [HAIR RÉ:COVERY 15 Hairpack Treatment]제품선택=헤어팩 트리트먼트 1개 + 뉴트리셔스밤 1개 세트 5% 추가할인</t>
        </is>
      </c>
      <c r="H1829" s="9" t="n">
        <v>1</v>
      </c>
      <c r="I1829" s="9" t="inlineStr">
        <is>
          <t>트리트먼트+뉴트리셔스밤</t>
        </is>
      </c>
      <c r="J1829" s="9" t="inlineStr">
        <is>
          <t>210201</t>
        </is>
      </c>
      <c r="L1829" s="9" t="n">
        <v>48355</v>
      </c>
      <c r="M1829" s="9" t="n">
        <v>45526.2325</v>
      </c>
      <c r="N1829" s="9" t="n">
        <v>3177</v>
      </c>
      <c r="O1829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830">
      <c r="B1830" s="10" t="n">
        <v>44276</v>
      </c>
      <c r="C1830" s="9" t="inlineStr">
        <is>
          <t>일</t>
        </is>
      </c>
      <c r="E1830" s="9" t="inlineStr">
        <is>
          <t>샴푸</t>
        </is>
      </c>
      <c r="F1830" s="9" t="inlineStr">
        <is>
          <t>카페24</t>
        </is>
      </c>
      <c r="G1830" s="9" t="inlineStr">
        <is>
          <t>라베나 리커버리 15 리바이탈 바이오플라보노이드샴푸 [HAIR RÉ:COVERY 15 Revital Shampoo]제품선택=헤어 리커버리 15 리바이탈 샴푸 - 500ml</t>
        </is>
      </c>
      <c r="H1830" s="9" t="n">
        <v>61</v>
      </c>
      <c r="I1830" s="9" t="inlineStr">
        <is>
          <t>리바이탈 샴푸</t>
        </is>
      </c>
      <c r="J1830" s="9" t="inlineStr">
        <is>
          <t>210201</t>
        </is>
      </c>
      <c r="L1830" s="9" t="n">
        <v>1640900</v>
      </c>
      <c r="M1830" s="9" t="n">
        <v>1544907.35</v>
      </c>
      <c r="N1830" s="9" t="n">
        <v>174765</v>
      </c>
      <c r="O183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831">
      <c r="B1831" s="10" t="n">
        <v>44276</v>
      </c>
      <c r="C1831" s="9" t="inlineStr">
        <is>
          <t>일</t>
        </is>
      </c>
      <c r="E1831" s="9" t="inlineStr">
        <is>
          <t>샴푸</t>
        </is>
      </c>
      <c r="F1831" s="9" t="inlineStr">
        <is>
          <t>카페24</t>
        </is>
      </c>
      <c r="G1831" s="9" t="inlineStr">
        <is>
          <t>라베나 리커버리 15 리바이탈 바이오플라보노이드샴푸 [HAIR RÉ:COVERY 15 Revital Shampoo]제품선택=리바이탈 샴푸 2개 세트 5%추가할인</t>
        </is>
      </c>
      <c r="H1831" s="9" t="n">
        <v>27</v>
      </c>
      <c r="I1831" s="9" t="inlineStr">
        <is>
          <t>리바이탈 샴푸 2set</t>
        </is>
      </c>
      <c r="J1831" s="9" t="inlineStr">
        <is>
          <t>210201</t>
        </is>
      </c>
      <c r="L1831" s="9" t="n">
        <v>1379970</v>
      </c>
      <c r="M1831" s="9" t="n">
        <v>1299241.755</v>
      </c>
      <c r="N1831" s="9" t="n">
        <v>154710</v>
      </c>
      <c r="O183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832">
      <c r="B1832" s="10" t="n">
        <v>44276</v>
      </c>
      <c r="C1832" s="9" t="inlineStr">
        <is>
          <t>일</t>
        </is>
      </c>
      <c r="E1832" s="9" t="inlineStr">
        <is>
          <t>샴푸</t>
        </is>
      </c>
      <c r="F1832" s="9" t="inlineStr">
        <is>
          <t>카페24</t>
        </is>
      </c>
      <c r="G1832" s="9" t="inlineStr">
        <is>
          <t>라베나 리커버리 15 리바이탈 바이오플라보노이드샴푸 [HAIR RÉ:COVERY 15 Revital Shampoo]제품선택=리바이탈 샴푸 3개 세트 10% 추가할인</t>
        </is>
      </c>
      <c r="H1832" s="9" t="n">
        <v>12</v>
      </c>
      <c r="I1832" s="9" t="inlineStr">
        <is>
          <t>리바이탈 샴푸 3set</t>
        </is>
      </c>
      <c r="J1832" s="9" t="inlineStr">
        <is>
          <t>210201</t>
        </is>
      </c>
      <c r="L1832" s="9" t="n">
        <v>871560</v>
      </c>
      <c r="M1832" s="9" t="n">
        <v>820573.74</v>
      </c>
      <c r="N1832" s="9" t="n">
        <v>103140</v>
      </c>
      <c r="O183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833">
      <c r="B1833" s="10" t="n">
        <v>44276</v>
      </c>
      <c r="C1833" s="9" t="inlineStr">
        <is>
          <t>일</t>
        </is>
      </c>
      <c r="E1833" s="9" t="inlineStr">
        <is>
          <t>트리트먼트</t>
        </is>
      </c>
      <c r="F1833" s="9" t="inlineStr">
        <is>
          <t>카페24</t>
        </is>
      </c>
      <c r="G1833" s="9" t="inlineStr">
        <is>
          <t>라베나 리커버리 15 헤어팩 트리트먼트 [HAIR RÉ:COVERY 15 Hairpack Treatment]제품선택=헤어 리커버리 15 헤어팩 트리트먼트</t>
        </is>
      </c>
      <c r="H1833" s="9" t="n">
        <v>3</v>
      </c>
      <c r="I1833" s="9" t="inlineStr">
        <is>
          <t>트리트먼트</t>
        </is>
      </c>
      <c r="J1833" s="9" t="inlineStr">
        <is>
          <t>210201</t>
        </is>
      </c>
      <c r="L1833" s="9" t="n">
        <v>78000</v>
      </c>
      <c r="M1833" s="9" t="n">
        <v>73437</v>
      </c>
      <c r="N1833" s="9" t="n">
        <v>4791</v>
      </c>
      <c r="O183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834">
      <c r="B1834" s="10" t="n">
        <v>44276</v>
      </c>
      <c r="C1834" s="9" t="inlineStr">
        <is>
          <t>일</t>
        </is>
      </c>
      <c r="E1834" s="9" t="inlineStr">
        <is>
          <t>트리트먼트</t>
        </is>
      </c>
      <c r="F1834" s="9" t="inlineStr">
        <is>
          <t>카페24</t>
        </is>
      </c>
      <c r="G1834" s="9" t="inlineStr">
        <is>
          <t>라베나 리커버리 15 헤어팩 트리트먼트 [HAIR RÉ:COVERY 15 Hairpack Treatment]제품선택=헤어팩 트리트먼트 2개 세트 5% 추가할인</t>
        </is>
      </c>
      <c r="H1834" s="9" t="n">
        <v>1</v>
      </c>
      <c r="I1834" s="9" t="inlineStr">
        <is>
          <t>트리트먼트 2set</t>
        </is>
      </c>
      <c r="J1834" s="9" t="inlineStr">
        <is>
          <t>210201</t>
        </is>
      </c>
      <c r="L1834" s="9" t="n">
        <v>49400</v>
      </c>
      <c r="M1834" s="9" t="n">
        <v>46510.1</v>
      </c>
      <c r="N1834" s="9" t="n">
        <v>3194</v>
      </c>
      <c r="O183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835">
      <c r="B1835" s="10" t="n">
        <v>44276</v>
      </c>
      <c r="C1835" s="9" t="inlineStr">
        <is>
          <t>일</t>
        </is>
      </c>
      <c r="E1835" s="9" t="inlineStr">
        <is>
          <t>트리트먼트</t>
        </is>
      </c>
      <c r="F1835" s="9" t="inlineStr">
        <is>
          <t>카페24</t>
        </is>
      </c>
      <c r="G1835" s="9" t="inlineStr">
        <is>
          <t>라베나 리커버리 15 헤어팩 트리트먼트 [HAIR RÉ:COVERY 15 Hairpack Treatment]제품선택=헤어팩 트리트먼트 1개 + 뉴트리셔스밤 1개 세트 5% 추가할인</t>
        </is>
      </c>
      <c r="H1835" s="9" t="n">
        <v>1</v>
      </c>
      <c r="I1835" s="9" t="inlineStr">
        <is>
          <t>트리트먼트+뉴트리셔스밤</t>
        </is>
      </c>
      <c r="J1835" s="9" t="inlineStr">
        <is>
          <t>210201</t>
        </is>
      </c>
      <c r="L1835" s="9" t="n">
        <v>48355</v>
      </c>
      <c r="M1835" s="9" t="n">
        <v>45526.2325</v>
      </c>
      <c r="N1835" s="9" t="n">
        <v>3177</v>
      </c>
      <c r="O1835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836">
      <c r="A1836" s="9" t="inlineStr">
        <is>
          <t>0318~영상기반 단장</t>
        </is>
      </c>
      <c r="B1836" s="10" t="n">
        <v>44277</v>
      </c>
      <c r="C1836" s="9" t="inlineStr">
        <is>
          <t>월</t>
        </is>
      </c>
      <c r="D1836" s="9" t="inlineStr">
        <is>
          <t>페이스북</t>
        </is>
      </c>
      <c r="E1836" s="9" t="inlineStr">
        <is>
          <t>샴푸</t>
        </is>
      </c>
      <c r="K1836" s="9" t="n">
        <v>127159</v>
      </c>
    </row>
    <row r="1837">
      <c r="A1837" s="9" t="inlineStr">
        <is>
          <t>0317~영상배너_short</t>
        </is>
      </c>
      <c r="B1837" s="10" t="n">
        <v>44277</v>
      </c>
      <c r="C1837" s="9" t="inlineStr">
        <is>
          <t>월</t>
        </is>
      </c>
      <c r="D1837" s="9" t="inlineStr">
        <is>
          <t>페이스북</t>
        </is>
      </c>
      <c r="E1837" s="9" t="inlineStr">
        <is>
          <t>샴푸</t>
        </is>
      </c>
      <c r="K1837" s="9" t="n">
        <v>100433</v>
      </c>
    </row>
    <row r="1838">
      <c r="A1838" s="9" t="inlineStr">
        <is>
          <t>0316~영상베리</t>
        </is>
      </c>
      <c r="B1838" s="10" t="n">
        <v>44277</v>
      </c>
      <c r="C1838" s="9" t="inlineStr">
        <is>
          <t>월</t>
        </is>
      </c>
      <c r="D1838" s="9" t="inlineStr">
        <is>
          <t>페이스북</t>
        </is>
      </c>
      <c r="E1838" s="9" t="inlineStr">
        <is>
          <t>샴푸</t>
        </is>
      </c>
      <c r="K1838" s="9" t="n">
        <v>334475</v>
      </c>
    </row>
    <row r="1839">
      <c r="A1839" s="9" t="inlineStr">
        <is>
          <t>0127_GDN_비듬샴푸_잠재고객</t>
        </is>
      </c>
      <c r="B1839" s="10" t="n">
        <v>44277</v>
      </c>
      <c r="C1839" s="9" t="inlineStr">
        <is>
          <t>월</t>
        </is>
      </c>
      <c r="D1839" s="9" t="inlineStr">
        <is>
          <t>GDN</t>
        </is>
      </c>
      <c r="E1839" s="9" t="inlineStr">
        <is>
          <t>샴푸</t>
        </is>
      </c>
      <c r="K1839" s="9" t="n">
        <v>226588</v>
      </c>
    </row>
    <row r="1840">
      <c r="A1840" s="9" t="inlineStr">
        <is>
          <t>0303_샴푸_인스트림_CPA</t>
        </is>
      </c>
      <c r="B1840" s="10" t="n">
        <v>44277</v>
      </c>
      <c r="C1840" s="9" t="inlineStr">
        <is>
          <t>월</t>
        </is>
      </c>
      <c r="D1840" s="9" t="inlineStr">
        <is>
          <t>유튜브</t>
        </is>
      </c>
      <c r="E1840" s="9" t="inlineStr">
        <is>
          <t>샴푸</t>
        </is>
      </c>
      <c r="K1840" s="9" t="n">
        <v>2652129</v>
      </c>
    </row>
    <row r="1841">
      <c r="A1841" s="9" t="inlineStr">
        <is>
          <t>0312_샴푸_3차_재업</t>
        </is>
      </c>
      <c r="B1841" s="10" t="n">
        <v>44277</v>
      </c>
      <c r="C1841" s="9" t="inlineStr">
        <is>
          <t>월</t>
        </is>
      </c>
      <c r="D1841" s="9" t="inlineStr">
        <is>
          <t>유튜브</t>
        </is>
      </c>
      <c r="E1841" s="9" t="inlineStr">
        <is>
          <t>샴푸</t>
        </is>
      </c>
      <c r="K1841" s="9" t="n">
        <v>16063</v>
      </c>
    </row>
    <row r="1842">
      <c r="A1842" s="9" t="inlineStr">
        <is>
          <t>0318_샴푸_1차_새로운채널</t>
        </is>
      </c>
      <c r="B1842" s="10" t="n">
        <v>44277</v>
      </c>
      <c r="C1842" s="9" t="inlineStr">
        <is>
          <t>월</t>
        </is>
      </c>
      <c r="D1842" s="9" t="inlineStr">
        <is>
          <t>유튜브</t>
        </is>
      </c>
      <c r="E1842" s="9" t="inlineStr">
        <is>
          <t>샴푸</t>
        </is>
      </c>
      <c r="K1842" s="9" t="n">
        <v>144</v>
      </c>
    </row>
    <row r="1843">
      <c r="A1843" s="9" t="inlineStr">
        <is>
          <t>0318_샴푸_VAC_CPA</t>
        </is>
      </c>
      <c r="B1843" s="10" t="n">
        <v>44277</v>
      </c>
      <c r="C1843" s="9" t="inlineStr">
        <is>
          <t>월</t>
        </is>
      </c>
      <c r="D1843" s="9" t="inlineStr">
        <is>
          <t>유튜브</t>
        </is>
      </c>
      <c r="E1843" s="9" t="inlineStr">
        <is>
          <t>샴푸</t>
        </is>
      </c>
      <c r="K1843" s="9" t="n">
        <v>181970</v>
      </c>
    </row>
    <row r="1844">
      <c r="A1844" s="9" t="inlineStr">
        <is>
          <t>0321_VAC_임시용</t>
        </is>
      </c>
      <c r="B1844" s="10" t="n">
        <v>44277</v>
      </c>
      <c r="C1844" s="9" t="inlineStr">
        <is>
          <t>월</t>
        </is>
      </c>
      <c r="D1844" s="9" t="inlineStr">
        <is>
          <t>유튜브</t>
        </is>
      </c>
      <c r="E1844" s="9" t="inlineStr">
        <is>
          <t>샴푸</t>
        </is>
      </c>
      <c r="K1844" s="9" t="n">
        <v>87</v>
      </c>
    </row>
    <row r="1845">
      <c r="A1845" s="9" t="inlineStr">
        <is>
          <t>0322_샴푸_GDN_상세히든</t>
        </is>
      </c>
      <c r="B1845" s="10" t="n">
        <v>44277</v>
      </c>
      <c r="C1845" s="9" t="inlineStr">
        <is>
          <t>월</t>
        </is>
      </c>
      <c r="D1845" s="9" t="inlineStr">
        <is>
          <t>GDN</t>
        </is>
      </c>
      <c r="E1845" s="9" t="inlineStr">
        <is>
          <t>샴푸</t>
        </is>
      </c>
      <c r="K1845" s="9" t="n">
        <v>1</v>
      </c>
    </row>
    <row r="1846">
      <c r="A1846" s="9" t="inlineStr">
        <is>
          <t>라베나 파워링크_샴푸_광고그룹#1</t>
        </is>
      </c>
      <c r="B1846" s="10" t="n">
        <v>44277</v>
      </c>
      <c r="C1846" s="9" t="inlineStr">
        <is>
          <t>월</t>
        </is>
      </c>
      <c r="D1846" s="9" t="inlineStr">
        <is>
          <t>네이버 검색</t>
        </is>
      </c>
      <c r="E1846" s="9" t="inlineStr">
        <is>
          <t>샴푸</t>
        </is>
      </c>
      <c r="K1846" s="9" t="n">
        <v>1620</v>
      </c>
    </row>
    <row r="1847">
      <c r="A1847" s="9" t="inlineStr">
        <is>
          <t>라베나 파워링크_샴푸#1_유튜브키워드기반</t>
        </is>
      </c>
      <c r="B1847" s="10" t="n">
        <v>44277</v>
      </c>
      <c r="C1847" s="9" t="inlineStr">
        <is>
          <t>월</t>
        </is>
      </c>
      <c r="D1847" s="9" t="inlineStr">
        <is>
          <t>네이버 검색</t>
        </is>
      </c>
      <c r="E1847" s="9" t="inlineStr">
        <is>
          <t>샴푸</t>
        </is>
      </c>
      <c r="K1847" s="9" t="n">
        <v>13450</v>
      </c>
    </row>
    <row r="1848">
      <c r="A1848" s="9" t="inlineStr">
        <is>
          <t>샴푸_쇼핑검색#1_광고그룹#1</t>
        </is>
      </c>
      <c r="B1848" s="10" t="n">
        <v>44277</v>
      </c>
      <c r="C1848" s="9" t="inlineStr">
        <is>
          <t>월</t>
        </is>
      </c>
      <c r="D1848" s="9" t="inlineStr">
        <is>
          <t>네이버 검색</t>
        </is>
      </c>
      <c r="E1848" s="9" t="inlineStr">
        <is>
          <t>샴푸</t>
        </is>
      </c>
      <c r="K1848" s="9" t="n">
        <v>670</v>
      </c>
    </row>
    <row r="1849">
      <c r="A1849" s="9" t="inlineStr">
        <is>
          <t>파워컨텐츠#1_비듬샴푸</t>
        </is>
      </c>
      <c r="B1849" s="10" t="n">
        <v>44277</v>
      </c>
      <c r="C1849" s="9" t="inlineStr">
        <is>
          <t>월</t>
        </is>
      </c>
      <c r="D1849" s="9" t="inlineStr">
        <is>
          <t>네이버 검색</t>
        </is>
      </c>
      <c r="E1849" s="9" t="inlineStr">
        <is>
          <t>샴푸</t>
        </is>
      </c>
      <c r="K1849" s="9" t="n">
        <v>210</v>
      </c>
    </row>
    <row r="1850">
      <c r="B1850" s="10" t="n">
        <v>44277</v>
      </c>
      <c r="C1850" s="9" t="inlineStr">
        <is>
          <t>월</t>
        </is>
      </c>
      <c r="E1850" s="9" t="inlineStr">
        <is>
          <t>뉴트리셔스밤</t>
        </is>
      </c>
      <c r="F1850" s="9" t="inlineStr">
        <is>
          <t>카페24</t>
        </is>
      </c>
      <c r="G1850" s="9" t="inlineStr">
        <is>
          <t>라베나 리커버리 15 뉴트리셔스 밤 [HAIR RÉ:COVERY 15 Nutritious Balm]제품선택=헤어 리커버리 15 뉴트리셔스 밤</t>
        </is>
      </c>
      <c r="H1850" s="9" t="n">
        <v>1</v>
      </c>
      <c r="I1850" s="9" t="inlineStr">
        <is>
          <t>뉴트리셔스밤</t>
        </is>
      </c>
      <c r="J1850" s="9" t="inlineStr">
        <is>
          <t>210201</t>
        </is>
      </c>
      <c r="L1850" s="9" t="n">
        <v>24900</v>
      </c>
      <c r="M1850" s="9" t="n">
        <v>23443.35</v>
      </c>
      <c r="N1850" s="9" t="n">
        <v>1580</v>
      </c>
      <c r="O1850" s="9" t="inlineStr">
        <is>
          <t>카페24뉴트리셔스밤라베나 리커버리 15 뉴트리셔스 밤 [HAIR RÉ:COVERY 15 Nutritious Balm]제품선택=헤어 리커버리 15 뉴트리셔스 밤210201</t>
        </is>
      </c>
    </row>
    <row r="1851">
      <c r="B1851" s="10" t="n">
        <v>44277</v>
      </c>
      <c r="C1851" s="9" t="inlineStr">
        <is>
          <t>월</t>
        </is>
      </c>
      <c r="E1851" s="9" t="inlineStr">
        <is>
          <t>뉴트리셔스밤</t>
        </is>
      </c>
      <c r="F1851" s="9" t="inlineStr">
        <is>
          <t>카페24</t>
        </is>
      </c>
      <c r="G1851" s="9" t="inlineStr">
        <is>
          <t>라베나 리커버리 15 뉴트리셔스 밤 [HAIR RÉ:COVERY 15 Nutritious Balm]제품선택=뉴트리셔스 밤 2개 세트 5% 추가할인</t>
        </is>
      </c>
      <c r="H1851" s="9" t="n">
        <v>1</v>
      </c>
      <c r="I1851" s="9" t="inlineStr">
        <is>
          <t>뉴트리셔스밤 2set</t>
        </is>
      </c>
      <c r="J1851" s="9" t="inlineStr">
        <is>
          <t>210201</t>
        </is>
      </c>
      <c r="L1851" s="9" t="n">
        <v>47310</v>
      </c>
      <c r="M1851" s="9" t="n">
        <v>44542.365</v>
      </c>
      <c r="N1851" s="9" t="n">
        <v>3160</v>
      </c>
      <c r="O1851" s="9" t="inlineStr">
        <is>
          <t>카페24뉴트리셔스밤라베나 리커버리 15 뉴트리셔스 밤 [HAIR RÉ:COVERY 15 Nutritious Balm]제품선택=뉴트리셔스 밤 2개 세트 5% 추가할인210201</t>
        </is>
      </c>
    </row>
    <row r="1852">
      <c r="B1852" s="10" t="n">
        <v>44277</v>
      </c>
      <c r="C1852" s="9" t="inlineStr">
        <is>
          <t>월</t>
        </is>
      </c>
      <c r="E1852" s="9" t="inlineStr">
        <is>
          <t>샴푸</t>
        </is>
      </c>
      <c r="F1852" s="9" t="inlineStr">
        <is>
          <t>카페24</t>
        </is>
      </c>
      <c r="G1852" s="9" t="inlineStr">
        <is>
          <t>라베나 리커버리 15 리바이탈 바이오플라보노이드샴푸 [HAIR RÉ:COVERY 15 Revital Shampoo]제품선택=헤어 리커버리 15 리바이탈 샴푸 - 500ml</t>
        </is>
      </c>
      <c r="H1852" s="9" t="n">
        <v>129</v>
      </c>
      <c r="I1852" s="9" t="inlineStr">
        <is>
          <t>리바이탈 샴푸</t>
        </is>
      </c>
      <c r="J1852" s="9" t="inlineStr">
        <is>
          <t>210201</t>
        </is>
      </c>
      <c r="L1852" s="9" t="n">
        <v>3470100</v>
      </c>
      <c r="M1852" s="9" t="n">
        <v>3267099.15</v>
      </c>
      <c r="N1852" s="9" t="n">
        <v>369585</v>
      </c>
      <c r="O185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853">
      <c r="B1853" s="10" t="n">
        <v>44277</v>
      </c>
      <c r="C1853" s="9" t="inlineStr">
        <is>
          <t>월</t>
        </is>
      </c>
      <c r="E1853" s="9" t="inlineStr">
        <is>
          <t>샴푸</t>
        </is>
      </c>
      <c r="F1853" s="9" t="inlineStr">
        <is>
          <t>카페24</t>
        </is>
      </c>
      <c r="G1853" s="9" t="inlineStr">
        <is>
          <t>라베나 리커버리 15 리바이탈 바이오플라보노이드샴푸 [HAIR RÉ:COVERY 15 Revital Shampoo]제품선택=리바이탈 샴푸 2개 세트 5%추가할인</t>
        </is>
      </c>
      <c r="H1853" s="9" t="n">
        <v>53</v>
      </c>
      <c r="I1853" s="9" t="inlineStr">
        <is>
          <t>리바이탈 샴푸 2set</t>
        </is>
      </c>
      <c r="J1853" s="9" t="inlineStr">
        <is>
          <t>210201</t>
        </is>
      </c>
      <c r="L1853" s="9" t="n">
        <v>2708830</v>
      </c>
      <c r="M1853" s="9" t="n">
        <v>2550363.445</v>
      </c>
      <c r="N1853" s="9" t="n">
        <v>303690</v>
      </c>
      <c r="O185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854">
      <c r="B1854" s="10" t="n">
        <v>44277</v>
      </c>
      <c r="C1854" s="9" t="inlineStr">
        <is>
          <t>월</t>
        </is>
      </c>
      <c r="E1854" s="9" t="inlineStr">
        <is>
          <t>샴푸</t>
        </is>
      </c>
      <c r="F1854" s="9" t="inlineStr">
        <is>
          <t>카페24</t>
        </is>
      </c>
      <c r="G1854" s="9" t="inlineStr">
        <is>
          <t>라베나 리커버리 15 리바이탈 바이오플라보노이드샴푸 [HAIR RÉ:COVERY 15 Revital Shampoo]제품선택=리바이탈 샴푸 3개 세트 10% 추가할인</t>
        </is>
      </c>
      <c r="H1854" s="9" t="n">
        <v>22</v>
      </c>
      <c r="I1854" s="9" t="inlineStr">
        <is>
          <t>리바이탈 샴푸 3set</t>
        </is>
      </c>
      <c r="J1854" s="9" t="inlineStr">
        <is>
          <t>210201</t>
        </is>
      </c>
      <c r="L1854" s="9" t="n">
        <v>1597860</v>
      </c>
      <c r="M1854" s="9" t="n">
        <v>1504385.19</v>
      </c>
      <c r="N1854" s="9" t="n">
        <v>189090</v>
      </c>
      <c r="O185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855">
      <c r="B1855" s="10" t="n">
        <v>44277</v>
      </c>
      <c r="C1855" s="9" t="inlineStr">
        <is>
          <t>월</t>
        </is>
      </c>
      <c r="E1855" s="9" t="inlineStr">
        <is>
          <t>트리트먼트</t>
        </is>
      </c>
      <c r="F1855" s="9" t="inlineStr">
        <is>
          <t>카페24</t>
        </is>
      </c>
      <c r="G1855" s="9" t="inlineStr">
        <is>
          <t>라베나 리커버리 15 헤어팩 트리트먼트 [HAIR RÉ:COVERY 15 Hairpack Treatment]제품선택=헤어 리커버리 15 헤어팩 트리트먼트</t>
        </is>
      </c>
      <c r="H1855" s="9" t="n">
        <v>2</v>
      </c>
      <c r="I1855" s="9" t="inlineStr">
        <is>
          <t>트리트먼트</t>
        </is>
      </c>
      <c r="J1855" s="9" t="inlineStr">
        <is>
          <t>210201</t>
        </is>
      </c>
      <c r="L1855" s="9" t="n">
        <v>52000</v>
      </c>
      <c r="M1855" s="9" t="n">
        <v>48958</v>
      </c>
      <c r="N1855" s="9" t="n">
        <v>3194</v>
      </c>
      <c r="O185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856">
      <c r="B1856" s="10" t="n">
        <v>44277</v>
      </c>
      <c r="C1856" s="9" t="inlineStr">
        <is>
          <t>월</t>
        </is>
      </c>
      <c r="E1856" s="9" t="inlineStr">
        <is>
          <t>트리트먼트</t>
        </is>
      </c>
      <c r="F1856" s="9" t="inlineStr">
        <is>
          <t>카페24</t>
        </is>
      </c>
      <c r="G1856" s="9" t="inlineStr">
        <is>
          <t>라베나 리커버리 15 헤어팩 트리트먼트 [HAIR RÉ:COVERY 15 Hairpack Treatment]제품선택=헤어팩 트리트먼트 2개 세트 5% 추가할인</t>
        </is>
      </c>
      <c r="H1856" s="9" t="n">
        <v>1</v>
      </c>
      <c r="I1856" s="9" t="inlineStr">
        <is>
          <t>트리트먼트 2set</t>
        </is>
      </c>
      <c r="J1856" s="9" t="inlineStr">
        <is>
          <t>210201</t>
        </is>
      </c>
      <c r="L1856" s="9" t="n">
        <v>49400</v>
      </c>
      <c r="M1856" s="9" t="n">
        <v>46510.1</v>
      </c>
      <c r="N1856" s="9" t="n">
        <v>3194</v>
      </c>
      <c r="O185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857">
      <c r="B1857" s="10" t="n">
        <v>44277</v>
      </c>
      <c r="C1857" s="9" t="inlineStr">
        <is>
          <t>월</t>
        </is>
      </c>
      <c r="E1857" s="9" t="inlineStr">
        <is>
          <t>트리트먼트</t>
        </is>
      </c>
      <c r="F1857" s="9" t="inlineStr">
        <is>
          <t>카페24</t>
        </is>
      </c>
      <c r="G1857" s="9" t="inlineStr">
        <is>
          <t>라베나 리커버리 15 헤어팩 트리트먼트 [HAIR RÉ:COVERY 15 Hairpack Treatment]제품선택=헤어팩 트리트먼트 1개 + 뉴트리셔스밤 1개 세트 5% 추가할인</t>
        </is>
      </c>
      <c r="H1857" s="9" t="n">
        <v>1</v>
      </c>
      <c r="I1857" s="9" t="inlineStr">
        <is>
          <t>트리트먼트+뉴트리셔스밤</t>
        </is>
      </c>
      <c r="J1857" s="9" t="inlineStr">
        <is>
          <t>210201</t>
        </is>
      </c>
      <c r="L1857" s="9" t="n">
        <v>48355</v>
      </c>
      <c r="M1857" s="9" t="n">
        <v>45526.2325</v>
      </c>
      <c r="N1857" s="9" t="n">
        <v>3177</v>
      </c>
      <c r="O1857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858">
      <c r="A1858" s="9" t="inlineStr">
        <is>
          <t>0323_인서_노워시_전환</t>
        </is>
      </c>
      <c r="B1858" s="10" t="n">
        <v>44278</v>
      </c>
      <c r="C1858" s="9" t="inlineStr">
        <is>
          <t>화</t>
        </is>
      </c>
      <c r="D1858" s="9" t="inlineStr">
        <is>
          <t>페이스북</t>
        </is>
      </c>
      <c r="E1858" s="9" t="inlineStr">
        <is>
          <t>뉴트리셔스밤</t>
        </is>
      </c>
      <c r="K1858" s="9" t="n">
        <v>24504</v>
      </c>
    </row>
    <row r="1859">
      <c r="A1859" s="9" t="inlineStr">
        <is>
          <t>0323_인서_노워시_영상</t>
        </is>
      </c>
      <c r="B1859" s="10" t="n">
        <v>44278</v>
      </c>
      <c r="C1859" s="9" t="inlineStr">
        <is>
          <t>화</t>
        </is>
      </c>
      <c r="D1859" s="9" t="inlineStr">
        <is>
          <t>페이스북</t>
        </is>
      </c>
      <c r="E1859" s="9" t="inlineStr">
        <is>
          <t>뉴트리셔스밤</t>
        </is>
      </c>
      <c r="K1859" s="9" t="n">
        <v>47929</v>
      </c>
    </row>
    <row r="1860">
      <c r="A1860" s="9" t="inlineStr">
        <is>
          <t>0318~영상기반 단장</t>
        </is>
      </c>
      <c r="B1860" s="10" t="n">
        <v>44278</v>
      </c>
      <c r="C1860" s="9" t="inlineStr">
        <is>
          <t>화</t>
        </is>
      </c>
      <c r="D1860" s="9" t="inlineStr">
        <is>
          <t>페이스북</t>
        </is>
      </c>
      <c r="E1860" s="9" t="inlineStr">
        <is>
          <t>샴푸</t>
        </is>
      </c>
      <c r="K1860" s="9" t="n">
        <v>97990</v>
      </c>
    </row>
    <row r="1861">
      <c r="A1861" s="9" t="inlineStr">
        <is>
          <t>0317~영상배너_short</t>
        </is>
      </c>
      <c r="B1861" s="10" t="n">
        <v>44278</v>
      </c>
      <c r="C1861" s="9" t="inlineStr">
        <is>
          <t>화</t>
        </is>
      </c>
      <c r="D1861" s="9" t="inlineStr">
        <is>
          <t>페이스북</t>
        </is>
      </c>
      <c r="E1861" s="9" t="inlineStr">
        <is>
          <t>샴푸</t>
        </is>
      </c>
      <c r="K1861" s="9" t="n">
        <v>100098</v>
      </c>
    </row>
    <row r="1862">
      <c r="A1862" s="9" t="inlineStr">
        <is>
          <t>0316~영상베리</t>
        </is>
      </c>
      <c r="B1862" s="10" t="n">
        <v>44278</v>
      </c>
      <c r="C1862" s="9" t="inlineStr">
        <is>
          <t>화</t>
        </is>
      </c>
      <c r="D1862" s="9" t="inlineStr">
        <is>
          <t>페이스북</t>
        </is>
      </c>
      <c r="E1862" s="9" t="inlineStr">
        <is>
          <t>샴푸</t>
        </is>
      </c>
      <c r="K1862" s="9" t="n">
        <v>387282</v>
      </c>
    </row>
    <row r="1863">
      <c r="A1863" s="9" t="inlineStr">
        <is>
          <t>0127_GDN_비듬샴푸_잠재고객</t>
        </is>
      </c>
      <c r="B1863" s="10" t="n">
        <v>44278</v>
      </c>
      <c r="C1863" s="9" t="inlineStr">
        <is>
          <t>화</t>
        </is>
      </c>
      <c r="D1863" s="9" t="inlineStr">
        <is>
          <t>GDN</t>
        </is>
      </c>
      <c r="E1863" s="9" t="inlineStr">
        <is>
          <t>샴푸</t>
        </is>
      </c>
      <c r="K1863" s="9" t="n">
        <v>211247</v>
      </c>
    </row>
    <row r="1864">
      <c r="A1864" s="9" t="inlineStr">
        <is>
          <t>0303_샴푸_인스트림_CPA</t>
        </is>
      </c>
      <c r="B1864" s="10" t="n">
        <v>44278</v>
      </c>
      <c r="C1864" s="9" t="inlineStr">
        <is>
          <t>화</t>
        </is>
      </c>
      <c r="D1864" s="9" t="inlineStr">
        <is>
          <t>유튜브</t>
        </is>
      </c>
      <c r="E1864" s="9" t="inlineStr">
        <is>
          <t>샴푸</t>
        </is>
      </c>
      <c r="K1864" s="9" t="n">
        <v>3544905</v>
      </c>
    </row>
    <row r="1865">
      <c r="A1865" s="9" t="inlineStr">
        <is>
          <t>0312_샴푸_3차_재업</t>
        </is>
      </c>
      <c r="B1865" s="10" t="n">
        <v>44278</v>
      </c>
      <c r="C1865" s="9" t="inlineStr">
        <is>
          <t>화</t>
        </is>
      </c>
      <c r="D1865" s="9" t="inlineStr">
        <is>
          <t>유튜브</t>
        </is>
      </c>
      <c r="E1865" s="9" t="inlineStr">
        <is>
          <t>샴푸</t>
        </is>
      </c>
      <c r="K1865" s="9" t="n">
        <v>1033567</v>
      </c>
    </row>
    <row r="1866">
      <c r="A1866" s="9" t="inlineStr">
        <is>
          <t>0318_샴푸_1차_새로운채널</t>
        </is>
      </c>
      <c r="B1866" s="10" t="n">
        <v>44278</v>
      </c>
      <c r="C1866" s="9" t="inlineStr">
        <is>
          <t>화</t>
        </is>
      </c>
      <c r="D1866" s="9" t="inlineStr">
        <is>
          <t>유튜브</t>
        </is>
      </c>
      <c r="E1866" s="9" t="inlineStr">
        <is>
          <t>샴푸</t>
        </is>
      </c>
      <c r="K1866" s="9" t="n">
        <v>136</v>
      </c>
    </row>
    <row r="1867">
      <c r="A1867" s="9" t="inlineStr">
        <is>
          <t>0318_샴푸_VAC_CPA</t>
        </is>
      </c>
      <c r="B1867" s="10" t="n">
        <v>44278</v>
      </c>
      <c r="C1867" s="9" t="inlineStr">
        <is>
          <t>화</t>
        </is>
      </c>
      <c r="D1867" s="9" t="inlineStr">
        <is>
          <t>유튜브</t>
        </is>
      </c>
      <c r="E1867" s="9" t="inlineStr">
        <is>
          <t>샴푸</t>
        </is>
      </c>
      <c r="K1867" s="9" t="n">
        <v>5463</v>
      </c>
    </row>
    <row r="1868">
      <c r="A1868" s="9" t="inlineStr">
        <is>
          <t>0322_샴푸_GDN_상세히든</t>
        </is>
      </c>
      <c r="B1868" s="10" t="n">
        <v>44278</v>
      </c>
      <c r="C1868" s="9" t="inlineStr">
        <is>
          <t>화</t>
        </is>
      </c>
      <c r="D1868" s="9" t="inlineStr">
        <is>
          <t>GDN</t>
        </is>
      </c>
      <c r="E1868" s="9" t="inlineStr">
        <is>
          <t>샴푸</t>
        </is>
      </c>
      <c r="K1868" s="9" t="n">
        <v>4057</v>
      </c>
    </row>
    <row r="1869">
      <c r="A1869" s="9" t="inlineStr">
        <is>
          <t>0323_샴푸_인스트림_리타겟팅</t>
        </is>
      </c>
      <c r="B1869" s="10" t="n">
        <v>44278</v>
      </c>
      <c r="C1869" s="9" t="inlineStr">
        <is>
          <t>화</t>
        </is>
      </c>
      <c r="D1869" s="9" t="inlineStr">
        <is>
          <t>유튜브</t>
        </is>
      </c>
      <c r="E1869" s="9" t="inlineStr">
        <is>
          <t>샴푸</t>
        </is>
      </c>
      <c r="K1869" s="9" t="n">
        <v>683234</v>
      </c>
    </row>
    <row r="1870">
      <c r="A1870" s="9" t="inlineStr">
        <is>
          <t>0323_노워시_디스커버리_1차</t>
        </is>
      </c>
      <c r="B1870" s="10" t="n">
        <v>44278</v>
      </c>
      <c r="C1870" s="9" t="inlineStr">
        <is>
          <t>화</t>
        </is>
      </c>
      <c r="D1870" s="9" t="inlineStr">
        <is>
          <t>유튜브</t>
        </is>
      </c>
      <c r="E1870" s="9" t="inlineStr">
        <is>
          <t>뉴트리셔스밤</t>
        </is>
      </c>
      <c r="K1870" s="9" t="n">
        <v>1239743</v>
      </c>
    </row>
    <row r="1871">
      <c r="A1871" s="9" t="inlineStr">
        <is>
          <t>0323_샴푸_VAC_리타겟팅</t>
        </is>
      </c>
      <c r="B1871" s="10" t="n">
        <v>44278</v>
      </c>
      <c r="C1871" s="9" t="inlineStr">
        <is>
          <t>화</t>
        </is>
      </c>
      <c r="D1871" s="9" t="inlineStr">
        <is>
          <t>유튜브</t>
        </is>
      </c>
      <c r="E1871" s="9" t="inlineStr">
        <is>
          <t>샴푸</t>
        </is>
      </c>
      <c r="K1871" s="9" t="n">
        <v>43057</v>
      </c>
    </row>
    <row r="1872">
      <c r="A1872" s="9" t="inlineStr">
        <is>
          <t>라베나 파워링크_샴푸_광고그룹#1</t>
        </is>
      </c>
      <c r="B1872" s="10" t="n">
        <v>44278</v>
      </c>
      <c r="C1872" s="9" t="inlineStr">
        <is>
          <t>화</t>
        </is>
      </c>
      <c r="D1872" s="9" t="inlineStr">
        <is>
          <t>네이버 검색</t>
        </is>
      </c>
      <c r="E1872" s="9" t="inlineStr">
        <is>
          <t>샴푸</t>
        </is>
      </c>
      <c r="K1872" s="9" t="n">
        <v>3390</v>
      </c>
    </row>
    <row r="1873">
      <c r="A1873" s="9" t="inlineStr">
        <is>
          <t>라베나 파워링크_샴푸#1_유튜브키워드기반</t>
        </is>
      </c>
      <c r="B1873" s="10" t="n">
        <v>44278</v>
      </c>
      <c r="C1873" s="9" t="inlineStr">
        <is>
          <t>화</t>
        </is>
      </c>
      <c r="D1873" s="9" t="inlineStr">
        <is>
          <t>네이버 검색</t>
        </is>
      </c>
      <c r="E1873" s="9" t="inlineStr">
        <is>
          <t>샴푸</t>
        </is>
      </c>
      <c r="K1873" s="9" t="n">
        <v>28150</v>
      </c>
    </row>
    <row r="1874">
      <c r="A1874" s="9" t="inlineStr">
        <is>
          <t>샴푸_쇼핑검색#1_광고그룹#1</t>
        </is>
      </c>
      <c r="B1874" s="10" t="n">
        <v>44278</v>
      </c>
      <c r="C1874" s="9" t="inlineStr">
        <is>
          <t>화</t>
        </is>
      </c>
      <c r="D1874" s="9" t="inlineStr">
        <is>
          <t>네이버 검색</t>
        </is>
      </c>
      <c r="E1874" s="9" t="inlineStr">
        <is>
          <t>샴푸</t>
        </is>
      </c>
      <c r="K1874" s="9" t="n">
        <v>5699.999999999999</v>
      </c>
    </row>
    <row r="1875">
      <c r="A1875" s="9" t="inlineStr">
        <is>
          <t>파워컨텐츠#1_비듬샴푸</t>
        </is>
      </c>
      <c r="B1875" s="10" t="n">
        <v>44278</v>
      </c>
      <c r="C1875" s="9" t="inlineStr">
        <is>
          <t>화</t>
        </is>
      </c>
      <c r="D1875" s="9" t="inlineStr">
        <is>
          <t>네이버 검색</t>
        </is>
      </c>
      <c r="E1875" s="9" t="inlineStr">
        <is>
          <t>샴푸</t>
        </is>
      </c>
      <c r="K1875" s="9" t="n">
        <v>140</v>
      </c>
    </row>
    <row r="1876">
      <c r="B1876" s="10" t="n">
        <v>44278</v>
      </c>
      <c r="C1876" s="9" t="inlineStr">
        <is>
          <t>화</t>
        </is>
      </c>
      <c r="E1876" s="9" t="inlineStr">
        <is>
          <t>뉴트리셔스밤</t>
        </is>
      </c>
      <c r="F1876" s="9" t="inlineStr">
        <is>
          <t>카페24</t>
        </is>
      </c>
      <c r="G1876" s="9" t="inlineStr">
        <is>
          <t>라베나 리커버리 15 뉴트리셔스 밤 [HAIR RÉ:COVERY 15 Nutritious Balm]제품선택=헤어 리커버리 15 뉴트리셔스 밤</t>
        </is>
      </c>
      <c r="H1876" s="9" t="n">
        <v>35</v>
      </c>
      <c r="I1876" s="9" t="inlineStr">
        <is>
          <t>뉴트리셔스밤</t>
        </is>
      </c>
      <c r="J1876" s="9" t="inlineStr">
        <is>
          <t>210201</t>
        </is>
      </c>
      <c r="L1876" s="9" t="n">
        <v>871500</v>
      </c>
      <c r="M1876" s="9" t="n">
        <v>820517.25</v>
      </c>
      <c r="N1876" s="9" t="n">
        <v>55300</v>
      </c>
      <c r="O1876" s="9" t="inlineStr">
        <is>
          <t>카페24뉴트리셔스밤라베나 리커버리 15 뉴트리셔스 밤 [HAIR RÉ:COVERY 15 Nutritious Balm]제품선택=헤어 리커버리 15 뉴트리셔스 밤210201</t>
        </is>
      </c>
    </row>
    <row r="1877">
      <c r="B1877" s="10" t="n">
        <v>44278</v>
      </c>
      <c r="C1877" s="9" t="inlineStr">
        <is>
          <t>화</t>
        </is>
      </c>
      <c r="E1877" s="9" t="inlineStr">
        <is>
          <t>뉴트리셔스밤</t>
        </is>
      </c>
      <c r="F1877" s="9" t="inlineStr">
        <is>
          <t>카페24</t>
        </is>
      </c>
      <c r="G1877" s="9" t="inlineStr">
        <is>
          <t>라베나 리커버리 15 뉴트리셔스 밤 [HAIR RÉ:COVERY 15 Nutritious Balm]제품선택=뉴트리셔스 밤 2개 세트 5% 추가할인</t>
        </is>
      </c>
      <c r="H1877" s="9" t="n">
        <v>7</v>
      </c>
      <c r="I1877" s="9" t="inlineStr">
        <is>
          <t>뉴트리셔스밤 2set</t>
        </is>
      </c>
      <c r="J1877" s="9" t="inlineStr">
        <is>
          <t>210201</t>
        </is>
      </c>
      <c r="L1877" s="9" t="n">
        <v>331170</v>
      </c>
      <c r="M1877" s="9" t="n">
        <v>311796.555</v>
      </c>
      <c r="N1877" s="9" t="n">
        <v>22120</v>
      </c>
      <c r="O1877" s="9" t="inlineStr">
        <is>
          <t>카페24뉴트리셔스밤라베나 리커버리 15 뉴트리셔스 밤 [HAIR RÉ:COVERY 15 Nutritious Balm]제품선택=뉴트리셔스 밤 2개 세트 5% 추가할인210201</t>
        </is>
      </c>
    </row>
    <row r="1878">
      <c r="B1878" s="10" t="n">
        <v>44278</v>
      </c>
      <c r="C1878" s="9" t="inlineStr">
        <is>
          <t>화</t>
        </is>
      </c>
      <c r="E1878" s="9" t="inlineStr">
        <is>
          <t>뉴트리셔스밤</t>
        </is>
      </c>
      <c r="F1878" s="9" t="inlineStr">
        <is>
          <t>카페24</t>
        </is>
      </c>
      <c r="G1878" s="9" t="inlineStr">
        <is>
          <t>라베나 리커버리 15 뉴트리셔스 밤 [HAIR RÉ:COVERY 15 Nutritious Balm]제품선택=뉴트리셔스 밤 3개 세트 10% 추가할인</t>
        </is>
      </c>
      <c r="H1878" s="9" t="n">
        <v>4</v>
      </c>
      <c r="I1878" s="9" t="inlineStr">
        <is>
          <t>뉴트리셔스밤 3set</t>
        </is>
      </c>
      <c r="J1878" s="9" t="inlineStr">
        <is>
          <t>210201</t>
        </is>
      </c>
      <c r="L1878" s="9" t="n">
        <v>268920</v>
      </c>
      <c r="M1878" s="9" t="n">
        <v>253188.18</v>
      </c>
      <c r="N1878" s="9" t="n">
        <v>18960</v>
      </c>
      <c r="O1878" s="9" t="inlineStr">
        <is>
          <t>카페24뉴트리셔스밤라베나 리커버리 15 뉴트리셔스 밤 [HAIR RÉ:COVERY 15 Nutritious Balm]제품선택=뉴트리셔스 밤 3개 세트 10% 추가할인210201</t>
        </is>
      </c>
    </row>
    <row r="1879">
      <c r="B1879" s="10" t="n">
        <v>44278</v>
      </c>
      <c r="C1879" s="9" t="inlineStr">
        <is>
          <t>화</t>
        </is>
      </c>
      <c r="E1879" s="9" t="inlineStr">
        <is>
          <t>뉴트리셔스밤</t>
        </is>
      </c>
      <c r="F1879" s="9" t="inlineStr">
        <is>
          <t>카페24</t>
        </is>
      </c>
      <c r="G1879" s="9" t="inlineStr">
        <is>
          <t>라베나 리커버리 15 뉴트리셔스 밤 [HAIR RÉ:COVERY 15 Nutritious Balm]제품선택=뉴트리셔스밤 1개 + 헤어팩 트리트먼트 1개 세트 5%추가할인</t>
        </is>
      </c>
      <c r="H1879" s="9" t="n">
        <v>2</v>
      </c>
      <c r="I1879" s="9" t="inlineStr">
        <is>
          <t>트리트먼트+뉴트리셔스밤</t>
        </is>
      </c>
      <c r="J1879" s="9" t="inlineStr">
        <is>
          <t>210201</t>
        </is>
      </c>
      <c r="L1879" s="9" t="n">
        <v>96710</v>
      </c>
      <c r="M1879" s="9" t="n">
        <v>91052.465</v>
      </c>
      <c r="N1879" s="9" t="n">
        <v>6354</v>
      </c>
      <c r="O187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880">
      <c r="B1880" s="10" t="n">
        <v>44278</v>
      </c>
      <c r="C1880" s="9" t="inlineStr">
        <is>
          <t>화</t>
        </is>
      </c>
      <c r="E1880" s="9" t="inlineStr">
        <is>
          <t>샴푸</t>
        </is>
      </c>
      <c r="F1880" s="9" t="inlineStr">
        <is>
          <t>카페24</t>
        </is>
      </c>
      <c r="G1880" s="9" t="inlineStr">
        <is>
          <t>라베나 리커버리 15 리바이탈 바이오플라보노이드샴푸 [HAIR RÉ:COVERY 15 Revital Shampoo:]제품선택=헤어 리커버리 15 리바이탈 샴푸 - 500ml</t>
        </is>
      </c>
      <c r="H1880" s="9" t="n">
        <v>1</v>
      </c>
      <c r="I1880" s="9" t="inlineStr">
        <is>
          <t>리바이탈 샴푸</t>
        </is>
      </c>
      <c r="J1880" s="9" t="inlineStr">
        <is>
          <t>210201</t>
        </is>
      </c>
      <c r="L1880" s="9" t="n">
        <v>26900</v>
      </c>
      <c r="M1880" s="9">
        <f>26900-(26900/5.85)</f>
        <v/>
      </c>
      <c r="N1880" s="9" t="n">
        <v>2865</v>
      </c>
      <c r="O1880" s="9" t="inlineStr">
        <is>
          <t>카페24샴푸라베나 리커버리 15 리바이탈 바이오플라보노이드샴푸 [HAIR RÉ:COVERY 15 Revital Shampoo:]제품선택=헤어 리커버리 15 리바이탈 샴푸 - 500ml210201</t>
        </is>
      </c>
    </row>
    <row r="1881">
      <c r="B1881" s="10" t="n">
        <v>44278</v>
      </c>
      <c r="C1881" s="9" t="inlineStr">
        <is>
          <t>화</t>
        </is>
      </c>
      <c r="E1881" s="9" t="inlineStr">
        <is>
          <t>샴푸</t>
        </is>
      </c>
      <c r="F1881" s="9" t="inlineStr">
        <is>
          <t>카페24</t>
        </is>
      </c>
      <c r="G1881" s="9" t="inlineStr">
        <is>
          <t>라베나 리커버리 15 리바이탈 바이오플라보노이드샴푸 [HAIR RÉ:COVERY 15 Revital Shampoo]제품선택=헤어 리커버리 15 리바이탈 샴푸 - 500ml</t>
        </is>
      </c>
      <c r="H1881" s="9" t="n">
        <v>186</v>
      </c>
      <c r="I1881" s="9" t="inlineStr">
        <is>
          <t>리바이탈 샴푸</t>
        </is>
      </c>
      <c r="J1881" s="9" t="inlineStr">
        <is>
          <t>210201</t>
        </is>
      </c>
      <c r="L1881" s="9" t="n">
        <v>5003400</v>
      </c>
      <c r="M1881" s="9" t="n">
        <v>4710701.1</v>
      </c>
      <c r="N1881" s="9" t="n">
        <v>532890</v>
      </c>
      <c r="O188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882">
      <c r="B1882" s="10" t="n">
        <v>44278</v>
      </c>
      <c r="C1882" s="9" t="inlineStr">
        <is>
          <t>화</t>
        </is>
      </c>
      <c r="E1882" s="9" t="inlineStr">
        <is>
          <t>샴푸</t>
        </is>
      </c>
      <c r="F1882" s="9" t="inlineStr">
        <is>
          <t>카페24</t>
        </is>
      </c>
      <c r="G1882" s="9" t="inlineStr">
        <is>
          <t>라베나 리커버리 15 리바이탈 바이오플라보노이드샴푸 [HAIR RÉ:COVERY 15 Revital Shampoo]제품선택=리바이탈 샴푸 2개 세트 5%추가할인</t>
        </is>
      </c>
      <c r="H1882" s="9" t="n">
        <v>52</v>
      </c>
      <c r="I1882" s="9" t="inlineStr">
        <is>
          <t>리바이탈 샴푸 2set</t>
        </is>
      </c>
      <c r="J1882" s="9" t="inlineStr">
        <is>
          <t>210201</t>
        </is>
      </c>
      <c r="L1882" s="9" t="n">
        <v>2657720</v>
      </c>
      <c r="M1882" s="9" t="n">
        <v>2502243.38</v>
      </c>
      <c r="N1882" s="9" t="n">
        <v>297960</v>
      </c>
      <c r="O188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883">
      <c r="B1883" s="10" t="n">
        <v>44278</v>
      </c>
      <c r="C1883" s="9" t="inlineStr">
        <is>
          <t>화</t>
        </is>
      </c>
      <c r="E1883" s="9" t="inlineStr">
        <is>
          <t>샴푸</t>
        </is>
      </c>
      <c r="F1883" s="9" t="inlineStr">
        <is>
          <t>카페24</t>
        </is>
      </c>
      <c r="G1883" s="9" t="inlineStr">
        <is>
          <t>라베나 리커버리 15 리바이탈 바이오플라보노이드샴푸 [HAIR RÉ:COVERY 15 Revital Shampoo]제품선택=리바이탈 샴푸 3개 세트 10% 추가할인</t>
        </is>
      </c>
      <c r="H1883" s="9" t="n">
        <v>18</v>
      </c>
      <c r="I1883" s="9" t="inlineStr">
        <is>
          <t>리바이탈 샴푸 3set</t>
        </is>
      </c>
      <c r="J1883" s="9" t="inlineStr">
        <is>
          <t>210201</t>
        </is>
      </c>
      <c r="L1883" s="9" t="n">
        <v>1307340</v>
      </c>
      <c r="M1883" s="9" t="n">
        <v>1230860.61</v>
      </c>
      <c r="N1883" s="9" t="n">
        <v>154710</v>
      </c>
      <c r="O188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884">
      <c r="B1884" s="10" t="n">
        <v>44278</v>
      </c>
      <c r="C1884" s="9" t="inlineStr">
        <is>
          <t>화</t>
        </is>
      </c>
      <c r="E1884" s="9" t="inlineStr">
        <is>
          <t>트리트먼트</t>
        </is>
      </c>
      <c r="F1884" s="9" t="inlineStr">
        <is>
          <t>카페24</t>
        </is>
      </c>
      <c r="G1884" s="9" t="inlineStr">
        <is>
          <t>라베나 리커버리 15 헤어팩 트리트먼트 [HAIR RÉ:COVERY 15 Hairpack Treatment]제품선택=헤어 리커버리 15 헤어팩 트리트먼트</t>
        </is>
      </c>
      <c r="H1884" s="9" t="n">
        <v>4</v>
      </c>
      <c r="I1884" s="9" t="inlineStr">
        <is>
          <t>트리트먼트</t>
        </is>
      </c>
      <c r="J1884" s="9" t="inlineStr">
        <is>
          <t>210201</t>
        </is>
      </c>
      <c r="L1884" s="9" t="n">
        <v>104000</v>
      </c>
      <c r="M1884" s="9" t="n">
        <v>97916</v>
      </c>
      <c r="N1884" s="9" t="n">
        <v>6388</v>
      </c>
      <c r="O188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885">
      <c r="B1885" s="10" t="n">
        <v>44278</v>
      </c>
      <c r="C1885" s="9" t="inlineStr">
        <is>
          <t>화</t>
        </is>
      </c>
      <c r="E1885" s="9" t="inlineStr">
        <is>
          <t>트리트먼트</t>
        </is>
      </c>
      <c r="F1885" s="9" t="inlineStr">
        <is>
          <t>카페24</t>
        </is>
      </c>
      <c r="G1885" s="9" t="inlineStr">
        <is>
          <t>라베나 리커버리 15 헤어팩 트리트먼트 [HAIR RÉ:COVERY 15 Hairpack Treatment]제품선택=헤어팩 트리트먼트 3개 세트 10% 추가할인</t>
        </is>
      </c>
      <c r="H1885" s="9" t="n">
        <v>2</v>
      </c>
      <c r="I1885" s="9" t="inlineStr">
        <is>
          <t>트리트먼트 3set</t>
        </is>
      </c>
      <c r="J1885" s="9" t="inlineStr">
        <is>
          <t>210201</t>
        </is>
      </c>
      <c r="L1885" s="9" t="n">
        <v>140400</v>
      </c>
      <c r="M1885" s="9" t="n">
        <v>132186.6</v>
      </c>
      <c r="N1885" s="9" t="n">
        <v>9582</v>
      </c>
      <c r="O1885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886">
      <c r="B1886" s="10" t="n">
        <v>44278</v>
      </c>
      <c r="C1886" s="9" t="inlineStr">
        <is>
          <t>화</t>
        </is>
      </c>
      <c r="E1886" s="9" t="inlineStr">
        <is>
          <t>트리트먼트</t>
        </is>
      </c>
      <c r="F1886" s="9" t="inlineStr">
        <is>
          <t>카페24</t>
        </is>
      </c>
      <c r="G1886" s="9" t="inlineStr">
        <is>
          <t>라베나 리커버리 15 헤어팩 트리트먼트 [HAIR RÉ:COVERY 15 Hairpack Treatment]제품선택=헤어팩 트리트먼트 1개 + 뉴트리셔스밤 1개 세트 5% 추가할인</t>
        </is>
      </c>
      <c r="H1886" s="9" t="n">
        <v>2</v>
      </c>
      <c r="I1886" s="9" t="inlineStr">
        <is>
          <t>트리트먼트+뉴트리셔스밤</t>
        </is>
      </c>
      <c r="J1886" s="9" t="inlineStr">
        <is>
          <t>210201</t>
        </is>
      </c>
      <c r="L1886" s="9" t="n">
        <v>96710</v>
      </c>
      <c r="M1886" s="9" t="n">
        <v>91052.465</v>
      </c>
      <c r="N1886" s="9" t="n">
        <v>6354</v>
      </c>
      <c r="O1886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887">
      <c r="A1887" s="9" t="inlineStr">
        <is>
          <t>0323_인서_노워시_전환</t>
        </is>
      </c>
      <c r="B1887" s="10" t="n">
        <v>44279</v>
      </c>
      <c r="C1887" s="9" t="inlineStr">
        <is>
          <t>수</t>
        </is>
      </c>
      <c r="D1887" s="9" t="inlineStr">
        <is>
          <t>페이스북</t>
        </is>
      </c>
      <c r="E1887" s="9" t="inlineStr">
        <is>
          <t>뉴트리셔스밤</t>
        </is>
      </c>
      <c r="K1887" s="9" t="n">
        <v>9584</v>
      </c>
    </row>
    <row r="1888">
      <c r="A1888" s="9" t="inlineStr">
        <is>
          <t>0323_인서_노워시_영상</t>
        </is>
      </c>
      <c r="B1888" s="10" t="n">
        <v>44279</v>
      </c>
      <c r="C1888" s="9" t="inlineStr">
        <is>
          <t>수</t>
        </is>
      </c>
      <c r="D1888" s="9" t="inlineStr">
        <is>
          <t>페이스북</t>
        </is>
      </c>
      <c r="E1888" s="9" t="inlineStr">
        <is>
          <t>뉴트리셔스밤</t>
        </is>
      </c>
      <c r="K1888" s="9" t="n">
        <v>11218</v>
      </c>
    </row>
    <row r="1889">
      <c r="A1889" s="9" t="inlineStr">
        <is>
          <t>0318~영상기반 단장</t>
        </is>
      </c>
      <c r="B1889" s="10" t="n">
        <v>44279</v>
      </c>
      <c r="C1889" s="9" t="inlineStr">
        <is>
          <t>수</t>
        </is>
      </c>
      <c r="D1889" s="9" t="inlineStr">
        <is>
          <t>페이스북</t>
        </is>
      </c>
      <c r="E1889" s="9" t="inlineStr">
        <is>
          <t>샴푸</t>
        </is>
      </c>
      <c r="K1889" s="9" t="n">
        <v>96322</v>
      </c>
    </row>
    <row r="1890">
      <c r="A1890" s="9" t="inlineStr">
        <is>
          <t>0317~영상배너_short</t>
        </is>
      </c>
      <c r="B1890" s="10" t="n">
        <v>44279</v>
      </c>
      <c r="C1890" s="9" t="inlineStr">
        <is>
          <t>수</t>
        </is>
      </c>
      <c r="D1890" s="9" t="inlineStr">
        <is>
          <t>페이스북</t>
        </is>
      </c>
      <c r="E1890" s="9" t="inlineStr">
        <is>
          <t>샴푸</t>
        </is>
      </c>
      <c r="K1890" s="9" t="n">
        <v>159175</v>
      </c>
    </row>
    <row r="1891">
      <c r="A1891" s="9" t="inlineStr">
        <is>
          <t>0316~영상베리</t>
        </is>
      </c>
      <c r="B1891" s="10" t="n">
        <v>44279</v>
      </c>
      <c r="C1891" s="9" t="inlineStr">
        <is>
          <t>수</t>
        </is>
      </c>
      <c r="D1891" s="9" t="inlineStr">
        <is>
          <t>페이스북</t>
        </is>
      </c>
      <c r="E1891" s="9" t="inlineStr">
        <is>
          <t>샴푸</t>
        </is>
      </c>
      <c r="K1891" s="9" t="n">
        <v>275360</v>
      </c>
    </row>
    <row r="1892">
      <c r="A1892" s="9" t="inlineStr">
        <is>
          <t>0127_GDN_비듬샴푸_잠재고객</t>
        </is>
      </c>
      <c r="B1892" s="10" t="n">
        <v>44279</v>
      </c>
      <c r="C1892" s="9" t="inlineStr">
        <is>
          <t>수</t>
        </is>
      </c>
      <c r="D1892" s="9" t="inlineStr">
        <is>
          <t>GDN</t>
        </is>
      </c>
      <c r="E1892" s="9" t="inlineStr">
        <is>
          <t>샴푸</t>
        </is>
      </c>
      <c r="K1892" s="9" t="n">
        <v>214100</v>
      </c>
    </row>
    <row r="1893">
      <c r="A1893" s="9" t="inlineStr">
        <is>
          <t>0303_샴푸_인스트림_CPA</t>
        </is>
      </c>
      <c r="B1893" s="10" t="n">
        <v>44279</v>
      </c>
      <c r="C1893" s="9" t="inlineStr">
        <is>
          <t>수</t>
        </is>
      </c>
      <c r="D1893" s="9" t="inlineStr">
        <is>
          <t>유튜브</t>
        </is>
      </c>
      <c r="E1893" s="9" t="inlineStr">
        <is>
          <t>샴푸</t>
        </is>
      </c>
      <c r="K1893" s="9" t="n">
        <v>3365617</v>
      </c>
    </row>
    <row r="1894">
      <c r="A1894" s="9" t="inlineStr">
        <is>
          <t>0312_샴푸_3차_재업</t>
        </is>
      </c>
      <c r="B1894" s="10" t="n">
        <v>44279</v>
      </c>
      <c r="C1894" s="9" t="inlineStr">
        <is>
          <t>수</t>
        </is>
      </c>
      <c r="D1894" s="9" t="inlineStr">
        <is>
          <t>유튜브</t>
        </is>
      </c>
      <c r="E1894" s="9" t="inlineStr">
        <is>
          <t>샴푸</t>
        </is>
      </c>
      <c r="K1894" s="9" t="n">
        <v>106197</v>
      </c>
    </row>
    <row r="1895">
      <c r="A1895" s="9" t="inlineStr">
        <is>
          <t>0318_샴푸_VAC_CPA</t>
        </is>
      </c>
      <c r="B1895" s="10" t="n">
        <v>44279</v>
      </c>
      <c r="C1895" s="9" t="inlineStr">
        <is>
          <t>수</t>
        </is>
      </c>
      <c r="D1895" s="9" t="inlineStr">
        <is>
          <t>유튜브</t>
        </is>
      </c>
      <c r="E1895" s="9" t="inlineStr">
        <is>
          <t>샴푸</t>
        </is>
      </c>
      <c r="K1895" s="9" t="n">
        <v>556</v>
      </c>
    </row>
    <row r="1896">
      <c r="A1896" s="9" t="inlineStr">
        <is>
          <t>0322_샴푸_GDN_상세히든</t>
        </is>
      </c>
      <c r="B1896" s="10" t="n">
        <v>44279</v>
      </c>
      <c r="C1896" s="9" t="inlineStr">
        <is>
          <t>수</t>
        </is>
      </c>
      <c r="D1896" s="9" t="inlineStr">
        <is>
          <t>GDN</t>
        </is>
      </c>
      <c r="E1896" s="9" t="inlineStr">
        <is>
          <t>샴푸</t>
        </is>
      </c>
      <c r="K1896" s="9" t="n">
        <v>11315</v>
      </c>
    </row>
    <row r="1897">
      <c r="A1897" s="9" t="inlineStr">
        <is>
          <t>0323_샴푸_인스트림_리타겟팅</t>
        </is>
      </c>
      <c r="B1897" s="10" t="n">
        <v>44279</v>
      </c>
      <c r="C1897" s="9" t="inlineStr">
        <is>
          <t>수</t>
        </is>
      </c>
      <c r="D1897" s="9" t="inlineStr">
        <is>
          <t>유튜브</t>
        </is>
      </c>
      <c r="E1897" s="9" t="inlineStr">
        <is>
          <t>샴푸</t>
        </is>
      </c>
      <c r="K1897" s="9" t="n">
        <v>4573</v>
      </c>
    </row>
    <row r="1898">
      <c r="A1898" s="9" t="inlineStr">
        <is>
          <t>0323_노워시_디스커버리_1차</t>
        </is>
      </c>
      <c r="B1898" s="10" t="n">
        <v>44279</v>
      </c>
      <c r="C1898" s="9" t="inlineStr">
        <is>
          <t>수</t>
        </is>
      </c>
      <c r="D1898" s="9" t="inlineStr">
        <is>
          <t>유튜브</t>
        </is>
      </c>
      <c r="E1898" s="9" t="inlineStr">
        <is>
          <t>뉴트리셔스밤</t>
        </is>
      </c>
      <c r="K1898" s="9" t="n">
        <v>225156</v>
      </c>
    </row>
    <row r="1899">
      <c r="A1899" s="9" t="inlineStr">
        <is>
          <t>0323_샴푸_VAC_리타겟팅</t>
        </is>
      </c>
      <c r="B1899" s="10" t="n">
        <v>44279</v>
      </c>
      <c r="C1899" s="9" t="inlineStr">
        <is>
          <t>수</t>
        </is>
      </c>
      <c r="D1899" s="9" t="inlineStr">
        <is>
          <t>유튜브</t>
        </is>
      </c>
      <c r="E1899" s="9" t="inlineStr">
        <is>
          <t>샴푸</t>
        </is>
      </c>
      <c r="K1899" s="9" t="n">
        <v>267313</v>
      </c>
    </row>
    <row r="1900">
      <c r="A1900" s="9" t="inlineStr">
        <is>
          <t>0324_샴푸_SDC_전환수최대화</t>
        </is>
      </c>
      <c r="B1900" s="10" t="n">
        <v>44279</v>
      </c>
      <c r="C1900" s="9" t="inlineStr">
        <is>
          <t>수</t>
        </is>
      </c>
      <c r="D1900" s="9" t="inlineStr">
        <is>
          <t>유튜브</t>
        </is>
      </c>
      <c r="E1900" s="9" t="inlineStr">
        <is>
          <t>샴푸</t>
        </is>
      </c>
      <c r="K1900" s="9" t="n">
        <v>2</v>
      </c>
    </row>
    <row r="1901">
      <c r="A1901" s="9" t="inlineStr">
        <is>
          <t>0324_샴푸_VAC_CPA</t>
        </is>
      </c>
      <c r="B1901" s="10" t="n">
        <v>44279</v>
      </c>
      <c r="C1901" s="9" t="inlineStr">
        <is>
          <t>수</t>
        </is>
      </c>
      <c r="D1901" s="9" t="inlineStr">
        <is>
          <t>유튜브</t>
        </is>
      </c>
      <c r="E1901" s="9" t="inlineStr">
        <is>
          <t>샴푸</t>
        </is>
      </c>
      <c r="K1901" s="9" t="n">
        <v>527108</v>
      </c>
    </row>
    <row r="1902">
      <c r="A1902" s="9" t="inlineStr">
        <is>
          <t>라베나 파워링크_샴푸_광고그룹#1</t>
        </is>
      </c>
      <c r="B1902" s="10" t="n">
        <v>44279</v>
      </c>
      <c r="C1902" s="9" t="inlineStr">
        <is>
          <t>수</t>
        </is>
      </c>
      <c r="D1902" s="9" t="inlineStr">
        <is>
          <t>네이버 검색</t>
        </is>
      </c>
      <c r="E1902" s="9" t="inlineStr">
        <is>
          <t>샴푸</t>
        </is>
      </c>
      <c r="K1902" s="9" t="n">
        <v>2230</v>
      </c>
    </row>
    <row r="1903">
      <c r="A1903" s="9" t="inlineStr">
        <is>
          <t>라베나 파워링크_샴푸#1_유튜브키워드기반</t>
        </is>
      </c>
      <c r="B1903" s="10" t="n">
        <v>44279</v>
      </c>
      <c r="C1903" s="9" t="inlineStr">
        <is>
          <t>수</t>
        </is>
      </c>
      <c r="D1903" s="9" t="inlineStr">
        <is>
          <t>네이버 검색</t>
        </is>
      </c>
      <c r="E1903" s="9" t="inlineStr">
        <is>
          <t>샴푸</t>
        </is>
      </c>
      <c r="K1903" s="9" t="n">
        <v>24180</v>
      </c>
    </row>
    <row r="1904">
      <c r="A1904" s="9" t="inlineStr">
        <is>
          <t>샴푸_쇼핑검색#1_광고그룹#1</t>
        </is>
      </c>
      <c r="B1904" s="10" t="n">
        <v>44279</v>
      </c>
      <c r="C1904" s="9" t="inlineStr">
        <is>
          <t>수</t>
        </is>
      </c>
      <c r="D1904" s="9" t="inlineStr">
        <is>
          <t>네이버 검색</t>
        </is>
      </c>
      <c r="E1904" s="9" t="inlineStr">
        <is>
          <t>샴푸</t>
        </is>
      </c>
      <c r="K1904" s="9" t="n">
        <v>6319.999999999999</v>
      </c>
    </row>
    <row r="1905">
      <c r="A1905" s="9" t="inlineStr">
        <is>
          <t>파워컨텐츠#1_비듬샴푸</t>
        </is>
      </c>
      <c r="B1905" s="10" t="n">
        <v>44279</v>
      </c>
      <c r="C1905" s="9" t="inlineStr">
        <is>
          <t>수</t>
        </is>
      </c>
      <c r="D1905" s="9" t="inlineStr">
        <is>
          <t>네이버 검색</t>
        </is>
      </c>
      <c r="E1905" s="9" t="inlineStr">
        <is>
          <t>샴푸</t>
        </is>
      </c>
      <c r="K1905" s="9" t="n">
        <v>140</v>
      </c>
    </row>
    <row r="1906">
      <c r="B1906" s="10" t="n">
        <v>44279</v>
      </c>
      <c r="C1906" s="9" t="inlineStr">
        <is>
          <t>수</t>
        </is>
      </c>
      <c r="E1906" s="9" t="inlineStr">
        <is>
          <t>뉴트리셔스밤</t>
        </is>
      </c>
      <c r="F1906" s="9" t="inlineStr">
        <is>
          <t>카페24</t>
        </is>
      </c>
      <c r="G1906" s="9" t="inlineStr">
        <is>
          <t>라베나 리커버리 15 뉴트리셔스 밤 [HAIR RÉ:COVERY 15 Nutritious Balm]제품선택=헤어 리커버리 15 뉴트리셔스 밤</t>
        </is>
      </c>
      <c r="H1906" s="9" t="n">
        <v>13</v>
      </c>
      <c r="I1906" s="9" t="inlineStr">
        <is>
          <t>뉴트리셔스밤</t>
        </is>
      </c>
      <c r="J1906" s="9" t="inlineStr">
        <is>
          <t>210201</t>
        </is>
      </c>
      <c r="L1906" s="9" t="n">
        <v>323700</v>
      </c>
      <c r="M1906" s="9" t="n">
        <v>304763.55</v>
      </c>
      <c r="N1906" s="9" t="n">
        <v>20540</v>
      </c>
      <c r="O1906" s="9" t="inlineStr">
        <is>
          <t>카페24뉴트리셔스밤라베나 리커버리 15 뉴트리셔스 밤 [HAIR RÉ:COVERY 15 Nutritious Balm]제품선택=헤어 리커버리 15 뉴트리셔스 밤210201</t>
        </is>
      </c>
    </row>
    <row r="1907">
      <c r="B1907" s="10" t="n">
        <v>44279</v>
      </c>
      <c r="C1907" s="9" t="inlineStr">
        <is>
          <t>수</t>
        </is>
      </c>
      <c r="E1907" s="9" t="inlineStr">
        <is>
          <t>뉴트리셔스밤</t>
        </is>
      </c>
      <c r="F1907" s="9" t="inlineStr">
        <is>
          <t>카페24</t>
        </is>
      </c>
      <c r="G1907" s="9" t="inlineStr">
        <is>
          <t>라베나 리커버리 15 뉴트리셔스 밤 [HAIR RÉ:COVERY 15 Nutritious Balm]제품선택=뉴트리셔스 밤 2개 세트 5% 추가할인</t>
        </is>
      </c>
      <c r="H1907" s="9" t="n">
        <v>1</v>
      </c>
      <c r="I1907" s="9" t="inlineStr">
        <is>
          <t>뉴트리셔스밤 2set</t>
        </is>
      </c>
      <c r="J1907" s="9" t="inlineStr">
        <is>
          <t>210201</t>
        </is>
      </c>
      <c r="L1907" s="9" t="n">
        <v>47310</v>
      </c>
      <c r="M1907" s="9" t="n">
        <v>44542.365</v>
      </c>
      <c r="N1907" s="9" t="n">
        <v>3160</v>
      </c>
      <c r="O1907" s="9" t="inlineStr">
        <is>
          <t>카페24뉴트리셔스밤라베나 리커버리 15 뉴트리셔스 밤 [HAIR RÉ:COVERY 15 Nutritious Balm]제품선택=뉴트리셔스 밤 2개 세트 5% 추가할인210201</t>
        </is>
      </c>
    </row>
    <row r="1908">
      <c r="B1908" s="10" t="n">
        <v>44279</v>
      </c>
      <c r="C1908" s="9" t="inlineStr">
        <is>
          <t>수</t>
        </is>
      </c>
      <c r="E1908" s="9" t="inlineStr">
        <is>
          <t>뉴트리셔스밤</t>
        </is>
      </c>
      <c r="F1908" s="9" t="inlineStr">
        <is>
          <t>카페24</t>
        </is>
      </c>
      <c r="G1908" s="9" t="inlineStr">
        <is>
          <t>라베나 리커버리 15 뉴트리셔스 밤 [HAIR RÉ:COVERY 15 Nutritious Balm]제품선택=뉴트리셔스 밤 3개 세트 10% 추가할인</t>
        </is>
      </c>
      <c r="H1908" s="9" t="n">
        <v>1</v>
      </c>
      <c r="I1908" s="9" t="inlineStr">
        <is>
          <t>뉴트리셔스밤 3set</t>
        </is>
      </c>
      <c r="J1908" s="9" t="inlineStr">
        <is>
          <t>210201</t>
        </is>
      </c>
      <c r="L1908" s="9" t="n">
        <v>67230</v>
      </c>
      <c r="M1908" s="9" t="n">
        <v>63297.045</v>
      </c>
      <c r="N1908" s="9" t="n">
        <v>4740</v>
      </c>
      <c r="O1908" s="9" t="inlineStr">
        <is>
          <t>카페24뉴트리셔스밤라베나 리커버리 15 뉴트리셔스 밤 [HAIR RÉ:COVERY 15 Nutritious Balm]제품선택=뉴트리셔스 밤 3개 세트 10% 추가할인210201</t>
        </is>
      </c>
    </row>
    <row r="1909">
      <c r="B1909" s="10" t="n">
        <v>44279</v>
      </c>
      <c r="C1909" s="9" t="inlineStr">
        <is>
          <t>수</t>
        </is>
      </c>
      <c r="E1909" s="9" t="inlineStr">
        <is>
          <t>뉴트리셔스밤</t>
        </is>
      </c>
      <c r="F1909" s="9" t="inlineStr">
        <is>
          <t>카페24</t>
        </is>
      </c>
      <c r="G1909" s="9" t="inlineStr">
        <is>
          <t>라베나 리커버리 15 뉴트리셔스 밤 [HAIR RÉ:COVERY 15 Nutritious Balm]제품선택=뉴트리셔스밤 1개 + 헤어팩 트리트먼트 1개 세트 5%추가할인</t>
        </is>
      </c>
      <c r="H1909" s="9" t="n">
        <v>1</v>
      </c>
      <c r="I1909" s="9" t="inlineStr">
        <is>
          <t>트리트먼트+뉴트리셔스밤</t>
        </is>
      </c>
      <c r="J1909" s="9" t="inlineStr">
        <is>
          <t>210201</t>
        </is>
      </c>
      <c r="L1909" s="9" t="n">
        <v>48355</v>
      </c>
      <c r="M1909" s="9" t="n">
        <v>45526.2325</v>
      </c>
      <c r="N1909" s="9" t="n">
        <v>3177</v>
      </c>
      <c r="O190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910">
      <c r="B1910" s="10" t="n">
        <v>44279</v>
      </c>
      <c r="C1910" s="9" t="inlineStr">
        <is>
          <t>수</t>
        </is>
      </c>
      <c r="E1910" s="9" t="inlineStr">
        <is>
          <t>샴푸</t>
        </is>
      </c>
      <c r="F1910" s="9" t="inlineStr">
        <is>
          <t>카페24</t>
        </is>
      </c>
      <c r="G1910" s="9" t="inlineStr">
        <is>
          <t>라베나 리커버리 15 리바이탈 바이오플라보노이드샴푸 [HAIR RÉ:COVERY 15 Revital Shampoo:]제품선택=헤어 리커버리 15 리바이탈 샴푸 - 500ml</t>
        </is>
      </c>
      <c r="H1910" s="9" t="n">
        <v>3</v>
      </c>
      <c r="I1910" s="9" t="inlineStr">
        <is>
          <t>리바이탈 샴푸</t>
        </is>
      </c>
      <c r="J1910" s="9" t="inlineStr">
        <is>
          <t>210201</t>
        </is>
      </c>
      <c r="L1910" s="9">
        <f>26900*3</f>
        <v/>
      </c>
      <c r="M1910" s="9">
        <f>80700-(80700/5.85)</f>
        <v/>
      </c>
      <c r="N1910" s="9" t="n">
        <v>2865</v>
      </c>
      <c r="O1910" s="9" t="inlineStr">
        <is>
          <t>카페24샴푸라베나 리커버리 15 리바이탈 바이오플라보노이드샴푸 [HAIR RÉ:COVERY 15 Revital Shampoo:]제품선택=헤어 리커버리 15 리바이탈 샴푸 - 500ml210201</t>
        </is>
      </c>
    </row>
    <row r="1911">
      <c r="B1911" s="10" t="n">
        <v>44279</v>
      </c>
      <c r="C1911" s="9" t="inlineStr">
        <is>
          <t>수</t>
        </is>
      </c>
      <c r="E1911" s="9" t="inlineStr">
        <is>
          <t>샴푸</t>
        </is>
      </c>
      <c r="F1911" s="9" t="inlineStr">
        <is>
          <t>카페24</t>
        </is>
      </c>
      <c r="G1911" s="9" t="inlineStr">
        <is>
          <t>라베나 리커버리 15 리바이탈 바이오플라보노이드샴푸 [HAIR RÉ:COVERY 15 Revital Shampoo]제품선택=헤어 리커버리 15 리바이탈 샴푸 - 500ml</t>
        </is>
      </c>
      <c r="H1911" s="9" t="n">
        <v>130</v>
      </c>
      <c r="I1911" s="9" t="inlineStr">
        <is>
          <t>리바이탈 샴푸</t>
        </is>
      </c>
      <c r="J1911" s="9" t="inlineStr">
        <is>
          <t>210201</t>
        </is>
      </c>
      <c r="L1911" s="9" t="n">
        <v>3497000</v>
      </c>
      <c r="M1911" s="9" t="n">
        <v>3292425.5</v>
      </c>
      <c r="N1911" s="9" t="n">
        <v>372450</v>
      </c>
      <c r="O191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912">
      <c r="B1912" s="10" t="n">
        <v>44279</v>
      </c>
      <c r="C1912" s="9" t="inlineStr">
        <is>
          <t>수</t>
        </is>
      </c>
      <c r="E1912" s="9" t="inlineStr">
        <is>
          <t>샴푸</t>
        </is>
      </c>
      <c r="F1912" s="9" t="inlineStr">
        <is>
          <t>카페24</t>
        </is>
      </c>
      <c r="G1912" s="9" t="inlineStr">
        <is>
          <t>라베나 리커버리 15 리바이탈 바이오플라보노이드샴푸 [HAIR RÉ:COVERY 15 Revital Shampoo]제품선택=리바이탈 샴푸 2개 세트 5%추가할인</t>
        </is>
      </c>
      <c r="H1912" s="9" t="n">
        <v>58</v>
      </c>
      <c r="I1912" s="9" t="inlineStr">
        <is>
          <t>리바이탈 샴푸 2set</t>
        </is>
      </c>
      <c r="J1912" s="9" t="inlineStr">
        <is>
          <t>210201</t>
        </is>
      </c>
      <c r="L1912" s="9" t="n">
        <v>2964380</v>
      </c>
      <c r="M1912" s="9" t="n">
        <v>2790963.77</v>
      </c>
      <c r="N1912" s="9" t="n">
        <v>332340</v>
      </c>
      <c r="O191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913">
      <c r="B1913" s="10" t="n">
        <v>44279</v>
      </c>
      <c r="C1913" s="9" t="inlineStr">
        <is>
          <t>수</t>
        </is>
      </c>
      <c r="E1913" s="9" t="inlineStr">
        <is>
          <t>샴푸</t>
        </is>
      </c>
      <c r="F1913" s="9" t="inlineStr">
        <is>
          <t>카페24</t>
        </is>
      </c>
      <c r="G1913" s="9" t="inlineStr">
        <is>
          <t>라베나 리커버리 15 리바이탈 바이오플라보노이드샴푸 [HAIR RÉ:COVERY 15 Revital Shampoo]제품선택=리바이탈 샴푸 3개 세트 10% 추가할인</t>
        </is>
      </c>
      <c r="H1913" s="9" t="n">
        <v>14</v>
      </c>
      <c r="I1913" s="9" t="inlineStr">
        <is>
          <t>리바이탈 샴푸 3set</t>
        </is>
      </c>
      <c r="J1913" s="9" t="inlineStr">
        <is>
          <t>210201</t>
        </is>
      </c>
      <c r="L1913" s="9" t="n">
        <v>1016820</v>
      </c>
      <c r="M1913" s="9" t="n">
        <v>957336.03</v>
      </c>
      <c r="N1913" s="9" t="n">
        <v>120330</v>
      </c>
      <c r="O191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914">
      <c r="B1914" s="10" t="n">
        <v>44279</v>
      </c>
      <c r="C1914" s="9" t="inlineStr">
        <is>
          <t>수</t>
        </is>
      </c>
      <c r="E1914" s="9" t="inlineStr">
        <is>
          <t>트리트먼트</t>
        </is>
      </c>
      <c r="F1914" s="9" t="inlineStr">
        <is>
          <t>카페24</t>
        </is>
      </c>
      <c r="G1914" s="9" t="inlineStr">
        <is>
          <t>라베나 리커버리 15 헤어팩 트리트먼트 [HAIR RÉ:COVERY 15 Hairpack Treatment]제품선택=헤어 리커버리 15 헤어팩 트리트먼트</t>
        </is>
      </c>
      <c r="H1914" s="9" t="n">
        <v>4</v>
      </c>
      <c r="I1914" s="9" t="inlineStr">
        <is>
          <t>트리트먼트</t>
        </is>
      </c>
      <c r="J1914" s="9" t="inlineStr">
        <is>
          <t>210201</t>
        </is>
      </c>
      <c r="L1914" s="9" t="n">
        <v>104000</v>
      </c>
      <c r="M1914" s="9" t="n">
        <v>97916</v>
      </c>
      <c r="N1914" s="9" t="n">
        <v>6388</v>
      </c>
      <c r="O191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915">
      <c r="B1915" s="10" t="n">
        <v>44279</v>
      </c>
      <c r="C1915" s="9" t="inlineStr">
        <is>
          <t>수</t>
        </is>
      </c>
      <c r="E1915" s="9" t="inlineStr">
        <is>
          <t>트리트먼트</t>
        </is>
      </c>
      <c r="F1915" s="9" t="inlineStr">
        <is>
          <t>카페24</t>
        </is>
      </c>
      <c r="G1915" s="9" t="inlineStr">
        <is>
          <t>라베나 리커버리 15 헤어팩 트리트먼트 [HAIR RÉ:COVERY 15 Hairpack Treatment]제품선택=헤어팩 트리트먼트 2개 세트 5% 추가할인</t>
        </is>
      </c>
      <c r="H1915" s="9" t="n">
        <v>3</v>
      </c>
      <c r="I1915" s="9" t="inlineStr">
        <is>
          <t>트리트먼트 2set</t>
        </is>
      </c>
      <c r="J1915" s="9" t="inlineStr">
        <is>
          <t>210201</t>
        </is>
      </c>
      <c r="L1915" s="9" t="n">
        <v>148200</v>
      </c>
      <c r="M1915" s="9" t="n">
        <v>139530.3</v>
      </c>
      <c r="N1915" s="9" t="n">
        <v>9582</v>
      </c>
      <c r="O1915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1916">
      <c r="B1916" s="10" t="n">
        <v>44279</v>
      </c>
      <c r="C1916" s="9" t="inlineStr">
        <is>
          <t>수</t>
        </is>
      </c>
      <c r="E1916" s="9" t="inlineStr">
        <is>
          <t>트리트먼트</t>
        </is>
      </c>
      <c r="F1916" s="9" t="inlineStr">
        <is>
          <t>카페24</t>
        </is>
      </c>
      <c r="G1916" s="9" t="inlineStr">
        <is>
          <t>라베나 리커버리 15 헤어팩 트리트먼트 [HAIR RÉ:COVERY 15 Hairpack Treatment]제품선택=헤어팩 트리트먼트 3개 세트 10% 추가할인</t>
        </is>
      </c>
      <c r="H1916" s="9" t="n">
        <v>1</v>
      </c>
      <c r="I1916" s="9" t="inlineStr">
        <is>
          <t>트리트먼트 3set</t>
        </is>
      </c>
      <c r="J1916" s="9" t="inlineStr">
        <is>
          <t>210201</t>
        </is>
      </c>
      <c r="L1916" s="9" t="n">
        <v>70200</v>
      </c>
      <c r="M1916" s="9" t="n">
        <v>66093.3</v>
      </c>
      <c r="N1916" s="9" t="n">
        <v>4791</v>
      </c>
      <c r="O1916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1917">
      <c r="B1917" s="10" t="n">
        <v>44279</v>
      </c>
      <c r="C1917" s="9" t="inlineStr">
        <is>
          <t>수</t>
        </is>
      </c>
      <c r="E1917" s="9" t="inlineStr">
        <is>
          <t>트리트먼트</t>
        </is>
      </c>
      <c r="F1917" s="9" t="inlineStr">
        <is>
          <t>카페24</t>
        </is>
      </c>
      <c r="G1917" s="9" t="inlineStr">
        <is>
          <t>라베나 리커버리 15 헤어팩 트리트먼트 [HAIR RÉ:COVERY 15 Hairpack Treatment]제품선택=헤어팩 트리트먼트 1개 + 뉴트리셔스밤 1개 세트 5% 추가할인</t>
        </is>
      </c>
      <c r="H1917" s="9" t="n">
        <v>1</v>
      </c>
      <c r="I1917" s="9" t="inlineStr">
        <is>
          <t>트리트먼트+뉴트리셔스밤</t>
        </is>
      </c>
      <c r="J1917" s="9" t="inlineStr">
        <is>
          <t>210201</t>
        </is>
      </c>
      <c r="L1917" s="9" t="n">
        <v>48355</v>
      </c>
      <c r="M1917" s="9" t="n">
        <v>45526.2325</v>
      </c>
      <c r="N1917" s="9" t="n">
        <v>3177</v>
      </c>
      <c r="O1917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918">
      <c r="A1918" s="9" t="inlineStr">
        <is>
          <t>0325_노워시_영상베리_단장전환_광고비변경X</t>
        </is>
      </c>
      <c r="B1918" s="10" t="n">
        <v>44280</v>
      </c>
      <c r="C1918" s="9" t="inlineStr">
        <is>
          <t>목</t>
        </is>
      </c>
      <c r="D1918" s="9" t="inlineStr">
        <is>
          <t>페이스북</t>
        </is>
      </c>
      <c r="E1918" s="9" t="inlineStr">
        <is>
          <t>뉴트리셔스밤</t>
        </is>
      </c>
      <c r="K1918" s="9" t="n">
        <v>19210</v>
      </c>
    </row>
    <row r="1919">
      <c r="A1919" s="9" t="inlineStr">
        <is>
          <t>0318~영상기반 단장</t>
        </is>
      </c>
      <c r="B1919" s="10" t="n">
        <v>44280</v>
      </c>
      <c r="C1919" s="9" t="inlineStr">
        <is>
          <t>목</t>
        </is>
      </c>
      <c r="D1919" s="9" t="inlineStr">
        <is>
          <t>페이스북</t>
        </is>
      </c>
      <c r="E1919" s="9" t="inlineStr">
        <is>
          <t>샴푸</t>
        </is>
      </c>
      <c r="K1919" s="9" t="n">
        <v>83292</v>
      </c>
    </row>
    <row r="1920">
      <c r="A1920" s="9" t="inlineStr">
        <is>
          <t>0317~영상배너_short</t>
        </is>
      </c>
      <c r="B1920" s="10" t="n">
        <v>44280</v>
      </c>
      <c r="C1920" s="9" t="inlineStr">
        <is>
          <t>목</t>
        </is>
      </c>
      <c r="D1920" s="9" t="inlineStr">
        <is>
          <t>페이스북</t>
        </is>
      </c>
      <c r="E1920" s="9" t="inlineStr">
        <is>
          <t>샴푸</t>
        </is>
      </c>
      <c r="K1920" s="9" t="n">
        <v>80960</v>
      </c>
    </row>
    <row r="1921">
      <c r="A1921" s="9" t="inlineStr">
        <is>
          <t>0316~영상베리</t>
        </is>
      </c>
      <c r="B1921" s="10" t="n">
        <v>44280</v>
      </c>
      <c r="C1921" s="9" t="inlineStr">
        <is>
          <t>목</t>
        </is>
      </c>
      <c r="D1921" s="9" t="inlineStr">
        <is>
          <t>페이스북</t>
        </is>
      </c>
      <c r="E1921" s="9" t="inlineStr">
        <is>
          <t>샴푸</t>
        </is>
      </c>
      <c r="K1921" s="9" t="n">
        <v>145221</v>
      </c>
    </row>
    <row r="1922">
      <c r="A1922" s="9" t="inlineStr">
        <is>
          <t>0127_GDN_비듬샴푸_잠재고객</t>
        </is>
      </c>
      <c r="B1922" s="10" t="n">
        <v>44280</v>
      </c>
      <c r="C1922" s="9" t="inlineStr">
        <is>
          <t>목</t>
        </is>
      </c>
      <c r="D1922" s="9" t="inlineStr">
        <is>
          <t>GDN</t>
        </is>
      </c>
      <c r="E1922" s="9" t="inlineStr">
        <is>
          <t>샴푸</t>
        </is>
      </c>
      <c r="K1922" s="9" t="n">
        <v>202787</v>
      </c>
    </row>
    <row r="1923">
      <c r="A1923" s="9" t="inlineStr">
        <is>
          <t>0303_샴푸_인스트림_CPA</t>
        </is>
      </c>
      <c r="B1923" s="10" t="n">
        <v>44280</v>
      </c>
      <c r="C1923" s="9" t="inlineStr">
        <is>
          <t>목</t>
        </is>
      </c>
      <c r="D1923" s="9" t="inlineStr">
        <is>
          <t>유튜브</t>
        </is>
      </c>
      <c r="E1923" s="9" t="inlineStr">
        <is>
          <t>샴푸</t>
        </is>
      </c>
      <c r="K1923" s="9" t="n">
        <v>2875788</v>
      </c>
    </row>
    <row r="1924">
      <c r="A1924" s="9" t="inlineStr">
        <is>
          <t>0322_샴푸_GDN_이현1차</t>
        </is>
      </c>
      <c r="B1924" s="10" t="n">
        <v>44280</v>
      </c>
      <c r="C1924" s="9" t="inlineStr">
        <is>
          <t>목</t>
        </is>
      </c>
      <c r="D1924" s="9" t="inlineStr">
        <is>
          <t>GDN</t>
        </is>
      </c>
      <c r="E1924" s="9" t="inlineStr">
        <is>
          <t>샴푸</t>
        </is>
      </c>
      <c r="K1924" s="9" t="n">
        <v>11518</v>
      </c>
    </row>
    <row r="1925">
      <c r="A1925" s="9" t="inlineStr">
        <is>
          <t>0324_샴푸_SDC_전환수최대화</t>
        </is>
      </c>
      <c r="B1925" s="10" t="n">
        <v>44280</v>
      </c>
      <c r="C1925" s="9" t="inlineStr">
        <is>
          <t>목</t>
        </is>
      </c>
      <c r="D1925" s="9" t="inlineStr">
        <is>
          <t>유튜브</t>
        </is>
      </c>
      <c r="E1925" s="9" t="inlineStr">
        <is>
          <t>샴푸</t>
        </is>
      </c>
      <c r="K1925" s="9" t="n">
        <v>196791</v>
      </c>
    </row>
    <row r="1926">
      <c r="A1926" s="9" t="inlineStr">
        <is>
          <t>0324_샴푸_VAC_CPA</t>
        </is>
      </c>
      <c r="B1926" s="10" t="n">
        <v>44280</v>
      </c>
      <c r="C1926" s="9" t="inlineStr">
        <is>
          <t>목</t>
        </is>
      </c>
      <c r="D1926" s="9" t="inlineStr">
        <is>
          <t>유튜브</t>
        </is>
      </c>
      <c r="E1926" s="9" t="inlineStr">
        <is>
          <t>샴푸</t>
        </is>
      </c>
      <c r="K1926" s="9" t="n">
        <v>453678</v>
      </c>
    </row>
    <row r="1927">
      <c r="A1927" s="9" t="inlineStr">
        <is>
          <t>라베나 파워링크_샴푸_광고그룹#1</t>
        </is>
      </c>
      <c r="B1927" s="10" t="n">
        <v>44280</v>
      </c>
      <c r="C1927" s="9" t="inlineStr">
        <is>
          <t>목</t>
        </is>
      </c>
      <c r="D1927" s="9" t="inlineStr">
        <is>
          <t>네이버 검색</t>
        </is>
      </c>
      <c r="E1927" s="9" t="inlineStr">
        <is>
          <t>샴푸</t>
        </is>
      </c>
      <c r="K1927" s="9" t="n">
        <v>1610</v>
      </c>
    </row>
    <row r="1928">
      <c r="A1928" s="9" t="inlineStr">
        <is>
          <t>라베나 파워링크_샴푸#1_유튜브키워드기반</t>
        </is>
      </c>
      <c r="B1928" s="10" t="n">
        <v>44280</v>
      </c>
      <c r="C1928" s="9" t="inlineStr">
        <is>
          <t>목</t>
        </is>
      </c>
      <c r="D1928" s="9" t="inlineStr">
        <is>
          <t>네이버 검색</t>
        </is>
      </c>
      <c r="E1928" s="9" t="inlineStr">
        <is>
          <t>샴푸</t>
        </is>
      </c>
      <c r="K1928" s="9" t="n">
        <v>22580</v>
      </c>
    </row>
    <row r="1929">
      <c r="A1929" s="9" t="inlineStr">
        <is>
          <t>샴푸_쇼핑검색#1_광고그룹#1</t>
        </is>
      </c>
      <c r="B1929" s="10" t="n">
        <v>44280</v>
      </c>
      <c r="C1929" s="9" t="inlineStr">
        <is>
          <t>목</t>
        </is>
      </c>
      <c r="D1929" s="9" t="inlineStr">
        <is>
          <t>네이버 검색</t>
        </is>
      </c>
      <c r="E1929" s="9" t="inlineStr">
        <is>
          <t>샴푸</t>
        </is>
      </c>
      <c r="K1929" s="9" t="n">
        <v>5440</v>
      </c>
    </row>
    <row r="1930">
      <c r="A1930" s="9" t="inlineStr">
        <is>
          <t>파워컨텐츠#1_비듬샴푸</t>
        </is>
      </c>
      <c r="B1930" s="10" t="n">
        <v>44280</v>
      </c>
      <c r="C1930" s="9" t="inlineStr">
        <is>
          <t>목</t>
        </is>
      </c>
      <c r="D1930" s="9" t="inlineStr">
        <is>
          <t>네이버 검색</t>
        </is>
      </c>
      <c r="E1930" s="9" t="inlineStr">
        <is>
          <t>샴푸</t>
        </is>
      </c>
      <c r="K1930" s="9" t="n">
        <v>140</v>
      </c>
    </row>
    <row r="1931">
      <c r="A1931" s="9" t="inlineStr">
        <is>
          <t>0324_샴푸_이현</t>
        </is>
      </c>
      <c r="B1931" s="10" t="n">
        <v>44280</v>
      </c>
      <c r="C1931" s="9" t="inlineStr">
        <is>
          <t>목</t>
        </is>
      </c>
      <c r="D1931" s="9" t="inlineStr">
        <is>
          <t>카카오</t>
        </is>
      </c>
      <c r="E1931" s="9" t="inlineStr">
        <is>
          <t>샴푸</t>
        </is>
      </c>
      <c r="K1931" s="9">
        <f>51304/1.1</f>
        <v/>
      </c>
    </row>
    <row r="1932">
      <c r="B1932" s="10" t="n">
        <v>44280</v>
      </c>
      <c r="C1932" s="9" t="inlineStr">
        <is>
          <t>목</t>
        </is>
      </c>
      <c r="E1932" s="9" t="inlineStr">
        <is>
          <t>뉴트리셔스밤</t>
        </is>
      </c>
      <c r="F1932" s="9" t="inlineStr">
        <is>
          <t>카페24</t>
        </is>
      </c>
      <c r="G1932" s="9" t="inlineStr">
        <is>
          <t>라베나 리커버리 15 뉴트리셔스 밤 [HAIR RÉ:COVERY 15 Nutritious Balm]제품선택=헤어 리커버리 15 뉴트리셔스 밤</t>
        </is>
      </c>
      <c r="H1932" s="9" t="n">
        <v>6</v>
      </c>
      <c r="I1932" s="9" t="inlineStr">
        <is>
          <t>뉴트리셔스밤</t>
        </is>
      </c>
      <c r="J1932" s="9" t="inlineStr">
        <is>
          <t>210201</t>
        </is>
      </c>
      <c r="L1932" s="9" t="n">
        <v>149400</v>
      </c>
      <c r="M1932" s="9" t="n">
        <v>140660.1</v>
      </c>
      <c r="N1932" s="9" t="n">
        <v>9480</v>
      </c>
      <c r="O1932" s="9" t="inlineStr">
        <is>
          <t>카페24뉴트리셔스밤라베나 리커버리 15 뉴트리셔스 밤 [HAIR RÉ:COVERY 15 Nutritious Balm]제품선택=헤어 리커버리 15 뉴트리셔스 밤210201</t>
        </is>
      </c>
    </row>
    <row r="1933">
      <c r="B1933" s="10" t="n">
        <v>44280</v>
      </c>
      <c r="C1933" s="9" t="inlineStr">
        <is>
          <t>목</t>
        </is>
      </c>
      <c r="E1933" s="9" t="inlineStr">
        <is>
          <t>뉴트리셔스밤</t>
        </is>
      </c>
      <c r="F1933" s="9" t="inlineStr">
        <is>
          <t>카페24</t>
        </is>
      </c>
      <c r="G1933" s="9" t="inlineStr">
        <is>
          <t>라베나 리커버리 15 뉴트리셔스 밤 [HAIR RÉ:COVERY 15 Nutritious Balm]제품선택=뉴트리셔스 밤 2개 세트 5% 추가할인</t>
        </is>
      </c>
      <c r="H1933" s="9" t="n">
        <v>1</v>
      </c>
      <c r="I1933" s="9" t="inlineStr">
        <is>
          <t>뉴트리셔스밤 2set</t>
        </is>
      </c>
      <c r="J1933" s="9" t="inlineStr">
        <is>
          <t>210201</t>
        </is>
      </c>
      <c r="L1933" s="9" t="n">
        <v>47310</v>
      </c>
      <c r="M1933" s="9" t="n">
        <v>44542.365</v>
      </c>
      <c r="N1933" s="9" t="n">
        <v>3160</v>
      </c>
      <c r="O1933" s="9" t="inlineStr">
        <is>
          <t>카페24뉴트리셔스밤라베나 리커버리 15 뉴트리셔스 밤 [HAIR RÉ:COVERY 15 Nutritious Balm]제품선택=뉴트리셔스 밤 2개 세트 5% 추가할인210201</t>
        </is>
      </c>
    </row>
    <row r="1934">
      <c r="B1934" s="10" t="n">
        <v>44280</v>
      </c>
      <c r="C1934" s="9" t="inlineStr">
        <is>
          <t>목</t>
        </is>
      </c>
      <c r="E1934" s="9" t="inlineStr">
        <is>
          <t>뉴트리셔스밤</t>
        </is>
      </c>
      <c r="F1934" s="9" t="inlineStr">
        <is>
          <t>카페24</t>
        </is>
      </c>
      <c r="G1934" s="9" t="inlineStr">
        <is>
          <t>라베나 리커버리 15 뉴트리셔스 밤 [HAIR RÉ:COVERY 15 Nutritious Balm]제품선택=뉴트리셔스 밤 3개 세트 10% 추가할인</t>
        </is>
      </c>
      <c r="H1934" s="9" t="n">
        <v>1</v>
      </c>
      <c r="I1934" s="9" t="inlineStr">
        <is>
          <t>뉴트리셔스밤 3set</t>
        </is>
      </c>
      <c r="J1934" s="9" t="inlineStr">
        <is>
          <t>210201</t>
        </is>
      </c>
      <c r="L1934" s="9" t="n">
        <v>67230</v>
      </c>
      <c r="M1934" s="9" t="n">
        <v>63297.045</v>
      </c>
      <c r="N1934" s="9" t="n">
        <v>4740</v>
      </c>
      <c r="O1934" s="9" t="inlineStr">
        <is>
          <t>카페24뉴트리셔스밤라베나 리커버리 15 뉴트리셔스 밤 [HAIR RÉ:COVERY 15 Nutritious Balm]제품선택=뉴트리셔스 밤 3개 세트 10% 추가할인210201</t>
        </is>
      </c>
    </row>
    <row r="1935">
      <c r="B1935" s="10" t="n">
        <v>44280</v>
      </c>
      <c r="C1935" s="9" t="inlineStr">
        <is>
          <t>목</t>
        </is>
      </c>
      <c r="E1935" s="9" t="inlineStr">
        <is>
          <t>뉴트리셔스밤</t>
        </is>
      </c>
      <c r="F1935" s="9" t="inlineStr">
        <is>
          <t>카페24</t>
        </is>
      </c>
      <c r="G1935" s="9" t="inlineStr">
        <is>
          <t>라베나 리커버리 15 뉴트리셔스 밤 [HAIR RÉ:COVERY 15 Nutritious Balm]제품선택=뉴트리셔스밤 1개 + 헤어팩 트리트먼트 1개 세트 5%추가할인</t>
        </is>
      </c>
      <c r="H1935" s="9" t="n">
        <v>2</v>
      </c>
      <c r="I1935" s="9" t="inlineStr">
        <is>
          <t>트리트먼트+뉴트리셔스밤</t>
        </is>
      </c>
      <c r="J1935" s="9" t="inlineStr">
        <is>
          <t>210201</t>
        </is>
      </c>
      <c r="L1935" s="9" t="n">
        <v>96710</v>
      </c>
      <c r="M1935" s="9" t="n">
        <v>91052.465</v>
      </c>
      <c r="N1935" s="9" t="n">
        <v>6354</v>
      </c>
      <c r="O1935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936">
      <c r="B1936" s="10" t="n">
        <v>44280</v>
      </c>
      <c r="C1936" s="9" t="inlineStr">
        <is>
          <t>목</t>
        </is>
      </c>
      <c r="E1936" s="9" t="inlineStr">
        <is>
          <t>샴푸</t>
        </is>
      </c>
      <c r="F1936" s="9" t="inlineStr">
        <is>
          <t>카페24</t>
        </is>
      </c>
      <c r="G1936" s="9" t="inlineStr">
        <is>
          <t>라베나 리커버리 15 리바이탈 바이오플라보노이드샴푸 [HAIR RÉ:COVERY 15 Revital Shampoo]제품선택=헤어 리커버리 15 리바이탈 샴푸 - 500ml</t>
        </is>
      </c>
      <c r="H1936" s="9" t="n">
        <v>141</v>
      </c>
      <c r="I1936" s="9" t="inlineStr">
        <is>
          <t>리바이탈 샴푸</t>
        </is>
      </c>
      <c r="J1936" s="9" t="inlineStr">
        <is>
          <t>210201</t>
        </is>
      </c>
      <c r="L1936" s="9" t="n">
        <v>3792900</v>
      </c>
      <c r="M1936" s="9" t="n">
        <v>3571015.35</v>
      </c>
      <c r="N1936" s="9" t="n">
        <v>403965</v>
      </c>
      <c r="O193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937">
      <c r="B1937" s="10" t="n">
        <v>44280</v>
      </c>
      <c r="C1937" s="9" t="inlineStr">
        <is>
          <t>목</t>
        </is>
      </c>
      <c r="E1937" s="9" t="inlineStr">
        <is>
          <t>샴푸</t>
        </is>
      </c>
      <c r="F1937" s="9" t="inlineStr">
        <is>
          <t>카페24</t>
        </is>
      </c>
      <c r="G1937" s="9" t="inlineStr">
        <is>
          <t>라베나 리커버리 15 리바이탈 바이오플라보노이드샴푸 [HAIR RÉ:COVERY 15 Revital Shampoo]제품선택=리바이탈 샴푸 2개 세트 5%추가할인</t>
        </is>
      </c>
      <c r="H1937" s="9" t="n">
        <v>45</v>
      </c>
      <c r="I1937" s="9" t="inlineStr">
        <is>
          <t>리바이탈 샴푸 2set</t>
        </is>
      </c>
      <c r="J1937" s="9" t="inlineStr">
        <is>
          <t>210201</t>
        </is>
      </c>
      <c r="L1937" s="9" t="n">
        <v>2299950</v>
      </c>
      <c r="M1937" s="9" t="n">
        <v>2165402.925</v>
      </c>
      <c r="N1937" s="9" t="n">
        <v>257850</v>
      </c>
      <c r="O193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938">
      <c r="B1938" s="10" t="n">
        <v>44280</v>
      </c>
      <c r="C1938" s="9" t="inlineStr">
        <is>
          <t>목</t>
        </is>
      </c>
      <c r="E1938" s="9" t="inlineStr">
        <is>
          <t>샴푸</t>
        </is>
      </c>
      <c r="F1938" s="9" t="inlineStr">
        <is>
          <t>카페24</t>
        </is>
      </c>
      <c r="G1938" s="9" t="inlineStr">
        <is>
          <t>라베나 리커버리 15 리바이탈 바이오플라보노이드샴푸 [HAIR RÉ:COVERY 15 Revital Shampoo]제품선택=리바이탈 샴푸 3개 세트 10% 추가할인</t>
        </is>
      </c>
      <c r="H1938" s="9" t="n">
        <v>14</v>
      </c>
      <c r="I1938" s="9" t="inlineStr">
        <is>
          <t>리바이탈 샴푸 3set</t>
        </is>
      </c>
      <c r="J1938" s="9" t="inlineStr">
        <is>
          <t>210201</t>
        </is>
      </c>
      <c r="L1938" s="9" t="n">
        <v>1016820</v>
      </c>
      <c r="M1938" s="9" t="n">
        <v>957336.03</v>
      </c>
      <c r="N1938" s="9" t="n">
        <v>120330</v>
      </c>
      <c r="O193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939">
      <c r="B1939" s="10" t="n">
        <v>44280</v>
      </c>
      <c r="C1939" s="9" t="inlineStr">
        <is>
          <t>목</t>
        </is>
      </c>
      <c r="E1939" s="9" t="inlineStr">
        <is>
          <t>트리트먼트</t>
        </is>
      </c>
      <c r="F1939" s="9" t="inlineStr">
        <is>
          <t>카페24</t>
        </is>
      </c>
      <c r="G1939" s="9" t="inlineStr">
        <is>
          <t>라베나 리커버리 15 헤어팩 트리트먼트 [HAIR RÉ:COVERY 15 Hairpack Treatment]제품선택=헤어 리커버리 15 헤어팩 트리트먼트</t>
        </is>
      </c>
      <c r="H1939" s="9" t="n">
        <v>5</v>
      </c>
      <c r="I1939" s="9" t="inlineStr">
        <is>
          <t>트리트먼트</t>
        </is>
      </c>
      <c r="J1939" s="9" t="inlineStr">
        <is>
          <t>210201</t>
        </is>
      </c>
      <c r="L1939" s="9" t="n">
        <v>130000</v>
      </c>
      <c r="M1939" s="9" t="n">
        <v>122395</v>
      </c>
      <c r="N1939" s="9" t="n">
        <v>7985</v>
      </c>
      <c r="O193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940">
      <c r="B1940" s="10" t="n">
        <v>44280</v>
      </c>
      <c r="C1940" s="9" t="inlineStr">
        <is>
          <t>목</t>
        </is>
      </c>
      <c r="E1940" s="9" t="inlineStr">
        <is>
          <t>트리트먼트</t>
        </is>
      </c>
      <c r="F1940" s="9" t="inlineStr">
        <is>
          <t>카페24</t>
        </is>
      </c>
      <c r="G1940" s="9" t="inlineStr">
        <is>
          <t>라베나 리커버리 15 헤어팩 트리트먼트 [HAIR RÉ:COVERY 15 Hairpack Treatment]제품선택=헤어팩 트리트먼트 1개 + 뉴트리셔스밤 1개 세트 5% 추가할인</t>
        </is>
      </c>
      <c r="H1940" s="9" t="n">
        <v>2</v>
      </c>
      <c r="I1940" s="9" t="inlineStr">
        <is>
          <t>트리트먼트+뉴트리셔스밤</t>
        </is>
      </c>
      <c r="J1940" s="9" t="inlineStr">
        <is>
          <t>210201</t>
        </is>
      </c>
      <c r="L1940" s="9" t="n">
        <v>96710</v>
      </c>
      <c r="M1940" s="9" t="n">
        <v>91052.465</v>
      </c>
      <c r="N1940" s="9" t="n">
        <v>6354</v>
      </c>
      <c r="O1940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1941">
      <c r="A1941" s="9" t="inlineStr">
        <is>
          <t>0325_노워시_영상베리_단장전환_광고비변경X</t>
        </is>
      </c>
      <c r="B1941" s="10" t="n">
        <v>44281</v>
      </c>
      <c r="C1941" s="9" t="inlineStr">
        <is>
          <t>금</t>
        </is>
      </c>
      <c r="D1941" s="9" t="inlineStr">
        <is>
          <t>페이스북</t>
        </is>
      </c>
      <c r="E1941" s="9" t="inlineStr">
        <is>
          <t>뉴트리셔스밤</t>
        </is>
      </c>
      <c r="K1941" s="9" t="n">
        <v>48074</v>
      </c>
    </row>
    <row r="1942">
      <c r="A1942" s="9" t="inlineStr">
        <is>
          <t>0318~영상기반 단장</t>
        </is>
      </c>
      <c r="B1942" s="10" t="n">
        <v>44281</v>
      </c>
      <c r="C1942" s="9" t="inlineStr">
        <is>
          <t>금</t>
        </is>
      </c>
      <c r="D1942" s="9" t="inlineStr">
        <is>
          <t>페이스북</t>
        </is>
      </c>
      <c r="E1942" s="9" t="inlineStr">
        <is>
          <t>샴푸</t>
        </is>
      </c>
      <c r="K1942" s="9" t="n">
        <v>55606</v>
      </c>
    </row>
    <row r="1943">
      <c r="A1943" s="9" t="inlineStr">
        <is>
          <t>0317~영상배너_short</t>
        </is>
      </c>
      <c r="B1943" s="10" t="n">
        <v>44281</v>
      </c>
      <c r="C1943" s="9" t="inlineStr">
        <is>
          <t>금</t>
        </is>
      </c>
      <c r="D1943" s="9" t="inlineStr">
        <is>
          <t>페이스북</t>
        </is>
      </c>
      <c r="E1943" s="9" t="inlineStr">
        <is>
          <t>샴푸</t>
        </is>
      </c>
      <c r="K1943" s="9" t="n">
        <v>51572</v>
      </c>
    </row>
    <row r="1944">
      <c r="A1944" s="9" t="inlineStr">
        <is>
          <t>0316~영상베리</t>
        </is>
      </c>
      <c r="B1944" s="10" t="n">
        <v>44281</v>
      </c>
      <c r="C1944" s="9" t="inlineStr">
        <is>
          <t>금</t>
        </is>
      </c>
      <c r="D1944" s="9" t="inlineStr">
        <is>
          <t>페이스북</t>
        </is>
      </c>
      <c r="E1944" s="9" t="inlineStr">
        <is>
          <t>샴푸</t>
        </is>
      </c>
      <c r="K1944" s="9" t="n">
        <v>158997</v>
      </c>
    </row>
    <row r="1945">
      <c r="A1945" s="9" t="inlineStr">
        <is>
          <t>0325_노워시_영상베리_단장전환_광고비변경X</t>
        </is>
      </c>
      <c r="B1945" s="10" t="n">
        <v>44282</v>
      </c>
      <c r="C1945" s="9" t="inlineStr">
        <is>
          <t>토</t>
        </is>
      </c>
      <c r="D1945" s="9" t="inlineStr">
        <is>
          <t>페이스북</t>
        </is>
      </c>
      <c r="E1945" s="9" t="inlineStr">
        <is>
          <t>뉴트리셔스밤</t>
        </is>
      </c>
      <c r="K1945" s="9" t="n">
        <v>55322</v>
      </c>
    </row>
    <row r="1946">
      <c r="A1946" s="9" t="inlineStr">
        <is>
          <t>0318~영상기반 단장</t>
        </is>
      </c>
      <c r="B1946" s="10" t="n">
        <v>44282</v>
      </c>
      <c r="C1946" s="9" t="inlineStr">
        <is>
          <t>토</t>
        </is>
      </c>
      <c r="D1946" s="9" t="inlineStr">
        <is>
          <t>페이스북</t>
        </is>
      </c>
      <c r="E1946" s="9" t="inlineStr">
        <is>
          <t>샴푸</t>
        </is>
      </c>
      <c r="K1946" s="9" t="n">
        <v>45153</v>
      </c>
    </row>
    <row r="1947">
      <c r="A1947" s="9" t="inlineStr">
        <is>
          <t>0317~영상배너_short</t>
        </is>
      </c>
      <c r="B1947" s="10" t="n">
        <v>44282</v>
      </c>
      <c r="C1947" s="9" t="inlineStr">
        <is>
          <t>토</t>
        </is>
      </c>
      <c r="D1947" s="9" t="inlineStr">
        <is>
          <t>페이스북</t>
        </is>
      </c>
      <c r="E1947" s="9" t="inlineStr">
        <is>
          <t>샴푸</t>
        </is>
      </c>
      <c r="K1947" s="9" t="n">
        <v>67489</v>
      </c>
    </row>
    <row r="1948">
      <c r="A1948" s="9" t="inlineStr">
        <is>
          <t>0316~영상베리</t>
        </is>
      </c>
      <c r="B1948" s="10" t="n">
        <v>44282</v>
      </c>
      <c r="C1948" s="9" t="inlineStr">
        <is>
          <t>토</t>
        </is>
      </c>
      <c r="D1948" s="9" t="inlineStr">
        <is>
          <t>페이스북</t>
        </is>
      </c>
      <c r="E1948" s="9" t="inlineStr">
        <is>
          <t>샴푸</t>
        </is>
      </c>
      <c r="K1948" s="9" t="n">
        <v>124617</v>
      </c>
    </row>
    <row r="1949">
      <c r="A1949" s="9" t="inlineStr">
        <is>
          <t>0325_노워시_영상베리_단장전환_광고비변경X</t>
        </is>
      </c>
      <c r="B1949" s="10" t="n">
        <v>44283</v>
      </c>
      <c r="C1949" s="9" t="inlineStr">
        <is>
          <t>일</t>
        </is>
      </c>
      <c r="D1949" s="9" t="inlineStr">
        <is>
          <t>페이스북</t>
        </is>
      </c>
      <c r="E1949" s="9" t="inlineStr">
        <is>
          <t>뉴트리셔스밤</t>
        </is>
      </c>
      <c r="K1949" s="9" t="n">
        <v>16037</v>
      </c>
    </row>
    <row r="1950">
      <c r="A1950" s="9" t="inlineStr">
        <is>
          <t>0318~영상기반 단장</t>
        </is>
      </c>
      <c r="B1950" s="10" t="n">
        <v>44283</v>
      </c>
      <c r="C1950" s="9" t="inlineStr">
        <is>
          <t>일</t>
        </is>
      </c>
      <c r="D1950" s="9" t="inlineStr">
        <is>
          <t>페이스북</t>
        </is>
      </c>
      <c r="E1950" s="9" t="inlineStr">
        <is>
          <t>샴푸</t>
        </is>
      </c>
      <c r="K1950" s="9" t="n">
        <v>51115</v>
      </c>
    </row>
    <row r="1951">
      <c r="A1951" s="9" t="inlineStr">
        <is>
          <t>0317~영상배너_short</t>
        </is>
      </c>
      <c r="B1951" s="10" t="n">
        <v>44283</v>
      </c>
      <c r="C1951" s="9" t="inlineStr">
        <is>
          <t>일</t>
        </is>
      </c>
      <c r="D1951" s="9" t="inlineStr">
        <is>
          <t>페이스북</t>
        </is>
      </c>
      <c r="E1951" s="9" t="inlineStr">
        <is>
          <t>샴푸</t>
        </is>
      </c>
      <c r="K1951" s="9" t="n">
        <v>87240</v>
      </c>
    </row>
    <row r="1952">
      <c r="A1952" s="9" t="inlineStr">
        <is>
          <t>0316~영상베리</t>
        </is>
      </c>
      <c r="B1952" s="10" t="n">
        <v>44283</v>
      </c>
      <c r="C1952" s="9" t="inlineStr">
        <is>
          <t>일</t>
        </is>
      </c>
      <c r="D1952" s="9" t="inlineStr">
        <is>
          <t>페이스북</t>
        </is>
      </c>
      <c r="E1952" s="9" t="inlineStr">
        <is>
          <t>샴푸</t>
        </is>
      </c>
      <c r="K1952" s="9" t="n">
        <v>100058</v>
      </c>
    </row>
    <row r="1953">
      <c r="A1953" s="9" t="inlineStr">
        <is>
          <t>0127_GDN_비듬샴푸_잠재고객</t>
        </is>
      </c>
      <c r="B1953" s="10" t="n">
        <v>44281</v>
      </c>
      <c r="C1953" s="9" t="inlineStr">
        <is>
          <t>금</t>
        </is>
      </c>
      <c r="D1953" s="9" t="inlineStr">
        <is>
          <t>GDN</t>
        </is>
      </c>
      <c r="E1953" s="9" t="inlineStr">
        <is>
          <t>샴푸</t>
        </is>
      </c>
      <c r="K1953" s="9" t="n">
        <v>197261</v>
      </c>
    </row>
    <row r="1954">
      <c r="A1954" s="9" t="inlineStr">
        <is>
          <t>0303_샴푸_인스트림_CPA</t>
        </is>
      </c>
      <c r="B1954" s="10" t="n">
        <v>44281</v>
      </c>
      <c r="C1954" s="9" t="inlineStr">
        <is>
          <t>금</t>
        </is>
      </c>
      <c r="D1954" s="9" t="inlineStr">
        <is>
          <t>유튜브</t>
        </is>
      </c>
      <c r="E1954" s="9" t="inlineStr">
        <is>
          <t>샴푸</t>
        </is>
      </c>
      <c r="K1954" s="9" t="n">
        <v>2595189</v>
      </c>
    </row>
    <row r="1955">
      <c r="A1955" s="9" t="inlineStr">
        <is>
          <t>0322_샴푸_GDN_이현1차</t>
        </is>
      </c>
      <c r="B1955" s="10" t="n">
        <v>44281</v>
      </c>
      <c r="C1955" s="9" t="inlineStr">
        <is>
          <t>금</t>
        </is>
      </c>
      <c r="D1955" s="9" t="inlineStr">
        <is>
          <t>GDN</t>
        </is>
      </c>
      <c r="E1955" s="9" t="inlineStr">
        <is>
          <t>샴푸</t>
        </is>
      </c>
      <c r="K1955" s="9" t="n">
        <v>183117</v>
      </c>
    </row>
    <row r="1956">
      <c r="A1956" s="9" t="inlineStr">
        <is>
          <t>0324_샴푸_SDC_CPA</t>
        </is>
      </c>
      <c r="B1956" s="10" t="n">
        <v>44281</v>
      </c>
      <c r="C1956" s="9" t="inlineStr">
        <is>
          <t>금</t>
        </is>
      </c>
      <c r="D1956" s="9" t="inlineStr">
        <is>
          <t>유튜브</t>
        </is>
      </c>
      <c r="E1956" s="9" t="inlineStr">
        <is>
          <t>샴푸</t>
        </is>
      </c>
      <c r="K1956" s="9" t="n">
        <v>624422</v>
      </c>
    </row>
    <row r="1957">
      <c r="A1957" s="9" t="inlineStr">
        <is>
          <t>0324_샴푸_VAC_CPA</t>
        </is>
      </c>
      <c r="B1957" s="10" t="n">
        <v>44281</v>
      </c>
      <c r="C1957" s="9" t="inlineStr">
        <is>
          <t>금</t>
        </is>
      </c>
      <c r="D1957" s="9" t="inlineStr">
        <is>
          <t>유튜브</t>
        </is>
      </c>
      <c r="E1957" s="9" t="inlineStr">
        <is>
          <t>샴푸</t>
        </is>
      </c>
      <c r="K1957" s="9" t="n">
        <v>599223</v>
      </c>
    </row>
    <row r="1958">
      <c r="A1958" s="9" t="inlineStr">
        <is>
          <t>0326_샴푸_영상_잠재제외</t>
        </is>
      </c>
      <c r="B1958" s="10" t="n">
        <v>44281</v>
      </c>
      <c r="C1958" s="9" t="inlineStr">
        <is>
          <t>금</t>
        </is>
      </c>
      <c r="D1958" s="9" t="inlineStr">
        <is>
          <t>유튜브</t>
        </is>
      </c>
      <c r="E1958" s="9" t="inlineStr">
        <is>
          <t>샴푸</t>
        </is>
      </c>
      <c r="K1958" s="9" t="n">
        <v>6279</v>
      </c>
    </row>
    <row r="1959">
      <c r="A1959" s="9" t="inlineStr">
        <is>
          <t>0326_샴푸_DA_1차</t>
        </is>
      </c>
      <c r="B1959" s="10" t="n">
        <v>44281</v>
      </c>
      <c r="C1959" s="9" t="inlineStr">
        <is>
          <t>금</t>
        </is>
      </c>
      <c r="D1959" s="9" t="inlineStr">
        <is>
          <t>유튜브</t>
        </is>
      </c>
      <c r="E1959" s="9" t="inlineStr">
        <is>
          <t>샴푸</t>
        </is>
      </c>
      <c r="K1959" s="9" t="n">
        <v>1568</v>
      </c>
    </row>
    <row r="1960">
      <c r="A1960" s="9" t="inlineStr">
        <is>
          <t>0127_GDN_비듬샴푸_잠재고객</t>
        </is>
      </c>
      <c r="B1960" s="10" t="n">
        <v>44282</v>
      </c>
      <c r="C1960" s="9" t="inlineStr">
        <is>
          <t>토</t>
        </is>
      </c>
      <c r="D1960" s="9" t="inlineStr">
        <is>
          <t>GDN</t>
        </is>
      </c>
      <c r="E1960" s="9" t="inlineStr">
        <is>
          <t>샴푸</t>
        </is>
      </c>
      <c r="K1960" s="9" t="n">
        <v>199182</v>
      </c>
    </row>
    <row r="1961">
      <c r="A1961" s="9" t="inlineStr">
        <is>
          <t>0303_샴푸_인스트림_CPA</t>
        </is>
      </c>
      <c r="B1961" s="10" t="n">
        <v>44282</v>
      </c>
      <c r="C1961" s="9" t="inlineStr">
        <is>
          <t>토</t>
        </is>
      </c>
      <c r="D1961" s="9" t="inlineStr">
        <is>
          <t>유튜브</t>
        </is>
      </c>
      <c r="E1961" s="9" t="inlineStr">
        <is>
          <t>샴푸</t>
        </is>
      </c>
      <c r="K1961" s="9" t="n">
        <v>2392355</v>
      </c>
    </row>
    <row r="1962">
      <c r="A1962" s="9" t="inlineStr">
        <is>
          <t>0322_샴푸_GDN_이현1차</t>
        </is>
      </c>
      <c r="B1962" s="10" t="n">
        <v>44282</v>
      </c>
      <c r="C1962" s="9" t="inlineStr">
        <is>
          <t>토</t>
        </is>
      </c>
      <c r="D1962" s="9" t="inlineStr">
        <is>
          <t>GDN</t>
        </is>
      </c>
      <c r="E1962" s="9" t="inlineStr">
        <is>
          <t>샴푸</t>
        </is>
      </c>
      <c r="K1962" s="9" t="n">
        <v>57000</v>
      </c>
    </row>
    <row r="1963">
      <c r="A1963" s="9" t="inlineStr">
        <is>
          <t>0324_샴푸_VAC_CPA</t>
        </is>
      </c>
      <c r="B1963" s="10" t="n">
        <v>44282</v>
      </c>
      <c r="C1963" s="9" t="inlineStr">
        <is>
          <t>토</t>
        </is>
      </c>
      <c r="D1963" s="9" t="inlineStr">
        <is>
          <t>유튜브</t>
        </is>
      </c>
      <c r="E1963" s="9" t="inlineStr">
        <is>
          <t>샴푸</t>
        </is>
      </c>
      <c r="K1963" s="9" t="n">
        <v>389280</v>
      </c>
    </row>
    <row r="1964">
      <c r="A1964" s="9" t="inlineStr">
        <is>
          <t>0326_샴푸_영상_잠재제외</t>
        </is>
      </c>
      <c r="B1964" s="10" t="n">
        <v>44282</v>
      </c>
      <c r="C1964" s="9" t="inlineStr">
        <is>
          <t>토</t>
        </is>
      </c>
      <c r="D1964" s="9" t="inlineStr">
        <is>
          <t>유튜브</t>
        </is>
      </c>
      <c r="E1964" s="9" t="inlineStr">
        <is>
          <t>샴푸</t>
        </is>
      </c>
      <c r="K1964" s="9" t="n">
        <v>1187777</v>
      </c>
    </row>
    <row r="1965">
      <c r="A1965" s="9" t="inlineStr">
        <is>
          <t>0326_샴푸_DA_1차</t>
        </is>
      </c>
      <c r="B1965" s="10" t="n">
        <v>44282</v>
      </c>
      <c r="C1965" s="9" t="inlineStr">
        <is>
          <t>토</t>
        </is>
      </c>
      <c r="D1965" s="9" t="inlineStr">
        <is>
          <t>유튜브</t>
        </is>
      </c>
      <c r="E1965" s="9" t="inlineStr">
        <is>
          <t>샴푸</t>
        </is>
      </c>
      <c r="K1965" s="9" t="n">
        <v>299286</v>
      </c>
    </row>
    <row r="1966">
      <c r="A1966" s="9" t="inlineStr">
        <is>
          <t>0127_GDN_비듬샴푸_잠재고객</t>
        </is>
      </c>
      <c r="B1966" s="10" t="n">
        <v>44283</v>
      </c>
      <c r="C1966" s="9" t="inlineStr">
        <is>
          <t>일</t>
        </is>
      </c>
      <c r="D1966" s="9" t="inlineStr">
        <is>
          <t>GDN</t>
        </is>
      </c>
      <c r="E1966" s="9" t="inlineStr">
        <is>
          <t>샴푸</t>
        </is>
      </c>
      <c r="K1966" s="9" t="n">
        <v>190145</v>
      </c>
    </row>
    <row r="1967">
      <c r="A1967" s="9" t="inlineStr">
        <is>
          <t>0303_샴푸_인스트림_CPA</t>
        </is>
      </c>
      <c r="B1967" s="10" t="n">
        <v>44283</v>
      </c>
      <c r="C1967" s="9" t="inlineStr">
        <is>
          <t>일</t>
        </is>
      </c>
      <c r="D1967" s="9" t="inlineStr">
        <is>
          <t>유튜브</t>
        </is>
      </c>
      <c r="E1967" s="9" t="inlineStr">
        <is>
          <t>샴푸</t>
        </is>
      </c>
      <c r="K1967" s="9" t="n">
        <v>1498734</v>
      </c>
    </row>
    <row r="1968">
      <c r="A1968" s="9" t="inlineStr">
        <is>
          <t>0322_샴푸_GDN_이현1차</t>
        </is>
      </c>
      <c r="B1968" s="10" t="n">
        <v>44283</v>
      </c>
      <c r="C1968" s="9" t="inlineStr">
        <is>
          <t>일</t>
        </is>
      </c>
      <c r="D1968" s="9" t="inlineStr">
        <is>
          <t>GDN</t>
        </is>
      </c>
      <c r="E1968" s="9" t="inlineStr">
        <is>
          <t>샴푸</t>
        </is>
      </c>
      <c r="K1968" s="9" t="n">
        <v>23000</v>
      </c>
    </row>
    <row r="1969">
      <c r="A1969" s="9" t="inlineStr">
        <is>
          <t>0324_샴푸_VAC_CPA</t>
        </is>
      </c>
      <c r="B1969" s="10" t="n">
        <v>44283</v>
      </c>
      <c r="C1969" s="9" t="inlineStr">
        <is>
          <t>일</t>
        </is>
      </c>
      <c r="D1969" s="9" t="inlineStr">
        <is>
          <t>유튜브</t>
        </is>
      </c>
      <c r="E1969" s="9" t="inlineStr">
        <is>
          <t>샴푸</t>
        </is>
      </c>
      <c r="K1969" s="9" t="n">
        <v>1039152</v>
      </c>
    </row>
    <row r="1970">
      <c r="A1970" s="9" t="inlineStr">
        <is>
          <t>라베나 파워링크_샴푸_광고그룹#1</t>
        </is>
      </c>
      <c r="B1970" s="10" t="n">
        <v>44283</v>
      </c>
      <c r="C1970" s="9" t="inlineStr">
        <is>
          <t>일</t>
        </is>
      </c>
      <c r="D1970" s="9" t="inlineStr">
        <is>
          <t>네이버 검색</t>
        </is>
      </c>
      <c r="E1970" s="9" t="inlineStr">
        <is>
          <t>샴푸</t>
        </is>
      </c>
      <c r="K1970" s="9" t="n">
        <v>989.9999999999999</v>
      </c>
    </row>
    <row r="1971">
      <c r="A1971" s="9" t="inlineStr">
        <is>
          <t>라베나 파워링크_샴푸#1_유튜브키워드기반</t>
        </is>
      </c>
      <c r="B1971" s="10" t="n">
        <v>44283</v>
      </c>
      <c r="C1971" s="9" t="inlineStr">
        <is>
          <t>일</t>
        </is>
      </c>
      <c r="D1971" s="9" t="inlineStr">
        <is>
          <t>네이버 검색</t>
        </is>
      </c>
      <c r="E1971" s="9" t="inlineStr">
        <is>
          <t>샴푸</t>
        </is>
      </c>
      <c r="K1971" s="9" t="n">
        <v>9050</v>
      </c>
    </row>
    <row r="1972">
      <c r="A1972" s="9" t="inlineStr">
        <is>
          <t>샴푸_쇼핑검색#1_광고그룹#1</t>
        </is>
      </c>
      <c r="B1972" s="10" t="n">
        <v>44283</v>
      </c>
      <c r="C1972" s="9" t="inlineStr">
        <is>
          <t>일</t>
        </is>
      </c>
      <c r="D1972" s="9" t="inlineStr">
        <is>
          <t>네이버 검색</t>
        </is>
      </c>
      <c r="E1972" s="9" t="inlineStr">
        <is>
          <t>샴푸</t>
        </is>
      </c>
      <c r="K1972" s="9" t="n">
        <v>3850</v>
      </c>
    </row>
    <row r="1973">
      <c r="A1973" s="9" t="inlineStr">
        <is>
          <t>파워컨텐츠#1_비듬샴푸</t>
        </is>
      </c>
      <c r="B1973" s="10" t="n">
        <v>44283</v>
      </c>
      <c r="C1973" s="9" t="inlineStr">
        <is>
          <t>일</t>
        </is>
      </c>
      <c r="D1973" s="9" t="inlineStr">
        <is>
          <t>네이버 검색</t>
        </is>
      </c>
      <c r="E1973" s="9" t="inlineStr">
        <is>
          <t>샴푸</t>
        </is>
      </c>
      <c r="K1973" s="9" t="n">
        <v>350</v>
      </c>
    </row>
    <row r="1974">
      <c r="A1974" s="9" t="inlineStr">
        <is>
          <t>라베나 파워링크_샴푸_광고그룹#1</t>
        </is>
      </c>
      <c r="B1974" s="10" t="n">
        <v>44282</v>
      </c>
      <c r="C1974" s="9" t="inlineStr">
        <is>
          <t>토</t>
        </is>
      </c>
      <c r="D1974" s="9" t="inlineStr">
        <is>
          <t>네이버 검색</t>
        </is>
      </c>
      <c r="E1974" s="9" t="inlineStr">
        <is>
          <t>샴푸</t>
        </is>
      </c>
      <c r="K1974" s="9" t="n">
        <v>1350</v>
      </c>
    </row>
    <row r="1975">
      <c r="A1975" s="9" t="inlineStr">
        <is>
          <t>라베나 파워링크_샴푸#1_유튜브키워드기반</t>
        </is>
      </c>
      <c r="B1975" s="10" t="n">
        <v>44282</v>
      </c>
      <c r="C1975" s="9" t="inlineStr">
        <is>
          <t>토</t>
        </is>
      </c>
      <c r="D1975" s="9" t="inlineStr">
        <is>
          <t>네이버 검색</t>
        </is>
      </c>
      <c r="E1975" s="9" t="inlineStr">
        <is>
          <t>샴푸</t>
        </is>
      </c>
      <c r="K1975" s="9" t="n">
        <v>13710</v>
      </c>
    </row>
    <row r="1976">
      <c r="A1976" s="9" t="inlineStr">
        <is>
          <t>샴푸_쇼핑검색#1_광고그룹#1</t>
        </is>
      </c>
      <c r="B1976" s="10" t="n">
        <v>44282</v>
      </c>
      <c r="C1976" s="9" t="inlineStr">
        <is>
          <t>토</t>
        </is>
      </c>
      <c r="D1976" s="9" t="inlineStr">
        <is>
          <t>네이버 검색</t>
        </is>
      </c>
      <c r="E1976" s="9" t="inlineStr">
        <is>
          <t>샴푸</t>
        </is>
      </c>
      <c r="K1976" s="9" t="n">
        <v>8790</v>
      </c>
    </row>
    <row r="1977">
      <c r="A1977" s="9" t="inlineStr">
        <is>
          <t>파워컨텐츠#1_비듬샴푸</t>
        </is>
      </c>
      <c r="B1977" s="10" t="n">
        <v>44282</v>
      </c>
      <c r="C1977" s="9" t="inlineStr">
        <is>
          <t>토</t>
        </is>
      </c>
      <c r="D1977" s="9" t="inlineStr">
        <is>
          <t>네이버 검색</t>
        </is>
      </c>
      <c r="E1977" s="9" t="inlineStr">
        <is>
          <t>샴푸</t>
        </is>
      </c>
      <c r="K1977" s="9" t="n">
        <v>70</v>
      </c>
    </row>
    <row r="1978">
      <c r="A1978" s="9" t="inlineStr">
        <is>
          <t>라베나 파워링크_샴푸_광고그룹#1</t>
        </is>
      </c>
      <c r="B1978" s="10" t="n">
        <v>44281</v>
      </c>
      <c r="C1978" s="9" t="inlineStr">
        <is>
          <t>금</t>
        </is>
      </c>
      <c r="D1978" s="9" t="inlineStr">
        <is>
          <t>네이버 검색</t>
        </is>
      </c>
      <c r="E1978" s="9" t="inlineStr">
        <is>
          <t>샴푸</t>
        </is>
      </c>
      <c r="K1978" s="9" t="n">
        <v>1720</v>
      </c>
    </row>
    <row r="1979">
      <c r="A1979" s="9" t="inlineStr">
        <is>
          <t>라베나 파워링크_샴푸#1_유튜브키워드기반</t>
        </is>
      </c>
      <c r="B1979" s="10" t="n">
        <v>44281</v>
      </c>
      <c r="C1979" s="9" t="inlineStr">
        <is>
          <t>금</t>
        </is>
      </c>
      <c r="D1979" s="9" t="inlineStr">
        <is>
          <t>네이버 검색</t>
        </is>
      </c>
      <c r="E1979" s="9" t="inlineStr">
        <is>
          <t>샴푸</t>
        </is>
      </c>
      <c r="K1979" s="9" t="n">
        <v>12370</v>
      </c>
    </row>
    <row r="1980">
      <c r="A1980" s="9" t="inlineStr">
        <is>
          <t>샴푸_쇼핑검색#1_광고그룹#1</t>
        </is>
      </c>
      <c r="B1980" s="10" t="n">
        <v>44281</v>
      </c>
      <c r="C1980" s="9" t="inlineStr">
        <is>
          <t>금</t>
        </is>
      </c>
      <c r="D1980" s="9" t="inlineStr">
        <is>
          <t>네이버 검색</t>
        </is>
      </c>
      <c r="E1980" s="9" t="inlineStr">
        <is>
          <t>샴푸</t>
        </is>
      </c>
      <c r="K1980" s="9" t="n">
        <v>7019.999999999999</v>
      </c>
    </row>
    <row r="1981">
      <c r="A1981" s="9" t="inlineStr">
        <is>
          <t>파워컨텐츠#1_비듬샴푸</t>
        </is>
      </c>
      <c r="B1981" s="10" t="n">
        <v>44281</v>
      </c>
      <c r="C1981" s="9" t="inlineStr">
        <is>
          <t>금</t>
        </is>
      </c>
      <c r="D1981" s="9" t="inlineStr">
        <is>
          <t>네이버 검색</t>
        </is>
      </c>
      <c r="E1981" s="9" t="inlineStr">
        <is>
          <t>샴푸</t>
        </is>
      </c>
      <c r="K1981" s="9" t="n">
        <v>140</v>
      </c>
    </row>
    <row r="1982" ht="16.5" customHeight="1" s="12">
      <c r="A1982" s="9" t="inlineStr">
        <is>
          <t>0326_샴푸_이현_제품X</t>
        </is>
      </c>
      <c r="B1982" s="10" t="n">
        <v>44281</v>
      </c>
      <c r="C1982" s="9" t="inlineStr">
        <is>
          <t>금</t>
        </is>
      </c>
      <c r="D1982" s="9" t="inlineStr">
        <is>
          <t>카카오</t>
        </is>
      </c>
      <c r="E1982" s="9" t="inlineStr">
        <is>
          <t>샴푸</t>
        </is>
      </c>
      <c r="K1982" s="9">
        <f>30360/1.1</f>
        <v/>
      </c>
    </row>
    <row r="1983" ht="16.5" customHeight="1" s="12">
      <c r="A1983" s="9" t="inlineStr">
        <is>
          <t>0324_샴푸_이현</t>
        </is>
      </c>
      <c r="B1983" s="10" t="n">
        <v>44281</v>
      </c>
      <c r="C1983" s="9" t="inlineStr">
        <is>
          <t>금</t>
        </is>
      </c>
      <c r="D1983" s="9" t="inlineStr">
        <is>
          <t>카카오</t>
        </is>
      </c>
      <c r="E1983" s="9" t="inlineStr">
        <is>
          <t>샴푸</t>
        </is>
      </c>
      <c r="K1983" s="9">
        <f>2024/1.1</f>
        <v/>
      </c>
    </row>
    <row r="1984" ht="16.5" customHeight="1" s="12">
      <c r="A1984" s="9" t="inlineStr">
        <is>
          <t>0326_샴푸_이현_제품X</t>
        </is>
      </c>
      <c r="B1984" s="10" t="n">
        <v>44282</v>
      </c>
      <c r="C1984" s="9" t="inlineStr">
        <is>
          <t>토</t>
        </is>
      </c>
      <c r="D1984" s="9" t="inlineStr">
        <is>
          <t>카카오</t>
        </is>
      </c>
      <c r="E1984" s="9" t="inlineStr">
        <is>
          <t>샴푸</t>
        </is>
      </c>
      <c r="K1984" s="9">
        <f>30173/1.1</f>
        <v/>
      </c>
    </row>
    <row r="1985" ht="16.5" customHeight="1" s="12">
      <c r="A1985" s="9" t="inlineStr">
        <is>
          <t>0326_샴푸_이현_제품X</t>
        </is>
      </c>
      <c r="B1985" s="10" t="n">
        <v>44283</v>
      </c>
      <c r="C1985" s="9" t="inlineStr">
        <is>
          <t>일</t>
        </is>
      </c>
      <c r="D1985" s="9" t="inlineStr">
        <is>
          <t>카카오</t>
        </is>
      </c>
      <c r="E1985" s="9" t="inlineStr">
        <is>
          <t>샴푸</t>
        </is>
      </c>
      <c r="K1985" s="9">
        <f>30052/1.1</f>
        <v/>
      </c>
    </row>
    <row r="1986">
      <c r="B1986" s="10" t="n">
        <v>44281</v>
      </c>
      <c r="C1986" s="9" t="inlineStr">
        <is>
          <t>금</t>
        </is>
      </c>
      <c r="E1986" s="9" t="inlineStr">
        <is>
          <t>뉴트리셔스밤</t>
        </is>
      </c>
      <c r="F1986" s="9" t="inlineStr">
        <is>
          <t>카페24</t>
        </is>
      </c>
      <c r="G1986" s="9" t="inlineStr">
        <is>
          <t>라베나 리커버리 15 뉴트리셔스 밤 [HAIR RÉ:COVERY 15 Nutritious Balm]제품선택=헤어 리커버리 15 뉴트리셔스 밤</t>
        </is>
      </c>
      <c r="H1986" s="9" t="n">
        <v>3</v>
      </c>
      <c r="I1986" s="9" t="inlineStr">
        <is>
          <t>뉴트리셔스밤</t>
        </is>
      </c>
      <c r="J1986" s="9" t="inlineStr">
        <is>
          <t>210201</t>
        </is>
      </c>
      <c r="L1986" s="9" t="n">
        <v>74700</v>
      </c>
      <c r="M1986" s="9" t="n">
        <v>70330.04999999999</v>
      </c>
      <c r="N1986" s="9" t="n">
        <v>4740</v>
      </c>
      <c r="O1986" s="9" t="inlineStr">
        <is>
          <t>카페24뉴트리셔스밤라베나 리커버리 15 뉴트리셔스 밤 [HAIR RÉ:COVERY 15 Nutritious Balm]제품선택=헤어 리커버리 15 뉴트리셔스 밤210201</t>
        </is>
      </c>
    </row>
    <row r="1987">
      <c r="B1987" s="10" t="n">
        <v>44281</v>
      </c>
      <c r="C1987" s="9" t="inlineStr">
        <is>
          <t>금</t>
        </is>
      </c>
      <c r="E1987" s="9" t="inlineStr">
        <is>
          <t>뉴트리셔스밤</t>
        </is>
      </c>
      <c r="F1987" s="9" t="inlineStr">
        <is>
          <t>카페24</t>
        </is>
      </c>
      <c r="G1987" s="9" t="inlineStr">
        <is>
          <t>라베나 리커버리 15 뉴트리셔스 밤 [HAIR RÉ:COVERY 15 Nutritious Balm]제품선택=뉴트리셔스밤 1개 + 헤어팩 트리트먼트 1개 세트 5%추가할인</t>
        </is>
      </c>
      <c r="H1987" s="9" t="n">
        <v>1</v>
      </c>
      <c r="I1987" s="9" t="inlineStr">
        <is>
          <t>트리트먼트+뉴트리셔스밤</t>
        </is>
      </c>
      <c r="J1987" s="9" t="inlineStr">
        <is>
          <t>210201</t>
        </is>
      </c>
      <c r="L1987" s="9" t="n">
        <v>48355</v>
      </c>
      <c r="M1987" s="9" t="n">
        <v>45526.2325</v>
      </c>
      <c r="N1987" s="9" t="n">
        <v>3177</v>
      </c>
      <c r="O1987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988">
      <c r="B1988" s="10" t="n">
        <v>44281</v>
      </c>
      <c r="C1988" s="9" t="inlineStr">
        <is>
          <t>금</t>
        </is>
      </c>
      <c r="E1988" s="9" t="inlineStr">
        <is>
          <t>샴푸</t>
        </is>
      </c>
      <c r="F1988" s="9" t="inlineStr">
        <is>
          <t>카페24</t>
        </is>
      </c>
      <c r="G1988" s="9" t="inlineStr">
        <is>
          <t>라베나 리커버리 15 리바이탈 바이오플라보노이드샴푸 [HAIR RÉ0 15 Revital Shampoo]제품선택=헤어 리커버리 15 리바이탈 샴푸 - 500ml</t>
        </is>
      </c>
      <c r="H1988" s="9" t="n">
        <v>1</v>
      </c>
      <c r="I1988" s="9" t="inlineStr">
        <is>
          <t>리바이탈 샴푸</t>
        </is>
      </c>
      <c r="J1988" s="9" t="inlineStr">
        <is>
          <t>210201</t>
        </is>
      </c>
      <c r="L1988" s="9" t="n">
        <v>26900</v>
      </c>
      <c r="M1988" s="9">
        <f>26900-(26900/5.85)</f>
        <v/>
      </c>
      <c r="N1988" s="9" t="n">
        <v>2865</v>
      </c>
      <c r="O1988" s="9" t="inlineStr">
        <is>
          <t>카페24샴푸라베나 리커버리 15 리바이탈 바이오플라보노이드샴푸 [HAIR RÉ0 15 Revital Shampoo]제품선택=헤어 리커버리 15 리바이탈 샴푸 - 500ml210201</t>
        </is>
      </c>
    </row>
    <row r="1989">
      <c r="B1989" s="10" t="n">
        <v>44281</v>
      </c>
      <c r="C1989" s="9" t="inlineStr">
        <is>
          <t>금</t>
        </is>
      </c>
      <c r="E1989" s="9" t="inlineStr">
        <is>
          <t>샴푸</t>
        </is>
      </c>
      <c r="F1989" s="9" t="inlineStr">
        <is>
          <t>카페24</t>
        </is>
      </c>
      <c r="G1989" s="9" t="inlineStr">
        <is>
          <t>라베나 리커버리 15 리바이탈 바이오플라보노이드샴푸 [HAIR RÉ:COVERY 15 Revital Shampoo]제품선택=헤어 리커버리 15 리바이탈 샴푸 - 500ml</t>
        </is>
      </c>
      <c r="H1989" s="9" t="n">
        <v>122</v>
      </c>
      <c r="I1989" s="9" t="inlineStr">
        <is>
          <t>리바이탈 샴푸</t>
        </is>
      </c>
      <c r="J1989" s="9" t="inlineStr">
        <is>
          <t>210201</t>
        </is>
      </c>
      <c r="L1989" s="9" t="n">
        <v>3281800</v>
      </c>
      <c r="M1989" s="9" t="n">
        <v>3089814.7</v>
      </c>
      <c r="N1989" s="9" t="n">
        <v>349530</v>
      </c>
      <c r="O1989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990">
      <c r="B1990" s="10" t="n">
        <v>44281</v>
      </c>
      <c r="C1990" s="9" t="inlineStr">
        <is>
          <t>금</t>
        </is>
      </c>
      <c r="E1990" s="9" t="inlineStr">
        <is>
          <t>샴푸</t>
        </is>
      </c>
      <c r="F1990" s="9" t="inlineStr">
        <is>
          <t>카페24</t>
        </is>
      </c>
      <c r="G1990" s="9" t="inlineStr">
        <is>
          <t>라베나 리커버리 15 리바이탈 바이오플라보노이드샴푸 [HAIR RÉ:COVERY 15 Revital Shampoo]제품선택=리바이탈 샴푸 2개 세트 5%추가할인</t>
        </is>
      </c>
      <c r="H1990" s="9" t="n">
        <v>38</v>
      </c>
      <c r="I1990" s="9" t="inlineStr">
        <is>
          <t>리바이탈 샴푸 2set</t>
        </is>
      </c>
      <c r="J1990" s="9" t="inlineStr">
        <is>
          <t>210201</t>
        </is>
      </c>
      <c r="L1990" s="9" t="n">
        <v>1942180</v>
      </c>
      <c r="M1990" s="9" t="n">
        <v>1828562.47</v>
      </c>
      <c r="N1990" s="9" t="n">
        <v>217740</v>
      </c>
      <c r="O1990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991">
      <c r="B1991" s="10" t="n">
        <v>44281</v>
      </c>
      <c r="C1991" s="9" t="inlineStr">
        <is>
          <t>금</t>
        </is>
      </c>
      <c r="E1991" s="9" t="inlineStr">
        <is>
          <t>샴푸</t>
        </is>
      </c>
      <c r="F1991" s="9" t="inlineStr">
        <is>
          <t>카페24</t>
        </is>
      </c>
      <c r="G1991" s="9" t="inlineStr">
        <is>
          <t>라베나 리커버리 15 리바이탈 바이오플라보노이드샴푸 [HAIR RÉ:COVERY 15 Revital Shampoo]제품선택=리바이탈 샴푸 3개 세트 10% 추가할인</t>
        </is>
      </c>
      <c r="H1991" s="9" t="n">
        <v>16</v>
      </c>
      <c r="I1991" s="9" t="inlineStr">
        <is>
          <t>리바이탈 샴푸 3set</t>
        </is>
      </c>
      <c r="J1991" s="9" t="inlineStr">
        <is>
          <t>210201</t>
        </is>
      </c>
      <c r="L1991" s="9" t="n">
        <v>1162080</v>
      </c>
      <c r="M1991" s="9" t="n">
        <v>1094098.32</v>
      </c>
      <c r="N1991" s="9" t="n">
        <v>137520</v>
      </c>
      <c r="O1991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992">
      <c r="B1992" s="10" t="n">
        <v>44281</v>
      </c>
      <c r="C1992" s="9" t="inlineStr">
        <is>
          <t>금</t>
        </is>
      </c>
      <c r="E1992" s="9" t="inlineStr">
        <is>
          <t>트리트먼트</t>
        </is>
      </c>
      <c r="F1992" s="9" t="inlineStr">
        <is>
          <t>카페24</t>
        </is>
      </c>
      <c r="G1992" s="9" t="inlineStr">
        <is>
          <t>라베나 리커버리 15 헤어팩 트리트먼트 [HAIR RÉ:COVERY 15 Hairpack Treatment]제품선택=헤어 리커버리 15 헤어팩 트리트먼트</t>
        </is>
      </c>
      <c r="H1992" s="9" t="n">
        <v>1</v>
      </c>
      <c r="I1992" s="9" t="inlineStr">
        <is>
          <t>트리트먼트</t>
        </is>
      </c>
      <c r="J1992" s="9" t="inlineStr">
        <is>
          <t>210201</t>
        </is>
      </c>
      <c r="L1992" s="9" t="n">
        <v>26000</v>
      </c>
      <c r="M1992" s="9" t="n">
        <v>24479</v>
      </c>
      <c r="N1992" s="9" t="n">
        <v>1597</v>
      </c>
      <c r="O1992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1993">
      <c r="B1993" s="10" t="n">
        <v>44282</v>
      </c>
      <c r="C1993" s="9" t="inlineStr">
        <is>
          <t>토</t>
        </is>
      </c>
      <c r="E1993" s="9" t="inlineStr">
        <is>
          <t>뉴트리셔스밤</t>
        </is>
      </c>
      <c r="F1993" s="9" t="inlineStr">
        <is>
          <t>카페24</t>
        </is>
      </c>
      <c r="G1993" s="9" t="inlineStr">
        <is>
          <t>라베나 리커버리 15 뉴트리셔스 밤 [HAIR RÉ:COVERY 15 Nutritious Balm]제품선택=헤어 리커버리 15 뉴트리셔스 밤</t>
        </is>
      </c>
      <c r="H1993" s="9" t="n">
        <v>4</v>
      </c>
      <c r="I1993" s="9" t="inlineStr">
        <is>
          <t>뉴트리셔스밤</t>
        </is>
      </c>
      <c r="J1993" s="9" t="inlineStr">
        <is>
          <t>210201</t>
        </is>
      </c>
      <c r="L1993" s="9" t="n">
        <v>99600</v>
      </c>
      <c r="M1993" s="9" t="n">
        <v>93773.39999999999</v>
      </c>
      <c r="N1993" s="9" t="n">
        <v>6320</v>
      </c>
      <c r="O1993" s="9" t="inlineStr">
        <is>
          <t>카페24뉴트리셔스밤라베나 리커버리 15 뉴트리셔스 밤 [HAIR RÉ:COVERY 15 Nutritious Balm]제품선택=헤어 리커버리 15 뉴트리셔스 밤210201</t>
        </is>
      </c>
    </row>
    <row r="1994">
      <c r="B1994" s="10" t="n">
        <v>44282</v>
      </c>
      <c r="C1994" s="9" t="inlineStr">
        <is>
          <t>토</t>
        </is>
      </c>
      <c r="E1994" s="9" t="inlineStr">
        <is>
          <t>뉴트리셔스밤</t>
        </is>
      </c>
      <c r="F1994" s="9" t="inlineStr">
        <is>
          <t>카페24</t>
        </is>
      </c>
      <c r="G1994" s="9" t="inlineStr">
        <is>
          <t>라베나 리커버리 15 뉴트리셔스 밤 [HAIR RÉ:COVERY 15 Nutritious Balm]제품선택=뉴트리셔스 밤 2개 세트 5% 추가할인</t>
        </is>
      </c>
      <c r="H1994" s="9" t="n">
        <v>1</v>
      </c>
      <c r="I1994" s="9" t="inlineStr">
        <is>
          <t>뉴트리셔스밤 2set</t>
        </is>
      </c>
      <c r="J1994" s="9" t="inlineStr">
        <is>
          <t>210201</t>
        </is>
      </c>
      <c r="L1994" s="9" t="n">
        <v>47310</v>
      </c>
      <c r="M1994" s="9" t="n">
        <v>44542.365</v>
      </c>
      <c r="N1994" s="9" t="n">
        <v>3160</v>
      </c>
      <c r="O1994" s="9" t="inlineStr">
        <is>
          <t>카페24뉴트리셔스밤라베나 리커버리 15 뉴트리셔스 밤 [HAIR RÉ:COVERY 15 Nutritious Balm]제품선택=뉴트리셔스 밤 2개 세트 5% 추가할인210201</t>
        </is>
      </c>
    </row>
    <row r="1995">
      <c r="B1995" s="10" t="n">
        <v>44282</v>
      </c>
      <c r="C1995" s="9" t="inlineStr">
        <is>
          <t>토</t>
        </is>
      </c>
      <c r="E1995" s="9" t="inlineStr">
        <is>
          <t>뉴트리셔스밤</t>
        </is>
      </c>
      <c r="F1995" s="9" t="inlineStr">
        <is>
          <t>카페24</t>
        </is>
      </c>
      <c r="G1995" s="9" t="inlineStr">
        <is>
          <t>라베나 리커버리 15 뉴트리셔스 밤 [HAIR RÉ:COVERY 15 Nutritious Balm]제품선택=뉴트리셔스밤 1개 + 헤어팩 트리트먼트 1개 세트 5%추가할인</t>
        </is>
      </c>
      <c r="H1995" s="9" t="n">
        <v>2</v>
      </c>
      <c r="I1995" s="9" t="inlineStr">
        <is>
          <t>트리트먼트+뉴트리셔스밤</t>
        </is>
      </c>
      <c r="J1995" s="9" t="inlineStr">
        <is>
          <t>210201</t>
        </is>
      </c>
      <c r="L1995" s="9" t="n">
        <v>96710</v>
      </c>
      <c r="M1995" s="9" t="n">
        <v>91052.465</v>
      </c>
      <c r="N1995" s="9" t="n">
        <v>6354</v>
      </c>
      <c r="O1995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1996">
      <c r="B1996" s="10" t="n">
        <v>44282</v>
      </c>
      <c r="C1996" s="9" t="inlineStr">
        <is>
          <t>토</t>
        </is>
      </c>
      <c r="E1996" s="9" t="inlineStr">
        <is>
          <t>샴푸</t>
        </is>
      </c>
      <c r="F1996" s="9" t="inlineStr">
        <is>
          <t>카페24</t>
        </is>
      </c>
      <c r="G1996" s="9" t="inlineStr">
        <is>
          <t>라베나 리커버리 15 리바이탈 바이오플라보노이드샴푸 [HAIR RÉ:COVERY 15 Revital Shampoo]제품선택=헤어 리커버리 15 리바이탈 샴푸 - 500ml</t>
        </is>
      </c>
      <c r="H1996" s="9" t="n">
        <v>116</v>
      </c>
      <c r="I1996" s="9" t="inlineStr">
        <is>
          <t>리바이탈 샴푸</t>
        </is>
      </c>
      <c r="J1996" s="9" t="inlineStr">
        <is>
          <t>210201</t>
        </is>
      </c>
      <c r="L1996" s="9" t="n">
        <v>3120400</v>
      </c>
      <c r="M1996" s="9" t="n">
        <v>2937856.6</v>
      </c>
      <c r="N1996" s="9" t="n">
        <v>332340</v>
      </c>
      <c r="O199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1997">
      <c r="B1997" s="10" t="n">
        <v>44282</v>
      </c>
      <c r="C1997" s="9" t="inlineStr">
        <is>
          <t>토</t>
        </is>
      </c>
      <c r="E1997" s="9" t="inlineStr">
        <is>
          <t>샴푸</t>
        </is>
      </c>
      <c r="F1997" s="9" t="inlineStr">
        <is>
          <t>카페24</t>
        </is>
      </c>
      <c r="G1997" s="9" t="inlineStr">
        <is>
          <t>라베나 리커버리 15 리바이탈 바이오플라보노이드샴푸 [HAIR RÉ:COVERY 15 Revital Shampoo]제품선택=리바이탈 샴푸 2개 세트 5%추가할인</t>
        </is>
      </c>
      <c r="H1997" s="9" t="n">
        <v>40</v>
      </c>
      <c r="I1997" s="9" t="inlineStr">
        <is>
          <t>리바이탈 샴푸 2set</t>
        </is>
      </c>
      <c r="J1997" s="9" t="inlineStr">
        <is>
          <t>210201</t>
        </is>
      </c>
      <c r="L1997" s="9" t="n">
        <v>2044400</v>
      </c>
      <c r="M1997" s="9" t="n">
        <v>1924802.6</v>
      </c>
      <c r="N1997" s="9" t="n">
        <v>229200</v>
      </c>
      <c r="O199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1998">
      <c r="B1998" s="10" t="n">
        <v>44282</v>
      </c>
      <c r="C1998" s="9" t="inlineStr">
        <is>
          <t>토</t>
        </is>
      </c>
      <c r="E1998" s="9" t="inlineStr">
        <is>
          <t>샴푸</t>
        </is>
      </c>
      <c r="F1998" s="9" t="inlineStr">
        <is>
          <t>카페24</t>
        </is>
      </c>
      <c r="G1998" s="9" t="inlineStr">
        <is>
          <t>라베나 리커버리 15 리바이탈 바이오플라보노이드샴푸 [HAIR RÉ:COVERY 15 Revital Shampoo]제품선택=리바이탈 샴푸 3개 세트 10% 추가할인</t>
        </is>
      </c>
      <c r="H1998" s="9" t="n">
        <v>13</v>
      </c>
      <c r="I1998" s="9" t="inlineStr">
        <is>
          <t>리바이탈 샴푸 3set</t>
        </is>
      </c>
      <c r="J1998" s="9" t="inlineStr">
        <is>
          <t>210201</t>
        </is>
      </c>
      <c r="L1998" s="9" t="n">
        <v>944190</v>
      </c>
      <c r="M1998" s="9" t="n">
        <v>888954.885</v>
      </c>
      <c r="N1998" s="9" t="n">
        <v>111735</v>
      </c>
      <c r="O199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1999">
      <c r="B1999" s="10" t="n">
        <v>44282</v>
      </c>
      <c r="C1999" s="9" t="inlineStr">
        <is>
          <t>토</t>
        </is>
      </c>
      <c r="E1999" s="9" t="inlineStr">
        <is>
          <t>트리트먼트</t>
        </is>
      </c>
      <c r="F1999" s="9" t="inlineStr">
        <is>
          <t>카페24</t>
        </is>
      </c>
      <c r="G1999" s="9" t="inlineStr">
        <is>
          <t>라베나 리커버리 15 헤어팩 트리트먼트 [HAIR RÉ:COVERY 15 Hairpack Treatment]제품선택=헤어 리커버리 15 헤어팩 트리트먼트</t>
        </is>
      </c>
      <c r="H1999" s="9" t="n">
        <v>4</v>
      </c>
      <c r="I1999" s="9" t="inlineStr">
        <is>
          <t>트리트먼트</t>
        </is>
      </c>
      <c r="J1999" s="9" t="inlineStr">
        <is>
          <t>210201</t>
        </is>
      </c>
      <c r="L1999" s="9" t="n">
        <v>104000</v>
      </c>
      <c r="M1999" s="9" t="n">
        <v>97916</v>
      </c>
      <c r="N1999" s="9" t="n">
        <v>6388</v>
      </c>
      <c r="O199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000">
      <c r="B2000" s="10" t="n">
        <v>44282</v>
      </c>
      <c r="C2000" s="9" t="inlineStr">
        <is>
          <t>토</t>
        </is>
      </c>
      <c r="E2000" s="9" t="inlineStr">
        <is>
          <t>트리트먼트</t>
        </is>
      </c>
      <c r="F2000" s="9" t="inlineStr">
        <is>
          <t>카페24</t>
        </is>
      </c>
      <c r="G2000" s="9" t="inlineStr">
        <is>
          <t>라베나 리커버리 15 헤어팩 트리트먼트 [HAIR RÉ:COVERY 15 Hairpack Treatment]제품선택=헤어팩 트리트먼트 3개 세트 10% 추가할인</t>
        </is>
      </c>
      <c r="H2000" s="9" t="n">
        <v>1</v>
      </c>
      <c r="I2000" s="9" t="inlineStr">
        <is>
          <t>트리트먼트 3set</t>
        </is>
      </c>
      <c r="J2000" s="9" t="inlineStr">
        <is>
          <t>210201</t>
        </is>
      </c>
      <c r="L2000" s="9" t="n">
        <v>70200</v>
      </c>
      <c r="M2000" s="9" t="n">
        <v>66093.3</v>
      </c>
      <c r="N2000" s="9" t="n">
        <v>4791</v>
      </c>
      <c r="O2000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001">
      <c r="B2001" s="10" t="n">
        <v>44282</v>
      </c>
      <c r="C2001" s="9" t="inlineStr">
        <is>
          <t>토</t>
        </is>
      </c>
      <c r="E2001" s="9" t="inlineStr">
        <is>
          <t>트리트먼트</t>
        </is>
      </c>
      <c r="F2001" s="9" t="inlineStr">
        <is>
          <t>카페24</t>
        </is>
      </c>
      <c r="G2001" s="9" t="inlineStr">
        <is>
          <t>라베나 리커버리 15 헤어팩 트리트먼트 [HAIR RÉ:COVERY 15 Hairpack Treatment]제품선택=헤어팩 트리트먼트 1개 + 뉴트리셔스밤 1개 세트 5% 추가할인</t>
        </is>
      </c>
      <c r="H2001" s="9" t="n">
        <v>1</v>
      </c>
      <c r="I2001" s="9" t="inlineStr">
        <is>
          <t>트리트먼트+뉴트리셔스밤</t>
        </is>
      </c>
      <c r="J2001" s="9" t="inlineStr">
        <is>
          <t>210201</t>
        </is>
      </c>
      <c r="L2001" s="9" t="n">
        <v>48355</v>
      </c>
      <c r="M2001" s="9" t="n">
        <v>45526.2325</v>
      </c>
      <c r="N2001" s="9" t="n">
        <v>3177</v>
      </c>
      <c r="O2001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002">
      <c r="B2002" s="10" t="n">
        <v>44283</v>
      </c>
      <c r="C2002" s="9" t="inlineStr">
        <is>
          <t>일</t>
        </is>
      </c>
      <c r="E2002" s="9" t="inlineStr">
        <is>
          <t>뉴트리셔스밤</t>
        </is>
      </c>
      <c r="F2002" s="9" t="inlineStr">
        <is>
          <t>카페24</t>
        </is>
      </c>
      <c r="G2002" s="9" t="inlineStr">
        <is>
          <t>라베나 리커버리 15 뉴트리셔스 밤 [HAIR RÉ:COVERY 15 Nutritious Balm]제품선택=헤어 리커버리 15 뉴트리셔스 밤</t>
        </is>
      </c>
      <c r="H2002" s="9" t="n">
        <v>6</v>
      </c>
      <c r="I2002" s="9" t="inlineStr">
        <is>
          <t>뉴트리셔스밤</t>
        </is>
      </c>
      <c r="J2002" s="9" t="inlineStr">
        <is>
          <t>210201</t>
        </is>
      </c>
      <c r="L2002" s="9" t="n">
        <v>149400</v>
      </c>
      <c r="M2002" s="9" t="n">
        <v>140660.1</v>
      </c>
      <c r="N2002" s="9" t="n">
        <v>9480</v>
      </c>
      <c r="O2002" s="9" t="inlineStr">
        <is>
          <t>카페24뉴트리셔스밤라베나 리커버리 15 뉴트리셔스 밤 [HAIR RÉ:COVERY 15 Nutritious Balm]제품선택=헤어 리커버리 15 뉴트리셔스 밤210201</t>
        </is>
      </c>
    </row>
    <row r="2003">
      <c r="B2003" s="10" t="n">
        <v>44283</v>
      </c>
      <c r="C2003" s="9" t="inlineStr">
        <is>
          <t>일</t>
        </is>
      </c>
      <c r="E2003" s="9" t="inlineStr">
        <is>
          <t>샴푸</t>
        </is>
      </c>
      <c r="F2003" s="9" t="inlineStr">
        <is>
          <t>카페24</t>
        </is>
      </c>
      <c r="G2003" s="9" t="inlineStr">
        <is>
          <t>라베나 리커버리 15 리바이탈 바이오플라보노이드샴푸 [HAIR RÉ:COVERY 15 Revital Shampoo]제품선택=헤어 리커버리 15 리바이탈 샴푸 - 500ml</t>
        </is>
      </c>
      <c r="H2003" s="9" t="n">
        <v>106</v>
      </c>
      <c r="I2003" s="9" t="inlineStr">
        <is>
          <t>리바이탈 샴푸</t>
        </is>
      </c>
      <c r="J2003" s="9" t="inlineStr">
        <is>
          <t>210201</t>
        </is>
      </c>
      <c r="L2003" s="9" t="n">
        <v>2851400</v>
      </c>
      <c r="M2003" s="9" t="n">
        <v>2684593.1</v>
      </c>
      <c r="N2003" s="9" t="n">
        <v>303690</v>
      </c>
      <c r="O200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004">
      <c r="B2004" s="10" t="n">
        <v>44283</v>
      </c>
      <c r="C2004" s="9" t="inlineStr">
        <is>
          <t>일</t>
        </is>
      </c>
      <c r="E2004" s="9" t="inlineStr">
        <is>
          <t>샴푸</t>
        </is>
      </c>
      <c r="F2004" s="9" t="inlineStr">
        <is>
          <t>카페24</t>
        </is>
      </c>
      <c r="G2004" s="9" t="inlineStr">
        <is>
          <t>라베나 리커버리 15 리바이탈 바이오플라보노이드샴푸 [HAIR RÉ:COVERY 15 Revital Shampoo]제품선택=리바이탈 샴푸 2개 세트 5%추가할인</t>
        </is>
      </c>
      <c r="H2004" s="9" t="n">
        <v>29</v>
      </c>
      <c r="I2004" s="9" t="inlineStr">
        <is>
          <t>리바이탈 샴푸 2set</t>
        </is>
      </c>
      <c r="J2004" s="9" t="inlineStr">
        <is>
          <t>210201</t>
        </is>
      </c>
      <c r="L2004" s="9" t="n">
        <v>1482190</v>
      </c>
      <c r="M2004" s="9" t="n">
        <v>1395481.885</v>
      </c>
      <c r="N2004" s="9" t="n">
        <v>166170</v>
      </c>
      <c r="O200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005">
      <c r="B2005" s="10" t="n">
        <v>44283</v>
      </c>
      <c r="C2005" s="9" t="inlineStr">
        <is>
          <t>일</t>
        </is>
      </c>
      <c r="E2005" s="9" t="inlineStr">
        <is>
          <t>샴푸</t>
        </is>
      </c>
      <c r="F2005" s="9" t="inlineStr">
        <is>
          <t>카페24</t>
        </is>
      </c>
      <c r="G2005" s="9" t="inlineStr">
        <is>
          <t>라베나 리커버리 15 리바이탈 바이오플라보노이드샴푸 [HAIR RÉ:COVERY 15 Revital Shampoo]제품선택=리바이탈 샴푸 3개 세트 10% 추가할인</t>
        </is>
      </c>
      <c r="H2005" s="9" t="n">
        <v>13</v>
      </c>
      <c r="I2005" s="9" t="inlineStr">
        <is>
          <t>리바이탈 샴푸 3set</t>
        </is>
      </c>
      <c r="J2005" s="9" t="inlineStr">
        <is>
          <t>210201</t>
        </is>
      </c>
      <c r="L2005" s="9" t="n">
        <v>944190</v>
      </c>
      <c r="M2005" s="9" t="n">
        <v>888954.885</v>
      </c>
      <c r="N2005" s="9" t="n">
        <v>111735</v>
      </c>
      <c r="O200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006">
      <c r="B2006" s="10" t="n">
        <v>44283</v>
      </c>
      <c r="C2006" s="9" t="inlineStr">
        <is>
          <t>일</t>
        </is>
      </c>
      <c r="E2006" s="9" t="inlineStr">
        <is>
          <t>트리트먼트</t>
        </is>
      </c>
      <c r="F2006" s="9" t="inlineStr">
        <is>
          <t>카페24</t>
        </is>
      </c>
      <c r="G2006" s="9" t="inlineStr">
        <is>
          <t>라베나 리커버리 15 헤어팩 트리트먼트 [HAIR RÉ:COVERY 15 Hairpack Treatment]제품선택=헤어 리커버리 15 헤어팩 트리트먼트</t>
        </is>
      </c>
      <c r="H2006" s="9" t="n">
        <v>2</v>
      </c>
      <c r="I2006" s="9" t="inlineStr">
        <is>
          <t>트리트먼트</t>
        </is>
      </c>
      <c r="J2006" s="9" t="inlineStr">
        <is>
          <t>210201</t>
        </is>
      </c>
      <c r="L2006" s="9" t="n">
        <v>52000</v>
      </c>
      <c r="M2006" s="9" t="n">
        <v>48958</v>
      </c>
      <c r="N2006" s="9" t="n">
        <v>3194</v>
      </c>
      <c r="O200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007">
      <c r="A2007" s="9" t="inlineStr">
        <is>
          <t>0329_샴푸-인스타_전환</t>
        </is>
      </c>
      <c r="B2007" s="10" t="n">
        <v>44284</v>
      </c>
      <c r="C2007" s="9" t="inlineStr">
        <is>
          <t>월</t>
        </is>
      </c>
      <c r="D2007" s="9" t="inlineStr">
        <is>
          <t>페이스북</t>
        </is>
      </c>
      <c r="E2007" s="9" t="inlineStr">
        <is>
          <t>샴푸</t>
        </is>
      </c>
      <c r="K2007" s="9" t="n">
        <v>30877</v>
      </c>
    </row>
    <row r="2008">
      <c r="A2008" s="9" t="inlineStr">
        <is>
          <t>0329_샴푸_인스타_트래픽</t>
        </is>
      </c>
      <c r="B2008" s="10" t="n">
        <v>44284</v>
      </c>
      <c r="C2008" s="9" t="inlineStr">
        <is>
          <t>월</t>
        </is>
      </c>
      <c r="D2008" s="9" t="inlineStr">
        <is>
          <t>페이스북</t>
        </is>
      </c>
      <c r="E2008" s="9" t="inlineStr">
        <is>
          <t>샴푸</t>
        </is>
      </c>
      <c r="K2008" s="9" t="n">
        <v>73997</v>
      </c>
    </row>
    <row r="2009">
      <c r="A2009" s="9" t="inlineStr">
        <is>
          <t>0329_샴푸_페이스북_수정버전_1</t>
        </is>
      </c>
      <c r="B2009" s="10" t="n">
        <v>44284</v>
      </c>
      <c r="C2009" s="9" t="inlineStr">
        <is>
          <t>월</t>
        </is>
      </c>
      <c r="D2009" s="9" t="inlineStr">
        <is>
          <t>페이스북</t>
        </is>
      </c>
      <c r="E2009" s="9" t="inlineStr">
        <is>
          <t>샴푸</t>
        </is>
      </c>
      <c r="K2009" s="9" t="n">
        <v>52098</v>
      </c>
    </row>
    <row r="2010">
      <c r="A2010" s="9" t="inlineStr">
        <is>
          <t>0318~영상기반 단장</t>
        </is>
      </c>
      <c r="B2010" s="10" t="n">
        <v>44284</v>
      </c>
      <c r="C2010" s="9" t="inlineStr">
        <is>
          <t>월</t>
        </is>
      </c>
      <c r="D2010" s="9" t="inlineStr">
        <is>
          <t>페이스북</t>
        </is>
      </c>
      <c r="E2010" s="9" t="inlineStr">
        <is>
          <t>샴푸</t>
        </is>
      </c>
      <c r="K2010" s="9" t="n">
        <v>117751</v>
      </c>
    </row>
    <row r="2011">
      <c r="A2011" s="9" t="inlineStr">
        <is>
          <t>0317~영상배너_short</t>
        </is>
      </c>
      <c r="B2011" s="10" t="n">
        <v>44284</v>
      </c>
      <c r="C2011" s="9" t="inlineStr">
        <is>
          <t>월</t>
        </is>
      </c>
      <c r="D2011" s="9" t="inlineStr">
        <is>
          <t>페이스북</t>
        </is>
      </c>
      <c r="E2011" s="9" t="inlineStr">
        <is>
          <t>샴푸</t>
        </is>
      </c>
      <c r="K2011" s="9" t="n">
        <v>48548</v>
      </c>
    </row>
    <row r="2012">
      <c r="A2012" s="9" t="inlineStr">
        <is>
          <t>0316~영상베리</t>
        </is>
      </c>
      <c r="B2012" s="10" t="n">
        <v>44284</v>
      </c>
      <c r="C2012" s="9" t="inlineStr">
        <is>
          <t>월</t>
        </is>
      </c>
      <c r="D2012" s="9" t="inlineStr">
        <is>
          <t>페이스북</t>
        </is>
      </c>
      <c r="E2012" s="9" t="inlineStr">
        <is>
          <t>샴푸</t>
        </is>
      </c>
      <c r="K2012" s="9" t="n">
        <v>162547</v>
      </c>
    </row>
    <row r="2013">
      <c r="A2013" s="9" t="inlineStr">
        <is>
          <t>0127_GDN_비듬샴푸_잠재고객</t>
        </is>
      </c>
      <c r="B2013" s="10" t="n">
        <v>44284</v>
      </c>
      <c r="C2013" s="9" t="inlineStr">
        <is>
          <t>월</t>
        </is>
      </c>
      <c r="D2013" s="9" t="inlineStr">
        <is>
          <t>GDN</t>
        </is>
      </c>
      <c r="E2013" s="9" t="inlineStr">
        <is>
          <t>샴푸</t>
        </is>
      </c>
      <c r="K2013" s="9" t="n">
        <v>204223</v>
      </c>
    </row>
    <row r="2014">
      <c r="A2014" s="9" t="inlineStr">
        <is>
          <t>0303_샴푸_인스트림_CPA</t>
        </is>
      </c>
      <c r="B2014" s="10" t="n">
        <v>44284</v>
      </c>
      <c r="C2014" s="9" t="inlineStr">
        <is>
          <t>월</t>
        </is>
      </c>
      <c r="D2014" s="9" t="inlineStr">
        <is>
          <t>유튜브</t>
        </is>
      </c>
      <c r="E2014" s="9" t="inlineStr">
        <is>
          <t>샴푸</t>
        </is>
      </c>
      <c r="K2014" s="9" t="n">
        <v>1529829</v>
      </c>
    </row>
    <row r="2015">
      <c r="A2015" s="9" t="inlineStr">
        <is>
          <t>0322_샴푸_GDN_이현1차</t>
        </is>
      </c>
      <c r="B2015" s="10" t="n">
        <v>44284</v>
      </c>
      <c r="C2015" s="9" t="inlineStr">
        <is>
          <t>월</t>
        </is>
      </c>
      <c r="D2015" s="9" t="inlineStr">
        <is>
          <t>GDN</t>
        </is>
      </c>
      <c r="E2015" s="9" t="inlineStr">
        <is>
          <t>샴푸</t>
        </is>
      </c>
      <c r="K2015" s="9" t="n">
        <v>2464</v>
      </c>
    </row>
    <row r="2016">
      <c r="A2016" s="9" t="inlineStr">
        <is>
          <t>0324_샴푸_VAC_CPA</t>
        </is>
      </c>
      <c r="B2016" s="10" t="n">
        <v>44284</v>
      </c>
      <c r="C2016" s="9" t="inlineStr">
        <is>
          <t>월</t>
        </is>
      </c>
      <c r="D2016" s="9" t="inlineStr">
        <is>
          <t>유튜브</t>
        </is>
      </c>
      <c r="E2016" s="9" t="inlineStr">
        <is>
          <t>샴푸</t>
        </is>
      </c>
      <c r="K2016" s="9" t="n">
        <v>1720195</v>
      </c>
    </row>
    <row r="2017">
      <c r="A2017" s="9" t="inlineStr">
        <is>
          <t>라베나 파워링크_샴푸_광고그룹#1</t>
        </is>
      </c>
      <c r="B2017" s="10" t="n">
        <v>44284</v>
      </c>
      <c r="C2017" s="9" t="inlineStr">
        <is>
          <t>월</t>
        </is>
      </c>
      <c r="D2017" s="9" t="inlineStr">
        <is>
          <t>네이버 검색</t>
        </is>
      </c>
      <c r="E2017" s="9" t="inlineStr">
        <is>
          <t>샴푸</t>
        </is>
      </c>
      <c r="K2017" s="9" t="n">
        <v>2580</v>
      </c>
    </row>
    <row r="2018">
      <c r="A2018" s="9" t="inlineStr">
        <is>
          <t>라베나 파워링크_샴푸#1_유튜브키워드기반</t>
        </is>
      </c>
      <c r="B2018" s="10" t="n">
        <v>44284</v>
      </c>
      <c r="C2018" s="9" t="inlineStr">
        <is>
          <t>월</t>
        </is>
      </c>
      <c r="D2018" s="9" t="inlineStr">
        <is>
          <t>네이버 검색</t>
        </is>
      </c>
      <c r="E2018" s="9" t="inlineStr">
        <is>
          <t>샴푸</t>
        </is>
      </c>
      <c r="K2018" s="9" t="n">
        <v>9810</v>
      </c>
    </row>
    <row r="2019">
      <c r="A2019" s="9" t="inlineStr">
        <is>
          <t>샴푸_쇼핑검색#1_광고그룹#1</t>
        </is>
      </c>
      <c r="B2019" s="10" t="n">
        <v>44284</v>
      </c>
      <c r="C2019" s="9" t="inlineStr">
        <is>
          <t>월</t>
        </is>
      </c>
      <c r="D2019" s="9" t="inlineStr">
        <is>
          <t>네이버 검색</t>
        </is>
      </c>
      <c r="E2019" s="9" t="inlineStr">
        <is>
          <t>샴푸</t>
        </is>
      </c>
      <c r="K2019" s="9" t="n">
        <v>6269.999999999999</v>
      </c>
    </row>
    <row r="2020">
      <c r="A2020" s="9" t="inlineStr">
        <is>
          <t>파워컨텐츠#1_비듬샴푸</t>
        </is>
      </c>
      <c r="B2020" s="10" t="n">
        <v>44284</v>
      </c>
      <c r="C2020" s="9" t="inlineStr">
        <is>
          <t>월</t>
        </is>
      </c>
      <c r="D2020" s="9" t="inlineStr">
        <is>
          <t>네이버 검색</t>
        </is>
      </c>
      <c r="E2020" s="9" t="inlineStr">
        <is>
          <t>샴푸</t>
        </is>
      </c>
      <c r="K2020" s="9" t="n">
        <v>70</v>
      </c>
    </row>
    <row r="2021" ht="16.5" customHeight="1" s="12">
      <c r="A2021" s="9" t="inlineStr">
        <is>
          <t>키워드테스트</t>
        </is>
      </c>
      <c r="B2021" s="10" t="n">
        <v>44284</v>
      </c>
      <c r="C2021" s="9" t="inlineStr">
        <is>
          <t>월</t>
        </is>
      </c>
      <c r="D2021" s="9" t="inlineStr">
        <is>
          <t>카카오</t>
        </is>
      </c>
      <c r="E2021" s="9" t="inlineStr">
        <is>
          <t>샴푸</t>
        </is>
      </c>
      <c r="K2021" s="9">
        <f>31130/1.1</f>
        <v/>
      </c>
    </row>
    <row r="2022" ht="16.5" customHeight="1" s="12">
      <c r="A2022" s="9" t="inlineStr">
        <is>
          <t>0326_샴푸_이현_제품X</t>
        </is>
      </c>
      <c r="B2022" s="10" t="n">
        <v>44284</v>
      </c>
      <c r="C2022" s="9" t="inlineStr">
        <is>
          <t>월</t>
        </is>
      </c>
      <c r="D2022" s="9" t="inlineStr">
        <is>
          <t>카카오</t>
        </is>
      </c>
      <c r="E2022" s="9" t="inlineStr">
        <is>
          <t>샴푸</t>
        </is>
      </c>
      <c r="K2022" s="9">
        <f>30415/1.1</f>
        <v/>
      </c>
    </row>
    <row r="2023" ht="16.5" customHeight="1" s="12">
      <c r="A2023" s="9" t="inlineStr">
        <is>
          <t>3월 월간 라베나</t>
        </is>
      </c>
      <c r="B2023" s="10" t="n">
        <v>44284</v>
      </c>
      <c r="C2023" s="9" t="inlineStr">
        <is>
          <t>월</t>
        </is>
      </c>
      <c r="D2023" s="9" t="inlineStr">
        <is>
          <t>카카오 플친</t>
        </is>
      </c>
      <c r="E2023" s="9" t="inlineStr">
        <is>
          <t>기획set</t>
        </is>
      </c>
      <c r="K2023" s="9">
        <f>214368/1.1</f>
        <v/>
      </c>
    </row>
    <row r="2024">
      <c r="B2024" s="10" t="n">
        <v>44284</v>
      </c>
      <c r="C2024" s="9" t="inlineStr">
        <is>
          <t>월</t>
        </is>
      </c>
      <c r="E2024" s="9" t="inlineStr">
        <is>
          <t>샴푸</t>
        </is>
      </c>
      <c r="F2024" s="9" t="inlineStr">
        <is>
          <t>라베나 CS</t>
        </is>
      </c>
      <c r="G2024" s="9" t="inlineStr">
        <is>
          <t>헤어 리커버리 15 리바이탈 샴푸</t>
        </is>
      </c>
      <c r="H2024" s="9" t="n">
        <v>2</v>
      </c>
      <c r="I2024" s="9" t="inlineStr">
        <is>
          <t>리바이탈 샴푸</t>
        </is>
      </c>
      <c r="J2024" s="9" t="n">
        <v>210201</v>
      </c>
      <c r="L2024" s="9">
        <f>26900*2</f>
        <v/>
      </c>
      <c r="M2024" s="9">
        <f>53800-(53800/5.85)</f>
        <v/>
      </c>
      <c r="N2024" s="9">
        <f>2865*2</f>
        <v/>
      </c>
      <c r="O2024" s="9" t="inlineStr">
        <is>
          <t>라베나 CS샴푸헤어 리커버리 15 리바이탈 샴푸210201</t>
        </is>
      </c>
    </row>
    <row r="2025">
      <c r="B2025" s="10" t="n">
        <v>44284</v>
      </c>
      <c r="C2025" s="9" t="inlineStr">
        <is>
          <t>월</t>
        </is>
      </c>
      <c r="E2025" s="9" t="inlineStr">
        <is>
          <t>샴푸</t>
        </is>
      </c>
      <c r="F2025" s="9" t="inlineStr">
        <is>
          <t>카페24</t>
        </is>
      </c>
      <c r="G2025" s="9" t="inlineStr">
        <is>
          <t>데미지 리:커버리 더블 세트_set1 (샴푸2+뉴트리셔스 밤1)</t>
        </is>
      </c>
      <c r="H2025" s="9" t="n">
        <v>14</v>
      </c>
      <c r="I2025" s="9" t="inlineStr">
        <is>
          <t>리바이탈 샴푸2+뉴트리셔스 밤1</t>
        </is>
      </c>
      <c r="J2025" s="9" t="inlineStr">
        <is>
          <t>210201</t>
        </is>
      </c>
      <c r="L2025" s="9">
        <f>61568*14</f>
        <v/>
      </c>
      <c r="M2025" s="9">
        <f>861952-(861952/5.85)</f>
        <v/>
      </c>
      <c r="N2025" s="9">
        <f>7310*14</f>
        <v/>
      </c>
      <c r="O2025" s="9" t="inlineStr">
        <is>
          <t>카페24샴푸데미지 리:커버리 더블 세트_set1 (샴푸2+뉴트리셔스 밤1)210201</t>
        </is>
      </c>
    </row>
    <row r="2026">
      <c r="B2026" s="10" t="n">
        <v>44284</v>
      </c>
      <c r="C2026" s="9" t="inlineStr">
        <is>
          <t>월</t>
        </is>
      </c>
      <c r="E2026" s="9" t="inlineStr">
        <is>
          <t>샴푸</t>
        </is>
      </c>
      <c r="F2026" s="9" t="inlineStr">
        <is>
          <t>카페24</t>
        </is>
      </c>
      <c r="G2026" s="9" t="inlineStr">
        <is>
          <t>데미지 리:커버리 더블 세트_set2 (샴푸2+헤어팩 트리트먼트1)</t>
        </is>
      </c>
      <c r="H2026" s="9" t="n">
        <v>19</v>
      </c>
      <c r="I2026" s="9" t="inlineStr">
        <is>
          <t>리바이탈 샴푸2+트리트먼트1</t>
        </is>
      </c>
      <c r="J2026" s="9" t="inlineStr">
        <is>
          <t>210201</t>
        </is>
      </c>
      <c r="L2026" s="9">
        <f>62459*19</f>
        <v/>
      </c>
      <c r="M2026" s="9">
        <f>1186721-(1186721/5.85)</f>
        <v/>
      </c>
      <c r="N2026" s="9">
        <f>7327*19</f>
        <v/>
      </c>
      <c r="O2026" s="9" t="inlineStr">
        <is>
          <t>카페24샴푸데미지 리:커버리 더블 세트_set2 (샴푸2+헤어팩 트리트먼트1)210201</t>
        </is>
      </c>
    </row>
    <row r="2027">
      <c r="B2027" s="10" t="n">
        <v>44284</v>
      </c>
      <c r="C2027" s="9" t="inlineStr">
        <is>
          <t>월</t>
        </is>
      </c>
      <c r="E2027" s="9" t="inlineStr">
        <is>
          <t>뉴트리셔스밤</t>
        </is>
      </c>
      <c r="F2027" s="9" t="inlineStr">
        <is>
          <t>카페24</t>
        </is>
      </c>
      <c r="G2027" s="9" t="inlineStr">
        <is>
          <t>라베나 리커버리 15 뉴트리셔스 밤 [HAIR RÉ:COVERY 15 Nutritious Balm]제품선택=헤어 리커버리 15 뉴트리셔스 밤</t>
        </is>
      </c>
      <c r="H2027" s="9" t="n">
        <v>2</v>
      </c>
      <c r="I2027" s="9" t="inlineStr">
        <is>
          <t>뉴트리셔스밤</t>
        </is>
      </c>
      <c r="J2027" s="9" t="inlineStr">
        <is>
          <t>210201</t>
        </is>
      </c>
      <c r="L2027" s="9" t="n">
        <v>49800</v>
      </c>
      <c r="M2027" s="9" t="n">
        <v>46886.7</v>
      </c>
      <c r="N2027" s="9" t="n">
        <v>3160</v>
      </c>
      <c r="O2027" s="9" t="inlineStr">
        <is>
          <t>카페24뉴트리셔스밤라베나 리커버리 15 뉴트리셔스 밤 [HAIR RÉ:COVERY 15 Nutritious Balm]제품선택=헤어 리커버리 15 뉴트리셔스 밤210201</t>
        </is>
      </c>
    </row>
    <row r="2028">
      <c r="B2028" s="10" t="n">
        <v>44284</v>
      </c>
      <c r="C2028" s="9" t="inlineStr">
        <is>
          <t>월</t>
        </is>
      </c>
      <c r="E2028" s="9" t="inlineStr">
        <is>
          <t>뉴트리셔스밤</t>
        </is>
      </c>
      <c r="F2028" s="9" t="inlineStr">
        <is>
          <t>카페24</t>
        </is>
      </c>
      <c r="G2028" s="9" t="inlineStr">
        <is>
          <t>라베나 리커버리 15 뉴트리셔스 밤 [HAIR RÉ:COVERY 15 Nutritious Balm]제품선택=뉴트리셔스 밤 3개 세트 10% 추가할인</t>
        </is>
      </c>
      <c r="H2028" s="9" t="n">
        <v>1</v>
      </c>
      <c r="I2028" s="9" t="inlineStr">
        <is>
          <t>뉴트리셔스밤 3set</t>
        </is>
      </c>
      <c r="J2028" s="9" t="inlineStr">
        <is>
          <t>210201</t>
        </is>
      </c>
      <c r="L2028" s="9" t="n">
        <v>67230</v>
      </c>
      <c r="M2028" s="9" t="n">
        <v>63297.045</v>
      </c>
      <c r="N2028" s="9" t="n">
        <v>4740</v>
      </c>
      <c r="O2028" s="9" t="inlineStr">
        <is>
          <t>카페24뉴트리셔스밤라베나 리커버리 15 뉴트리셔스 밤 [HAIR RÉ:COVERY 15 Nutritious Balm]제품선택=뉴트리셔스 밤 3개 세트 10% 추가할인210201</t>
        </is>
      </c>
    </row>
    <row r="2029">
      <c r="B2029" s="10" t="n">
        <v>44284</v>
      </c>
      <c r="C2029" s="9" t="inlineStr">
        <is>
          <t>월</t>
        </is>
      </c>
      <c r="E2029" s="9" t="inlineStr">
        <is>
          <t>뉴트리셔스밤</t>
        </is>
      </c>
      <c r="F2029" s="9" t="inlineStr">
        <is>
          <t>카페24</t>
        </is>
      </c>
      <c r="G2029" s="9" t="inlineStr">
        <is>
          <t>라베나 리커버리 15 뉴트리셔스 밤 [HAIR RÉ:COVERY 15 Nutritious Balm]제품선택=뉴트리셔스밤 1개 + 헤어팩 트리트먼트 1개 세트 5%추가할인</t>
        </is>
      </c>
      <c r="H2029" s="9" t="n">
        <v>1</v>
      </c>
      <c r="I2029" s="9" t="inlineStr">
        <is>
          <t>트리트먼트+뉴트리셔스밤</t>
        </is>
      </c>
      <c r="J2029" s="9" t="inlineStr">
        <is>
          <t>210201</t>
        </is>
      </c>
      <c r="L2029" s="9" t="n">
        <v>48355</v>
      </c>
      <c r="M2029" s="9" t="n">
        <v>45526.2325</v>
      </c>
      <c r="N2029" s="9" t="n">
        <v>3177</v>
      </c>
      <c r="O202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030">
      <c r="B2030" s="10" t="n">
        <v>44284</v>
      </c>
      <c r="C2030" s="9" t="inlineStr">
        <is>
          <t>월</t>
        </is>
      </c>
      <c r="E2030" s="9" t="inlineStr">
        <is>
          <t>샴푸</t>
        </is>
      </c>
      <c r="F2030" s="9" t="inlineStr">
        <is>
          <t>카페24</t>
        </is>
      </c>
      <c r="G2030" s="9" t="inlineStr">
        <is>
          <t>라베나 리커버리 15 리바이탈 바이오플라보노이드샴푸 [HAIR RÉ:COVERY 15 Revital Shampoo]제품선택=헤어 리커버리 15 리바이탈 샴푸 - 500ml</t>
        </is>
      </c>
      <c r="H2030" s="9" t="n">
        <v>142</v>
      </c>
      <c r="I2030" s="9" t="inlineStr">
        <is>
          <t>리바이탈 샴푸</t>
        </is>
      </c>
      <c r="J2030" s="9" t="inlineStr">
        <is>
          <t>210201</t>
        </is>
      </c>
      <c r="L2030" s="9" t="n">
        <v>3819800</v>
      </c>
      <c r="M2030" s="9" t="n">
        <v>3596341.7</v>
      </c>
      <c r="N2030" s="9" t="n">
        <v>406830</v>
      </c>
      <c r="O203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031">
      <c r="B2031" s="10" t="n">
        <v>44284</v>
      </c>
      <c r="C2031" s="9" t="inlineStr">
        <is>
          <t>월</t>
        </is>
      </c>
      <c r="E2031" s="9" t="inlineStr">
        <is>
          <t>샴푸</t>
        </is>
      </c>
      <c r="F2031" s="9" t="inlineStr">
        <is>
          <t>카페24</t>
        </is>
      </c>
      <c r="G2031" s="9" t="inlineStr">
        <is>
          <t>라베나 리커버리 15 리바이탈 바이오플라보노이드샴푸 [HAIR RÉ:COVERY 15 Revital Shampoo]제품선택=리바이탈 샴푸 2개 세트 5%추가할인</t>
        </is>
      </c>
      <c r="H2031" s="9" t="n">
        <v>54</v>
      </c>
      <c r="I2031" s="9" t="inlineStr">
        <is>
          <t>리바이탈 샴푸 2set</t>
        </is>
      </c>
      <c r="J2031" s="9" t="inlineStr">
        <is>
          <t>210201</t>
        </is>
      </c>
      <c r="L2031" s="9" t="n">
        <v>2759940</v>
      </c>
      <c r="M2031" s="9" t="n">
        <v>2598483.51</v>
      </c>
      <c r="N2031" s="9" t="n">
        <v>309420</v>
      </c>
      <c r="O203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032">
      <c r="B2032" s="10" t="n">
        <v>44284</v>
      </c>
      <c r="C2032" s="9" t="inlineStr">
        <is>
          <t>월</t>
        </is>
      </c>
      <c r="E2032" s="9" t="inlineStr">
        <is>
          <t>샴푸</t>
        </is>
      </c>
      <c r="F2032" s="9" t="inlineStr">
        <is>
          <t>카페24</t>
        </is>
      </c>
      <c r="G2032" s="9" t="inlineStr">
        <is>
          <t>라베나 리커버리 15 리바이탈 바이오플라보노이드샴푸 [HAIR RÉ:COVERY 15 Revital Shampoo]제품선택=리바이탈 샴푸 3개 세트 10% 추가할인</t>
        </is>
      </c>
      <c r="H2032" s="9" t="n">
        <v>21</v>
      </c>
      <c r="I2032" s="9" t="inlineStr">
        <is>
          <t>리바이탈 샴푸 3set</t>
        </is>
      </c>
      <c r="J2032" s="9" t="inlineStr">
        <is>
          <t>210201</t>
        </is>
      </c>
      <c r="L2032" s="9" t="n">
        <v>1525230</v>
      </c>
      <c r="M2032" s="9" t="n">
        <v>1436004.045</v>
      </c>
      <c r="N2032" s="9" t="n">
        <v>180495</v>
      </c>
      <c r="O203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033">
      <c r="B2033" s="10" t="n">
        <v>44284</v>
      </c>
      <c r="C2033" s="9" t="inlineStr">
        <is>
          <t>월</t>
        </is>
      </c>
      <c r="E2033" s="9" t="inlineStr">
        <is>
          <t>트리트먼트</t>
        </is>
      </c>
      <c r="F2033" s="9" t="inlineStr">
        <is>
          <t>카페24</t>
        </is>
      </c>
      <c r="G2033" s="9" t="inlineStr">
        <is>
          <t>라베나 리커버리 15 헤어팩 트리트먼트 [HAIR RÉ:COVERY 15 Hairpack Treatment]제품선택=헤어 리커버리 15 헤어팩 트리트먼트</t>
        </is>
      </c>
      <c r="H2033" s="9" t="n">
        <v>2</v>
      </c>
      <c r="I2033" s="9" t="inlineStr">
        <is>
          <t>트리트먼트</t>
        </is>
      </c>
      <c r="J2033" s="9" t="inlineStr">
        <is>
          <t>210201</t>
        </is>
      </c>
      <c r="L2033" s="9" t="n">
        <v>52000</v>
      </c>
      <c r="M2033" s="9" t="n">
        <v>48958</v>
      </c>
      <c r="N2033" s="9" t="n">
        <v>3194</v>
      </c>
      <c r="O203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034">
      <c r="B2034" s="10" t="n">
        <v>44284</v>
      </c>
      <c r="C2034" s="9" t="inlineStr">
        <is>
          <t>월</t>
        </is>
      </c>
      <c r="E2034" s="9" t="inlineStr">
        <is>
          <t>트리트먼트</t>
        </is>
      </c>
      <c r="F2034" s="9" t="inlineStr">
        <is>
          <t>카페24</t>
        </is>
      </c>
      <c r="G2034" s="9" t="inlineStr">
        <is>
          <t>라베나 리커버리 15 헤어팩 트리트먼트 [HAIR RÉ:COVERY 15 Hairpack Treatment]제품선택=헤어팩 트리트먼트 3개 세트 10% 추가할인</t>
        </is>
      </c>
      <c r="H2034" s="9" t="n">
        <v>1</v>
      </c>
      <c r="I2034" s="9" t="inlineStr">
        <is>
          <t>트리트먼트 3set</t>
        </is>
      </c>
      <c r="J2034" s="9" t="inlineStr">
        <is>
          <t>210201</t>
        </is>
      </c>
      <c r="L2034" s="9" t="n">
        <v>70200</v>
      </c>
      <c r="M2034" s="9" t="n">
        <v>66093.3</v>
      </c>
      <c r="N2034" s="9" t="n">
        <v>4791</v>
      </c>
      <c r="O2034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035">
      <c r="B2035" s="10" t="n">
        <v>44284</v>
      </c>
      <c r="C2035" s="9" t="inlineStr">
        <is>
          <t>월</t>
        </is>
      </c>
      <c r="E2035" s="9" t="inlineStr">
        <is>
          <t>샴푸</t>
        </is>
      </c>
      <c r="F2035" s="9" t="inlineStr">
        <is>
          <t>카페24</t>
        </is>
      </c>
      <c r="G2035" s="9" t="inlineStr">
        <is>
          <t>온가족 토탈 리커버리 세트(샴푸3+헤어팩 트리트먼트1+뉴트리셔스 밤1)</t>
        </is>
      </c>
      <c r="H2035" s="9" t="n">
        <v>4</v>
      </c>
      <c r="I2035" s="9" t="inlineStr">
        <is>
          <t>리바이탈 샴푸3+트리트먼트1+뉴트리셔스 밤1</t>
        </is>
      </c>
      <c r="J2035" s="9" t="inlineStr">
        <is>
          <t>210201</t>
        </is>
      </c>
      <c r="L2035" s="9">
        <f>97788*4</f>
        <v/>
      </c>
      <c r="M2035" s="9">
        <f>391152-(391152/5.85)</f>
        <v/>
      </c>
      <c r="N2035" s="9">
        <f>11772*4</f>
        <v/>
      </c>
      <c r="O2035" s="9" t="inlineStr">
        <is>
          <t>카페24샴푸온가족 토탈 리커버리 세트(샴푸3+헤어팩 트리트먼트1+뉴트리셔스 밤1)210201</t>
        </is>
      </c>
    </row>
    <row r="2036">
      <c r="B2036" s="10" t="n">
        <v>44284</v>
      </c>
      <c r="C2036" s="9" t="inlineStr">
        <is>
          <t>월</t>
        </is>
      </c>
      <c r="E2036" s="9" t="inlineStr">
        <is>
          <t>샴푸</t>
        </is>
      </c>
      <c r="F2036" s="9" t="inlineStr">
        <is>
          <t>카페24</t>
        </is>
      </c>
      <c r="G2036" s="9" t="inlineStr">
        <is>
          <t>헤어 리:커버리 시그니처 세트(샴푸1+헤어팩 트리트먼트1+ 뉴트리셔스 밤1)</t>
        </is>
      </c>
      <c r="H2036" s="9" t="n">
        <v>7</v>
      </c>
      <c r="I2036" s="9" t="inlineStr">
        <is>
          <t>리바이탈 샴푸+트리트먼트+뉴트리셔스 밤</t>
        </is>
      </c>
      <c r="J2036" s="9" t="inlineStr">
        <is>
          <t>210201</t>
        </is>
      </c>
      <c r="L2036" s="9">
        <f>57946*7</f>
        <v/>
      </c>
      <c r="M2036" s="9">
        <f>405622-(405622/5.85)</f>
        <v/>
      </c>
      <c r="N2036" s="9">
        <f>(1597+1580+2865)*7</f>
        <v/>
      </c>
      <c r="O2036" s="9" t="inlineStr">
        <is>
          <t>카페24샴푸헤어 리:커버리 시그니처 세트(샴푸1+헤어팩 트리트먼트1+ 뉴트리셔스 밤1)210201</t>
        </is>
      </c>
    </row>
    <row r="2037">
      <c r="A2037" s="9" t="inlineStr">
        <is>
          <t>0329_샴푸_인스타_트래픽</t>
        </is>
      </c>
      <c r="B2037" s="10" t="n">
        <v>44285</v>
      </c>
      <c r="C2037" s="9" t="inlineStr">
        <is>
          <t>화</t>
        </is>
      </c>
      <c r="D2037" s="9" t="inlineStr">
        <is>
          <t>페이스북</t>
        </is>
      </c>
      <c r="E2037" s="9" t="inlineStr">
        <is>
          <t>샴푸</t>
        </is>
      </c>
      <c r="K2037" s="9" t="n">
        <v>454852</v>
      </c>
    </row>
    <row r="2038">
      <c r="A2038" s="9" t="inlineStr">
        <is>
          <t>0329_샴푸_페이스북_수정버전_1</t>
        </is>
      </c>
      <c r="B2038" s="10" t="n">
        <v>44285</v>
      </c>
      <c r="C2038" s="9" t="inlineStr">
        <is>
          <t>화</t>
        </is>
      </c>
      <c r="D2038" s="9" t="inlineStr">
        <is>
          <t>페이스북</t>
        </is>
      </c>
      <c r="E2038" s="9" t="inlineStr">
        <is>
          <t>샴푸</t>
        </is>
      </c>
      <c r="K2038" s="9" t="n">
        <v>77654</v>
      </c>
    </row>
    <row r="2039">
      <c r="A2039" s="9" t="inlineStr">
        <is>
          <t>0318~영상기반 단장</t>
        </is>
      </c>
      <c r="B2039" s="10" t="n">
        <v>44285</v>
      </c>
      <c r="C2039" s="9" t="inlineStr">
        <is>
          <t>화</t>
        </is>
      </c>
      <c r="D2039" s="9" t="inlineStr">
        <is>
          <t>페이스북</t>
        </is>
      </c>
      <c r="E2039" s="9" t="inlineStr">
        <is>
          <t>샴푸</t>
        </is>
      </c>
      <c r="K2039" s="9" t="n">
        <v>81127</v>
      </c>
    </row>
    <row r="2040">
      <c r="A2040" s="9" t="inlineStr">
        <is>
          <t>0317~영상배너_short</t>
        </is>
      </c>
      <c r="B2040" s="10" t="n">
        <v>44285</v>
      </c>
      <c r="C2040" s="9" t="inlineStr">
        <is>
          <t>화</t>
        </is>
      </c>
      <c r="D2040" s="9" t="inlineStr">
        <is>
          <t>페이스북</t>
        </is>
      </c>
      <c r="E2040" s="9" t="inlineStr">
        <is>
          <t>샴푸</t>
        </is>
      </c>
      <c r="K2040" s="9" t="n">
        <v>48477</v>
      </c>
    </row>
    <row r="2041">
      <c r="A2041" s="9" t="inlineStr">
        <is>
          <t>0316~영상베리</t>
        </is>
      </c>
      <c r="B2041" s="10" t="n">
        <v>44285</v>
      </c>
      <c r="C2041" s="9" t="inlineStr">
        <is>
          <t>화</t>
        </is>
      </c>
      <c r="D2041" s="9" t="inlineStr">
        <is>
          <t>페이스북</t>
        </is>
      </c>
      <c r="E2041" s="9" t="inlineStr">
        <is>
          <t>샴푸</t>
        </is>
      </c>
      <c r="K2041" s="9" t="n">
        <v>191319</v>
      </c>
    </row>
    <row r="2042">
      <c r="A2042" s="9" t="inlineStr">
        <is>
          <t>0127_GDN_비듬샴푸_잠재고객</t>
        </is>
      </c>
      <c r="B2042" s="10" t="n">
        <v>44285</v>
      </c>
      <c r="C2042" s="9" t="inlineStr">
        <is>
          <t>화</t>
        </is>
      </c>
      <c r="D2042" s="9" t="inlineStr">
        <is>
          <t>GDN</t>
        </is>
      </c>
      <c r="E2042" s="9" t="inlineStr">
        <is>
          <t>샴푸</t>
        </is>
      </c>
      <c r="K2042" s="9" t="n">
        <v>168126</v>
      </c>
    </row>
    <row r="2043">
      <c r="A2043" s="9" t="inlineStr">
        <is>
          <t>0303_샴푸_인스트림_CPA</t>
        </is>
      </c>
      <c r="B2043" s="10" t="n">
        <v>44285</v>
      </c>
      <c r="C2043" s="9" t="inlineStr">
        <is>
          <t>화</t>
        </is>
      </c>
      <c r="D2043" s="9" t="inlineStr">
        <is>
          <t>유튜브</t>
        </is>
      </c>
      <c r="E2043" s="9" t="inlineStr">
        <is>
          <t>샴푸</t>
        </is>
      </c>
      <c r="K2043" s="9" t="n">
        <v>1451588</v>
      </c>
    </row>
    <row r="2044">
      <c r="A2044" s="9" t="inlineStr">
        <is>
          <t>0322_샴푸_GDN_이현1차</t>
        </is>
      </c>
      <c r="B2044" s="10" t="n">
        <v>44285</v>
      </c>
      <c r="C2044" s="9" t="inlineStr">
        <is>
          <t>화</t>
        </is>
      </c>
      <c r="D2044" s="9" t="inlineStr">
        <is>
          <t>GDN</t>
        </is>
      </c>
      <c r="E2044" s="9" t="inlineStr">
        <is>
          <t>샴푸</t>
        </is>
      </c>
      <c r="K2044" s="9" t="n">
        <v>41350</v>
      </c>
    </row>
    <row r="2045">
      <c r="A2045" s="9" t="inlineStr">
        <is>
          <t>0324_샴푸_VAC_CPA</t>
        </is>
      </c>
      <c r="B2045" s="10" t="n">
        <v>44285</v>
      </c>
      <c r="C2045" s="9" t="inlineStr">
        <is>
          <t>화</t>
        </is>
      </c>
      <c r="D2045" s="9" t="inlineStr">
        <is>
          <t>유튜브</t>
        </is>
      </c>
      <c r="E2045" s="9" t="inlineStr">
        <is>
          <t>샴푸</t>
        </is>
      </c>
      <c r="K2045" s="9" t="n">
        <v>1228428</v>
      </c>
    </row>
    <row r="2046">
      <c r="A2046" s="9" t="inlineStr">
        <is>
          <t>0329_샴푸_GDN_키워드</t>
        </is>
      </c>
      <c r="B2046" s="10" t="n">
        <v>44285</v>
      </c>
      <c r="C2046" s="9" t="inlineStr">
        <is>
          <t>화</t>
        </is>
      </c>
      <c r="D2046" s="9" t="inlineStr">
        <is>
          <t>GDN</t>
        </is>
      </c>
      <c r="E2046" s="9" t="inlineStr">
        <is>
          <t>샴푸</t>
        </is>
      </c>
      <c r="K2046" s="9" t="n">
        <v>14810</v>
      </c>
    </row>
    <row r="2047">
      <c r="A2047" s="9" t="inlineStr">
        <is>
          <t>0330_샴푸_cpv_200만뷰</t>
        </is>
      </c>
      <c r="B2047" s="10" t="n">
        <v>44285</v>
      </c>
      <c r="C2047" s="9" t="inlineStr">
        <is>
          <t>화</t>
        </is>
      </c>
      <c r="D2047" s="9" t="inlineStr">
        <is>
          <t>유튜브</t>
        </is>
      </c>
      <c r="E2047" s="9" t="inlineStr">
        <is>
          <t>샴푸</t>
        </is>
      </c>
      <c r="K2047" s="9" t="n">
        <v>226</v>
      </c>
    </row>
    <row r="2048">
      <c r="A2048" s="9" t="inlineStr">
        <is>
          <t>라베나 파워링크_샴푸_광고그룹#1</t>
        </is>
      </c>
      <c r="B2048" s="10" t="n">
        <v>44285</v>
      </c>
      <c r="C2048" s="9" t="inlineStr">
        <is>
          <t>화</t>
        </is>
      </c>
      <c r="D2048" s="9" t="inlineStr">
        <is>
          <t>네이버 검색</t>
        </is>
      </c>
      <c r="E2048" s="9" t="inlineStr">
        <is>
          <t>샴푸</t>
        </is>
      </c>
      <c r="K2048" s="9" t="n">
        <v>1790</v>
      </c>
    </row>
    <row r="2049">
      <c r="A2049" s="9" t="inlineStr">
        <is>
          <t>라베나 파워링크_샴푸#1_유튜브키워드기반</t>
        </is>
      </c>
      <c r="B2049" s="10" t="n">
        <v>44285</v>
      </c>
      <c r="C2049" s="9" t="inlineStr">
        <is>
          <t>화</t>
        </is>
      </c>
      <c r="D2049" s="9" t="inlineStr">
        <is>
          <t>네이버 검색</t>
        </is>
      </c>
      <c r="E2049" s="9" t="inlineStr">
        <is>
          <t>샴푸</t>
        </is>
      </c>
      <c r="K2049" s="9" t="n">
        <v>7349.999999999999</v>
      </c>
    </row>
    <row r="2050">
      <c r="A2050" s="9" t="inlineStr">
        <is>
          <t>샴푸_쇼핑검색#1_광고그룹#1</t>
        </is>
      </c>
      <c r="B2050" s="10" t="n">
        <v>44285</v>
      </c>
      <c r="C2050" s="9" t="inlineStr">
        <is>
          <t>화</t>
        </is>
      </c>
      <c r="D2050" s="9" t="inlineStr">
        <is>
          <t>네이버 검색</t>
        </is>
      </c>
      <c r="E2050" s="9" t="inlineStr">
        <is>
          <t>샴푸</t>
        </is>
      </c>
      <c r="K2050" s="9" t="n">
        <v>2170</v>
      </c>
    </row>
    <row r="2051">
      <c r="A2051" s="9" t="inlineStr">
        <is>
          <t>파워컨텐츠#1_비듬샴푸</t>
        </is>
      </c>
      <c r="B2051" s="10" t="n">
        <v>44285</v>
      </c>
      <c r="C2051" s="9" t="inlineStr">
        <is>
          <t>화</t>
        </is>
      </c>
      <c r="D2051" s="9" t="inlineStr">
        <is>
          <t>네이버 검색</t>
        </is>
      </c>
      <c r="E2051" s="9" t="inlineStr">
        <is>
          <t>샴푸</t>
        </is>
      </c>
      <c r="K2051" s="9" t="n">
        <v>280</v>
      </c>
    </row>
    <row r="2052" ht="16.5" customHeight="1" s="12">
      <c r="A2052" s="9" t="inlineStr">
        <is>
          <t>키워드테스트</t>
        </is>
      </c>
      <c r="B2052" s="10" t="n">
        <v>44285</v>
      </c>
      <c r="C2052" s="9" t="inlineStr">
        <is>
          <t>화</t>
        </is>
      </c>
      <c r="D2052" s="9" t="inlineStr">
        <is>
          <t>카카오</t>
        </is>
      </c>
      <c r="E2052" s="9" t="inlineStr">
        <is>
          <t>샴푸</t>
        </is>
      </c>
      <c r="K2052" s="9">
        <f>62018/1.1</f>
        <v/>
      </c>
    </row>
    <row r="2053" ht="16.5" customHeight="1" s="12">
      <c r="A2053" s="9" t="inlineStr">
        <is>
          <t>0326_샴푸_이현_제품X</t>
        </is>
      </c>
      <c r="B2053" s="10" t="n">
        <v>44285</v>
      </c>
      <c r="C2053" s="9" t="inlineStr">
        <is>
          <t>화</t>
        </is>
      </c>
      <c r="D2053" s="9" t="inlineStr">
        <is>
          <t>카카오</t>
        </is>
      </c>
      <c r="E2053" s="9" t="inlineStr">
        <is>
          <t>샴푸</t>
        </is>
      </c>
      <c r="K2053" s="9">
        <f>23683/1.1</f>
        <v/>
      </c>
    </row>
    <row r="2054" ht="16.5" customHeight="1" s="12">
      <c r="A2054" s="9" t="inlineStr">
        <is>
          <t>3월 월간 라베나</t>
        </is>
      </c>
      <c r="B2054" s="10" t="n">
        <v>44285</v>
      </c>
      <c r="C2054" s="9" t="inlineStr">
        <is>
          <t>화</t>
        </is>
      </c>
      <c r="D2054" s="9" t="inlineStr">
        <is>
          <t>카카오 플친</t>
        </is>
      </c>
      <c r="E2054" s="9" t="inlineStr">
        <is>
          <t>샴푸</t>
        </is>
      </c>
      <c r="K2054" s="9">
        <f>1238/1.1</f>
        <v/>
      </c>
    </row>
    <row r="2055" ht="16.5" customHeight="1" s="12">
      <c r="B2055" s="10" t="n">
        <v>44285</v>
      </c>
      <c r="C2055" s="9" t="inlineStr">
        <is>
          <t>화</t>
        </is>
      </c>
      <c r="E2055" s="9" t="inlineStr">
        <is>
          <t>샴푸</t>
        </is>
      </c>
      <c r="F2055" s="9" t="inlineStr">
        <is>
          <t>카페24</t>
        </is>
      </c>
      <c r="G2055" s="9" t="inlineStr">
        <is>
          <t>데미지 리:커버리 더블 세트_set1 (샴푸2+뉴트리셔스 밤1)</t>
        </is>
      </c>
      <c r="H2055" s="9" t="n">
        <v>8</v>
      </c>
      <c r="I2055" s="9" t="inlineStr">
        <is>
          <t>리바이탈 샴푸2+뉴트리셔스 밤1</t>
        </is>
      </c>
      <c r="J2055" s="9" t="inlineStr">
        <is>
          <t>210201</t>
        </is>
      </c>
      <c r="L2055" s="9">
        <f>61568*8</f>
        <v/>
      </c>
      <c r="M2055" s="9">
        <f>492544-(492544/5.85)</f>
        <v/>
      </c>
      <c r="N2055" s="5">
        <f>7310*8</f>
        <v/>
      </c>
      <c r="O2055" s="9" t="inlineStr">
        <is>
          <t>카페240데미지 리:커버리 더블 세트_set1 (샴푸2+뉴트리셔스 밤1)210201</t>
        </is>
      </c>
    </row>
    <row r="2056">
      <c r="B2056" s="10" t="n">
        <v>44285</v>
      </c>
      <c r="C2056" s="9" t="inlineStr">
        <is>
          <t>화</t>
        </is>
      </c>
      <c r="E2056" s="9" t="inlineStr">
        <is>
          <t>샴푸</t>
        </is>
      </c>
      <c r="F2056" s="9" t="inlineStr">
        <is>
          <t>카페24</t>
        </is>
      </c>
      <c r="G2056" s="9" t="inlineStr">
        <is>
          <t>데미지 리:커버리 더블 세트_set2 (샴푸2+헤어팩 트리트먼트1)</t>
        </is>
      </c>
      <c r="H2056" s="9" t="n">
        <v>2</v>
      </c>
      <c r="I2056" s="9" t="inlineStr">
        <is>
          <t>리바이탈 샴푸2+트리트먼트1</t>
        </is>
      </c>
      <c r="J2056" s="9" t="inlineStr">
        <is>
          <t>210201</t>
        </is>
      </c>
      <c r="L2056" s="9">
        <f>62459*2</f>
        <v/>
      </c>
      <c r="M2056" s="9">
        <f>124918-(124918/5.85)</f>
        <v/>
      </c>
      <c r="N2056" s="9">
        <f>7327*2</f>
        <v/>
      </c>
      <c r="O2056" s="9" t="inlineStr">
        <is>
          <t>카페240데미지 리:커버리 더블 세트_set2 (샴푸2+헤어팩 트리트먼트1)210201</t>
        </is>
      </c>
    </row>
    <row r="2057">
      <c r="B2057" s="10" t="n">
        <v>44285</v>
      </c>
      <c r="C2057" s="9" t="inlineStr">
        <is>
          <t>화</t>
        </is>
      </c>
      <c r="E2057" s="9" t="inlineStr">
        <is>
          <t>뉴트리셔스밤</t>
        </is>
      </c>
      <c r="F2057" s="9" t="inlineStr">
        <is>
          <t>카페24</t>
        </is>
      </c>
      <c r="G2057" s="9" t="inlineStr">
        <is>
          <t>라베나 리커버리 15 뉴트리셔스 밤 [HAIR RÉ:COVERY 15 Nutritious Balm]제품선택=헤어 리커버리 15 뉴트리셔스 밤</t>
        </is>
      </c>
      <c r="H2057" s="9" t="n">
        <v>3</v>
      </c>
      <c r="I2057" s="9" t="inlineStr">
        <is>
          <t>뉴트리셔스밤</t>
        </is>
      </c>
      <c r="J2057" s="9" t="inlineStr">
        <is>
          <t>210201</t>
        </is>
      </c>
      <c r="L2057" s="9" t="n">
        <v>74700</v>
      </c>
      <c r="M2057" s="9" t="n">
        <v>70330.04999999999</v>
      </c>
      <c r="N2057" s="9" t="n">
        <v>4740</v>
      </c>
      <c r="O2057" s="9" t="inlineStr">
        <is>
          <t>카페24뉴트리셔스밤라베나 리커버리 15 뉴트리셔스 밤 [HAIR RÉ:COVERY 15 Nutritious Balm]제품선택=헤어 리커버리 15 뉴트리셔스 밤210201</t>
        </is>
      </c>
    </row>
    <row r="2058">
      <c r="B2058" s="10" t="n">
        <v>44285</v>
      </c>
      <c r="C2058" s="9" t="inlineStr">
        <is>
          <t>화</t>
        </is>
      </c>
      <c r="E2058" s="9" t="inlineStr">
        <is>
          <t>샴푸</t>
        </is>
      </c>
      <c r="F2058" s="9" t="inlineStr">
        <is>
          <t>카페24</t>
        </is>
      </c>
      <c r="G2058" s="9" t="inlineStr">
        <is>
          <t>라베나 리커버리 15 리바이탈 바이오플라보노이드샴푸 [HAIR RÉ:COVERY 15 Revital Shampoo]제품선택=헤어 리커버리 15 리바이탈 샴푸 - 500ml</t>
        </is>
      </c>
      <c r="H2058" s="9" t="n">
        <v>110</v>
      </c>
      <c r="I2058" s="9" t="inlineStr">
        <is>
          <t>리바이탈 샴푸</t>
        </is>
      </c>
      <c r="J2058" s="9" t="inlineStr">
        <is>
          <t>210201</t>
        </is>
      </c>
      <c r="L2058" s="9" t="n">
        <v>2959000</v>
      </c>
      <c r="M2058" s="9" t="n">
        <v>2785898.5</v>
      </c>
      <c r="N2058" s="9" t="n">
        <v>315150</v>
      </c>
      <c r="O205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059">
      <c r="B2059" s="10" t="n">
        <v>44285</v>
      </c>
      <c r="C2059" s="9" t="inlineStr">
        <is>
          <t>화</t>
        </is>
      </c>
      <c r="E2059" s="9" t="inlineStr">
        <is>
          <t>샴푸</t>
        </is>
      </c>
      <c r="F2059" s="9" t="inlineStr">
        <is>
          <t>카페24</t>
        </is>
      </c>
      <c r="G2059" s="9" t="inlineStr">
        <is>
          <t>라베나 리커버리 15 리바이탈 바이오플라보노이드샴푸 [HAIR RÉ:COVERY 15 Revital Shampoo]제품선택=리바이탈 샴푸 2개 세트 5%추가할인</t>
        </is>
      </c>
      <c r="H2059" s="9" t="n">
        <v>33</v>
      </c>
      <c r="I2059" s="9" t="inlineStr">
        <is>
          <t>리바이탈 샴푸 2set</t>
        </is>
      </c>
      <c r="J2059" s="9" t="inlineStr">
        <is>
          <t>210201</t>
        </is>
      </c>
      <c r="L2059" s="9" t="n">
        <v>1686630</v>
      </c>
      <c r="M2059" s="9" t="n">
        <v>1587962.145</v>
      </c>
      <c r="N2059" s="9" t="n">
        <v>189090</v>
      </c>
      <c r="O205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060">
      <c r="B2060" s="10" t="n">
        <v>44285</v>
      </c>
      <c r="C2060" s="9" t="inlineStr">
        <is>
          <t>화</t>
        </is>
      </c>
      <c r="E2060" s="9" t="inlineStr">
        <is>
          <t>샴푸</t>
        </is>
      </c>
      <c r="F2060" s="9" t="inlineStr">
        <is>
          <t>카페24</t>
        </is>
      </c>
      <c r="G2060" s="9" t="inlineStr">
        <is>
          <t>라베나 리커버리 15 리바이탈 바이오플라보노이드샴푸 [HAIR RÉ:COVERY 15 Revital Shampoo]제품선택=리바이탈 샴푸 3개 세트 10% 추가할인</t>
        </is>
      </c>
      <c r="H2060" s="9" t="n">
        <v>8</v>
      </c>
      <c r="I2060" s="9" t="inlineStr">
        <is>
          <t>리바이탈 샴푸 3set</t>
        </is>
      </c>
      <c r="J2060" s="9" t="inlineStr">
        <is>
          <t>210201</t>
        </is>
      </c>
      <c r="L2060" s="9" t="n">
        <v>581040</v>
      </c>
      <c r="M2060" s="9" t="n">
        <v>547049.16</v>
      </c>
      <c r="N2060" s="9" t="n">
        <v>68760</v>
      </c>
      <c r="O206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061">
      <c r="B2061" s="10" t="n">
        <v>44285</v>
      </c>
      <c r="C2061" s="9" t="inlineStr">
        <is>
          <t>화</t>
        </is>
      </c>
      <c r="E2061" s="9" t="inlineStr">
        <is>
          <t>트리트먼트</t>
        </is>
      </c>
      <c r="F2061" s="9" t="inlineStr">
        <is>
          <t>카페24</t>
        </is>
      </c>
      <c r="G2061" s="9" t="inlineStr">
        <is>
          <t>라베나 리커버리 15 헤어팩 트리트먼트 [HAIR RÉ:COVERY 15 Hairpack Treatment]제품선택=헤어 리커버리 15 헤어팩 트리트먼트</t>
        </is>
      </c>
      <c r="H2061" s="9" t="n">
        <v>5</v>
      </c>
      <c r="I2061" s="9" t="inlineStr">
        <is>
          <t>트리트먼트</t>
        </is>
      </c>
      <c r="J2061" s="9" t="inlineStr">
        <is>
          <t>210201</t>
        </is>
      </c>
      <c r="L2061" s="9" t="n">
        <v>130000</v>
      </c>
      <c r="M2061" s="9" t="n">
        <v>122395</v>
      </c>
      <c r="N2061" s="9" t="n">
        <v>7985</v>
      </c>
      <c r="O206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062">
      <c r="B2062" s="10" t="n">
        <v>44285</v>
      </c>
      <c r="C2062" s="9" t="inlineStr">
        <is>
          <t>화</t>
        </is>
      </c>
      <c r="E2062" s="9" t="inlineStr">
        <is>
          <t>트리트먼트</t>
        </is>
      </c>
      <c r="F2062" s="9" t="inlineStr">
        <is>
          <t>카페24</t>
        </is>
      </c>
      <c r="G2062" s="9" t="inlineStr">
        <is>
          <t>라베나 리커버리 15 헤어팩 트리트먼트 [HAIR RÉ:COVERY 15 Hairpack Treatment]제품선택=헤어팩 트리트먼트 1개 + 뉴트리셔스밤 1개 세트 5% 추가할인</t>
        </is>
      </c>
      <c r="H2062" s="9" t="n">
        <v>1</v>
      </c>
      <c r="I2062" s="9" t="inlineStr">
        <is>
          <t>트리트먼트+뉴트리셔스밤</t>
        </is>
      </c>
      <c r="J2062" s="9" t="inlineStr">
        <is>
          <t>210201</t>
        </is>
      </c>
      <c r="L2062" s="9" t="n">
        <v>48355</v>
      </c>
      <c r="M2062" s="9" t="n">
        <v>45526.2325</v>
      </c>
      <c r="N2062" s="9" t="n">
        <v>3177</v>
      </c>
      <c r="O2062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063">
      <c r="B2063" s="10" t="n">
        <v>44285</v>
      </c>
      <c r="C2063" s="9" t="inlineStr">
        <is>
          <t>화</t>
        </is>
      </c>
      <c r="E2063" s="9" t="inlineStr">
        <is>
          <t>샴푸</t>
        </is>
      </c>
      <c r="F2063" s="9" t="inlineStr">
        <is>
          <t>카페24</t>
        </is>
      </c>
      <c r="G2063" s="9" t="inlineStr">
        <is>
          <t>온가족 토탈 리커버리 세트(샴푸3+헤어팩 트리트먼트1+뉴트리셔스 밤1)</t>
        </is>
      </c>
      <c r="H2063" s="9" t="n">
        <v>2</v>
      </c>
      <c r="I2063" s="9" t="inlineStr">
        <is>
          <t>리바이탈 샴푸3+트리트먼트1+뉴트리셔스 밤1</t>
        </is>
      </c>
      <c r="J2063" s="9" t="inlineStr">
        <is>
          <t>210201</t>
        </is>
      </c>
      <c r="L2063" s="9">
        <f>97788*2</f>
        <v/>
      </c>
      <c r="M2063" s="9">
        <f>195576-(195576/5.85)</f>
        <v/>
      </c>
      <c r="N2063" s="9">
        <f>11772*2</f>
        <v/>
      </c>
      <c r="O2063" s="9" t="inlineStr">
        <is>
          <t>카페240온가족 토탈 리커버리 세트(샴푸3+헤어팩 트리트먼트1+뉴트리셔스 밤1)210201</t>
        </is>
      </c>
    </row>
    <row r="2064">
      <c r="B2064" s="10" t="n">
        <v>44285</v>
      </c>
      <c r="C2064" s="9" t="inlineStr">
        <is>
          <t>화</t>
        </is>
      </c>
      <c r="E2064" s="9" t="inlineStr">
        <is>
          <t>샴푸</t>
        </is>
      </c>
      <c r="F2064" s="9" t="inlineStr">
        <is>
          <t>카페24</t>
        </is>
      </c>
      <c r="G2064" s="9" t="inlineStr">
        <is>
          <t>헤어 리:커버리 시그니처 세트(샴푸1+헤어팩 트리트먼트1+ 뉴트리셔스 밤1)</t>
        </is>
      </c>
      <c r="H2064" s="9" t="n">
        <v>2</v>
      </c>
      <c r="I2064" s="9" t="inlineStr">
        <is>
          <t>리바이탈 샴푸+트리트먼트+뉴트리셔스 밤</t>
        </is>
      </c>
      <c r="J2064" s="9" t="inlineStr">
        <is>
          <t>210201</t>
        </is>
      </c>
      <c r="L2064" s="9">
        <f>57946*2</f>
        <v/>
      </c>
      <c r="M2064" s="9">
        <f>115892-(115892/5.85)</f>
        <v/>
      </c>
      <c r="N2064" s="9">
        <f>(1597+1580+2865)*2</f>
        <v/>
      </c>
      <c r="O2064" s="9" t="inlineStr">
        <is>
          <t>카페240헤어 리:커버리 시그니처 세트(샴푸1+헤어팩 트리트먼트1+ 뉴트리셔스 밤1)210201</t>
        </is>
      </c>
    </row>
    <row r="2065">
      <c r="A2065" s="9" t="inlineStr">
        <is>
          <t>0331_샴푸_카드뉴스_효율테스트</t>
        </is>
      </c>
      <c r="B2065" s="10" t="n">
        <v>44286</v>
      </c>
      <c r="C2065" s="9" t="inlineStr">
        <is>
          <t>수</t>
        </is>
      </c>
      <c r="D2065" s="9" t="inlineStr">
        <is>
          <t>페이스북</t>
        </is>
      </c>
      <c r="E2065" s="9" t="inlineStr">
        <is>
          <t>샴푸</t>
        </is>
      </c>
      <c r="K2065" s="9" t="n">
        <v>24351</v>
      </c>
    </row>
    <row r="2066">
      <c r="A2066" s="9" t="inlineStr">
        <is>
          <t>0330_샴푸_인스타_전환_향소구</t>
        </is>
      </c>
      <c r="B2066" s="10" t="n">
        <v>44286</v>
      </c>
      <c r="C2066" s="9" t="inlineStr">
        <is>
          <t>수</t>
        </is>
      </c>
      <c r="D2066" s="9" t="inlineStr">
        <is>
          <t>페이스북</t>
        </is>
      </c>
      <c r="E2066" s="9" t="inlineStr">
        <is>
          <t>샴푸</t>
        </is>
      </c>
      <c r="K2066" s="9" t="n">
        <v>30560</v>
      </c>
    </row>
    <row r="2067">
      <c r="A2067" s="9" t="inlineStr">
        <is>
          <t>0325_노워시_영상베리_단장전환_광고비변경X</t>
        </is>
      </c>
      <c r="B2067" s="10" t="n">
        <v>44286</v>
      </c>
      <c r="C2067" s="9" t="inlineStr">
        <is>
          <t>수</t>
        </is>
      </c>
      <c r="D2067" s="9" t="inlineStr">
        <is>
          <t>페이스북</t>
        </is>
      </c>
      <c r="E2067" s="9" t="inlineStr">
        <is>
          <t>뉴트리셔스밤</t>
        </is>
      </c>
      <c r="K2067" s="9" t="n">
        <v>21109</v>
      </c>
    </row>
    <row r="2068">
      <c r="A2068" s="9" t="inlineStr">
        <is>
          <t>0318~영상기반 단장</t>
        </is>
      </c>
      <c r="B2068" s="10" t="n">
        <v>44286</v>
      </c>
      <c r="C2068" s="9" t="inlineStr">
        <is>
          <t>수</t>
        </is>
      </c>
      <c r="D2068" s="9" t="inlineStr">
        <is>
          <t>페이스북</t>
        </is>
      </c>
      <c r="E2068" s="9" t="inlineStr">
        <is>
          <t>샴푸</t>
        </is>
      </c>
      <c r="K2068" s="9" t="n">
        <v>70115</v>
      </c>
    </row>
    <row r="2069">
      <c r="A2069" s="9" t="inlineStr">
        <is>
          <t>0317~영상배너_short</t>
        </is>
      </c>
      <c r="B2069" s="10" t="n">
        <v>44286</v>
      </c>
      <c r="C2069" s="9" t="inlineStr">
        <is>
          <t>수</t>
        </is>
      </c>
      <c r="D2069" s="9" t="inlineStr">
        <is>
          <t>페이스북</t>
        </is>
      </c>
      <c r="E2069" s="9" t="inlineStr">
        <is>
          <t>샴푸</t>
        </is>
      </c>
      <c r="K2069" s="9" t="n">
        <v>49209</v>
      </c>
    </row>
    <row r="2070">
      <c r="A2070" s="9" t="inlineStr">
        <is>
          <t>0316~영상베리</t>
        </is>
      </c>
      <c r="B2070" s="10" t="n">
        <v>44286</v>
      </c>
      <c r="C2070" s="9" t="inlineStr">
        <is>
          <t>수</t>
        </is>
      </c>
      <c r="D2070" s="9" t="inlineStr">
        <is>
          <t>페이스북</t>
        </is>
      </c>
      <c r="E2070" s="9" t="inlineStr">
        <is>
          <t>샴푸</t>
        </is>
      </c>
      <c r="K2070" s="9" t="n">
        <v>149838</v>
      </c>
    </row>
    <row r="2071">
      <c r="A2071" s="9" t="inlineStr">
        <is>
          <t>0127_GDN_비듬샴푸_잠재고객</t>
        </is>
      </c>
      <c r="B2071" s="10" t="n">
        <v>44286</v>
      </c>
      <c r="C2071" s="9" t="inlineStr">
        <is>
          <t>수</t>
        </is>
      </c>
      <c r="D2071" s="9" t="inlineStr">
        <is>
          <t>GDN</t>
        </is>
      </c>
      <c r="E2071" s="9" t="inlineStr">
        <is>
          <t>샴푸</t>
        </is>
      </c>
      <c r="K2071" s="9" t="n">
        <v>194757</v>
      </c>
    </row>
    <row r="2072">
      <c r="A2072" s="9" t="inlineStr">
        <is>
          <t>0303_샴푸_인스트림_CPA</t>
        </is>
      </c>
      <c r="B2072" s="10" t="n">
        <v>44286</v>
      </c>
      <c r="C2072" s="9" t="inlineStr">
        <is>
          <t>수</t>
        </is>
      </c>
      <c r="D2072" s="9" t="inlineStr">
        <is>
          <t>유튜브</t>
        </is>
      </c>
      <c r="E2072" s="9" t="inlineStr">
        <is>
          <t>샴푸</t>
        </is>
      </c>
      <c r="K2072" s="9" t="n">
        <v>1048572</v>
      </c>
    </row>
    <row r="2073">
      <c r="A2073" s="9" t="inlineStr">
        <is>
          <t>0322_샴푸_GDN_이현1차</t>
        </is>
      </c>
      <c r="B2073" s="10" t="n">
        <v>44286</v>
      </c>
      <c r="C2073" s="9" t="inlineStr">
        <is>
          <t>수</t>
        </is>
      </c>
      <c r="D2073" s="9" t="inlineStr">
        <is>
          <t>GDN</t>
        </is>
      </c>
      <c r="E2073" s="9" t="inlineStr">
        <is>
          <t>샴푸</t>
        </is>
      </c>
      <c r="K2073" s="9" t="n">
        <v>181494</v>
      </c>
    </row>
    <row r="2074">
      <c r="A2074" s="9" t="inlineStr">
        <is>
          <t>0324_샴푸_VAC_CPA</t>
        </is>
      </c>
      <c r="B2074" s="10" t="n">
        <v>44286</v>
      </c>
      <c r="C2074" s="9" t="inlineStr">
        <is>
          <t>수</t>
        </is>
      </c>
      <c r="D2074" s="9" t="inlineStr">
        <is>
          <t>유튜브</t>
        </is>
      </c>
      <c r="E2074" s="9" t="inlineStr">
        <is>
          <t>샴푸</t>
        </is>
      </c>
      <c r="K2074" s="9" t="n">
        <v>1082670</v>
      </c>
    </row>
    <row r="2075">
      <c r="A2075" s="9" t="inlineStr">
        <is>
          <t>0329_샴푸_GDN_키워드</t>
        </is>
      </c>
      <c r="B2075" s="10" t="n">
        <v>44286</v>
      </c>
      <c r="C2075" s="9" t="inlineStr">
        <is>
          <t>수</t>
        </is>
      </c>
      <c r="D2075" s="9" t="inlineStr">
        <is>
          <t>GDN</t>
        </is>
      </c>
      <c r="E2075" s="9" t="inlineStr">
        <is>
          <t>샴푸</t>
        </is>
      </c>
      <c r="K2075" s="9" t="n">
        <v>40671</v>
      </c>
    </row>
    <row r="2076">
      <c r="A2076" s="9" t="inlineStr">
        <is>
          <t>0330_샴푸_cpv_200만뷰</t>
        </is>
      </c>
      <c r="B2076" s="10" t="n">
        <v>44286</v>
      </c>
      <c r="C2076" s="9" t="inlineStr">
        <is>
          <t>수</t>
        </is>
      </c>
      <c r="D2076" s="9" t="inlineStr">
        <is>
          <t>유튜브</t>
        </is>
      </c>
      <c r="E2076" s="9" t="inlineStr">
        <is>
          <t>샴푸</t>
        </is>
      </c>
      <c r="K2076" s="9" t="n">
        <v>85888</v>
      </c>
    </row>
    <row r="2077">
      <c r="A2077" s="9" t="inlineStr">
        <is>
          <t>라베나 파워링크_샴푸_광고그룹#1</t>
        </is>
      </c>
      <c r="B2077" s="10" t="n">
        <v>44286</v>
      </c>
      <c r="C2077" s="9" t="inlineStr">
        <is>
          <t>수</t>
        </is>
      </c>
      <c r="D2077" s="9" t="inlineStr">
        <is>
          <t>네이버 검색</t>
        </is>
      </c>
      <c r="E2077" s="9" t="inlineStr">
        <is>
          <t>샴푸</t>
        </is>
      </c>
      <c r="K2077" s="9" t="n">
        <v>2020</v>
      </c>
    </row>
    <row r="2078">
      <c r="A2078" s="9" t="inlineStr">
        <is>
          <t>라베나 파워링크_샴푸#1_유튜브키워드기반</t>
        </is>
      </c>
      <c r="B2078" s="10" t="n">
        <v>44286</v>
      </c>
      <c r="C2078" s="9" t="inlineStr">
        <is>
          <t>수</t>
        </is>
      </c>
      <c r="D2078" s="9" t="inlineStr">
        <is>
          <t>네이버 검색</t>
        </is>
      </c>
      <c r="E2078" s="9" t="inlineStr">
        <is>
          <t>샴푸</t>
        </is>
      </c>
      <c r="K2078" s="9" t="n">
        <v>8750</v>
      </c>
    </row>
    <row r="2079">
      <c r="A2079" s="9" t="inlineStr">
        <is>
          <t>샴푸_쇼핑검색#1_광고그룹#1</t>
        </is>
      </c>
      <c r="B2079" s="10" t="n">
        <v>44286</v>
      </c>
      <c r="C2079" s="9" t="inlineStr">
        <is>
          <t>수</t>
        </is>
      </c>
      <c r="D2079" s="9" t="inlineStr">
        <is>
          <t>네이버 검색</t>
        </is>
      </c>
      <c r="E2079" s="9" t="inlineStr">
        <is>
          <t>샴푸</t>
        </is>
      </c>
      <c r="K2079" s="9" t="n">
        <v>4180</v>
      </c>
    </row>
    <row r="2080">
      <c r="A2080" s="9" t="inlineStr">
        <is>
          <t>파워컨텐츠#1_비듬샴푸</t>
        </is>
      </c>
      <c r="B2080" s="10" t="n">
        <v>44286</v>
      </c>
      <c r="C2080" s="9" t="inlineStr">
        <is>
          <t>수</t>
        </is>
      </c>
      <c r="D2080" s="9" t="inlineStr">
        <is>
          <t>네이버 검색</t>
        </is>
      </c>
      <c r="E2080" s="9" t="inlineStr">
        <is>
          <t>샴푸</t>
        </is>
      </c>
      <c r="K2080" s="9" t="n">
        <v>0</v>
      </c>
    </row>
    <row r="2081" ht="16.5" customHeight="1" s="12">
      <c r="A2081" s="9" t="inlineStr">
        <is>
          <t>키워드테스트</t>
        </is>
      </c>
      <c r="B2081" s="10" t="n">
        <v>44286</v>
      </c>
      <c r="C2081" s="9" t="inlineStr">
        <is>
          <t>수</t>
        </is>
      </c>
      <c r="D2081" s="9" t="inlineStr">
        <is>
          <t>카카오</t>
        </is>
      </c>
      <c r="E2081" s="9" t="inlineStr">
        <is>
          <t>샴푸</t>
        </is>
      </c>
      <c r="K2081" s="9">
        <f>111386/1.1</f>
        <v/>
      </c>
    </row>
    <row r="2082" ht="16.5" customHeight="1" s="12">
      <c r="A2082" s="9" t="inlineStr">
        <is>
          <t>3월 월간 라베나</t>
        </is>
      </c>
      <c r="B2082" s="10" t="n">
        <v>44286</v>
      </c>
      <c r="C2082" s="9" t="inlineStr">
        <is>
          <t>수</t>
        </is>
      </c>
      <c r="D2082" s="9" t="inlineStr">
        <is>
          <t>카카오 플친</t>
        </is>
      </c>
      <c r="E2082" s="9" t="inlineStr">
        <is>
          <t>샴푸</t>
        </is>
      </c>
      <c r="K2082" s="9">
        <f>215572/1.1</f>
        <v/>
      </c>
    </row>
    <row r="2083">
      <c r="B2083" s="10" t="n">
        <v>44286</v>
      </c>
      <c r="C2083" s="9" t="inlineStr">
        <is>
          <t>수</t>
        </is>
      </c>
      <c r="E2083" s="9" t="inlineStr">
        <is>
          <t>샴푸</t>
        </is>
      </c>
      <c r="F2083" s="9" t="inlineStr">
        <is>
          <t>카페24</t>
        </is>
      </c>
      <c r="G2083" s="9" t="inlineStr">
        <is>
          <t>데미지 리:커버리 더블 세트_set1 (샴푸2+뉴트리셔스 밤1)</t>
        </is>
      </c>
      <c r="H2083" s="9" t="n">
        <v>24</v>
      </c>
      <c r="I2083" s="9" t="inlineStr">
        <is>
          <t>리바이탈 샴푸2+뉴트리셔스 밤1</t>
        </is>
      </c>
      <c r="J2083" s="9" t="inlineStr">
        <is>
          <t>210201</t>
        </is>
      </c>
      <c r="L2083" s="9">
        <f>61568*24</f>
        <v/>
      </c>
      <c r="M2083" s="9">
        <f>1477632-(1477632/5.85)</f>
        <v/>
      </c>
      <c r="N2083" s="9">
        <f>7310*24</f>
        <v/>
      </c>
      <c r="O2083" s="9" t="inlineStr">
        <is>
          <t>카페24샴푸데미지 리:커버리 더블 세트_set1 (샴푸2+뉴트리셔스 밤1)210201</t>
        </is>
      </c>
    </row>
    <row r="2084" ht="16.5" customHeight="1" s="12">
      <c r="B2084" s="10" t="n">
        <v>44286</v>
      </c>
      <c r="C2084" s="9" t="inlineStr">
        <is>
          <t>수</t>
        </is>
      </c>
      <c r="E2084" s="9" t="inlineStr">
        <is>
          <t>샴푸</t>
        </is>
      </c>
      <c r="F2084" s="9" t="inlineStr">
        <is>
          <t>카페24</t>
        </is>
      </c>
      <c r="G2084" s="9" t="inlineStr">
        <is>
          <t>데미지 리:커버리 더블 세트_set2 (샴푸2+헤어팩 트리트먼트1)</t>
        </is>
      </c>
      <c r="H2084" s="9" t="n">
        <v>24</v>
      </c>
      <c r="I2084" s="9" t="inlineStr">
        <is>
          <t>리바이탈 샴푸2+트리트먼트1</t>
        </is>
      </c>
      <c r="J2084" s="9" t="inlineStr">
        <is>
          <t>210201</t>
        </is>
      </c>
      <c r="L2084" s="9">
        <f>62459*24</f>
        <v/>
      </c>
      <c r="M2084" s="9">
        <f>1499016-(1499016/5.85)</f>
        <v/>
      </c>
      <c r="N2084" s="9">
        <f>7327*24</f>
        <v/>
      </c>
      <c r="O2084" s="9" t="inlineStr">
        <is>
          <t>카페24샴푸데미지 리:커버리 더블 세트_set2 (샴푸2+헤어팩 트리트먼트1)210201</t>
        </is>
      </c>
    </row>
    <row r="2085">
      <c r="B2085" s="10" t="n">
        <v>44286</v>
      </c>
      <c r="C2085" s="9" t="inlineStr">
        <is>
          <t>수</t>
        </is>
      </c>
      <c r="E2085" s="9" t="inlineStr">
        <is>
          <t>샴푸</t>
        </is>
      </c>
      <c r="F2085" s="9" t="inlineStr">
        <is>
          <t>카페24</t>
        </is>
      </c>
      <c r="G2085" s="9" t="inlineStr">
        <is>
          <t>라베나 리커버리 15 리바이탈 바이오플라보노이드샴푸 [HAIR RÉ:COVERY 15 Revital Shampoo:]제품선택=헤어 리커버리 15 리바이탈 샴푸 - 500ml</t>
        </is>
      </c>
      <c r="H2085" s="9" t="n">
        <v>1</v>
      </c>
      <c r="I2085" s="9" t="inlineStr">
        <is>
          <t>리바이탈 샴푸</t>
        </is>
      </c>
      <c r="J2085" s="9" t="inlineStr">
        <is>
          <t>210201</t>
        </is>
      </c>
      <c r="L2085" s="9" t="n">
        <v>26900</v>
      </c>
      <c r="M2085" s="9">
        <f>26900-(26900/5.85)</f>
        <v/>
      </c>
      <c r="N2085" s="9" t="n">
        <v>2865</v>
      </c>
      <c r="O2085" s="9" t="inlineStr">
        <is>
          <t>카페24샴푸라베나 리커버리 15 리바이탈 바이오플라보노이드샴푸 [HAIR RÉ:COVERY 15 Revital Shampoo:]제품선택=헤어 리커버리 15 리바이탈 샴푸 - 500ml210201</t>
        </is>
      </c>
    </row>
    <row r="2086">
      <c r="B2086" s="10" t="n">
        <v>44286</v>
      </c>
      <c r="C2086" s="9" t="inlineStr">
        <is>
          <t>수</t>
        </is>
      </c>
      <c r="E2086" s="9" t="inlineStr">
        <is>
          <t>샴푸</t>
        </is>
      </c>
      <c r="F2086" s="9" t="inlineStr">
        <is>
          <t>카페24</t>
        </is>
      </c>
      <c r="G2086" s="9" t="inlineStr">
        <is>
          <t>라베나 리커버리 15 리바이탈 바이오플라보노이드샴푸 [HAIR RÉ:COVERY 15 Revital Shampoo]제품선택=헤어 리커버리 15 리바이탈 샴푸 - 500ml</t>
        </is>
      </c>
      <c r="H2086" s="9" t="n">
        <v>104</v>
      </c>
      <c r="I2086" s="9" t="inlineStr">
        <is>
          <t>리바이탈 샴푸</t>
        </is>
      </c>
      <c r="J2086" s="9" t="inlineStr">
        <is>
          <t>210201</t>
        </is>
      </c>
      <c r="L2086" s="9" t="n">
        <v>2797600</v>
      </c>
      <c r="M2086" s="9" t="n">
        <v>2633940.4</v>
      </c>
      <c r="N2086" s="9" t="n">
        <v>297960</v>
      </c>
      <c r="O2086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087">
      <c r="B2087" s="10" t="n">
        <v>44286</v>
      </c>
      <c r="C2087" s="9" t="inlineStr">
        <is>
          <t>수</t>
        </is>
      </c>
      <c r="E2087" s="9" t="inlineStr">
        <is>
          <t>샴푸</t>
        </is>
      </c>
      <c r="F2087" s="9" t="inlineStr">
        <is>
          <t>카페24</t>
        </is>
      </c>
      <c r="G2087" s="9" t="inlineStr">
        <is>
          <t>라베나 리커버리 15 리바이탈 바이오플라보노이드샴푸 [HAIR RÉ:COVERY 15 Revital Shampoo]제품선택=리바이탈 샴푸 2개 세트 5%추가할인</t>
        </is>
      </c>
      <c r="H2087" s="9" t="n">
        <v>34</v>
      </c>
      <c r="I2087" s="9" t="inlineStr">
        <is>
          <t>리바이탈 샴푸 2set</t>
        </is>
      </c>
      <c r="J2087" s="9" t="inlineStr">
        <is>
          <t>210201</t>
        </is>
      </c>
      <c r="L2087" s="9" t="n">
        <v>1737740</v>
      </c>
      <c r="M2087" s="9" t="n">
        <v>1636082.21</v>
      </c>
      <c r="N2087" s="9" t="n">
        <v>194820</v>
      </c>
      <c r="O2087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088">
      <c r="B2088" s="10" t="n">
        <v>44286</v>
      </c>
      <c r="C2088" s="9" t="inlineStr">
        <is>
          <t>수</t>
        </is>
      </c>
      <c r="E2088" s="9" t="inlineStr">
        <is>
          <t>샴푸</t>
        </is>
      </c>
      <c r="F2088" s="9" t="inlineStr">
        <is>
          <t>카페24</t>
        </is>
      </c>
      <c r="G2088" s="9" t="inlineStr">
        <is>
          <t>라베나 리커버리 15 리바이탈 바이오플라보노이드샴푸 [HAIR RÉ:COVERY 15 Revital Shampoo]제품선택=리바이탈 샴푸 3개 세트 10% 추가할인</t>
        </is>
      </c>
      <c r="H2088" s="9" t="n">
        <v>13</v>
      </c>
      <c r="I2088" s="9" t="inlineStr">
        <is>
          <t>리바이탈 샴푸 3set</t>
        </is>
      </c>
      <c r="J2088" s="9" t="inlineStr">
        <is>
          <t>210201</t>
        </is>
      </c>
      <c r="L2088" s="9" t="n">
        <v>944190</v>
      </c>
      <c r="M2088" s="9" t="n">
        <v>888954.885</v>
      </c>
      <c r="N2088" s="9" t="n">
        <v>111735</v>
      </c>
      <c r="O2088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089">
      <c r="B2089" s="10" t="n">
        <v>44286</v>
      </c>
      <c r="C2089" s="9" t="inlineStr">
        <is>
          <t>수</t>
        </is>
      </c>
      <c r="E2089" s="9" t="inlineStr">
        <is>
          <t>트리트먼트</t>
        </is>
      </c>
      <c r="F2089" s="9" t="inlineStr">
        <is>
          <t>카페24</t>
        </is>
      </c>
      <c r="G2089" s="9" t="inlineStr">
        <is>
          <t>라베나 리커버리 15 헤어팩 트리트먼트 [HAIR RÉ:COVERY 15 Hairpack Treatment]제품선택=헤어 리커버리 15 헤어팩 트리트먼트</t>
        </is>
      </c>
      <c r="H2089" s="9" t="n">
        <v>1</v>
      </c>
      <c r="I2089" s="9" t="inlineStr">
        <is>
          <t>트리트먼트</t>
        </is>
      </c>
      <c r="J2089" s="9" t="inlineStr">
        <is>
          <t>210201</t>
        </is>
      </c>
      <c r="L2089" s="9" t="n">
        <v>26000</v>
      </c>
      <c r="M2089" s="9" t="n">
        <v>24479</v>
      </c>
      <c r="N2089" s="9" t="n">
        <v>1597</v>
      </c>
      <c r="O2089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090">
      <c r="B2090" s="10" t="n">
        <v>44286</v>
      </c>
      <c r="C2090" s="9" t="inlineStr">
        <is>
          <t>수</t>
        </is>
      </c>
      <c r="E2090" s="9" t="inlineStr">
        <is>
          <t>트리트먼트</t>
        </is>
      </c>
      <c r="F2090" s="9" t="inlineStr">
        <is>
          <t>카페24</t>
        </is>
      </c>
      <c r="G2090" s="9" t="inlineStr">
        <is>
          <t>라베나 리커버리 15 헤어팩 트리트먼트 [HAIR RÉ:COVERY 15 Hairpack Treatment]제품선택=헤어팩 트리트먼트 2개 세트 5% 추가할인</t>
        </is>
      </c>
      <c r="H2090" s="9" t="n">
        <v>3</v>
      </c>
      <c r="I2090" s="9" t="inlineStr">
        <is>
          <t>트리트먼트 2set</t>
        </is>
      </c>
      <c r="J2090" s="9" t="inlineStr">
        <is>
          <t>210201</t>
        </is>
      </c>
      <c r="L2090" s="9" t="n">
        <v>148200</v>
      </c>
      <c r="M2090" s="9" t="n">
        <v>139530.3</v>
      </c>
      <c r="N2090" s="9" t="n">
        <v>9582</v>
      </c>
      <c r="O2090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091">
      <c r="B2091" s="10" t="n">
        <v>44286</v>
      </c>
      <c r="C2091" s="9" t="inlineStr">
        <is>
          <t>수</t>
        </is>
      </c>
      <c r="E2091" s="9" t="inlineStr">
        <is>
          <t>샴푸</t>
        </is>
      </c>
      <c r="F2091" s="9" t="inlineStr">
        <is>
          <t>카페24</t>
        </is>
      </c>
      <c r="G2091" s="9" t="inlineStr">
        <is>
          <t>온가족 토탈 리커버리 세트(샴푸3+헤어팩 트리트먼트1+뉴트리셔스 밤1)</t>
        </is>
      </c>
      <c r="H2091" s="9" t="n">
        <v>14</v>
      </c>
      <c r="I2091" s="9" t="inlineStr">
        <is>
          <t>리바이탈 샴푸3+트리트먼트1+뉴트리셔스 밤1</t>
        </is>
      </c>
      <c r="J2091" s="9" t="inlineStr">
        <is>
          <t>210201</t>
        </is>
      </c>
      <c r="L2091" s="9">
        <f>97788*14</f>
        <v/>
      </c>
      <c r="M2091" s="9">
        <f>1369032-(1369032/5.85)</f>
        <v/>
      </c>
      <c r="N2091" s="9">
        <f>11772*14</f>
        <v/>
      </c>
      <c r="O2091" s="9" t="inlineStr">
        <is>
          <t>카페24샴푸온가족 토탈 리커버리 세트(샴푸3+헤어팩 트리트먼트1+뉴트리셔스 밤1)210201</t>
        </is>
      </c>
    </row>
    <row r="2092">
      <c r="B2092" s="10" t="n">
        <v>44286</v>
      </c>
      <c r="C2092" s="9" t="inlineStr">
        <is>
          <t>수</t>
        </is>
      </c>
      <c r="E2092" s="9" t="inlineStr">
        <is>
          <t>샴푸</t>
        </is>
      </c>
      <c r="F2092" s="9" t="inlineStr">
        <is>
          <t>카페24</t>
        </is>
      </c>
      <c r="G2092" s="9" t="inlineStr">
        <is>
          <t>헤어 리:커버리 시그니처 세트(샴푸1+헤어팩 트리트먼트1+ 뉴트리셔스 밤1)</t>
        </is>
      </c>
      <c r="H2092" s="9" t="n">
        <v>13</v>
      </c>
      <c r="I2092" s="9" t="inlineStr">
        <is>
          <t>리바이탈 샴푸+트리트먼트+뉴트리셔스 밤</t>
        </is>
      </c>
      <c r="J2092" s="9" t="inlineStr">
        <is>
          <t>210201</t>
        </is>
      </c>
      <c r="L2092" s="9">
        <f>57946*13</f>
        <v/>
      </c>
      <c r="M2092" s="9">
        <f>753298-(753298/5.85)</f>
        <v/>
      </c>
      <c r="N2092" s="9">
        <f>(1597+1580+2865)*13</f>
        <v/>
      </c>
      <c r="O2092" s="9" t="inlineStr">
        <is>
          <t>카페24샴푸헤어 리:커버리 시그니처 세트(샴푸1+헤어팩 트리트먼트1+ 뉴트리셔스 밤1)210201</t>
        </is>
      </c>
    </row>
    <row r="2093">
      <c r="A2093" s="9" t="inlineStr">
        <is>
          <t>0331_샴푸_카드뉴스_효율테스트_참여단기간유지</t>
        </is>
      </c>
      <c r="B2093" s="10" t="n">
        <v>44287</v>
      </c>
      <c r="C2093" s="9" t="inlineStr">
        <is>
          <t>목</t>
        </is>
      </c>
      <c r="D2093" s="9" t="inlineStr">
        <is>
          <t>페이스북</t>
        </is>
      </c>
      <c r="E2093" s="9" t="inlineStr">
        <is>
          <t>샴푸</t>
        </is>
      </c>
      <c r="K2093" s="9" t="n">
        <v>15601</v>
      </c>
    </row>
    <row r="2094">
      <c r="A2094" s="9" t="inlineStr">
        <is>
          <t>0331_샴푸_카드뉴스_효율테스트_전환</t>
        </is>
      </c>
      <c r="B2094" s="10" t="n">
        <v>44287</v>
      </c>
      <c r="C2094" s="9" t="inlineStr">
        <is>
          <t>목</t>
        </is>
      </c>
      <c r="D2094" s="9" t="inlineStr">
        <is>
          <t>페이스북</t>
        </is>
      </c>
      <c r="E2094" s="9" t="inlineStr">
        <is>
          <t>샴푸</t>
        </is>
      </c>
      <c r="K2094" s="9" t="n">
        <v>35689</v>
      </c>
    </row>
    <row r="2095">
      <c r="A2095" s="9" t="inlineStr">
        <is>
          <t>0331_샴푸_카드뉴스_효율테스트</t>
        </is>
      </c>
      <c r="B2095" s="10" t="n">
        <v>44287</v>
      </c>
      <c r="C2095" s="9" t="inlineStr">
        <is>
          <t>목</t>
        </is>
      </c>
      <c r="D2095" s="9" t="inlineStr">
        <is>
          <t>페이스북</t>
        </is>
      </c>
      <c r="E2095" s="9" t="inlineStr">
        <is>
          <t>샴푸</t>
        </is>
      </c>
      <c r="K2095" s="9" t="n">
        <v>183558</v>
      </c>
    </row>
    <row r="2096">
      <c r="A2096" s="9" t="inlineStr">
        <is>
          <t>0318~영상기반 단장</t>
        </is>
      </c>
      <c r="B2096" s="10" t="n">
        <v>44287</v>
      </c>
      <c r="C2096" s="9" t="inlineStr">
        <is>
          <t>목</t>
        </is>
      </c>
      <c r="D2096" s="9" t="inlineStr">
        <is>
          <t>페이스북</t>
        </is>
      </c>
      <c r="E2096" s="9" t="inlineStr">
        <is>
          <t>샴푸</t>
        </is>
      </c>
      <c r="K2096" s="9" t="n">
        <v>94559</v>
      </c>
    </row>
    <row r="2097">
      <c r="A2097" s="9" t="inlineStr">
        <is>
          <t>0317~영상배너_short</t>
        </is>
      </c>
      <c r="B2097" s="10" t="n">
        <v>44287</v>
      </c>
      <c r="C2097" s="9" t="inlineStr">
        <is>
          <t>목</t>
        </is>
      </c>
      <c r="D2097" s="9" t="inlineStr">
        <is>
          <t>페이스북</t>
        </is>
      </c>
      <c r="E2097" s="9" t="inlineStr">
        <is>
          <t>샴푸</t>
        </is>
      </c>
      <c r="K2097" s="9" t="n">
        <v>15732</v>
      </c>
    </row>
    <row r="2098">
      <c r="A2098" s="9" t="inlineStr">
        <is>
          <t>0316~영상베리</t>
        </is>
      </c>
      <c r="B2098" s="10" t="n">
        <v>44287</v>
      </c>
      <c r="C2098" s="9" t="inlineStr">
        <is>
          <t>목</t>
        </is>
      </c>
      <c r="D2098" s="9" t="inlineStr">
        <is>
          <t>페이스북</t>
        </is>
      </c>
      <c r="E2098" s="9" t="inlineStr">
        <is>
          <t>샴푸</t>
        </is>
      </c>
      <c r="K2098" s="9" t="n">
        <v>95805</v>
      </c>
    </row>
    <row r="2099">
      <c r="A2099" s="9" t="inlineStr">
        <is>
          <t>0127_GDN_비듬샴푸_잠재고객</t>
        </is>
      </c>
      <c r="B2099" s="10" t="n">
        <v>44287</v>
      </c>
      <c r="C2099" s="9" t="inlineStr">
        <is>
          <t>목</t>
        </is>
      </c>
      <c r="D2099" s="9" t="inlineStr">
        <is>
          <t>GDN</t>
        </is>
      </c>
      <c r="E2099" s="9" t="inlineStr">
        <is>
          <t>샴푸</t>
        </is>
      </c>
      <c r="K2099" s="9" t="n">
        <v>169183</v>
      </c>
    </row>
    <row r="2100">
      <c r="A2100" s="9" t="inlineStr">
        <is>
          <t>0303_샴푸_인스트림_CPA</t>
        </is>
      </c>
      <c r="B2100" s="10" t="n">
        <v>44287</v>
      </c>
      <c r="C2100" s="9" t="inlineStr">
        <is>
          <t>목</t>
        </is>
      </c>
      <c r="D2100" s="9" t="inlineStr">
        <is>
          <t>유튜브</t>
        </is>
      </c>
      <c r="E2100" s="9" t="inlineStr">
        <is>
          <t>샴푸</t>
        </is>
      </c>
      <c r="K2100" s="9" t="n">
        <v>1519809</v>
      </c>
    </row>
    <row r="2101">
      <c r="A2101" s="9" t="inlineStr">
        <is>
          <t>0322_샴푸_GDN_이현1차</t>
        </is>
      </c>
      <c r="B2101" s="10" t="n">
        <v>44287</v>
      </c>
      <c r="C2101" s="9" t="inlineStr">
        <is>
          <t>목</t>
        </is>
      </c>
      <c r="D2101" s="9" t="inlineStr">
        <is>
          <t>GDN</t>
        </is>
      </c>
      <c r="E2101" s="9" t="inlineStr">
        <is>
          <t>샴푸</t>
        </is>
      </c>
      <c r="K2101" s="9" t="n">
        <v>153788</v>
      </c>
    </row>
    <row r="2102">
      <c r="A2102" s="9" t="inlineStr">
        <is>
          <t>0324_샴푸_SDC_CPA</t>
        </is>
      </c>
      <c r="B2102" s="10" t="n">
        <v>44287</v>
      </c>
      <c r="C2102" s="9" t="inlineStr">
        <is>
          <t>목</t>
        </is>
      </c>
      <c r="D2102" s="9" t="inlineStr">
        <is>
          <t>유튜브</t>
        </is>
      </c>
      <c r="E2102" s="9" t="inlineStr">
        <is>
          <t>샴푸</t>
        </is>
      </c>
      <c r="K2102" s="9" t="n">
        <v>19000</v>
      </c>
    </row>
    <row r="2103">
      <c r="A2103" s="9" t="inlineStr">
        <is>
          <t>0324_샴푸_VAC_CPA</t>
        </is>
      </c>
      <c r="B2103" s="10" t="n">
        <v>44287</v>
      </c>
      <c r="C2103" s="9" t="inlineStr">
        <is>
          <t>목</t>
        </is>
      </c>
      <c r="D2103" s="9" t="inlineStr">
        <is>
          <t>유튜브</t>
        </is>
      </c>
      <c r="E2103" s="9" t="inlineStr">
        <is>
          <t>샴푸</t>
        </is>
      </c>
      <c r="K2103" s="9" t="n">
        <v>1443360</v>
      </c>
    </row>
    <row r="2104">
      <c r="A2104" s="9" t="inlineStr">
        <is>
          <t>0329_샴푸_GDN_키워드</t>
        </is>
      </c>
      <c r="B2104" s="10" t="n">
        <v>44287</v>
      </c>
      <c r="C2104" s="9" t="inlineStr">
        <is>
          <t>목</t>
        </is>
      </c>
      <c r="D2104" s="9" t="inlineStr">
        <is>
          <t>GDN</t>
        </is>
      </c>
      <c r="E2104" s="9" t="inlineStr">
        <is>
          <t>샴푸</t>
        </is>
      </c>
      <c r="K2104" s="9" t="n">
        <v>43794</v>
      </c>
    </row>
    <row r="2105">
      <c r="A2105" s="9" t="inlineStr">
        <is>
          <t>0330_샴푸_cpv_200만뷰</t>
        </is>
      </c>
      <c r="B2105" s="10" t="n">
        <v>44287</v>
      </c>
      <c r="C2105" s="9" t="inlineStr">
        <is>
          <t>목</t>
        </is>
      </c>
      <c r="D2105" s="9" t="inlineStr">
        <is>
          <t>유튜브</t>
        </is>
      </c>
      <c r="E2105" s="9" t="inlineStr">
        <is>
          <t>샴푸</t>
        </is>
      </c>
      <c r="K2105" s="9" t="n">
        <v>3435</v>
      </c>
    </row>
    <row r="2106">
      <c r="A2106" s="9" t="inlineStr">
        <is>
          <t>라베나 파워링크_샴푸_광고그룹#1</t>
        </is>
      </c>
      <c r="B2106" s="10" t="n">
        <v>44287</v>
      </c>
      <c r="C2106" s="9" t="inlineStr">
        <is>
          <t>목</t>
        </is>
      </c>
      <c r="D2106" s="9" t="inlineStr">
        <is>
          <t>네이버 검색</t>
        </is>
      </c>
      <c r="E2106" s="9" t="inlineStr">
        <is>
          <t>샴푸</t>
        </is>
      </c>
      <c r="K2106" s="9" t="n">
        <v>1880</v>
      </c>
    </row>
    <row r="2107">
      <c r="A2107" s="9" t="inlineStr">
        <is>
          <t>라베나 파워링크_샴푸#1_유튜브키워드기반</t>
        </is>
      </c>
      <c r="B2107" s="10" t="n">
        <v>44287</v>
      </c>
      <c r="C2107" s="9" t="inlineStr">
        <is>
          <t>목</t>
        </is>
      </c>
      <c r="D2107" s="9" t="inlineStr">
        <is>
          <t>네이버 검색</t>
        </is>
      </c>
      <c r="E2107" s="9" t="inlineStr">
        <is>
          <t>샴푸</t>
        </is>
      </c>
      <c r="K2107" s="9" t="n">
        <v>6179.999999999999</v>
      </c>
    </row>
    <row r="2108">
      <c r="A2108" s="9" t="inlineStr">
        <is>
          <t>샴푸_쇼핑검색#1_광고그룹#1</t>
        </is>
      </c>
      <c r="B2108" s="10" t="n">
        <v>44287</v>
      </c>
      <c r="C2108" s="9" t="inlineStr">
        <is>
          <t>목</t>
        </is>
      </c>
      <c r="D2108" s="9" t="inlineStr">
        <is>
          <t>네이버 검색</t>
        </is>
      </c>
      <c r="E2108" s="9" t="inlineStr">
        <is>
          <t>샴푸</t>
        </is>
      </c>
      <c r="K2108" s="9" t="n">
        <v>1610</v>
      </c>
    </row>
    <row r="2109">
      <c r="A2109" s="9" t="inlineStr">
        <is>
          <t>파워컨텐츠#1_비듬샴푸</t>
        </is>
      </c>
      <c r="B2109" s="10" t="n">
        <v>44287</v>
      </c>
      <c r="C2109" s="9" t="inlineStr">
        <is>
          <t>목</t>
        </is>
      </c>
      <c r="D2109" s="9" t="inlineStr">
        <is>
          <t>네이버 검색</t>
        </is>
      </c>
      <c r="E2109" s="9" t="inlineStr">
        <is>
          <t>샴푸</t>
        </is>
      </c>
      <c r="K2109" s="9" t="n">
        <v>0</v>
      </c>
    </row>
    <row r="2110" ht="16.5" customHeight="1" s="12">
      <c r="A2110" s="9" t="inlineStr">
        <is>
          <t>키워드테스트</t>
        </is>
      </c>
      <c r="B2110" s="10" t="n">
        <v>44287</v>
      </c>
      <c r="C2110" s="9" t="inlineStr">
        <is>
          <t>목</t>
        </is>
      </c>
      <c r="D2110" s="9" t="inlineStr">
        <is>
          <t>카카오</t>
        </is>
      </c>
      <c r="E2110" s="9" t="inlineStr">
        <is>
          <t>샴푸</t>
        </is>
      </c>
      <c r="K2110" s="9">
        <f>181269/1.1</f>
        <v/>
      </c>
    </row>
    <row r="2111">
      <c r="B2111" s="10" t="n">
        <v>44287</v>
      </c>
      <c r="C2111" s="9" t="inlineStr">
        <is>
          <t>목</t>
        </is>
      </c>
      <c r="E2111" s="9" t="inlineStr">
        <is>
          <t>샴푸</t>
        </is>
      </c>
      <c r="F2111" s="9" t="inlineStr">
        <is>
          <t>카페24</t>
        </is>
      </c>
      <c r="G2111" s="9" t="inlineStr">
        <is>
          <t>데미지 리:커버리 더블 세트_set1 (샴푸2+뉴트리셔스 밤1)</t>
        </is>
      </c>
      <c r="H2111" s="9" t="n">
        <v>1</v>
      </c>
      <c r="I2111" s="9" t="inlineStr">
        <is>
          <t>리바이탈 샴푸2+뉴트리셔스 밤1</t>
        </is>
      </c>
      <c r="J2111" s="9" t="inlineStr">
        <is>
          <t>210201</t>
        </is>
      </c>
      <c r="L2111" s="9" t="n">
        <v>61568</v>
      </c>
      <c r="M2111" s="9">
        <f>61568-(61568/5.85)</f>
        <v/>
      </c>
      <c r="N2111" s="9">
        <f>7310</f>
        <v/>
      </c>
      <c r="O2111" s="9" t="inlineStr">
        <is>
          <t>카페240데미지 리:커버리 더블 세트_set1 (샴푸2+뉴트리셔스 밤1)210201</t>
        </is>
      </c>
    </row>
    <row r="2112">
      <c r="B2112" s="10" t="n">
        <v>44287</v>
      </c>
      <c r="C2112" s="9" t="inlineStr">
        <is>
          <t>목</t>
        </is>
      </c>
      <c r="E2112" s="9" t="inlineStr">
        <is>
          <t>뉴트리셔스밤</t>
        </is>
      </c>
      <c r="F2112" s="9" t="inlineStr">
        <is>
          <t>카페24</t>
        </is>
      </c>
      <c r="G2112" s="9" t="inlineStr">
        <is>
          <t>라베나 리커버리 15 뉴트리셔스 밤 [HAIR RÉ:COVERY 15 Nutritious Balm]제품선택=헤어 리커버리 15 뉴트리셔스 밤</t>
        </is>
      </c>
      <c r="H2112" s="9" t="n">
        <v>5</v>
      </c>
      <c r="I2112" s="9" t="inlineStr">
        <is>
          <t>뉴트리셔스밤</t>
        </is>
      </c>
      <c r="J2112" s="9" t="inlineStr">
        <is>
          <t>210201</t>
        </is>
      </c>
      <c r="L2112" s="9" t="n">
        <v>124500</v>
      </c>
      <c r="M2112" s="9" t="n">
        <v>117216.75</v>
      </c>
      <c r="N2112" s="9" t="n">
        <v>7900</v>
      </c>
      <c r="O2112" s="9" t="inlineStr">
        <is>
          <t>카페24뉴트리셔스밤라베나 리커버리 15 뉴트리셔스 밤 [HAIR RÉ:COVERY 15 Nutritious Balm]제품선택=헤어 리커버리 15 뉴트리셔스 밤210201</t>
        </is>
      </c>
    </row>
    <row r="2113">
      <c r="B2113" s="10" t="n">
        <v>44287</v>
      </c>
      <c r="C2113" s="9" t="inlineStr">
        <is>
          <t>목</t>
        </is>
      </c>
      <c r="E2113" s="9" t="inlineStr">
        <is>
          <t>뉴트리셔스밤</t>
        </is>
      </c>
      <c r="F2113" s="9" t="inlineStr">
        <is>
          <t>카페24</t>
        </is>
      </c>
      <c r="G2113" s="9" t="inlineStr">
        <is>
          <t>라베나 리커버리 15 뉴트리셔스 밤 [HAIR RÉ:COVERY 15 Nutritious Balm]제품선택=뉴트리셔스밤 1개 + 헤어팩 트리트먼트 1개 세트 5%추가할인</t>
        </is>
      </c>
      <c r="H2113" s="9" t="n">
        <v>1</v>
      </c>
      <c r="I2113" s="9" t="inlineStr">
        <is>
          <t>트리트먼트+뉴트리셔스밤</t>
        </is>
      </c>
      <c r="J2113" s="9" t="inlineStr">
        <is>
          <t>210201</t>
        </is>
      </c>
      <c r="L2113" s="9" t="n">
        <v>48355</v>
      </c>
      <c r="M2113" s="9" t="n">
        <v>45526.2325</v>
      </c>
      <c r="N2113" s="9" t="n">
        <v>3177</v>
      </c>
      <c r="O2113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114">
      <c r="B2114" s="10" t="n">
        <v>44287</v>
      </c>
      <c r="C2114" s="9" t="inlineStr">
        <is>
          <t>목</t>
        </is>
      </c>
      <c r="E2114" s="9" t="inlineStr">
        <is>
          <t>샴푸</t>
        </is>
      </c>
      <c r="F2114" s="9" t="inlineStr">
        <is>
          <t>카페24</t>
        </is>
      </c>
      <c r="G2114" s="9" t="inlineStr">
        <is>
          <t>라베나 리커버리 15 리바이탈 바이오플라보노이드샴푸 [HAIR RÉ:COVERY 15 Revital Shampoo]제품선택=헤어 리커버리 15 리바이탈 샴푸 - 500ml</t>
        </is>
      </c>
      <c r="H2114" s="9" t="n">
        <v>126</v>
      </c>
      <c r="I2114" s="9" t="inlineStr">
        <is>
          <t>리바이탈 샴푸</t>
        </is>
      </c>
      <c r="J2114" s="9" t="inlineStr">
        <is>
          <t>210201</t>
        </is>
      </c>
      <c r="L2114" s="9" t="n">
        <v>3389400</v>
      </c>
      <c r="M2114" s="9" t="n">
        <v>3191120.1</v>
      </c>
      <c r="N2114" s="9" t="n">
        <v>360990</v>
      </c>
      <c r="O211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115">
      <c r="B2115" s="10" t="n">
        <v>44287</v>
      </c>
      <c r="C2115" s="9" t="inlineStr">
        <is>
          <t>목</t>
        </is>
      </c>
      <c r="E2115" s="9" t="inlineStr">
        <is>
          <t>샴푸</t>
        </is>
      </c>
      <c r="F2115" s="9" t="inlineStr">
        <is>
          <t>카페24</t>
        </is>
      </c>
      <c r="G2115" s="9" t="inlineStr">
        <is>
          <t>라베나 리커버리 15 리바이탈 바이오플라보노이드샴푸 [HAIR RÉ:COVERY 15 Revital Shampoo]제품선택=리바이탈 샴푸 2개 세트 5%추가할인</t>
        </is>
      </c>
      <c r="H2115" s="9" t="n">
        <v>40</v>
      </c>
      <c r="I2115" s="9" t="inlineStr">
        <is>
          <t>리바이탈 샴푸 2set</t>
        </is>
      </c>
      <c r="J2115" s="9" t="inlineStr">
        <is>
          <t>210201</t>
        </is>
      </c>
      <c r="L2115" s="9" t="n">
        <v>2044400</v>
      </c>
      <c r="M2115" s="9" t="n">
        <v>1924802.6</v>
      </c>
      <c r="N2115" s="9" t="n">
        <v>229200</v>
      </c>
      <c r="O211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116">
      <c r="B2116" s="10" t="n">
        <v>44287</v>
      </c>
      <c r="C2116" s="9" t="inlineStr">
        <is>
          <t>목</t>
        </is>
      </c>
      <c r="E2116" s="9" t="inlineStr">
        <is>
          <t>샴푸</t>
        </is>
      </c>
      <c r="F2116" s="9" t="inlineStr">
        <is>
          <t>카페24</t>
        </is>
      </c>
      <c r="G2116" s="9" t="inlineStr">
        <is>
          <t>라베나 리커버리 15 리바이탈 바이오플라보노이드샴푸 [HAIR RÉ:COVERY 15 Revital Shampoo]제품선택=리바이탈 샴푸 3개 세트 10% 추가할인</t>
        </is>
      </c>
      <c r="H2116" s="9" t="n">
        <v>39</v>
      </c>
      <c r="I2116" s="9" t="inlineStr">
        <is>
          <t>리바이탈 샴푸 3set</t>
        </is>
      </c>
      <c r="J2116" s="9" t="inlineStr">
        <is>
          <t>210201</t>
        </is>
      </c>
      <c r="L2116" s="9" t="n">
        <v>2832570</v>
      </c>
      <c r="M2116" s="9" t="n">
        <v>2666864.655</v>
      </c>
      <c r="N2116" s="9" t="n">
        <v>335205</v>
      </c>
      <c r="O211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117">
      <c r="B2117" s="10" t="n">
        <v>44287</v>
      </c>
      <c r="C2117" s="9" t="inlineStr">
        <is>
          <t>목</t>
        </is>
      </c>
      <c r="E2117" s="9" t="inlineStr">
        <is>
          <t>트리트먼트</t>
        </is>
      </c>
      <c r="F2117" s="9" t="inlineStr">
        <is>
          <t>카페24</t>
        </is>
      </c>
      <c r="G2117" s="9" t="inlineStr">
        <is>
          <t>라베나 리커버리 15 헤어팩 트리트먼트 [HAIR RÉ:COVERY 15 Hairpack Treatment]제품선택=헤어 리커버리 15 헤어팩 트리트먼트</t>
        </is>
      </c>
      <c r="H2117" s="9" t="n">
        <v>5</v>
      </c>
      <c r="I2117" s="9" t="inlineStr">
        <is>
          <t>트리트먼트</t>
        </is>
      </c>
      <c r="J2117" s="9" t="inlineStr">
        <is>
          <t>210201</t>
        </is>
      </c>
      <c r="L2117" s="9" t="n">
        <v>130000</v>
      </c>
      <c r="M2117" s="9" t="n">
        <v>122395</v>
      </c>
      <c r="N2117" s="9" t="n">
        <v>7985</v>
      </c>
      <c r="O211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118">
      <c r="B2118" s="10" t="n">
        <v>44287</v>
      </c>
      <c r="C2118" s="9" t="inlineStr">
        <is>
          <t>목</t>
        </is>
      </c>
      <c r="E2118" s="9" t="inlineStr">
        <is>
          <t>트리트먼트</t>
        </is>
      </c>
      <c r="F2118" s="9" t="inlineStr">
        <is>
          <t>카페24</t>
        </is>
      </c>
      <c r="G2118" s="9" t="inlineStr">
        <is>
          <t>라베나 리커버리 15 헤어팩 트리트먼트 [HAIR RÉ:COVERY 15 Hairpack Treatment]제품선택=헤어팩 트리트먼트 3개 세트 10% 추가할인</t>
        </is>
      </c>
      <c r="H2118" s="9" t="n">
        <v>1</v>
      </c>
      <c r="I2118" s="9" t="inlineStr">
        <is>
          <t>트리트먼트 3set</t>
        </is>
      </c>
      <c r="J2118" s="9" t="inlineStr">
        <is>
          <t>210201</t>
        </is>
      </c>
      <c r="L2118" s="9" t="n">
        <v>70200</v>
      </c>
      <c r="M2118" s="9" t="n">
        <v>66093.3</v>
      </c>
      <c r="N2118" s="9" t="n">
        <v>4791</v>
      </c>
      <c r="O211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119">
      <c r="B2119" s="10" t="n">
        <v>44287</v>
      </c>
      <c r="C2119" s="9" t="inlineStr">
        <is>
          <t>목</t>
        </is>
      </c>
      <c r="E2119" s="9" t="inlineStr">
        <is>
          <t>트리트먼트</t>
        </is>
      </c>
      <c r="F2119" s="9" t="inlineStr">
        <is>
          <t>카페24</t>
        </is>
      </c>
      <c r="G2119" s="9" t="inlineStr">
        <is>
          <t>라베나 리커버리 15 헤어팩 트리트먼트 [HAIR RÉ:COVERY 15 Hairpack Treatment]제품선택=헤어팩 트리트먼트 1개 + 뉴트리셔스밤 1개 세트 5% 추가할인</t>
        </is>
      </c>
      <c r="H2119" s="9" t="n">
        <v>1</v>
      </c>
      <c r="I2119" s="9" t="inlineStr">
        <is>
          <t>트리트먼트+뉴트리셔스밤</t>
        </is>
      </c>
      <c r="J2119" s="9" t="inlineStr">
        <is>
          <t>210201</t>
        </is>
      </c>
      <c r="L2119" s="9" t="n">
        <v>48355</v>
      </c>
      <c r="M2119" s="9" t="n">
        <v>45526.2325</v>
      </c>
      <c r="N2119" s="9" t="n">
        <v>3177</v>
      </c>
      <c r="O2119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120" ht="16.5" customHeight="1" s="12">
      <c r="B2120" s="10" t="n">
        <v>44287</v>
      </c>
      <c r="C2120" s="9" t="inlineStr">
        <is>
          <t>목</t>
        </is>
      </c>
      <c r="E2120" s="9" t="inlineStr">
        <is>
          <t>샴푸</t>
        </is>
      </c>
      <c r="F2120" s="9" t="inlineStr">
        <is>
          <t>카페24</t>
        </is>
      </c>
      <c r="G2120" s="9" t="inlineStr">
        <is>
          <t>온가족 토탈 리커버리 세트(샴푸3+헤어팩 트리트먼트1+뉴트리셔스 밤1)</t>
        </is>
      </c>
      <c r="H2120" s="9" t="n">
        <v>1</v>
      </c>
      <c r="I2120" s="9" t="inlineStr">
        <is>
          <t>리바이탈 샴푸3+트리트먼트1+뉴트리셔스 밤1</t>
        </is>
      </c>
      <c r="J2120" s="9" t="inlineStr">
        <is>
          <t>210201</t>
        </is>
      </c>
      <c r="L2120" s="9" t="n">
        <v>97788</v>
      </c>
      <c r="M2120" s="4">
        <f>97788-(97788/5.85)</f>
        <v/>
      </c>
      <c r="N2120" s="9" t="n">
        <v>11772</v>
      </c>
      <c r="O2120" s="9" t="inlineStr">
        <is>
          <t>카페240온가족 토탈 리커버리 세트(샴푸3+헤어팩 트리트먼트1+뉴트리셔스 밤1)210201</t>
        </is>
      </c>
    </row>
    <row r="2121" ht="16.5" customHeight="1" s="12">
      <c r="B2121" s="10" t="n">
        <v>44287</v>
      </c>
      <c r="C2121" s="9" t="inlineStr">
        <is>
          <t>목</t>
        </is>
      </c>
      <c r="E2121" s="9" t="inlineStr">
        <is>
          <t>샴푸</t>
        </is>
      </c>
      <c r="F2121" s="9" t="inlineStr">
        <is>
          <t>카페24</t>
        </is>
      </c>
      <c r="G2121" s="9" t="inlineStr">
        <is>
          <t>헤어 리:커버리 시그니처 세트(샴푸1+헤어팩 트리트먼트1+ 뉴트리셔스 밤1)</t>
        </is>
      </c>
      <c r="H2121" s="9" t="n">
        <v>1</v>
      </c>
      <c r="I2121" s="9" t="inlineStr">
        <is>
          <t>리바이탈 샴푸+트리트먼트+뉴트리셔스 밤</t>
        </is>
      </c>
      <c r="J2121" s="9" t="inlineStr">
        <is>
          <t>210201</t>
        </is>
      </c>
      <c r="L2121" s="4" t="n">
        <v>57946</v>
      </c>
      <c r="M2121" s="9">
        <f>57946-(57946/5.85)</f>
        <v/>
      </c>
      <c r="N2121" s="9">
        <f>(1597+1580+2865)</f>
        <v/>
      </c>
      <c r="O2121" s="9" t="inlineStr">
        <is>
          <t>카페240헤어 리:커버리 시그니처 세트(샴푸1+헤어팩 트리트먼트1+ 뉴트리셔스 밤1)210201</t>
        </is>
      </c>
    </row>
    <row r="2122">
      <c r="A2122" s="9" t="inlineStr">
        <is>
          <t>0331_샴푸_카드뉴스_효율테스트</t>
        </is>
      </c>
      <c r="B2122" s="10" t="n">
        <v>44288</v>
      </c>
      <c r="C2122" s="9" t="inlineStr">
        <is>
          <t>금</t>
        </is>
      </c>
      <c r="D2122" s="9" t="inlineStr">
        <is>
          <t>페이스북</t>
        </is>
      </c>
      <c r="E2122" s="9" t="inlineStr">
        <is>
          <t>샴푸</t>
        </is>
      </c>
      <c r="K2122" s="9" t="n">
        <v>35995</v>
      </c>
    </row>
    <row r="2123">
      <c r="A2123" s="9" t="inlineStr">
        <is>
          <t>0318~영상기반 단장</t>
        </is>
      </c>
      <c r="B2123" s="10" t="n">
        <v>44288</v>
      </c>
      <c r="C2123" s="9" t="inlineStr">
        <is>
          <t>금</t>
        </is>
      </c>
      <c r="D2123" s="9" t="inlineStr">
        <is>
          <t>페이스북</t>
        </is>
      </c>
      <c r="E2123" s="9" t="inlineStr">
        <is>
          <t>샴푸</t>
        </is>
      </c>
      <c r="K2123" s="9" t="n">
        <v>97502</v>
      </c>
    </row>
    <row r="2124">
      <c r="A2124" s="9" t="inlineStr">
        <is>
          <t>0316~영상베리</t>
        </is>
      </c>
      <c r="B2124" s="10" t="n">
        <v>44288</v>
      </c>
      <c r="C2124" s="9" t="inlineStr">
        <is>
          <t>금</t>
        </is>
      </c>
      <c r="D2124" s="9" t="inlineStr">
        <is>
          <t>페이스북</t>
        </is>
      </c>
      <c r="E2124" s="9" t="inlineStr">
        <is>
          <t>샴푸</t>
        </is>
      </c>
      <c r="K2124" s="9" t="n">
        <v>97057</v>
      </c>
    </row>
    <row r="2125">
      <c r="A2125" s="9" t="inlineStr">
        <is>
          <t>0402_샴푸_카드뉴스_효율테스트2차</t>
        </is>
      </c>
      <c r="B2125" s="10" t="n">
        <v>44289</v>
      </c>
      <c r="C2125" s="9" t="inlineStr">
        <is>
          <t>토</t>
        </is>
      </c>
      <c r="D2125" s="9" t="inlineStr">
        <is>
          <t>페이스북</t>
        </is>
      </c>
      <c r="E2125" s="9" t="inlineStr">
        <is>
          <t>샴푸</t>
        </is>
      </c>
      <c r="K2125" s="9" t="n">
        <v>264530</v>
      </c>
    </row>
    <row r="2126">
      <c r="A2126" s="9" t="inlineStr">
        <is>
          <t>0318~영상기반 단장</t>
        </is>
      </c>
      <c r="B2126" s="10" t="n">
        <v>44289</v>
      </c>
      <c r="C2126" s="9" t="inlineStr">
        <is>
          <t>토</t>
        </is>
      </c>
      <c r="D2126" s="9" t="inlineStr">
        <is>
          <t>페이스북</t>
        </is>
      </c>
      <c r="E2126" s="9" t="inlineStr">
        <is>
          <t>샴푸</t>
        </is>
      </c>
      <c r="K2126" s="9" t="n">
        <v>91417</v>
      </c>
    </row>
    <row r="2127">
      <c r="A2127" s="9" t="inlineStr">
        <is>
          <t>0316~영상베리</t>
        </is>
      </c>
      <c r="B2127" s="10" t="n">
        <v>44289</v>
      </c>
      <c r="C2127" s="9" t="inlineStr">
        <is>
          <t>토</t>
        </is>
      </c>
      <c r="D2127" s="9" t="inlineStr">
        <is>
          <t>페이스북</t>
        </is>
      </c>
      <c r="E2127" s="9" t="inlineStr">
        <is>
          <t>샴푸</t>
        </is>
      </c>
      <c r="K2127" s="9" t="n">
        <v>102500</v>
      </c>
    </row>
    <row r="2128">
      <c r="A2128" s="9" t="inlineStr">
        <is>
          <t>0402_샴푸_카드뉴스_효율테스트2차</t>
        </is>
      </c>
      <c r="B2128" s="10" t="n">
        <v>44290</v>
      </c>
      <c r="C2128" s="9" t="inlineStr">
        <is>
          <t>일</t>
        </is>
      </c>
      <c r="D2128" s="9" t="inlineStr">
        <is>
          <t>페이스북</t>
        </is>
      </c>
      <c r="E2128" s="9" t="inlineStr">
        <is>
          <t>샴푸</t>
        </is>
      </c>
      <c r="K2128" s="9" t="n">
        <v>273955</v>
      </c>
    </row>
    <row r="2129">
      <c r="A2129" s="9" t="inlineStr">
        <is>
          <t>0318~영상기반 단장</t>
        </is>
      </c>
      <c r="B2129" s="10" t="n">
        <v>44290</v>
      </c>
      <c r="C2129" s="9" t="inlineStr">
        <is>
          <t>일</t>
        </is>
      </c>
      <c r="D2129" s="9" t="inlineStr">
        <is>
          <t>페이스북</t>
        </is>
      </c>
      <c r="E2129" s="9" t="inlineStr">
        <is>
          <t>샴푸</t>
        </is>
      </c>
      <c r="K2129" s="9" t="n">
        <v>49859</v>
      </c>
    </row>
    <row r="2130">
      <c r="A2130" s="9" t="inlineStr">
        <is>
          <t>0316~영상베리</t>
        </is>
      </c>
      <c r="B2130" s="10" t="n">
        <v>44290</v>
      </c>
      <c r="C2130" s="9" t="inlineStr">
        <is>
          <t>일</t>
        </is>
      </c>
      <c r="D2130" s="9" t="inlineStr">
        <is>
          <t>페이스북</t>
        </is>
      </c>
      <c r="E2130" s="9" t="inlineStr">
        <is>
          <t>샴푸</t>
        </is>
      </c>
      <c r="K2130" s="9" t="n">
        <v>100228</v>
      </c>
    </row>
    <row r="2131">
      <c r="A2131" s="9" t="inlineStr">
        <is>
          <t>0127_GDN_비듬샴푸_잠재고객</t>
        </is>
      </c>
      <c r="B2131" s="10" t="n">
        <v>44288</v>
      </c>
      <c r="C2131" s="9" t="inlineStr">
        <is>
          <t>금</t>
        </is>
      </c>
      <c r="D2131" s="9" t="inlineStr">
        <is>
          <t>GDN</t>
        </is>
      </c>
      <c r="E2131" s="9" t="inlineStr">
        <is>
          <t>샴푸</t>
        </is>
      </c>
      <c r="K2131" s="9" t="n">
        <v>100417</v>
      </c>
    </row>
    <row r="2132">
      <c r="A2132" s="9" t="inlineStr">
        <is>
          <t>0303_샴푸_인스트림_CPA</t>
        </is>
      </c>
      <c r="B2132" s="10" t="n">
        <v>44288</v>
      </c>
      <c r="C2132" s="9" t="inlineStr">
        <is>
          <t>금</t>
        </is>
      </c>
      <c r="D2132" s="9" t="inlineStr">
        <is>
          <t>유튜브</t>
        </is>
      </c>
      <c r="E2132" s="9" t="inlineStr">
        <is>
          <t>샴푸</t>
        </is>
      </c>
      <c r="K2132" s="9" t="n">
        <v>1428446</v>
      </c>
    </row>
    <row r="2133">
      <c r="A2133" s="9" t="inlineStr">
        <is>
          <t>0322_샴푸_GDN_이현1차</t>
        </is>
      </c>
      <c r="B2133" s="10" t="n">
        <v>44288</v>
      </c>
      <c r="C2133" s="9" t="inlineStr">
        <is>
          <t>금</t>
        </is>
      </c>
      <c r="D2133" s="9" t="inlineStr">
        <is>
          <t>GDN</t>
        </is>
      </c>
      <c r="E2133" s="9" t="inlineStr">
        <is>
          <t>샴푸</t>
        </is>
      </c>
      <c r="K2133" s="9" t="n">
        <v>100718</v>
      </c>
    </row>
    <row r="2134">
      <c r="A2134" s="9" t="inlineStr">
        <is>
          <t>0324_샴푸_SDC_CPA</t>
        </is>
      </c>
      <c r="B2134" s="10" t="n">
        <v>44288</v>
      </c>
      <c r="C2134" s="9" t="inlineStr">
        <is>
          <t>금</t>
        </is>
      </c>
      <c r="D2134" s="9" t="inlineStr">
        <is>
          <t>유튜브</t>
        </is>
      </c>
      <c r="E2134" s="9" t="inlineStr">
        <is>
          <t>샴푸</t>
        </is>
      </c>
      <c r="K2134" s="9" t="n">
        <v>84000</v>
      </c>
    </row>
    <row r="2135">
      <c r="A2135" s="9" t="inlineStr">
        <is>
          <t>0324_샴푸_VAC_CPA</t>
        </is>
      </c>
      <c r="B2135" s="10" t="n">
        <v>44288</v>
      </c>
      <c r="C2135" s="9" t="inlineStr">
        <is>
          <t>금</t>
        </is>
      </c>
      <c r="D2135" s="9" t="inlineStr">
        <is>
          <t>유튜브</t>
        </is>
      </c>
      <c r="E2135" s="9" t="inlineStr">
        <is>
          <t>샴푸</t>
        </is>
      </c>
      <c r="K2135" s="9" t="n">
        <v>1600382</v>
      </c>
    </row>
    <row r="2136">
      <c r="A2136" s="9" t="inlineStr">
        <is>
          <t>0329_샴푸_GDN_키워드</t>
        </is>
      </c>
      <c r="B2136" s="10" t="n">
        <v>44288</v>
      </c>
      <c r="C2136" s="9" t="inlineStr">
        <is>
          <t>금</t>
        </is>
      </c>
      <c r="D2136" s="9" t="inlineStr">
        <is>
          <t>GDN</t>
        </is>
      </c>
      <c r="E2136" s="9" t="inlineStr">
        <is>
          <t>샴푸</t>
        </is>
      </c>
      <c r="K2136" s="9" t="n">
        <v>68497</v>
      </c>
    </row>
    <row r="2137">
      <c r="A2137" s="9" t="inlineStr">
        <is>
          <t>0330_샴푸_cpv_200만뷰</t>
        </is>
      </c>
      <c r="B2137" s="10" t="n">
        <v>44288</v>
      </c>
      <c r="C2137" s="9" t="inlineStr">
        <is>
          <t>금</t>
        </is>
      </c>
      <c r="D2137" s="9" t="inlineStr">
        <is>
          <t>유튜브</t>
        </is>
      </c>
      <c r="E2137" s="9" t="inlineStr">
        <is>
          <t>샴푸</t>
        </is>
      </c>
      <c r="K2137" s="9" t="n">
        <v>1269</v>
      </c>
    </row>
    <row r="2138">
      <c r="A2138" s="9" t="inlineStr">
        <is>
          <t>0402_노워시_cpv_아이돌2차</t>
        </is>
      </c>
      <c r="B2138" s="10" t="n">
        <v>44288</v>
      </c>
      <c r="C2138" s="9" t="inlineStr">
        <is>
          <t>금</t>
        </is>
      </c>
      <c r="D2138" s="9" t="inlineStr">
        <is>
          <t>유튜브</t>
        </is>
      </c>
      <c r="E2138" s="9" t="inlineStr">
        <is>
          <t>뉴트리셔스밤</t>
        </is>
      </c>
      <c r="K2138" s="9" t="n">
        <v>979375</v>
      </c>
    </row>
    <row r="2139">
      <c r="A2139" s="9" t="inlineStr">
        <is>
          <t>0402_노워시_인스트림_전환수</t>
        </is>
      </c>
      <c r="B2139" s="10" t="n">
        <v>44288</v>
      </c>
      <c r="C2139" s="9" t="inlineStr">
        <is>
          <t>금</t>
        </is>
      </c>
      <c r="D2139" s="9" t="inlineStr">
        <is>
          <t>유튜브</t>
        </is>
      </c>
      <c r="E2139" s="9" t="inlineStr">
        <is>
          <t>뉴트리셔스밤</t>
        </is>
      </c>
      <c r="K2139" s="9" t="n">
        <v>969996</v>
      </c>
    </row>
    <row r="2140">
      <c r="A2140" s="9" t="inlineStr">
        <is>
          <t>0322_샴푸_GDN_이현1차</t>
        </is>
      </c>
      <c r="B2140" s="10" t="n">
        <v>44289</v>
      </c>
      <c r="C2140" s="9" t="inlineStr">
        <is>
          <t>토</t>
        </is>
      </c>
      <c r="D2140" s="9" t="inlineStr">
        <is>
          <t>GDN</t>
        </is>
      </c>
      <c r="E2140" s="9" t="inlineStr">
        <is>
          <t>샴푸</t>
        </is>
      </c>
      <c r="K2140" s="9" t="n">
        <v>99180</v>
      </c>
    </row>
    <row r="2141">
      <c r="A2141" s="9" t="inlineStr">
        <is>
          <t>0324_샴푸_SDC_CPA</t>
        </is>
      </c>
      <c r="B2141" s="10" t="n">
        <v>44289</v>
      </c>
      <c r="C2141" s="9" t="inlineStr">
        <is>
          <t>토</t>
        </is>
      </c>
      <c r="D2141" s="9" t="inlineStr">
        <is>
          <t>유튜브</t>
        </is>
      </c>
      <c r="E2141" s="9" t="inlineStr">
        <is>
          <t>샴푸</t>
        </is>
      </c>
      <c r="K2141" s="9" t="n">
        <v>144000</v>
      </c>
    </row>
    <row r="2142">
      <c r="A2142" s="9" t="inlineStr">
        <is>
          <t>0324_샴푸_VAC_CPA</t>
        </is>
      </c>
      <c r="B2142" s="10" t="n">
        <v>44289</v>
      </c>
      <c r="C2142" s="9" t="inlineStr">
        <is>
          <t>토</t>
        </is>
      </c>
      <c r="D2142" s="9" t="inlineStr">
        <is>
          <t>유튜브</t>
        </is>
      </c>
      <c r="E2142" s="9" t="inlineStr">
        <is>
          <t>샴푸</t>
        </is>
      </c>
      <c r="K2142" s="9" t="n">
        <v>2211055</v>
      </c>
    </row>
    <row r="2143">
      <c r="A2143" s="9" t="inlineStr">
        <is>
          <t>0329_샴푸_GDN_키워드</t>
        </is>
      </c>
      <c r="B2143" s="10" t="n">
        <v>44289</v>
      </c>
      <c r="C2143" s="9" t="inlineStr">
        <is>
          <t>토</t>
        </is>
      </c>
      <c r="D2143" s="9" t="inlineStr">
        <is>
          <t>GDN</t>
        </is>
      </c>
      <c r="E2143" s="9" t="inlineStr">
        <is>
          <t>샴푸</t>
        </is>
      </c>
      <c r="K2143" s="9" t="n">
        <v>83115</v>
      </c>
    </row>
    <row r="2144">
      <c r="A2144" s="9" t="inlineStr">
        <is>
          <t>0330_샴푸_cpv_200만뷰</t>
        </is>
      </c>
      <c r="B2144" s="10" t="n">
        <v>44289</v>
      </c>
      <c r="C2144" s="9" t="inlineStr">
        <is>
          <t>토</t>
        </is>
      </c>
      <c r="D2144" s="9" t="inlineStr">
        <is>
          <t>유튜브</t>
        </is>
      </c>
      <c r="E2144" s="9" t="inlineStr">
        <is>
          <t>샴푸</t>
        </is>
      </c>
      <c r="K2144" s="9" t="n">
        <v>541415</v>
      </c>
    </row>
    <row r="2145">
      <c r="A2145" s="9" t="inlineStr">
        <is>
          <t>0402_노워시_cpv_아이돌2차</t>
        </is>
      </c>
      <c r="B2145" s="10" t="n">
        <v>44289</v>
      </c>
      <c r="C2145" s="9" t="inlineStr">
        <is>
          <t>토</t>
        </is>
      </c>
      <c r="D2145" s="9" t="inlineStr">
        <is>
          <t>유튜브</t>
        </is>
      </c>
      <c r="E2145" s="9" t="inlineStr">
        <is>
          <t>뉴트리셔스밤</t>
        </is>
      </c>
      <c r="K2145" s="9" t="n">
        <v>122066</v>
      </c>
    </row>
    <row r="2146">
      <c r="A2146" s="9" t="inlineStr">
        <is>
          <t>0402_노워시_인스트림_전환수</t>
        </is>
      </c>
      <c r="B2146" s="10" t="n">
        <v>44289</v>
      </c>
      <c r="C2146" s="9" t="inlineStr">
        <is>
          <t>토</t>
        </is>
      </c>
      <c r="D2146" s="9" t="inlineStr">
        <is>
          <t>유튜브</t>
        </is>
      </c>
      <c r="E2146" s="9" t="inlineStr">
        <is>
          <t>뉴트리셔스밤</t>
        </is>
      </c>
      <c r="K2146" s="9" t="n">
        <v>799176</v>
      </c>
    </row>
    <row r="2147">
      <c r="A2147" s="9" t="inlineStr">
        <is>
          <t>0322_샴푸_GDN_이현1차</t>
        </is>
      </c>
      <c r="B2147" s="10" t="n">
        <v>44290</v>
      </c>
      <c r="C2147" s="9" t="inlineStr">
        <is>
          <t>일</t>
        </is>
      </c>
      <c r="D2147" s="9" t="inlineStr">
        <is>
          <t>GDN</t>
        </is>
      </c>
      <c r="E2147" s="9" t="inlineStr">
        <is>
          <t>샴푸</t>
        </is>
      </c>
      <c r="K2147" s="9" t="n">
        <v>101225</v>
      </c>
    </row>
    <row r="2148">
      <c r="A2148" s="9" t="inlineStr">
        <is>
          <t>0324_샴푸_SDC_CPA</t>
        </is>
      </c>
      <c r="B2148" s="10" t="n">
        <v>44290</v>
      </c>
      <c r="C2148" s="9" t="inlineStr">
        <is>
          <t>일</t>
        </is>
      </c>
      <c r="D2148" s="9" t="inlineStr">
        <is>
          <t>유튜브</t>
        </is>
      </c>
      <c r="E2148" s="9" t="inlineStr">
        <is>
          <t>샴푸</t>
        </is>
      </c>
      <c r="K2148" s="9" t="n">
        <v>90000</v>
      </c>
    </row>
    <row r="2149">
      <c r="A2149" s="9" t="inlineStr">
        <is>
          <t>0324_샴푸_VAC_CPA</t>
        </is>
      </c>
      <c r="B2149" s="10" t="n">
        <v>44290</v>
      </c>
      <c r="C2149" s="9" t="inlineStr">
        <is>
          <t>일</t>
        </is>
      </c>
      <c r="D2149" s="9" t="inlineStr">
        <is>
          <t>유튜브</t>
        </is>
      </c>
      <c r="E2149" s="9" t="inlineStr">
        <is>
          <t>샴푸</t>
        </is>
      </c>
      <c r="K2149" s="9" t="n">
        <v>2001935</v>
      </c>
    </row>
    <row r="2150">
      <c r="A2150" s="9" t="inlineStr">
        <is>
          <t>0329_샴푸_GDN_키워드</t>
        </is>
      </c>
      <c r="B2150" s="10" t="n">
        <v>44290</v>
      </c>
      <c r="C2150" s="9" t="inlineStr">
        <is>
          <t>일</t>
        </is>
      </c>
      <c r="D2150" s="9" t="inlineStr">
        <is>
          <t>GDN</t>
        </is>
      </c>
      <c r="E2150" s="9" t="inlineStr">
        <is>
          <t>샴푸</t>
        </is>
      </c>
      <c r="K2150" s="9" t="n">
        <v>143375</v>
      </c>
    </row>
    <row r="2151">
      <c r="A2151" s="9" t="inlineStr">
        <is>
          <t>0330_샴푸_cpv_200만뷰</t>
        </is>
      </c>
      <c r="B2151" s="10" t="n">
        <v>44290</v>
      </c>
      <c r="C2151" s="9" t="inlineStr">
        <is>
          <t>일</t>
        </is>
      </c>
      <c r="D2151" s="9" t="inlineStr">
        <is>
          <t>유튜브</t>
        </is>
      </c>
      <c r="E2151" s="9" t="inlineStr">
        <is>
          <t>샴푸</t>
        </is>
      </c>
      <c r="K2151" s="9" t="n">
        <v>2373524</v>
      </c>
    </row>
    <row r="2152">
      <c r="A2152" s="9" t="inlineStr">
        <is>
          <t>0402_노워시_cpv_아이돌2차</t>
        </is>
      </c>
      <c r="B2152" s="10" t="n">
        <v>44290</v>
      </c>
      <c r="C2152" s="9" t="inlineStr">
        <is>
          <t>일</t>
        </is>
      </c>
      <c r="D2152" s="9" t="inlineStr">
        <is>
          <t>유튜브</t>
        </is>
      </c>
      <c r="E2152" s="9" t="inlineStr">
        <is>
          <t>뉴트리셔스밤</t>
        </is>
      </c>
      <c r="K2152" s="9" t="n">
        <v>1000730</v>
      </c>
    </row>
    <row r="2153">
      <c r="A2153" s="9" t="inlineStr">
        <is>
          <t>0402_노워시_인스트림_전환수</t>
        </is>
      </c>
      <c r="B2153" s="10" t="n">
        <v>44290</v>
      </c>
      <c r="C2153" s="9" t="inlineStr">
        <is>
          <t>일</t>
        </is>
      </c>
      <c r="D2153" s="9" t="inlineStr">
        <is>
          <t>유튜브</t>
        </is>
      </c>
      <c r="E2153" s="9" t="inlineStr">
        <is>
          <t>뉴트리셔스밤</t>
        </is>
      </c>
      <c r="K2153" s="9" t="n">
        <v>416852</v>
      </c>
    </row>
    <row r="2154">
      <c r="A2154" s="9" t="inlineStr">
        <is>
          <t>라베나 파워링크_샴푸_광고그룹#1</t>
        </is>
      </c>
      <c r="B2154" s="10" t="n">
        <v>44290</v>
      </c>
      <c r="C2154" s="9" t="inlineStr">
        <is>
          <t>일</t>
        </is>
      </c>
      <c r="D2154" s="9" t="inlineStr">
        <is>
          <t>네이버 검색</t>
        </is>
      </c>
      <c r="E2154" s="9" t="inlineStr">
        <is>
          <t>샴푸</t>
        </is>
      </c>
      <c r="K2154" s="9" t="n">
        <v>1900</v>
      </c>
    </row>
    <row r="2155">
      <c r="A2155" s="9" t="inlineStr">
        <is>
          <t>라베나 파워링크_샴푸#1_유튜브키워드기반</t>
        </is>
      </c>
      <c r="B2155" s="10" t="n">
        <v>44290</v>
      </c>
      <c r="C2155" s="9" t="inlineStr">
        <is>
          <t>일</t>
        </is>
      </c>
      <c r="D2155" s="9" t="inlineStr">
        <is>
          <t>네이버 검색</t>
        </is>
      </c>
      <c r="E2155" s="9" t="inlineStr">
        <is>
          <t>샴푸</t>
        </is>
      </c>
      <c r="K2155" s="9" t="n">
        <v>16850</v>
      </c>
    </row>
    <row r="2156">
      <c r="A2156" s="9" t="inlineStr">
        <is>
          <t>샴푸_쇼핑검색#1_광고그룹#1</t>
        </is>
      </c>
      <c r="B2156" s="10" t="n">
        <v>44290</v>
      </c>
      <c r="C2156" s="9" t="inlineStr">
        <is>
          <t>일</t>
        </is>
      </c>
      <c r="D2156" s="9" t="inlineStr">
        <is>
          <t>네이버 검색</t>
        </is>
      </c>
      <c r="E2156" s="9" t="inlineStr">
        <is>
          <t>샴푸</t>
        </is>
      </c>
      <c r="K2156" s="9" t="n">
        <v>8320</v>
      </c>
    </row>
    <row r="2157">
      <c r="A2157" s="9" t="inlineStr">
        <is>
          <t>파워컨텐츠#1_비듬샴푸</t>
        </is>
      </c>
      <c r="B2157" s="10" t="n">
        <v>44290</v>
      </c>
      <c r="C2157" s="9" t="inlineStr">
        <is>
          <t>일</t>
        </is>
      </c>
      <c r="D2157" s="9" t="inlineStr">
        <is>
          <t>네이버 검색</t>
        </is>
      </c>
      <c r="E2157" s="9" t="inlineStr">
        <is>
          <t>샴푸</t>
        </is>
      </c>
      <c r="K2157" s="9" t="n">
        <v>140</v>
      </c>
    </row>
    <row r="2158">
      <c r="A2158" s="9" t="inlineStr">
        <is>
          <t>라베나 파워링크_샴푸_광고그룹#1</t>
        </is>
      </c>
      <c r="B2158" s="10" t="n">
        <v>44289</v>
      </c>
      <c r="C2158" s="9" t="inlineStr">
        <is>
          <t>토</t>
        </is>
      </c>
      <c r="D2158" s="9" t="inlineStr">
        <is>
          <t>네이버 검색</t>
        </is>
      </c>
      <c r="E2158" s="9" t="inlineStr">
        <is>
          <t>샴푸</t>
        </is>
      </c>
      <c r="K2158" s="9" t="n">
        <v>989.9999999999999</v>
      </c>
    </row>
    <row r="2159">
      <c r="A2159" s="9" t="inlineStr">
        <is>
          <t>라베나 파워링크_샴푸#1_유튜브키워드기반</t>
        </is>
      </c>
      <c r="B2159" s="10" t="n">
        <v>44289</v>
      </c>
      <c r="C2159" s="9" t="inlineStr">
        <is>
          <t>토</t>
        </is>
      </c>
      <c r="D2159" s="9" t="inlineStr">
        <is>
          <t>네이버 검색</t>
        </is>
      </c>
      <c r="E2159" s="9" t="inlineStr">
        <is>
          <t>샴푸</t>
        </is>
      </c>
      <c r="K2159" s="9" t="n">
        <v>6829.999999999999</v>
      </c>
    </row>
    <row r="2160">
      <c r="A2160" s="9" t="inlineStr">
        <is>
          <t>샴푸_쇼핑검색#1_광고그룹#1</t>
        </is>
      </c>
      <c r="B2160" s="10" t="n">
        <v>44289</v>
      </c>
      <c r="C2160" s="9" t="inlineStr">
        <is>
          <t>토</t>
        </is>
      </c>
      <c r="D2160" s="9" t="inlineStr">
        <is>
          <t>네이버 검색</t>
        </is>
      </c>
      <c r="E2160" s="9" t="inlineStr">
        <is>
          <t>샴푸</t>
        </is>
      </c>
      <c r="K2160" s="9" t="n">
        <v>4840</v>
      </c>
    </row>
    <row r="2161">
      <c r="A2161" s="9" t="inlineStr">
        <is>
          <t>파워컨텐츠#1_비듬샴푸</t>
        </is>
      </c>
      <c r="B2161" s="10" t="n">
        <v>44289</v>
      </c>
      <c r="C2161" s="9" t="inlineStr">
        <is>
          <t>토</t>
        </is>
      </c>
      <c r="D2161" s="9" t="inlineStr">
        <is>
          <t>네이버 검색</t>
        </is>
      </c>
      <c r="E2161" s="9" t="inlineStr">
        <is>
          <t>샴푸</t>
        </is>
      </c>
      <c r="K2161" s="9" t="n">
        <v>70</v>
      </c>
    </row>
    <row r="2162">
      <c r="A2162" s="9" t="inlineStr">
        <is>
          <t>라베나 파워링크_샴푸_광고그룹#1</t>
        </is>
      </c>
      <c r="B2162" s="10" t="n">
        <v>44288</v>
      </c>
      <c r="C2162" s="9" t="inlineStr">
        <is>
          <t>금</t>
        </is>
      </c>
      <c r="D2162" s="9" t="inlineStr">
        <is>
          <t>네이버 검색</t>
        </is>
      </c>
      <c r="E2162" s="9" t="inlineStr">
        <is>
          <t>샴푸</t>
        </is>
      </c>
      <c r="K2162" s="9" t="n">
        <v>1650</v>
      </c>
    </row>
    <row r="2163">
      <c r="A2163" s="9" t="inlineStr">
        <is>
          <t>라베나 파워링크_샴푸#1_유튜브키워드기반</t>
        </is>
      </c>
      <c r="B2163" s="10" t="n">
        <v>44288</v>
      </c>
      <c r="C2163" s="9" t="inlineStr">
        <is>
          <t>금</t>
        </is>
      </c>
      <c r="D2163" s="9" t="inlineStr">
        <is>
          <t>네이버 검색</t>
        </is>
      </c>
      <c r="E2163" s="9" t="inlineStr">
        <is>
          <t>샴푸</t>
        </is>
      </c>
      <c r="K2163" s="9" t="n">
        <v>8230</v>
      </c>
    </row>
    <row r="2164">
      <c r="A2164" s="9" t="inlineStr">
        <is>
          <t>샴푸_쇼핑검색#1_광고그룹#1</t>
        </is>
      </c>
      <c r="B2164" s="10" t="n">
        <v>44288</v>
      </c>
      <c r="C2164" s="9" t="inlineStr">
        <is>
          <t>금</t>
        </is>
      </c>
      <c r="D2164" s="9" t="inlineStr">
        <is>
          <t>네이버 검색</t>
        </is>
      </c>
      <c r="E2164" s="9" t="inlineStr">
        <is>
          <t>샴푸</t>
        </is>
      </c>
      <c r="K2164" s="9" t="n">
        <v>5390</v>
      </c>
    </row>
    <row r="2165">
      <c r="A2165" s="9" t="inlineStr">
        <is>
          <t>파워컨텐츠#1_비듬샴푸</t>
        </is>
      </c>
      <c r="B2165" s="10" t="n">
        <v>44288</v>
      </c>
      <c r="C2165" s="9" t="inlineStr">
        <is>
          <t>금</t>
        </is>
      </c>
      <c r="D2165" s="9" t="inlineStr">
        <is>
          <t>네이버 검색</t>
        </is>
      </c>
      <c r="E2165" s="9" t="inlineStr">
        <is>
          <t>샴푸</t>
        </is>
      </c>
      <c r="K2165" s="9" t="n">
        <v>70</v>
      </c>
    </row>
    <row r="2166">
      <c r="B2166" s="10" t="n">
        <v>44288</v>
      </c>
      <c r="C2166" s="9" t="inlineStr">
        <is>
          <t>금</t>
        </is>
      </c>
      <c r="E2166" s="9" t="inlineStr">
        <is>
          <t>뉴트리셔스밤</t>
        </is>
      </c>
      <c r="F2166" s="9" t="inlineStr">
        <is>
          <t>카페24</t>
        </is>
      </c>
      <c r="G2166" s="9" t="inlineStr">
        <is>
          <t>라베나 리커버리 15 뉴트리셔스 밤 [HAIR RÉ:COVERY 15 Nutritious Balm]제품선택=헤어 리커버리 15 뉴트리셔스 밤</t>
        </is>
      </c>
      <c r="H2166" s="9" t="n">
        <v>15</v>
      </c>
      <c r="I2166" s="9" t="inlineStr">
        <is>
          <t>뉴트리셔스밤</t>
        </is>
      </c>
      <c r="J2166" s="9" t="inlineStr">
        <is>
          <t>210201</t>
        </is>
      </c>
      <c r="L2166" s="9" t="n">
        <v>373500</v>
      </c>
      <c r="M2166" s="9" t="n">
        <v>351650.25</v>
      </c>
      <c r="N2166" s="9" t="n">
        <v>23700</v>
      </c>
      <c r="O2166" s="9" t="inlineStr">
        <is>
          <t>카페24뉴트리셔스밤라베나 리커버리 15 뉴트리셔스 밤 [HAIR RÉ:COVERY 15 Nutritious Balm]제품선택=헤어 리커버리 15 뉴트리셔스 밤210201</t>
        </is>
      </c>
    </row>
    <row r="2167">
      <c r="B2167" s="10" t="n">
        <v>44288</v>
      </c>
      <c r="C2167" s="9" t="inlineStr">
        <is>
          <t>금</t>
        </is>
      </c>
      <c r="E2167" s="9" t="inlineStr">
        <is>
          <t>뉴트리셔스밤</t>
        </is>
      </c>
      <c r="F2167" s="9" t="inlineStr">
        <is>
          <t>카페24</t>
        </is>
      </c>
      <c r="G2167" s="9" t="inlineStr">
        <is>
          <t>라베나 리커버리 15 뉴트리셔스 밤 [HAIR RÉ:COVERY 15 Nutritious Balm]제품선택=뉴트리셔스 밤 2개 세트 5% 추가할인</t>
        </is>
      </c>
      <c r="H2167" s="9" t="n">
        <v>2</v>
      </c>
      <c r="I2167" s="9" t="inlineStr">
        <is>
          <t>뉴트리셔스밤 2set</t>
        </is>
      </c>
      <c r="J2167" s="9" t="inlineStr">
        <is>
          <t>210201</t>
        </is>
      </c>
      <c r="L2167" s="9" t="n">
        <v>94620</v>
      </c>
      <c r="M2167" s="9" t="n">
        <v>89084.73</v>
      </c>
      <c r="N2167" s="9" t="n">
        <v>6320</v>
      </c>
      <c r="O2167" s="9" t="inlineStr">
        <is>
          <t>카페24뉴트리셔스밤라베나 리커버리 15 뉴트리셔스 밤 [HAIR RÉ:COVERY 15 Nutritious Balm]제품선택=뉴트리셔스 밤 2개 세트 5% 추가할인210201</t>
        </is>
      </c>
    </row>
    <row r="2168">
      <c r="B2168" s="10" t="n">
        <v>44288</v>
      </c>
      <c r="C2168" s="9" t="inlineStr">
        <is>
          <t>금</t>
        </is>
      </c>
      <c r="E2168" s="9" t="inlineStr">
        <is>
          <t>뉴트리셔스밤</t>
        </is>
      </c>
      <c r="F2168" s="9" t="inlineStr">
        <is>
          <t>카페24</t>
        </is>
      </c>
      <c r="G2168" s="9" t="inlineStr">
        <is>
          <t>라베나 리커버리 15 뉴트리셔스 밤 [HAIR RÉ:COVERY 15 Nutritious Balm]제품선택=뉴트리셔스 밤 3개 세트 10% 추가할인</t>
        </is>
      </c>
      <c r="H2168" s="9" t="n">
        <v>2</v>
      </c>
      <c r="I2168" s="9" t="inlineStr">
        <is>
          <t>뉴트리셔스밤 3set</t>
        </is>
      </c>
      <c r="J2168" s="9" t="inlineStr">
        <is>
          <t>210201</t>
        </is>
      </c>
      <c r="L2168" s="9" t="n">
        <v>134460</v>
      </c>
      <c r="M2168" s="9" t="n">
        <v>126594.09</v>
      </c>
      <c r="N2168" s="9" t="n">
        <v>9480</v>
      </c>
      <c r="O2168" s="9" t="inlineStr">
        <is>
          <t>카페24뉴트리셔스밤라베나 리커버리 15 뉴트리셔스 밤 [HAIR RÉ:COVERY 15 Nutritious Balm]제품선택=뉴트리셔스 밤 3개 세트 10% 추가할인210201</t>
        </is>
      </c>
    </row>
    <row r="2169">
      <c r="B2169" s="10" t="n">
        <v>44288</v>
      </c>
      <c r="C2169" s="9" t="inlineStr">
        <is>
          <t>금</t>
        </is>
      </c>
      <c r="E2169" s="9" t="inlineStr">
        <is>
          <t>샴푸</t>
        </is>
      </c>
      <c r="F2169" s="9" t="inlineStr">
        <is>
          <t>카페24</t>
        </is>
      </c>
      <c r="G2169" s="9" t="inlineStr">
        <is>
          <t>라베나 리커버리 15 리바이탈 바이오플라보노이드샴푸 [HAIR RÉ:COVERY 15 Revital Shampoo:]제품선택=헤어 리커버리 15 리바이탈 샴푸 - 500ml</t>
        </is>
      </c>
      <c r="H2169" s="9" t="n">
        <v>1</v>
      </c>
      <c r="I2169" s="9" t="inlineStr">
        <is>
          <t>리바이탈 샴푸</t>
        </is>
      </c>
      <c r="J2169" s="9" t="inlineStr">
        <is>
          <t>210201</t>
        </is>
      </c>
      <c r="L2169" s="9" t="n">
        <v>26900</v>
      </c>
      <c r="M2169" s="9">
        <f>26900-(26900/5.85)</f>
        <v/>
      </c>
      <c r="N2169" s="9">
        <f>2865</f>
        <v/>
      </c>
      <c r="O2169" s="9" t="inlineStr">
        <is>
          <t>카페240라베나 리커버리 15 리바이탈 바이오플라보노이드샴푸 [HAIR RÉ:COVERY 15 Revital Shampoo:]제품선택=헤어 리커버리 15 리바이탈 샴푸 - 500ml210201</t>
        </is>
      </c>
    </row>
    <row r="2170">
      <c r="B2170" s="10" t="n">
        <v>44288</v>
      </c>
      <c r="C2170" s="9" t="inlineStr">
        <is>
          <t>금</t>
        </is>
      </c>
      <c r="E2170" s="9" t="inlineStr">
        <is>
          <t>샴푸</t>
        </is>
      </c>
      <c r="F2170" s="9" t="inlineStr">
        <is>
          <t>카페24</t>
        </is>
      </c>
      <c r="G2170" s="9" t="inlineStr">
        <is>
          <t>라베나 리커버리 15 리바이탈 바이오플라보노이드샴푸 [HAIR RÉ:COVERY 15 Revital Shampoo]제품선택=헤어 리커버리 15 리바이탈 샴푸 - 500ml</t>
        </is>
      </c>
      <c r="H2170" s="9" t="n">
        <v>112</v>
      </c>
      <c r="I2170" s="9" t="inlineStr">
        <is>
          <t>리바이탈 샴푸</t>
        </is>
      </c>
      <c r="J2170" s="9" t="inlineStr">
        <is>
          <t>210201</t>
        </is>
      </c>
      <c r="L2170" s="9" t="n">
        <v>3012800</v>
      </c>
      <c r="M2170" s="9" t="n">
        <v>2836551.2</v>
      </c>
      <c r="N2170" s="9" t="n">
        <v>320880</v>
      </c>
      <c r="O217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171">
      <c r="B2171" s="10" t="n">
        <v>44288</v>
      </c>
      <c r="C2171" s="9" t="inlineStr">
        <is>
          <t>금</t>
        </is>
      </c>
      <c r="E2171" s="9" t="inlineStr">
        <is>
          <t>샴푸</t>
        </is>
      </c>
      <c r="F2171" s="9" t="inlineStr">
        <is>
          <t>카페24</t>
        </is>
      </c>
      <c r="G2171" s="9" t="inlineStr">
        <is>
          <t>라베나 리커버리 15 리바이탈 바이오플라보노이드샴푸 [HAIR RÉ:COVERY 15 Revital Shampoo]제품선택=리바이탈 샴푸 2개 세트 5%추가할인</t>
        </is>
      </c>
      <c r="H2171" s="9" t="n">
        <v>42</v>
      </c>
      <c r="I2171" s="9" t="inlineStr">
        <is>
          <t>리바이탈 샴푸 2set</t>
        </is>
      </c>
      <c r="J2171" s="9" t="inlineStr">
        <is>
          <t>210201</t>
        </is>
      </c>
      <c r="L2171" s="9" t="n">
        <v>2146620</v>
      </c>
      <c r="M2171" s="9" t="n">
        <v>2021042.73</v>
      </c>
      <c r="N2171" s="9" t="n">
        <v>240660</v>
      </c>
      <c r="O217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172">
      <c r="B2172" s="10" t="n">
        <v>44288</v>
      </c>
      <c r="C2172" s="9" t="inlineStr">
        <is>
          <t>금</t>
        </is>
      </c>
      <c r="E2172" s="9" t="inlineStr">
        <is>
          <t>샴푸</t>
        </is>
      </c>
      <c r="F2172" s="9" t="inlineStr">
        <is>
          <t>카페24</t>
        </is>
      </c>
      <c r="G2172" s="9" t="inlineStr">
        <is>
          <t>라베나 리커버리 15 리바이탈 바이오플라보노이드샴푸 [HAIR RÉ:COVERY 15 Revital Shampoo]제품선택=리바이탈 샴푸 3개 세트 10% 추가할인</t>
        </is>
      </c>
      <c r="H2172" s="9" t="n">
        <v>11</v>
      </c>
      <c r="I2172" s="9" t="inlineStr">
        <is>
          <t>리바이탈 샴푸 3set</t>
        </is>
      </c>
      <c r="J2172" s="9" t="inlineStr">
        <is>
          <t>210201</t>
        </is>
      </c>
      <c r="L2172" s="9" t="n">
        <v>798930</v>
      </c>
      <c r="M2172" s="9" t="n">
        <v>752192.5950000001</v>
      </c>
      <c r="N2172" s="9" t="n">
        <v>94545</v>
      </c>
      <c r="O217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173">
      <c r="B2173" s="10" t="n">
        <v>44288</v>
      </c>
      <c r="C2173" s="9" t="inlineStr">
        <is>
          <t>금</t>
        </is>
      </c>
      <c r="E2173" s="9" t="inlineStr">
        <is>
          <t>트리트먼트</t>
        </is>
      </c>
      <c r="F2173" s="9" t="inlineStr">
        <is>
          <t>카페24</t>
        </is>
      </c>
      <c r="G2173" s="9" t="inlineStr">
        <is>
          <t>라베나 리커버리 15 헤어팩 트리트먼트 [HAIR RÉ:COVERY 15 Hairpack Treatment]제품선택=헤어 리커버리 15 헤어팩 트리트먼트</t>
        </is>
      </c>
      <c r="H2173" s="9" t="n">
        <v>3</v>
      </c>
      <c r="I2173" s="9" t="inlineStr">
        <is>
          <t>트리트먼트</t>
        </is>
      </c>
      <c r="J2173" s="9" t="inlineStr">
        <is>
          <t>210201</t>
        </is>
      </c>
      <c r="L2173" s="9" t="n">
        <v>78000</v>
      </c>
      <c r="M2173" s="9" t="n">
        <v>73437</v>
      </c>
      <c r="N2173" s="9" t="n">
        <v>4791</v>
      </c>
      <c r="O217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174">
      <c r="B2174" s="10" t="n">
        <v>44288</v>
      </c>
      <c r="C2174" s="9" t="inlineStr">
        <is>
          <t>금</t>
        </is>
      </c>
      <c r="E2174" s="9" t="inlineStr">
        <is>
          <t>트리트먼트</t>
        </is>
      </c>
      <c r="F2174" s="9" t="inlineStr">
        <is>
          <t>카페24</t>
        </is>
      </c>
      <c r="G2174" s="9" t="inlineStr">
        <is>
          <t>라베나 리커버리 15 헤어팩 트리트먼트 [HAIR RÉ:COVERY 15 Hairpack Treatment]제품선택=헤어팩 트리트먼트 2개 세트 5% 추가할인</t>
        </is>
      </c>
      <c r="H2174" s="9" t="n">
        <v>2</v>
      </c>
      <c r="I2174" s="9" t="inlineStr">
        <is>
          <t>트리트먼트 2set</t>
        </is>
      </c>
      <c r="J2174" s="9" t="inlineStr">
        <is>
          <t>210201</t>
        </is>
      </c>
      <c r="L2174" s="9" t="n">
        <v>98800</v>
      </c>
      <c r="M2174" s="9" t="n">
        <v>93020.2</v>
      </c>
      <c r="N2174" s="9" t="n">
        <v>6388</v>
      </c>
      <c r="O217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175">
      <c r="B2175" s="10" t="n">
        <v>44288</v>
      </c>
      <c r="C2175" s="9" t="inlineStr">
        <is>
          <t>금</t>
        </is>
      </c>
      <c r="E2175" s="9" t="inlineStr">
        <is>
          <t>트리트먼트</t>
        </is>
      </c>
      <c r="F2175" s="9" t="inlineStr">
        <is>
          <t>카페24</t>
        </is>
      </c>
      <c r="G2175" s="9" t="inlineStr">
        <is>
          <t>라베나 리커버리 15 헤어팩 트리트먼트 [HAIR RÉ:COVERY 15 Hairpack Treatment]제품선택=헤어팩 트리트먼트 1개 + 뉴트리셔스밤 1개 세트 5% 추가할인</t>
        </is>
      </c>
      <c r="H2175" s="9" t="n">
        <v>1</v>
      </c>
      <c r="I2175" s="9" t="inlineStr">
        <is>
          <t>트리트먼트+뉴트리셔스밤</t>
        </is>
      </c>
      <c r="J2175" s="9" t="inlineStr">
        <is>
          <t>210201</t>
        </is>
      </c>
      <c r="L2175" s="9" t="n">
        <v>48355</v>
      </c>
      <c r="M2175" s="9" t="n">
        <v>45526.2325</v>
      </c>
      <c r="N2175" s="9" t="n">
        <v>3177</v>
      </c>
      <c r="O2175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176">
      <c r="B2176" s="10" t="n">
        <v>44289</v>
      </c>
      <c r="C2176" s="9" t="inlineStr">
        <is>
          <t>토</t>
        </is>
      </c>
      <c r="E2176" s="9" t="inlineStr">
        <is>
          <t>뉴트리셔스밤</t>
        </is>
      </c>
      <c r="F2176" s="9" t="inlineStr">
        <is>
          <t>카페24</t>
        </is>
      </c>
      <c r="G2176" s="9" t="inlineStr">
        <is>
          <t>라베나 리커버리 15 뉴트리셔스 밤 [HAIR RÉ:COVERY 15 Nutritious Balm]제품선택=헤어 리커버리 15 뉴트리셔스 밤</t>
        </is>
      </c>
      <c r="H2176" s="9" t="n">
        <v>24</v>
      </c>
      <c r="I2176" s="9" t="inlineStr">
        <is>
          <t>뉴트리셔스밤</t>
        </is>
      </c>
      <c r="J2176" s="9" t="inlineStr">
        <is>
          <t>210201</t>
        </is>
      </c>
      <c r="L2176" s="9" t="n">
        <v>597600</v>
      </c>
      <c r="M2176" s="9" t="n">
        <v>562640.3999999999</v>
      </c>
      <c r="N2176" s="9" t="n">
        <v>37920</v>
      </c>
      <c r="O2176" s="9" t="inlineStr">
        <is>
          <t>카페24뉴트리셔스밤라베나 리커버리 15 뉴트리셔스 밤 [HAIR RÉ:COVERY 15 Nutritious Balm]제품선택=헤어 리커버리 15 뉴트리셔스 밤210201</t>
        </is>
      </c>
    </row>
    <row r="2177">
      <c r="B2177" s="10" t="n">
        <v>44289</v>
      </c>
      <c r="C2177" s="9" t="inlineStr">
        <is>
          <t>토</t>
        </is>
      </c>
      <c r="E2177" s="9" t="inlineStr">
        <is>
          <t>뉴트리셔스밤</t>
        </is>
      </c>
      <c r="F2177" s="9" t="inlineStr">
        <is>
          <t>카페24</t>
        </is>
      </c>
      <c r="G2177" s="9" t="inlineStr">
        <is>
          <t>라베나 리커버리 15 뉴트리셔스 밤 [HAIR RÉ:COVERY 15 Nutritious Balm]제품선택=뉴트리셔스 밤 2개 세트 5% 추가할인</t>
        </is>
      </c>
      <c r="H2177" s="9" t="n">
        <v>4</v>
      </c>
      <c r="I2177" s="9" t="inlineStr">
        <is>
          <t>뉴트리셔스밤 2set</t>
        </is>
      </c>
      <c r="J2177" s="9" t="inlineStr">
        <is>
          <t>210201</t>
        </is>
      </c>
      <c r="L2177" s="9" t="n">
        <v>189240</v>
      </c>
      <c r="M2177" s="9" t="n">
        <v>178169.46</v>
      </c>
      <c r="N2177" s="9" t="n">
        <v>12640</v>
      </c>
      <c r="O2177" s="9" t="inlineStr">
        <is>
          <t>카페24뉴트리셔스밤라베나 리커버리 15 뉴트리셔스 밤 [HAIR RÉ:COVERY 15 Nutritious Balm]제품선택=뉴트리셔스 밤 2개 세트 5% 추가할인210201</t>
        </is>
      </c>
    </row>
    <row r="2178">
      <c r="B2178" s="10" t="n">
        <v>44289</v>
      </c>
      <c r="C2178" s="9" t="inlineStr">
        <is>
          <t>토</t>
        </is>
      </c>
      <c r="E2178" s="9" t="inlineStr">
        <is>
          <t>뉴트리셔스밤</t>
        </is>
      </c>
      <c r="F2178" s="9" t="inlineStr">
        <is>
          <t>카페24</t>
        </is>
      </c>
      <c r="G2178" s="9" t="inlineStr">
        <is>
          <t>라베나 리커버리 15 뉴트리셔스 밤 [HAIR RÉ:COVERY 15 Nutritious Balm]제품선택=뉴트리셔스 밤 3개 세트 10% 추가할인</t>
        </is>
      </c>
      <c r="H2178" s="9" t="n">
        <v>3</v>
      </c>
      <c r="I2178" s="9" t="inlineStr">
        <is>
          <t>뉴트리셔스밤 3set</t>
        </is>
      </c>
      <c r="J2178" s="9" t="inlineStr">
        <is>
          <t>210201</t>
        </is>
      </c>
      <c r="L2178" s="9" t="n">
        <v>201690</v>
      </c>
      <c r="M2178" s="9" t="n">
        <v>189891.135</v>
      </c>
      <c r="N2178" s="9" t="n">
        <v>14220</v>
      </c>
      <c r="O2178" s="9" t="inlineStr">
        <is>
          <t>카페24뉴트리셔스밤라베나 리커버리 15 뉴트리셔스 밤 [HAIR RÉ:COVERY 15 Nutritious Balm]제품선택=뉴트리셔스 밤 3개 세트 10% 추가할인210201</t>
        </is>
      </c>
    </row>
    <row r="2179">
      <c r="B2179" s="10" t="n">
        <v>44289</v>
      </c>
      <c r="C2179" s="9" t="inlineStr">
        <is>
          <t>토</t>
        </is>
      </c>
      <c r="E2179" s="9" t="inlineStr">
        <is>
          <t>뉴트리셔스밤</t>
        </is>
      </c>
      <c r="F2179" s="9" t="inlineStr">
        <is>
          <t>카페24</t>
        </is>
      </c>
      <c r="G2179" s="9" t="inlineStr">
        <is>
          <t>라베나 리커버리 15 뉴트리셔스 밤 [HAIR RÉ:COVERY 15 Nutritious Balm]제품선택=뉴트리셔스밤 1개 + 헤어팩 트리트먼트 1개 세트 5%추가할인</t>
        </is>
      </c>
      <c r="H2179" s="9" t="n">
        <v>2</v>
      </c>
      <c r="I2179" s="9" t="inlineStr">
        <is>
          <t>트리트먼트+뉴트리셔스밤</t>
        </is>
      </c>
      <c r="J2179" s="9" t="inlineStr">
        <is>
          <t>210201</t>
        </is>
      </c>
      <c r="L2179" s="9" t="n">
        <v>96710</v>
      </c>
      <c r="M2179" s="9" t="n">
        <v>91052.465</v>
      </c>
      <c r="N2179" s="9" t="n">
        <v>6354</v>
      </c>
      <c r="O217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180">
      <c r="B2180" s="10" t="n">
        <v>44289</v>
      </c>
      <c r="C2180" s="9" t="inlineStr">
        <is>
          <t>토</t>
        </is>
      </c>
      <c r="E2180" s="9" t="inlineStr">
        <is>
          <t>샴푸</t>
        </is>
      </c>
      <c r="F2180" s="9" t="inlineStr">
        <is>
          <t>카페24</t>
        </is>
      </c>
      <c r="G2180" s="9" t="inlineStr">
        <is>
          <t>라베나 리커버리 15 리바이탈 바이오플라보노이드샴푸 [HAIR RÉ:COVERY 15 Revital Shampoo]제품선택=헤어 리커버리 15 리바이탈 샴푸 - 500ml</t>
        </is>
      </c>
      <c r="H2180" s="9" t="n">
        <v>111</v>
      </c>
      <c r="I2180" s="9" t="inlineStr">
        <is>
          <t>리바이탈 샴푸</t>
        </is>
      </c>
      <c r="J2180" s="9" t="inlineStr">
        <is>
          <t>210201</t>
        </is>
      </c>
      <c r="L2180" s="9" t="n">
        <v>2985900</v>
      </c>
      <c r="M2180" s="9" t="n">
        <v>2811224.85</v>
      </c>
      <c r="N2180" s="9" t="n">
        <v>318015</v>
      </c>
      <c r="O218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181">
      <c r="B2181" s="10" t="n">
        <v>44289</v>
      </c>
      <c r="C2181" s="9" t="inlineStr">
        <is>
          <t>토</t>
        </is>
      </c>
      <c r="E2181" s="9" t="inlineStr">
        <is>
          <t>샴푸</t>
        </is>
      </c>
      <c r="F2181" s="9" t="inlineStr">
        <is>
          <t>카페24</t>
        </is>
      </c>
      <c r="G2181" s="9" t="inlineStr">
        <is>
          <t>라베나 리커버리 15 리바이탈 바이오플라보노이드샴푸 [HAIR RÉ:COVERY 15 Revital Shampoo]제품선택=리바이탈 샴푸 2개 세트 5%추가할인</t>
        </is>
      </c>
      <c r="H2181" s="9" t="n">
        <v>41</v>
      </c>
      <c r="I2181" s="9" t="inlineStr">
        <is>
          <t>리바이탈 샴푸 2set</t>
        </is>
      </c>
      <c r="J2181" s="9" t="inlineStr">
        <is>
          <t>210201</t>
        </is>
      </c>
      <c r="L2181" s="9" t="n">
        <v>2095510</v>
      </c>
      <c r="M2181" s="9" t="n">
        <v>1972922.665</v>
      </c>
      <c r="N2181" s="9" t="n">
        <v>234930</v>
      </c>
      <c r="O218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182">
      <c r="B2182" s="10" t="n">
        <v>44289</v>
      </c>
      <c r="C2182" s="9" t="inlineStr">
        <is>
          <t>토</t>
        </is>
      </c>
      <c r="E2182" s="9" t="inlineStr">
        <is>
          <t>샴푸</t>
        </is>
      </c>
      <c r="F2182" s="9" t="inlineStr">
        <is>
          <t>카페24</t>
        </is>
      </c>
      <c r="G2182" s="9" t="inlineStr">
        <is>
          <t>라베나 리커버리 15 리바이탈 바이오플라보노이드샴푸 [HAIR RÉ:COVERY 15 Revital Shampoo]제품선택=리바이탈 샴푸 3개 세트 10% 추가할인</t>
        </is>
      </c>
      <c r="H2182" s="9" t="n">
        <v>16</v>
      </c>
      <c r="I2182" s="9" t="inlineStr">
        <is>
          <t>리바이탈 샴푸 3set</t>
        </is>
      </c>
      <c r="J2182" s="9" t="inlineStr">
        <is>
          <t>210201</t>
        </is>
      </c>
      <c r="L2182" s="9" t="n">
        <v>1162080</v>
      </c>
      <c r="M2182" s="9" t="n">
        <v>1094098.32</v>
      </c>
      <c r="N2182" s="9" t="n">
        <v>137520</v>
      </c>
      <c r="O218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183">
      <c r="B2183" s="10" t="n">
        <v>44289</v>
      </c>
      <c r="C2183" s="9" t="inlineStr">
        <is>
          <t>토</t>
        </is>
      </c>
      <c r="E2183" s="9" t="inlineStr">
        <is>
          <t>샴푸</t>
        </is>
      </c>
      <c r="F2183" s="9" t="inlineStr">
        <is>
          <t>카페24</t>
        </is>
      </c>
      <c r="G2183" s="9" t="inlineStr">
        <is>
          <t>라베나 리커버리 15 리바이탈 샴푸 [HAIR RÉ:COVERY 15 Revital Shampoo]제품선택=리바이탈 샴푸 2개 세트 5%추가할인</t>
        </is>
      </c>
      <c r="H2183" s="9" t="n">
        <v>1</v>
      </c>
      <c r="I2183" s="9" t="inlineStr">
        <is>
          <t>리바이탈 샴푸 2set</t>
        </is>
      </c>
      <c r="J2183" s="9" t="inlineStr">
        <is>
          <t>210201</t>
        </is>
      </c>
      <c r="L2183" s="9" t="n">
        <v>51110</v>
      </c>
      <c r="M2183" s="9" t="n">
        <v>48120.065</v>
      </c>
      <c r="N2183" s="9" t="n">
        <v>5730</v>
      </c>
      <c r="O2183" s="9" t="inlineStr">
        <is>
          <t>카페24샴푸라베나 리커버리 15 리바이탈 샴푸 [HAIR RÉ:COVERY 15 Revital Shampoo]제품선택=리바이탈 샴푸 2개 세트 5%추가할인210201</t>
        </is>
      </c>
    </row>
    <row r="2184">
      <c r="B2184" s="10" t="n">
        <v>44289</v>
      </c>
      <c r="C2184" s="9" t="inlineStr">
        <is>
          <t>토</t>
        </is>
      </c>
      <c r="E2184" s="9" t="inlineStr">
        <is>
          <t>트리트먼트</t>
        </is>
      </c>
      <c r="F2184" s="9" t="inlineStr">
        <is>
          <t>카페24</t>
        </is>
      </c>
      <c r="G2184" s="9" t="inlineStr">
        <is>
          <t>라베나 리커버리 15 헤어팩 트리트먼트 [HAIR RÉ:COVERY 15 Hairpack Treatment]제품선택=헤어 리커버리 15 헤어팩 트리트먼트</t>
        </is>
      </c>
      <c r="H2184" s="9" t="n">
        <v>6</v>
      </c>
      <c r="I2184" s="9" t="inlineStr">
        <is>
          <t>트리트먼트</t>
        </is>
      </c>
      <c r="J2184" s="9" t="inlineStr">
        <is>
          <t>210201</t>
        </is>
      </c>
      <c r="L2184" s="9" t="n">
        <v>156000</v>
      </c>
      <c r="M2184" s="9" t="n">
        <v>146874</v>
      </c>
      <c r="N2184" s="9" t="n">
        <v>9582</v>
      </c>
      <c r="O218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185">
      <c r="B2185" s="10" t="n">
        <v>44289</v>
      </c>
      <c r="C2185" s="9" t="inlineStr">
        <is>
          <t>토</t>
        </is>
      </c>
      <c r="E2185" s="9" t="inlineStr">
        <is>
          <t>트리트먼트</t>
        </is>
      </c>
      <c r="F2185" s="9" t="inlineStr">
        <is>
          <t>카페24</t>
        </is>
      </c>
      <c r="G2185" s="9" t="inlineStr">
        <is>
          <t>라베나 리커버리 15 헤어팩 트리트먼트 [HAIR RÉ:COVERY 15 Hairpack Treatment]제품선택=헤어팩 트리트먼트 1개 + 뉴트리셔스밤 1개 세트 5% 추가할인</t>
        </is>
      </c>
      <c r="H2185" s="9" t="n">
        <v>1</v>
      </c>
      <c r="I2185" s="9" t="inlineStr">
        <is>
          <t>트리트먼트+뉴트리셔스밤</t>
        </is>
      </c>
      <c r="J2185" s="9" t="inlineStr">
        <is>
          <t>210201</t>
        </is>
      </c>
      <c r="L2185" s="9" t="n">
        <v>48355</v>
      </c>
      <c r="M2185" s="9" t="n">
        <v>45526.2325</v>
      </c>
      <c r="N2185" s="9" t="n">
        <v>3177</v>
      </c>
      <c r="O2185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186">
      <c r="B2186" s="10" t="n">
        <v>44290</v>
      </c>
      <c r="C2186" s="9" t="inlineStr">
        <is>
          <t>일</t>
        </is>
      </c>
      <c r="E2186" s="9" t="inlineStr">
        <is>
          <t>뉴트리셔스밤</t>
        </is>
      </c>
      <c r="F2186" s="9" t="inlineStr">
        <is>
          <t>카페24</t>
        </is>
      </c>
      <c r="G2186" s="9" t="inlineStr">
        <is>
          <t>라베나 리커버리 15 뉴트리셔스 밤 [HAIR RÉ:COVERY 15 Nutritious Balm]제품선택=헤어 리커버리 15 뉴트리셔스 밤</t>
        </is>
      </c>
      <c r="H2186" s="9" t="n">
        <v>20</v>
      </c>
      <c r="I2186" s="9" t="inlineStr">
        <is>
          <t>뉴트리셔스밤</t>
        </is>
      </c>
      <c r="J2186" s="9" t="inlineStr">
        <is>
          <t>210201</t>
        </is>
      </c>
      <c r="L2186" s="9" t="n">
        <v>498000</v>
      </c>
      <c r="M2186" s="9" t="n">
        <v>468867</v>
      </c>
      <c r="N2186" s="9" t="n">
        <v>31600</v>
      </c>
      <c r="O2186" s="9" t="inlineStr">
        <is>
          <t>카페24뉴트리셔스밤라베나 리커버리 15 뉴트리셔스 밤 [HAIR RÉ:COVERY 15 Nutritious Balm]제품선택=헤어 리커버리 15 뉴트리셔스 밤210201</t>
        </is>
      </c>
    </row>
    <row r="2187">
      <c r="B2187" s="10" t="n">
        <v>44290</v>
      </c>
      <c r="C2187" s="9" t="inlineStr">
        <is>
          <t>일</t>
        </is>
      </c>
      <c r="E2187" s="9" t="inlineStr">
        <is>
          <t>뉴트리셔스밤</t>
        </is>
      </c>
      <c r="F2187" s="9" t="inlineStr">
        <is>
          <t>카페24</t>
        </is>
      </c>
      <c r="G2187" s="9" t="inlineStr">
        <is>
          <t>라베나 리커버리 15 뉴트리셔스 밤 [HAIR RÉ:COVERY 15 Nutritious Balm]제품선택=뉴트리셔스 밤 2개 세트 5% 추가할인</t>
        </is>
      </c>
      <c r="H2187" s="9" t="n">
        <v>6</v>
      </c>
      <c r="I2187" s="9" t="inlineStr">
        <is>
          <t>뉴트리셔스밤 2set</t>
        </is>
      </c>
      <c r="J2187" s="9" t="inlineStr">
        <is>
          <t>210201</t>
        </is>
      </c>
      <c r="L2187" s="9" t="n">
        <v>283860</v>
      </c>
      <c r="M2187" s="9" t="n">
        <v>267254.19</v>
      </c>
      <c r="N2187" s="9" t="n">
        <v>18960</v>
      </c>
      <c r="O2187" s="9" t="inlineStr">
        <is>
          <t>카페24뉴트리셔스밤라베나 리커버리 15 뉴트리셔스 밤 [HAIR RÉ:COVERY 15 Nutritious Balm]제품선택=뉴트리셔스 밤 2개 세트 5% 추가할인210201</t>
        </is>
      </c>
    </row>
    <row r="2188">
      <c r="B2188" s="10" t="n">
        <v>44290</v>
      </c>
      <c r="C2188" s="9" t="inlineStr">
        <is>
          <t>일</t>
        </is>
      </c>
      <c r="E2188" s="9" t="inlineStr">
        <is>
          <t>뉴트리셔스밤</t>
        </is>
      </c>
      <c r="F2188" s="9" t="inlineStr">
        <is>
          <t>카페24</t>
        </is>
      </c>
      <c r="G2188" s="9" t="inlineStr">
        <is>
          <t>라베나 리커버리 15 뉴트리셔스 밤 [HAIR RÉ:COVERY 15 Nutritious Balm]제품선택=뉴트리셔스 밤 3개 세트 10% 추가할인</t>
        </is>
      </c>
      <c r="H2188" s="9" t="n">
        <v>2</v>
      </c>
      <c r="I2188" s="9" t="inlineStr">
        <is>
          <t>뉴트리셔스밤 3set</t>
        </is>
      </c>
      <c r="J2188" s="9" t="inlineStr">
        <is>
          <t>210201</t>
        </is>
      </c>
      <c r="L2188" s="9" t="n">
        <v>134460</v>
      </c>
      <c r="M2188" s="9" t="n">
        <v>126594.09</v>
      </c>
      <c r="N2188" s="9" t="n">
        <v>9480</v>
      </c>
      <c r="O2188" s="9" t="inlineStr">
        <is>
          <t>카페24뉴트리셔스밤라베나 리커버리 15 뉴트리셔스 밤 [HAIR RÉ:COVERY 15 Nutritious Balm]제품선택=뉴트리셔스 밤 3개 세트 10% 추가할인210201</t>
        </is>
      </c>
    </row>
    <row r="2189">
      <c r="B2189" s="10" t="n">
        <v>44290</v>
      </c>
      <c r="C2189" s="9" t="inlineStr">
        <is>
          <t>일</t>
        </is>
      </c>
      <c r="E2189" s="9" t="inlineStr">
        <is>
          <t>뉴트리셔스밤</t>
        </is>
      </c>
      <c r="F2189" s="9" t="inlineStr">
        <is>
          <t>카페24</t>
        </is>
      </c>
      <c r="G2189" s="9" t="inlineStr">
        <is>
          <t>라베나 리커버리 15 뉴트리셔스 밤 [HAIR RÉ:COVERY 15 Nutritious Balm]제품선택=뉴트리셔스밤 1개 + 헤어팩 트리트먼트 1개 세트 5%추가할인</t>
        </is>
      </c>
      <c r="H2189" s="9" t="n">
        <v>2</v>
      </c>
      <c r="I2189" s="9" t="inlineStr">
        <is>
          <t>트리트먼트+뉴트리셔스밤</t>
        </is>
      </c>
      <c r="J2189" s="9" t="inlineStr">
        <is>
          <t>210201</t>
        </is>
      </c>
      <c r="L2189" s="9" t="n">
        <v>96710</v>
      </c>
      <c r="M2189" s="9" t="n">
        <v>91052.465</v>
      </c>
      <c r="N2189" s="9" t="n">
        <v>6354</v>
      </c>
      <c r="O218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190">
      <c r="B2190" s="10" t="n">
        <v>44290</v>
      </c>
      <c r="C2190" s="9" t="inlineStr">
        <is>
          <t>일</t>
        </is>
      </c>
      <c r="E2190" s="9" t="inlineStr">
        <is>
          <t>샴푸</t>
        </is>
      </c>
      <c r="F2190" s="9" t="inlineStr">
        <is>
          <t>카페24</t>
        </is>
      </c>
      <c r="G2190" s="9" t="inlineStr">
        <is>
          <t>라베나 리커버리 15 리바이탈 바이오플라보노이드샴푸 [HAIR RÉ:COVERY 15 Revital Shampoo]제품선택=헤어 리커버리 15 리바이탈 샴푸 - 500ml</t>
        </is>
      </c>
      <c r="H2190" s="9" t="n">
        <v>134</v>
      </c>
      <c r="I2190" s="9" t="inlineStr">
        <is>
          <t>리바이탈 샴푸</t>
        </is>
      </c>
      <c r="J2190" s="9" t="inlineStr">
        <is>
          <t>210201</t>
        </is>
      </c>
      <c r="L2190" s="9" t="n">
        <v>3604600</v>
      </c>
      <c r="M2190" s="9" t="n">
        <v>3393730.9</v>
      </c>
      <c r="N2190" s="9" t="n">
        <v>383910</v>
      </c>
      <c r="O219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191">
      <c r="B2191" s="10" t="n">
        <v>44290</v>
      </c>
      <c r="C2191" s="9" t="inlineStr">
        <is>
          <t>일</t>
        </is>
      </c>
      <c r="E2191" s="9" t="inlineStr">
        <is>
          <t>샴푸</t>
        </is>
      </c>
      <c r="F2191" s="9" t="inlineStr">
        <is>
          <t>카페24</t>
        </is>
      </c>
      <c r="G2191" s="9" t="inlineStr">
        <is>
          <t>라베나 리커버리 15 리바이탈 바이오플라보노이드샴푸 [HAIR RÉ:COVERY 15 Revital Shampoo]제품선택=리바이탈 샴푸 2개 세트 5%추가할인</t>
        </is>
      </c>
      <c r="H2191" s="9" t="n">
        <v>52</v>
      </c>
      <c r="I2191" s="9" t="inlineStr">
        <is>
          <t>리바이탈 샴푸 2set</t>
        </is>
      </c>
      <c r="J2191" s="9" t="inlineStr">
        <is>
          <t>210201</t>
        </is>
      </c>
      <c r="L2191" s="9" t="n">
        <v>2657720</v>
      </c>
      <c r="M2191" s="9" t="n">
        <v>2502243.38</v>
      </c>
      <c r="N2191" s="9" t="n">
        <v>297960</v>
      </c>
      <c r="O219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192">
      <c r="B2192" s="10" t="n">
        <v>44290</v>
      </c>
      <c r="C2192" s="9" t="inlineStr">
        <is>
          <t>일</t>
        </is>
      </c>
      <c r="E2192" s="9" t="inlineStr">
        <is>
          <t>샴푸</t>
        </is>
      </c>
      <c r="F2192" s="9" t="inlineStr">
        <is>
          <t>카페24</t>
        </is>
      </c>
      <c r="G2192" s="9" t="inlineStr">
        <is>
          <t>라베나 리커버리 15 리바이탈 바이오플라보노이드샴푸 [HAIR RÉ:COVERY 15 Revital Shampoo]제품선택=리바이탈 샴푸 3개 세트 10% 추가할인</t>
        </is>
      </c>
      <c r="H2192" s="9" t="n">
        <v>13</v>
      </c>
      <c r="I2192" s="9" t="inlineStr">
        <is>
          <t>리바이탈 샴푸 3set</t>
        </is>
      </c>
      <c r="J2192" s="9" t="inlineStr">
        <is>
          <t>210201</t>
        </is>
      </c>
      <c r="L2192" s="9" t="n">
        <v>944190</v>
      </c>
      <c r="M2192" s="9" t="n">
        <v>888954.885</v>
      </c>
      <c r="N2192" s="9" t="n">
        <v>111735</v>
      </c>
      <c r="O219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193">
      <c r="B2193" s="10" t="n">
        <v>44290</v>
      </c>
      <c r="C2193" s="9" t="inlineStr">
        <is>
          <t>일</t>
        </is>
      </c>
      <c r="E2193" s="9" t="inlineStr">
        <is>
          <t>샴푸</t>
        </is>
      </c>
      <c r="F2193" s="9" t="inlineStr">
        <is>
          <t>카페24</t>
        </is>
      </c>
      <c r="G2193" s="9" t="inlineStr">
        <is>
          <t>라베나 리커버리 15 리바이탈 샴푸 [HAIR RÉ:COVERY 15 Revital Shampoo]제품선택=리바이탈 샴푸 2개 세트 5%추가할인</t>
        </is>
      </c>
      <c r="H2193" s="9" t="n">
        <v>1</v>
      </c>
      <c r="I2193" s="9" t="inlineStr">
        <is>
          <t>리바이탈 샴푸 2set</t>
        </is>
      </c>
      <c r="J2193" s="9" t="inlineStr">
        <is>
          <t>210201</t>
        </is>
      </c>
      <c r="L2193" s="9" t="n">
        <v>51110</v>
      </c>
      <c r="M2193" s="9" t="n">
        <v>48120.065</v>
      </c>
      <c r="N2193" s="9" t="n">
        <v>5730</v>
      </c>
      <c r="O2193" s="9" t="inlineStr">
        <is>
          <t>카페24샴푸라베나 리커버리 15 리바이탈 샴푸 [HAIR RÉ:COVERY 15 Revital Shampoo]제품선택=리바이탈 샴푸 2개 세트 5%추가할인210201</t>
        </is>
      </c>
    </row>
    <row r="2194">
      <c r="B2194" s="10" t="n">
        <v>44290</v>
      </c>
      <c r="C2194" s="9" t="inlineStr">
        <is>
          <t>일</t>
        </is>
      </c>
      <c r="E2194" s="9" t="inlineStr">
        <is>
          <t>트리트먼트</t>
        </is>
      </c>
      <c r="F2194" s="9" t="inlineStr">
        <is>
          <t>카페24</t>
        </is>
      </c>
      <c r="G2194" s="9" t="inlineStr">
        <is>
          <t>라베나 리커버리 15 헤어팩 트리트먼트 [HAIR RÉ:COVERY 15 Hairpack Treatment]제품선택=헤어 리커버리 15 헤어팩 트리트먼트</t>
        </is>
      </c>
      <c r="H2194" s="9" t="n">
        <v>7</v>
      </c>
      <c r="I2194" s="9" t="inlineStr">
        <is>
          <t>트리트먼트</t>
        </is>
      </c>
      <c r="J2194" s="9" t="inlineStr">
        <is>
          <t>210201</t>
        </is>
      </c>
      <c r="L2194" s="9" t="n">
        <v>182000</v>
      </c>
      <c r="M2194" s="9" t="n">
        <v>171353</v>
      </c>
      <c r="N2194" s="9" t="n">
        <v>11179</v>
      </c>
      <c r="O219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195">
      <c r="B2195" s="10" t="n">
        <v>44290</v>
      </c>
      <c r="C2195" s="9" t="inlineStr">
        <is>
          <t>일</t>
        </is>
      </c>
      <c r="E2195" s="9" t="inlineStr">
        <is>
          <t>트리트먼트</t>
        </is>
      </c>
      <c r="F2195" s="9" t="inlineStr">
        <is>
          <t>카페24</t>
        </is>
      </c>
      <c r="G2195" s="9" t="inlineStr">
        <is>
          <t>라베나 리커버리 15 헤어팩 트리트먼트 [HAIR RÉ:COVERY 15 Hairpack Treatment]제품선택=헤어팩 트리트먼트 3개 세트 10% 추가할인</t>
        </is>
      </c>
      <c r="H2195" s="9" t="n">
        <v>1</v>
      </c>
      <c r="I2195" s="9" t="inlineStr">
        <is>
          <t>트리트먼트 3set</t>
        </is>
      </c>
      <c r="J2195" s="9" t="inlineStr">
        <is>
          <t>210201</t>
        </is>
      </c>
      <c r="L2195" s="9" t="n">
        <v>70200</v>
      </c>
      <c r="M2195" s="9" t="n">
        <v>66093.3</v>
      </c>
      <c r="N2195" s="9" t="n">
        <v>4791</v>
      </c>
      <c r="O2195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196">
      <c r="B2196" s="10" t="n">
        <v>44290</v>
      </c>
      <c r="C2196" s="9" t="inlineStr">
        <is>
          <t>일</t>
        </is>
      </c>
      <c r="E2196" s="9" t="inlineStr">
        <is>
          <t>트리트먼트</t>
        </is>
      </c>
      <c r="F2196" s="9" t="inlineStr">
        <is>
          <t>카페24</t>
        </is>
      </c>
      <c r="G2196" s="9" t="inlineStr">
        <is>
          <t>라베나 리커버리 15 헤어팩 트리트먼트 [HAIR RÉ:COVERY 15 Hairpack Treatment]제품선택=헤어팩 트리트먼트 1개 + 뉴트리셔스밤 1개 세트 5% 추가할인</t>
        </is>
      </c>
      <c r="H2196" s="9" t="n">
        <v>2</v>
      </c>
      <c r="I2196" s="9" t="inlineStr">
        <is>
          <t>트리트먼트+뉴트리셔스밤</t>
        </is>
      </c>
      <c r="J2196" s="9" t="inlineStr">
        <is>
          <t>210201</t>
        </is>
      </c>
      <c r="L2196" s="9" t="n">
        <v>96710</v>
      </c>
      <c r="M2196" s="9" t="n">
        <v>91052.465</v>
      </c>
      <c r="N2196" s="9" t="n">
        <v>6354</v>
      </c>
      <c r="O2196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197">
      <c r="A2197" s="9" t="inlineStr">
        <is>
          <t>0405_샴푸_단장_카카오테스트</t>
        </is>
      </c>
      <c r="B2197" s="10" t="n">
        <v>44291</v>
      </c>
      <c r="C2197" s="9" t="inlineStr">
        <is>
          <t>월</t>
        </is>
      </c>
      <c r="D2197" s="9" t="inlineStr">
        <is>
          <t>페이스북</t>
        </is>
      </c>
      <c r="E2197" s="9" t="inlineStr">
        <is>
          <t>샴푸</t>
        </is>
      </c>
      <c r="K2197" s="9" t="n">
        <v>20280</v>
      </c>
    </row>
    <row r="2198">
      <c r="A2198" s="9" t="inlineStr">
        <is>
          <t>0402_샴푸_카드뉴스_효율테스트2차</t>
        </is>
      </c>
      <c r="B2198" s="10" t="n">
        <v>44291</v>
      </c>
      <c r="C2198" s="9" t="inlineStr">
        <is>
          <t>월</t>
        </is>
      </c>
      <c r="D2198" s="9" t="inlineStr">
        <is>
          <t>페이스북</t>
        </is>
      </c>
      <c r="E2198" s="9" t="inlineStr">
        <is>
          <t>샴푸</t>
        </is>
      </c>
      <c r="K2198" s="9" t="n">
        <v>165587</v>
      </c>
    </row>
    <row r="2199">
      <c r="A2199" s="9" t="inlineStr">
        <is>
          <t>0318~영상기반 단장</t>
        </is>
      </c>
      <c r="B2199" s="10" t="n">
        <v>44291</v>
      </c>
      <c r="C2199" s="9" t="inlineStr">
        <is>
          <t>월</t>
        </is>
      </c>
      <c r="D2199" s="9" t="inlineStr">
        <is>
          <t>페이스북</t>
        </is>
      </c>
      <c r="E2199" s="9" t="inlineStr">
        <is>
          <t>샴푸</t>
        </is>
      </c>
      <c r="K2199" s="9" t="n">
        <v>50866</v>
      </c>
    </row>
    <row r="2200">
      <c r="A2200" s="9" t="inlineStr">
        <is>
          <t>0316~영상베리</t>
        </is>
      </c>
      <c r="B2200" s="10" t="n">
        <v>44291</v>
      </c>
      <c r="C2200" s="9" t="inlineStr">
        <is>
          <t>월</t>
        </is>
      </c>
      <c r="D2200" s="9" t="inlineStr">
        <is>
          <t>페이스북</t>
        </is>
      </c>
      <c r="E2200" s="9" t="inlineStr">
        <is>
          <t>샴푸</t>
        </is>
      </c>
      <c r="K2200" s="9" t="n">
        <v>100261</v>
      </c>
    </row>
    <row r="2201">
      <c r="A2201" s="9" t="inlineStr">
        <is>
          <t>0322_샴푸_GDN_이현1차</t>
        </is>
      </c>
      <c r="B2201" s="10" t="n">
        <v>44291</v>
      </c>
      <c r="C2201" s="9" t="inlineStr">
        <is>
          <t>월</t>
        </is>
      </c>
      <c r="D2201" s="9" t="inlineStr">
        <is>
          <t>GDN</t>
        </is>
      </c>
      <c r="E2201" s="9" t="inlineStr">
        <is>
          <t>샴푸</t>
        </is>
      </c>
      <c r="K2201" s="9" t="n">
        <v>210129</v>
      </c>
    </row>
    <row r="2202">
      <c r="A2202" s="9" t="inlineStr">
        <is>
          <t>0324_샴푸_SDC_CPA</t>
        </is>
      </c>
      <c r="B2202" s="10" t="n">
        <v>44291</v>
      </c>
      <c r="C2202" s="9" t="inlineStr">
        <is>
          <t>월</t>
        </is>
      </c>
      <c r="D2202" s="9" t="inlineStr">
        <is>
          <t>페이스북</t>
        </is>
      </c>
      <c r="E2202" s="9" t="inlineStr">
        <is>
          <t>샴푸</t>
        </is>
      </c>
      <c r="K2202" s="9" t="n">
        <v>140000</v>
      </c>
    </row>
    <row r="2203">
      <c r="A2203" s="9" t="inlineStr">
        <is>
          <t>0324_샴푸_VAC_CPA</t>
        </is>
      </c>
      <c r="B2203" s="10" t="n">
        <v>44291</v>
      </c>
      <c r="C2203" s="9" t="inlineStr">
        <is>
          <t>월</t>
        </is>
      </c>
      <c r="D2203" s="9" t="inlineStr">
        <is>
          <t>유튜브</t>
        </is>
      </c>
      <c r="E2203" s="9" t="inlineStr">
        <is>
          <t>샴푸</t>
        </is>
      </c>
      <c r="K2203" s="9" t="n">
        <v>1572044</v>
      </c>
    </row>
    <row r="2204">
      <c r="A2204" s="9" t="inlineStr">
        <is>
          <t>0329_샴푸_GDN_키워드</t>
        </is>
      </c>
      <c r="B2204" s="10" t="n">
        <v>44291</v>
      </c>
      <c r="C2204" s="9" t="inlineStr">
        <is>
          <t>월</t>
        </is>
      </c>
      <c r="D2204" s="9" t="inlineStr">
        <is>
          <t>GDN</t>
        </is>
      </c>
      <c r="E2204" s="9" t="inlineStr">
        <is>
          <t>샴푸</t>
        </is>
      </c>
      <c r="K2204" s="9" t="n">
        <v>98607</v>
      </c>
    </row>
    <row r="2205">
      <c r="A2205" s="9" t="inlineStr">
        <is>
          <t>0330_샴푸_cpv_200만뷰</t>
        </is>
      </c>
      <c r="B2205" s="10" t="n">
        <v>44291</v>
      </c>
      <c r="C2205" s="9" t="inlineStr">
        <is>
          <t>월</t>
        </is>
      </c>
      <c r="D2205" s="9" t="inlineStr">
        <is>
          <t>유튜브</t>
        </is>
      </c>
      <c r="E2205" s="9" t="inlineStr">
        <is>
          <t>샴푸</t>
        </is>
      </c>
      <c r="K2205" s="9" t="n">
        <v>1124017</v>
      </c>
    </row>
    <row r="2206">
      <c r="A2206" s="9" t="inlineStr">
        <is>
          <t>0402_노워시_cpv_아이돌2차</t>
        </is>
      </c>
      <c r="B2206" s="10" t="n">
        <v>44291</v>
      </c>
      <c r="C2206" s="9" t="inlineStr">
        <is>
          <t>월</t>
        </is>
      </c>
      <c r="D2206" s="9" t="inlineStr">
        <is>
          <t>유튜브</t>
        </is>
      </c>
      <c r="E2206" s="9" t="inlineStr">
        <is>
          <t>뉴트리셔스밤</t>
        </is>
      </c>
      <c r="K2206" s="9" t="n">
        <v>915112</v>
      </c>
    </row>
    <row r="2207">
      <c r="A2207" s="9" t="inlineStr">
        <is>
          <t>라베나 파워링크_샴푸_광고그룹#1</t>
        </is>
      </c>
      <c r="B2207" s="10" t="n">
        <v>44291</v>
      </c>
      <c r="C2207" s="9" t="inlineStr">
        <is>
          <t>월</t>
        </is>
      </c>
      <c r="D2207" s="9" t="inlineStr">
        <is>
          <t>네이버 검색</t>
        </is>
      </c>
      <c r="E2207" s="9" t="inlineStr">
        <is>
          <t>샴푸</t>
        </is>
      </c>
      <c r="K2207" s="9" t="n">
        <v>2360</v>
      </c>
    </row>
    <row r="2208">
      <c r="A2208" s="9" t="inlineStr">
        <is>
          <t>라베나 파워링크_샴푸#1_유튜브키워드기반</t>
        </is>
      </c>
      <c r="B2208" s="10" t="n">
        <v>44291</v>
      </c>
      <c r="C2208" s="9" t="inlineStr">
        <is>
          <t>월</t>
        </is>
      </c>
      <c r="D2208" s="9" t="inlineStr">
        <is>
          <t>네이버 검색</t>
        </is>
      </c>
      <c r="E2208" s="9" t="inlineStr">
        <is>
          <t>샴푸</t>
        </is>
      </c>
      <c r="K2208" s="9" t="n">
        <v>9550</v>
      </c>
    </row>
    <row r="2209">
      <c r="A2209" s="9" t="inlineStr">
        <is>
          <t>샴푸_쇼핑검색#1_광고그룹#1</t>
        </is>
      </c>
      <c r="B2209" s="10" t="n">
        <v>44291</v>
      </c>
      <c r="C2209" s="9" t="inlineStr">
        <is>
          <t>월</t>
        </is>
      </c>
      <c r="D2209" s="9" t="inlineStr">
        <is>
          <t>네이버 검색</t>
        </is>
      </c>
      <c r="E2209" s="9" t="inlineStr">
        <is>
          <t>샴푸</t>
        </is>
      </c>
      <c r="K2209" s="9" t="n">
        <v>2010</v>
      </c>
    </row>
    <row r="2210">
      <c r="A2210" s="9" t="inlineStr">
        <is>
          <t>파워컨텐츠#1_비듬샴푸</t>
        </is>
      </c>
      <c r="B2210" s="10" t="n">
        <v>44291</v>
      </c>
      <c r="C2210" s="9" t="inlineStr">
        <is>
          <t>월</t>
        </is>
      </c>
      <c r="D2210" s="9" t="inlineStr">
        <is>
          <t>네이버 검색</t>
        </is>
      </c>
      <c r="E2210" s="9" t="inlineStr">
        <is>
          <t>샴푸</t>
        </is>
      </c>
      <c r="K2210" s="9" t="n">
        <v>140</v>
      </c>
    </row>
    <row r="2211">
      <c r="B2211" s="10" t="n">
        <v>44291</v>
      </c>
      <c r="C2211" s="9" t="inlineStr">
        <is>
          <t>월</t>
        </is>
      </c>
      <c r="E2211" s="9" t="inlineStr">
        <is>
          <t>샴푸</t>
        </is>
      </c>
      <c r="F2211" s="9" t="inlineStr">
        <is>
          <t>카페24</t>
        </is>
      </c>
      <c r="G2211" s="9" t="inlineStr">
        <is>
          <t>[타임특가] 리 : 커버리 3개월 패키지 (샴푸 2+ 트리트먼트 택 1)샴푸2 + 트리트먼트 택 1=샴푸2 + 노워시 1</t>
        </is>
      </c>
      <c r="H2211" s="9" t="n">
        <v>3</v>
      </c>
      <c r="I2211" s="9" t="inlineStr">
        <is>
          <t>0</t>
        </is>
      </c>
      <c r="J2211" s="9" t="inlineStr">
        <is>
          <t>210201</t>
        </is>
      </c>
      <c r="L2211" s="9">
        <f>62280*3</f>
        <v/>
      </c>
      <c r="M2211" s="9">
        <f>186840-(186840/5.85)</f>
        <v/>
      </c>
      <c r="N2211" s="9">
        <f>7310*3</f>
        <v/>
      </c>
      <c r="O2211" s="9" t="inlineStr">
        <is>
          <t>카페240[타임특가] 리 : 커버리 3개월 패키지 (샴푸 2+ 트리트먼트 택 1)샴푸2 + 트리트먼트 택 1=샴푸2 + 노워시 1210201</t>
        </is>
      </c>
    </row>
    <row r="2212">
      <c r="B2212" s="10" t="n">
        <v>44291</v>
      </c>
      <c r="C2212" s="9" t="inlineStr">
        <is>
          <t>월</t>
        </is>
      </c>
      <c r="E2212" s="9" t="inlineStr">
        <is>
          <t>샴푸</t>
        </is>
      </c>
      <c r="F2212" s="9" t="inlineStr">
        <is>
          <t>카페24</t>
        </is>
      </c>
      <c r="G2212" s="9" t="inlineStr">
        <is>
          <t>[타임특가] 리 : 커버리 3개월 패키지 (샴푸 2+ 트리트먼트 택 1)샴푸2 + 트리트먼트 택 1=샴푸2 + 워시오프 1</t>
        </is>
      </c>
      <c r="H2212" s="9" t="n">
        <v>9</v>
      </c>
      <c r="I2212" s="9" t="inlineStr">
        <is>
          <t>0</t>
        </is>
      </c>
      <c r="J2212" s="9" t="inlineStr">
        <is>
          <t>210201</t>
        </is>
      </c>
      <c r="L2212" s="9">
        <f>62280*9</f>
        <v/>
      </c>
      <c r="M2212" s="9">
        <f>560520-(560520/5.85)</f>
        <v/>
      </c>
      <c r="N2212" s="9">
        <f>7327*9</f>
        <v/>
      </c>
      <c r="O2212" s="9" t="inlineStr">
        <is>
          <t>카페240[타임특가] 리 : 커버리 3개월 패키지 (샴푸 2+ 트리트먼트 택 1)샴푸2 + 트리트먼트 택 1=샴푸2 + 워시오프 1210201</t>
        </is>
      </c>
    </row>
    <row r="2213">
      <c r="B2213" s="10" t="n">
        <v>44291</v>
      </c>
      <c r="C2213" s="9" t="inlineStr">
        <is>
          <t>월</t>
        </is>
      </c>
      <c r="E2213" s="9" t="inlineStr">
        <is>
          <t>샴푸</t>
        </is>
      </c>
      <c r="F2213" s="9" t="inlineStr">
        <is>
          <t>카페24</t>
        </is>
      </c>
      <c r="G2213" s="9" t="inlineStr">
        <is>
          <t>[타임특가] 리 : 커버리 3개월 패키지 (샴푸 2+ 트리트먼트 택 1)샴푸2 + 트리트먼트 택 1=샴푸2 + 헤어팩 트리트먼트1</t>
        </is>
      </c>
      <c r="H2213" s="9" t="n">
        <v>1</v>
      </c>
      <c r="I2213" s="9" t="inlineStr">
        <is>
          <t>0</t>
        </is>
      </c>
      <c r="J2213" s="9" t="inlineStr">
        <is>
          <t>210201</t>
        </is>
      </c>
      <c r="L2213" s="9">
        <f>62280</f>
        <v/>
      </c>
      <c r="M2213" s="9">
        <f>62280-(62280/5.85)</f>
        <v/>
      </c>
      <c r="N2213" s="9">
        <f>7327</f>
        <v/>
      </c>
      <c r="O2213" s="9" t="inlineStr">
        <is>
          <t>카페240[타임특가] 리 : 커버리 3개월 패키지 (샴푸 2+ 트리트먼트 택 1)샴푸2 + 트리트먼트 택 1=샴푸2 + 헤어팩 트리트먼트1210201</t>
        </is>
      </c>
    </row>
    <row r="2214">
      <c r="B2214" s="10" t="n">
        <v>44291</v>
      </c>
      <c r="C2214" s="9" t="inlineStr">
        <is>
          <t>월</t>
        </is>
      </c>
      <c r="E2214" s="9" t="inlineStr">
        <is>
          <t>샴푸</t>
        </is>
      </c>
      <c r="F2214" s="9" t="inlineStr">
        <is>
          <t>카페24</t>
        </is>
      </c>
      <c r="G2214" s="9" t="inlineStr">
        <is>
          <t>[타임특가] 리 : 커버리 6개월 패키지 (샴푸 5+ 트리트먼트 택 1)샴푸 5 + 트리트먼트 택 1=샴푸 5 + 노워시 1</t>
        </is>
      </c>
      <c r="H2214" s="9" t="n">
        <v>6</v>
      </c>
      <c r="I2214" s="9" t="inlineStr">
        <is>
          <t>0</t>
        </is>
      </c>
      <c r="J2214" s="9" t="inlineStr">
        <is>
          <t>210201</t>
        </is>
      </c>
      <c r="L2214" s="9">
        <f>114840*6</f>
        <v/>
      </c>
      <c r="M2214" s="9">
        <f>689040-(689040/5.85)</f>
        <v/>
      </c>
      <c r="N2214" s="9">
        <f>15905*6</f>
        <v/>
      </c>
      <c r="O2214" s="9" t="inlineStr">
        <is>
          <t>카페240[타임특가] 리 : 커버리 6개월 패키지 (샴푸 5+ 트리트먼트 택 1)샴푸 5 + 트리트먼트 택 1=샴푸 5 + 노워시 1210201</t>
        </is>
      </c>
    </row>
    <row r="2215">
      <c r="B2215" s="10" t="n">
        <v>44291</v>
      </c>
      <c r="C2215" s="9" t="inlineStr">
        <is>
          <t>월</t>
        </is>
      </c>
      <c r="E2215" s="9" t="inlineStr">
        <is>
          <t>샴푸</t>
        </is>
      </c>
      <c r="F2215" s="9" t="inlineStr">
        <is>
          <t>카페24</t>
        </is>
      </c>
      <c r="G2215" s="9" t="inlineStr">
        <is>
          <t>[타임특가] 리 : 커버리 6개월 패키지 (샴푸 5+ 트리트먼트 택 1)샴푸 5 + 트리트먼트 택 1=샴푸 5 + 뉴트리셔스 밤 1</t>
        </is>
      </c>
      <c r="H2215" s="9" t="n">
        <v>3</v>
      </c>
      <c r="I2215" s="9" t="inlineStr">
        <is>
          <t>0</t>
        </is>
      </c>
      <c r="J2215" s="9" t="inlineStr">
        <is>
          <t>210201</t>
        </is>
      </c>
      <c r="L2215" s="9">
        <f>114840*3</f>
        <v/>
      </c>
      <c r="M2215" s="9">
        <f>344520-(344520/5.85)</f>
        <v/>
      </c>
      <c r="O2215" s="9" t="inlineStr">
        <is>
          <t>카페240[타임특가] 리 : 커버리 6개월 패키지 (샴푸 5+ 트리트먼트 택 1)샴푸 5 + 트리트먼트 택 1=샴푸 5 + 뉴트리셔스 밤 1210201</t>
        </is>
      </c>
    </row>
    <row r="2216">
      <c r="B2216" s="10" t="n">
        <v>44291</v>
      </c>
      <c r="C2216" s="9" t="inlineStr">
        <is>
          <t>월</t>
        </is>
      </c>
      <c r="E2216" s="9" t="inlineStr">
        <is>
          <t>샴푸</t>
        </is>
      </c>
      <c r="F2216" s="9" t="inlineStr">
        <is>
          <t>카페24</t>
        </is>
      </c>
      <c r="G2216" s="9" t="inlineStr">
        <is>
          <t>[타임특가] 리 : 커버리 6개월 패키지 (샴푸 5+ 트리트먼트 택 1)샴푸 5 + 트리트먼트 택 1=샴푸 5 + 워시오프 1</t>
        </is>
      </c>
      <c r="H2216" s="9" t="n">
        <v>5</v>
      </c>
      <c r="I2216" s="9" t="inlineStr">
        <is>
          <t>0</t>
        </is>
      </c>
      <c r="J2216" s="9" t="inlineStr">
        <is>
          <t>210201</t>
        </is>
      </c>
      <c r="O2216" s="9" t="inlineStr">
        <is>
          <t>카페240[타임특가] 리 : 커버리 6개월 패키지 (샴푸 5+ 트리트먼트 택 1)샴푸 5 + 트리트먼트 택 1=샴푸 5 + 워시오프 1210201</t>
        </is>
      </c>
    </row>
    <row r="2217">
      <c r="B2217" s="10" t="n">
        <v>44291</v>
      </c>
      <c r="C2217" s="9" t="inlineStr">
        <is>
          <t>월</t>
        </is>
      </c>
      <c r="E2217" s="9" t="inlineStr">
        <is>
          <t>샴푸</t>
        </is>
      </c>
      <c r="F2217" s="9" t="inlineStr">
        <is>
          <t>카페24</t>
        </is>
      </c>
      <c r="G2217" s="9" t="inlineStr">
        <is>
          <t>[타임특가] 리 : 커버리 6개월 패키지 (샴푸 5+ 트리트먼트 택 1)샴푸 5 + 트리트먼트 택 1=샴푸 5 + 헤어팩 트리트먼트 1</t>
        </is>
      </c>
      <c r="H2217" s="9" t="n">
        <v>1</v>
      </c>
      <c r="I2217" s="9" t="inlineStr">
        <is>
          <t>0</t>
        </is>
      </c>
      <c r="J2217" s="9" t="inlineStr">
        <is>
          <t>210201</t>
        </is>
      </c>
      <c r="O2217" s="9" t="inlineStr">
        <is>
          <t>카페240[타임특가] 리 : 커버리 6개월 패키지 (샴푸 5+ 트리트먼트 택 1)샴푸 5 + 트리트먼트 택 1=샴푸 5 + 헤어팩 트리트먼트 1210201</t>
        </is>
      </c>
    </row>
    <row r="2218">
      <c r="B2218" s="10" t="n">
        <v>44291</v>
      </c>
      <c r="C2218" s="9" t="inlineStr">
        <is>
          <t>월</t>
        </is>
      </c>
      <c r="E2218" s="9" t="inlineStr">
        <is>
          <t>샴푸</t>
        </is>
      </c>
      <c r="F2218" s="9" t="inlineStr">
        <is>
          <t>카페24</t>
        </is>
      </c>
      <c r="G2218" s="9" t="inlineStr">
        <is>
          <t>[타임특가] 리 : 커버리 온가족 패키지 (샴푸 3+ 헤어팩 트리트먼트 1+뉴트리셔스 밤 1)</t>
        </is>
      </c>
      <c r="H2218" s="9" t="n">
        <v>6</v>
      </c>
      <c r="I2218" s="9" t="inlineStr">
        <is>
          <t>0</t>
        </is>
      </c>
      <c r="J2218" s="9" t="inlineStr">
        <is>
          <t>210201</t>
        </is>
      </c>
      <c r="O2218" s="9" t="inlineStr">
        <is>
          <t>카페240[타임특가] 리 : 커버리 온가족 패키지 (샴푸 3+ 헤어팩 트리트먼트 1+뉴트리셔스 밤 1)210201</t>
        </is>
      </c>
    </row>
    <row r="2219">
      <c r="B2219" s="10" t="n">
        <v>44291</v>
      </c>
      <c r="C2219" s="9" t="inlineStr">
        <is>
          <t>월</t>
        </is>
      </c>
      <c r="E2219" s="9" t="inlineStr">
        <is>
          <t>샴푸</t>
        </is>
      </c>
      <c r="F2219" s="9" t="inlineStr">
        <is>
          <t>카페24</t>
        </is>
      </c>
      <c r="G2219" s="9" t="inlineStr">
        <is>
          <t>[타임특가] 리:커버리 스타터 패키지 (샴푸 1+헤어팩 트리트먼트 1+ 뉴트리셔스 밤 1)</t>
        </is>
      </c>
      <c r="H2219" s="9" t="n">
        <v>7</v>
      </c>
      <c r="I2219" s="9" t="inlineStr">
        <is>
          <t>0</t>
        </is>
      </c>
      <c r="J2219" s="9" t="inlineStr">
        <is>
          <t>210201</t>
        </is>
      </c>
      <c r="O2219" s="9" t="inlineStr">
        <is>
          <t>카페240[타임특가] 리:커버리 스타터 패키지 (샴푸 1+헤어팩 트리트먼트 1+ 뉴트리셔스 밤 1)210201</t>
        </is>
      </c>
    </row>
    <row r="2220">
      <c r="B2220" s="10" t="n">
        <v>44291</v>
      </c>
      <c r="C2220" s="9" t="inlineStr">
        <is>
          <t>월</t>
        </is>
      </c>
      <c r="E2220" s="9" t="inlineStr">
        <is>
          <t>뉴트리셔스밤</t>
        </is>
      </c>
      <c r="F2220" s="9" t="inlineStr">
        <is>
          <t>카페24</t>
        </is>
      </c>
      <c r="G2220" s="9" t="inlineStr">
        <is>
          <t>라베나 리커버리 15 뉴트리셔스 밤 [HAIR RÉ:COVERY 15 Nutritious Balm]제품선택=헤어 리커버리 15 뉴트리셔스 밤</t>
        </is>
      </c>
      <c r="H2220" s="9" t="n">
        <v>14</v>
      </c>
      <c r="I2220" s="9" t="inlineStr">
        <is>
          <t>뉴트리셔스밤</t>
        </is>
      </c>
      <c r="J2220" s="9" t="inlineStr">
        <is>
          <t>210201</t>
        </is>
      </c>
      <c r="L2220" s="9" t="n">
        <v>348600</v>
      </c>
      <c r="M2220" s="9" t="n">
        <v>328206.9</v>
      </c>
      <c r="N2220" s="9" t="n">
        <v>22120</v>
      </c>
      <c r="O2220" s="9" t="inlineStr">
        <is>
          <t>카페24뉴트리셔스밤라베나 리커버리 15 뉴트리셔스 밤 [HAIR RÉ:COVERY 15 Nutritious Balm]제품선택=헤어 리커버리 15 뉴트리셔스 밤210201</t>
        </is>
      </c>
    </row>
    <row r="2221">
      <c r="B2221" s="10" t="n">
        <v>44291</v>
      </c>
      <c r="C2221" s="9" t="inlineStr">
        <is>
          <t>월</t>
        </is>
      </c>
      <c r="E2221" s="9" t="inlineStr">
        <is>
          <t>뉴트리셔스밤</t>
        </is>
      </c>
      <c r="F2221" s="9" t="inlineStr">
        <is>
          <t>카페24</t>
        </is>
      </c>
      <c r="G2221" s="9" t="inlineStr">
        <is>
          <t>라베나 리커버리 15 뉴트리셔스 밤 [HAIR RÉ:COVERY 15 Nutritious Balm]제품선택=뉴트리셔스 밤 2개 세트 5% 추가할인</t>
        </is>
      </c>
      <c r="H2221" s="9" t="n">
        <v>5</v>
      </c>
      <c r="I2221" s="9" t="inlineStr">
        <is>
          <t>뉴트리셔스밤 2set</t>
        </is>
      </c>
      <c r="J2221" s="9" t="inlineStr">
        <is>
          <t>210201</t>
        </is>
      </c>
      <c r="L2221" s="9" t="n">
        <v>236550</v>
      </c>
      <c r="M2221" s="9" t="n">
        <v>222711.825</v>
      </c>
      <c r="N2221" s="9" t="n">
        <v>15800</v>
      </c>
      <c r="O2221" s="9" t="inlineStr">
        <is>
          <t>카페24뉴트리셔스밤라베나 리커버리 15 뉴트리셔스 밤 [HAIR RÉ:COVERY 15 Nutritious Balm]제품선택=뉴트리셔스 밤 2개 세트 5% 추가할인210201</t>
        </is>
      </c>
    </row>
    <row r="2222">
      <c r="B2222" s="10" t="n">
        <v>44291</v>
      </c>
      <c r="C2222" s="9" t="inlineStr">
        <is>
          <t>월</t>
        </is>
      </c>
      <c r="E2222" s="9" t="inlineStr">
        <is>
          <t>뉴트리셔스밤</t>
        </is>
      </c>
      <c r="F2222" s="9" t="inlineStr">
        <is>
          <t>카페24</t>
        </is>
      </c>
      <c r="G2222" s="9" t="inlineStr">
        <is>
          <t>라베나 리커버리 15 뉴트리셔스 밤 [HAIR RÉ:COVERY 15 Nutritious Balm]제품선택=뉴트리셔스 밤 3개 세트 10% 추가할인</t>
        </is>
      </c>
      <c r="H2222" s="9" t="n">
        <v>1</v>
      </c>
      <c r="I2222" s="9" t="inlineStr">
        <is>
          <t>뉴트리셔스밤 3set</t>
        </is>
      </c>
      <c r="J2222" s="9" t="inlineStr">
        <is>
          <t>210201</t>
        </is>
      </c>
      <c r="L2222" s="9" t="n">
        <v>67230</v>
      </c>
      <c r="M2222" s="9" t="n">
        <v>63297.045</v>
      </c>
      <c r="N2222" s="9" t="n">
        <v>4740</v>
      </c>
      <c r="O2222" s="9" t="inlineStr">
        <is>
          <t>카페24뉴트리셔스밤라베나 리커버리 15 뉴트리셔스 밤 [HAIR RÉ:COVERY 15 Nutritious Balm]제품선택=뉴트리셔스 밤 3개 세트 10% 추가할인210201</t>
        </is>
      </c>
    </row>
    <row r="2223">
      <c r="B2223" s="10" t="n">
        <v>44291</v>
      </c>
      <c r="C2223" s="9" t="inlineStr">
        <is>
          <t>월</t>
        </is>
      </c>
      <c r="E2223" s="9" t="inlineStr">
        <is>
          <t>뉴트리셔스밤</t>
        </is>
      </c>
      <c r="F2223" s="9" t="inlineStr">
        <is>
          <t>카페24</t>
        </is>
      </c>
      <c r="G2223" s="9" t="inlineStr">
        <is>
          <t>라베나 리커버리 15 뉴트리셔스 밤 [HAIR RÉ:COVERY 15 Nutritious Balm]제품선택=뉴트리셔스밤 1개 + 헤어팩 트리트먼트 1개 세트 5%추가할인</t>
        </is>
      </c>
      <c r="H2223" s="9" t="n">
        <v>1</v>
      </c>
      <c r="I2223" s="9" t="inlineStr">
        <is>
          <t>트리트먼트+뉴트리셔스밤</t>
        </is>
      </c>
      <c r="J2223" s="9" t="inlineStr">
        <is>
          <t>210201</t>
        </is>
      </c>
      <c r="L2223" s="9" t="n">
        <v>48355</v>
      </c>
      <c r="M2223" s="9" t="n">
        <v>45526.2325</v>
      </c>
      <c r="N2223" s="9" t="n">
        <v>3177</v>
      </c>
      <c r="O2223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224">
      <c r="B2224" s="10" t="n">
        <v>44291</v>
      </c>
      <c r="C2224" s="9" t="inlineStr">
        <is>
          <t>월</t>
        </is>
      </c>
      <c r="E2224" s="9" t="inlineStr">
        <is>
          <t>샴푸</t>
        </is>
      </c>
      <c r="F2224" s="9" t="inlineStr">
        <is>
          <t>카페24</t>
        </is>
      </c>
      <c r="G2224" s="9" t="inlineStr">
        <is>
          <t>라베나 리커버리 15 리바이탈 바이오플라보노이드샴푸 [HAIR RÉ:COVERY 15 Revital Shampoo]제품선택=헤어 리커버리 15 리바이탈 샴푸 - 500ml</t>
        </is>
      </c>
      <c r="H2224" s="9" t="n">
        <v>121</v>
      </c>
      <c r="I2224" s="9" t="inlineStr">
        <is>
          <t>리바이탈 샴푸</t>
        </is>
      </c>
      <c r="J2224" s="9" t="inlineStr">
        <is>
          <t>210201</t>
        </is>
      </c>
      <c r="L2224" s="9" t="n">
        <v>3254900</v>
      </c>
      <c r="M2224" s="9" t="n">
        <v>3064488.35</v>
      </c>
      <c r="N2224" s="9" t="n">
        <v>346665</v>
      </c>
      <c r="O222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225">
      <c r="B2225" s="10" t="n">
        <v>44291</v>
      </c>
      <c r="C2225" s="9" t="inlineStr">
        <is>
          <t>월</t>
        </is>
      </c>
      <c r="E2225" s="9" t="inlineStr">
        <is>
          <t>샴푸</t>
        </is>
      </c>
      <c r="F2225" s="9" t="inlineStr">
        <is>
          <t>카페24</t>
        </is>
      </c>
      <c r="G2225" s="9" t="inlineStr">
        <is>
          <t>라베나 리커버리 15 리바이탈 바이오플라보노이드샴푸 [HAIR RÉ:COVERY 15 Revital Shampoo]제품선택=리바이탈 샴푸 2개 세트 5%추가할인</t>
        </is>
      </c>
      <c r="H2225" s="9" t="n">
        <v>37</v>
      </c>
      <c r="I2225" s="9" t="inlineStr">
        <is>
          <t>리바이탈 샴푸 2set</t>
        </is>
      </c>
      <c r="J2225" s="9" t="inlineStr">
        <is>
          <t>210201</t>
        </is>
      </c>
      <c r="L2225" s="9" t="n">
        <v>1891070</v>
      </c>
      <c r="M2225" s="9" t="n">
        <v>1780442.405</v>
      </c>
      <c r="N2225" s="9" t="n">
        <v>212010</v>
      </c>
      <c r="O222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226">
      <c r="B2226" s="10" t="n">
        <v>44291</v>
      </c>
      <c r="C2226" s="9" t="inlineStr">
        <is>
          <t>월</t>
        </is>
      </c>
      <c r="E2226" s="9" t="inlineStr">
        <is>
          <t>샴푸</t>
        </is>
      </c>
      <c r="F2226" s="9" t="inlineStr">
        <is>
          <t>카페24</t>
        </is>
      </c>
      <c r="G2226" s="9" t="inlineStr">
        <is>
          <t>라베나 리커버리 15 리바이탈 바이오플라보노이드샴푸 [HAIR RÉ:COVERY 15 Revital Shampoo]제품선택=리바이탈 샴푸 3개 세트 10% 추가할인</t>
        </is>
      </c>
      <c r="H2226" s="9" t="n">
        <v>17</v>
      </c>
      <c r="I2226" s="9" t="inlineStr">
        <is>
          <t>리바이탈 샴푸 3set</t>
        </is>
      </c>
      <c r="J2226" s="9" t="inlineStr">
        <is>
          <t>210201</t>
        </is>
      </c>
      <c r="L2226" s="9" t="n">
        <v>1234710</v>
      </c>
      <c r="M2226" s="9" t="n">
        <v>1162479.465</v>
      </c>
      <c r="N2226" s="9" t="n">
        <v>146115</v>
      </c>
      <c r="O222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227">
      <c r="B2227" s="10" t="n">
        <v>44291</v>
      </c>
      <c r="C2227" s="9" t="inlineStr">
        <is>
          <t>월</t>
        </is>
      </c>
      <c r="E2227" s="9" t="inlineStr">
        <is>
          <t>샴푸</t>
        </is>
      </c>
      <c r="F2227" s="9" t="inlineStr">
        <is>
          <t>카페24</t>
        </is>
      </c>
      <c r="G2227" s="9" t="inlineStr">
        <is>
          <t>라베나 리커버리 15 리바이탈 샴푸 [HAIR RÉ:COVERY 15 Revital Shampoo]제품선택=리바이탈 샴푸 3개 세트 10% 추가할인</t>
        </is>
      </c>
      <c r="H2227" s="9" t="n">
        <v>1</v>
      </c>
      <c r="I2227" s="9" t="inlineStr">
        <is>
          <t>리바이탈 샴푸 3set</t>
        </is>
      </c>
      <c r="J2227" s="9" t="inlineStr">
        <is>
          <t>210201</t>
        </is>
      </c>
      <c r="L2227" s="9" t="n">
        <v>0</v>
      </c>
      <c r="M2227" s="9" t="n">
        <v>0</v>
      </c>
      <c r="N2227" s="9" t="n">
        <v>0</v>
      </c>
      <c r="O2227" s="9" t="inlineStr">
        <is>
          <t>카페24샴푸라베나 리커버리 15 리바이탈 샴푸 [HAIR RÉ:COVERY 15 Revital Shampoo]제품선택=리바이탈 샴푸 3개 세트 10% 추가할인210201</t>
        </is>
      </c>
    </row>
    <row r="2228">
      <c r="B2228" s="10" t="n">
        <v>44291</v>
      </c>
      <c r="C2228" s="9" t="inlineStr">
        <is>
          <t>월</t>
        </is>
      </c>
      <c r="E2228" s="9" t="inlineStr">
        <is>
          <t>트리트먼트</t>
        </is>
      </c>
      <c r="F2228" s="9" t="inlineStr">
        <is>
          <t>카페24</t>
        </is>
      </c>
      <c r="G2228" s="9" t="inlineStr">
        <is>
          <t>라베나 리커버리 15 헤어팩 트리트먼트 [HAIR RÉ:COVERY 15 Hairpack Treatment]제품선택=헤어 리커버리 15 헤어팩 트리트먼트</t>
        </is>
      </c>
      <c r="H2228" s="9" t="n">
        <v>2</v>
      </c>
      <c r="I2228" s="9" t="inlineStr">
        <is>
          <t>트리트먼트</t>
        </is>
      </c>
      <c r="J2228" s="9" t="inlineStr">
        <is>
          <t>210201</t>
        </is>
      </c>
      <c r="L2228" s="9" t="n">
        <v>52000</v>
      </c>
      <c r="M2228" s="9" t="n">
        <v>48958</v>
      </c>
      <c r="N2228" s="9" t="n">
        <v>3194</v>
      </c>
      <c r="O222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229">
      <c r="B2229" s="10" t="n">
        <v>44291</v>
      </c>
      <c r="C2229" s="9" t="inlineStr">
        <is>
          <t>월</t>
        </is>
      </c>
      <c r="E2229" s="9" t="inlineStr">
        <is>
          <t>트리트먼트</t>
        </is>
      </c>
      <c r="F2229" s="9" t="inlineStr">
        <is>
          <t>카페24</t>
        </is>
      </c>
      <c r="G2229" s="9" t="inlineStr">
        <is>
          <t>라베나 리커버리 15 헤어팩 트리트먼트 [HAIR RÉ:COVERY 15 Hairpack Treatment]제품선택=헤어팩 트리트먼트 3개 세트 10% 추가할인</t>
        </is>
      </c>
      <c r="H2229" s="9" t="n">
        <v>1</v>
      </c>
      <c r="I2229" s="9" t="inlineStr">
        <is>
          <t>트리트먼트 3set</t>
        </is>
      </c>
      <c r="J2229" s="9" t="inlineStr">
        <is>
          <t>210201</t>
        </is>
      </c>
      <c r="L2229" s="9" t="n">
        <v>70200</v>
      </c>
      <c r="M2229" s="9" t="n">
        <v>66093.3</v>
      </c>
      <c r="N2229" s="9" t="n">
        <v>4791</v>
      </c>
      <c r="O2229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230">
      <c r="A2230" s="9" t="inlineStr">
        <is>
          <t>0405_노워시_카드뉴스_에어랩</t>
        </is>
      </c>
      <c r="B2230" s="10" t="n">
        <v>44292</v>
      </c>
      <c r="C2230" s="9" t="inlineStr">
        <is>
          <t>화</t>
        </is>
      </c>
      <c r="D2230" s="9" t="inlineStr">
        <is>
          <t>페이스북</t>
        </is>
      </c>
      <c r="E2230" s="9" t="inlineStr">
        <is>
          <t>뉴트리셔스밤</t>
        </is>
      </c>
      <c r="K2230" s="9" t="n">
        <v>30152</v>
      </c>
    </row>
    <row r="2231">
      <c r="A2231" s="9" t="inlineStr">
        <is>
          <t>0405_샴푸_단장_카카오테스트</t>
        </is>
      </c>
      <c r="B2231" s="10" t="n">
        <v>44292</v>
      </c>
      <c r="C2231" s="9" t="inlineStr">
        <is>
          <t>화</t>
        </is>
      </c>
      <c r="D2231" s="9" t="inlineStr">
        <is>
          <t>페이스북</t>
        </is>
      </c>
      <c r="E2231" s="9" t="inlineStr">
        <is>
          <t>샴푸</t>
        </is>
      </c>
      <c r="K2231" s="9" t="n">
        <v>47897</v>
      </c>
    </row>
    <row r="2232">
      <c r="A2232" s="9" t="inlineStr">
        <is>
          <t>0402_샴푸_카드뉴스_효율테스트2차</t>
        </is>
      </c>
      <c r="B2232" s="10" t="n">
        <v>44292</v>
      </c>
      <c r="C2232" s="9" t="inlineStr">
        <is>
          <t>화</t>
        </is>
      </c>
      <c r="D2232" s="9" t="inlineStr">
        <is>
          <t>페이스북</t>
        </is>
      </c>
      <c r="E2232" s="9" t="inlineStr">
        <is>
          <t>샴푸</t>
        </is>
      </c>
      <c r="K2232" s="9" t="n">
        <v>20357</v>
      </c>
    </row>
    <row r="2233">
      <c r="A2233" s="9" t="inlineStr">
        <is>
          <t>0318~영상기반 단장</t>
        </is>
      </c>
      <c r="B2233" s="10" t="n">
        <v>44292</v>
      </c>
      <c r="C2233" s="9" t="inlineStr">
        <is>
          <t>화</t>
        </is>
      </c>
      <c r="D2233" s="9" t="inlineStr">
        <is>
          <t>페이스북</t>
        </is>
      </c>
      <c r="E2233" s="9" t="inlineStr">
        <is>
          <t>샴푸</t>
        </is>
      </c>
      <c r="K2233" s="9" t="n">
        <v>58116</v>
      </c>
    </row>
    <row r="2234">
      <c r="A2234" s="9" t="inlineStr">
        <is>
          <t>0316~영상베리</t>
        </is>
      </c>
      <c r="B2234" s="10" t="n">
        <v>44292</v>
      </c>
      <c r="C2234" s="9" t="inlineStr">
        <is>
          <t>화</t>
        </is>
      </c>
      <c r="D2234" s="9" t="inlineStr">
        <is>
          <t>페이스북</t>
        </is>
      </c>
      <c r="E2234" s="9" t="inlineStr">
        <is>
          <t>샴푸</t>
        </is>
      </c>
      <c r="K2234" s="9" t="n">
        <v>96940</v>
      </c>
    </row>
    <row r="2235">
      <c r="A2235" s="9" t="inlineStr">
        <is>
          <t>0322_샴푸_GDN_이현1차</t>
        </is>
      </c>
      <c r="B2235" s="10" t="n">
        <v>44292</v>
      </c>
      <c r="C2235" s="9" t="inlineStr">
        <is>
          <t>화</t>
        </is>
      </c>
      <c r="D2235" s="9" t="inlineStr">
        <is>
          <t>GDN</t>
        </is>
      </c>
      <c r="E2235" s="9" t="inlineStr">
        <is>
          <t>샴푸</t>
        </is>
      </c>
      <c r="K2235" s="9" t="n">
        <v>169983</v>
      </c>
    </row>
    <row r="2236">
      <c r="A2236" s="9" t="inlineStr">
        <is>
          <t>0324_샴푸_SDC_CPA</t>
        </is>
      </c>
      <c r="B2236" s="10" t="n">
        <v>44292</v>
      </c>
      <c r="C2236" s="9" t="inlineStr">
        <is>
          <t>화</t>
        </is>
      </c>
      <c r="D2236" s="9" t="inlineStr">
        <is>
          <t>유튜브</t>
        </is>
      </c>
      <c r="E2236" s="9" t="inlineStr">
        <is>
          <t>샴푸</t>
        </is>
      </c>
      <c r="K2236" s="9" t="n">
        <v>220000</v>
      </c>
    </row>
    <row r="2237">
      <c r="A2237" s="9" t="inlineStr">
        <is>
          <t>0324_샴푸_VAC_CPA</t>
        </is>
      </c>
      <c r="B2237" s="10" t="n">
        <v>44292</v>
      </c>
      <c r="C2237" s="9" t="inlineStr">
        <is>
          <t>화</t>
        </is>
      </c>
      <c r="D2237" s="9" t="inlineStr">
        <is>
          <t>유튜브</t>
        </is>
      </c>
      <c r="E2237" s="9" t="inlineStr">
        <is>
          <t>샴푸</t>
        </is>
      </c>
      <c r="K2237" s="9" t="n">
        <v>711287</v>
      </c>
    </row>
    <row r="2238">
      <c r="A2238" s="9" t="inlineStr">
        <is>
          <t>0329_샴푸_GDN_키워드</t>
        </is>
      </c>
      <c r="B2238" s="10" t="n">
        <v>44292</v>
      </c>
      <c r="C2238" s="9" t="inlineStr">
        <is>
          <t>화</t>
        </is>
      </c>
      <c r="D2238" s="9" t="inlineStr">
        <is>
          <t>GDN</t>
        </is>
      </c>
      <c r="E2238" s="9" t="inlineStr">
        <is>
          <t>샴푸</t>
        </is>
      </c>
      <c r="K2238" s="9" t="n">
        <v>130857</v>
      </c>
    </row>
    <row r="2239">
      <c r="A2239" s="9" t="inlineStr">
        <is>
          <t>0330_샴푸_cpv_200만뷰</t>
        </is>
      </c>
      <c r="B2239" s="10" t="n">
        <v>44292</v>
      </c>
      <c r="C2239" s="9" t="inlineStr">
        <is>
          <t>화</t>
        </is>
      </c>
      <c r="D2239" s="9" t="inlineStr">
        <is>
          <t>유튜브</t>
        </is>
      </c>
      <c r="E2239" s="9" t="inlineStr">
        <is>
          <t>샴푸</t>
        </is>
      </c>
      <c r="K2239" s="9" t="n">
        <v>1138297</v>
      </c>
    </row>
    <row r="2240">
      <c r="A2240" s="9" t="inlineStr">
        <is>
          <t>0402_노워시_cpv_아이돌2차</t>
        </is>
      </c>
      <c r="B2240" s="10" t="n">
        <v>44292</v>
      </c>
      <c r="C2240" s="9" t="inlineStr">
        <is>
          <t>화</t>
        </is>
      </c>
      <c r="D2240" s="9" t="inlineStr">
        <is>
          <t>유튜브</t>
        </is>
      </c>
      <c r="E2240" s="9" t="inlineStr">
        <is>
          <t>뉴트리셔스밤</t>
        </is>
      </c>
      <c r="K2240" s="9" t="n">
        <v>480565</v>
      </c>
    </row>
    <row r="2241">
      <c r="A2241" s="9" t="inlineStr">
        <is>
          <t>라베나 파워링크_샴푸_광고그룹#1</t>
        </is>
      </c>
      <c r="B2241" s="10" t="n">
        <v>44292</v>
      </c>
      <c r="C2241" s="9" t="inlineStr">
        <is>
          <t>화</t>
        </is>
      </c>
      <c r="D2241" s="9" t="inlineStr">
        <is>
          <t>네이버 검색</t>
        </is>
      </c>
      <c r="E2241" s="9" t="inlineStr">
        <is>
          <t>샴푸</t>
        </is>
      </c>
      <c r="K2241" s="9" t="n">
        <v>1200</v>
      </c>
    </row>
    <row r="2242">
      <c r="A2242" s="9" t="inlineStr">
        <is>
          <t>라베나 파워링크_샴푸#1_유튜브키워드기반</t>
        </is>
      </c>
      <c r="B2242" s="10" t="n">
        <v>44292</v>
      </c>
      <c r="C2242" s="9" t="inlineStr">
        <is>
          <t>화</t>
        </is>
      </c>
      <c r="D2242" s="9" t="inlineStr">
        <is>
          <t>네이버 검색</t>
        </is>
      </c>
      <c r="E2242" s="9" t="inlineStr">
        <is>
          <t>샴푸</t>
        </is>
      </c>
      <c r="K2242" s="9" t="n">
        <v>7429.999999999999</v>
      </c>
    </row>
    <row r="2243">
      <c r="A2243" s="9" t="inlineStr">
        <is>
          <t>샴푸_쇼핑검색#1_광고그룹#1</t>
        </is>
      </c>
      <c r="B2243" s="10" t="n">
        <v>44292</v>
      </c>
      <c r="C2243" s="9" t="inlineStr">
        <is>
          <t>화</t>
        </is>
      </c>
      <c r="D2243" s="9" t="inlineStr">
        <is>
          <t>네이버 검색</t>
        </is>
      </c>
      <c r="E2243" s="9" t="inlineStr">
        <is>
          <t>샴푸</t>
        </is>
      </c>
      <c r="K2243" s="9" t="n">
        <v>1860</v>
      </c>
    </row>
    <row r="2244">
      <c r="A2244" s="9" t="inlineStr">
        <is>
          <t>파워컨텐츠#1_비듬샴푸</t>
        </is>
      </c>
      <c r="B2244" s="10" t="n">
        <v>44292</v>
      </c>
      <c r="C2244" s="9" t="inlineStr">
        <is>
          <t>화</t>
        </is>
      </c>
      <c r="D2244" s="9" t="inlineStr">
        <is>
          <t>네이버 검색</t>
        </is>
      </c>
      <c r="E2244" s="9" t="inlineStr">
        <is>
          <t>샴푸</t>
        </is>
      </c>
      <c r="K2244" s="9" t="n">
        <v>70</v>
      </c>
    </row>
    <row r="2245">
      <c r="B2245" s="10" t="n">
        <v>44292</v>
      </c>
      <c r="C2245" s="9" t="inlineStr">
        <is>
          <t>화</t>
        </is>
      </c>
      <c r="E2245" s="9" t="inlineStr">
        <is>
          <t>샴푸</t>
        </is>
      </c>
      <c r="F2245" s="9" t="inlineStr">
        <is>
          <t>카페24</t>
        </is>
      </c>
      <c r="G2245" s="9" t="inlineStr">
        <is>
          <t>[타임특가] 리 : 커버리 3개월 패키지 (샴푸 2+ 트리트먼트 택 1)샴푸2 + 트리트먼트 택 1=샴푸2 + 뉴트리셔스 밤1</t>
        </is>
      </c>
      <c r="H2245" s="9" t="n">
        <v>2</v>
      </c>
      <c r="I2245" s="9" t="inlineStr">
        <is>
          <t>리바이탈 샴푸2+뉴트리셔스밤1</t>
        </is>
      </c>
      <c r="J2245" s="9" t="inlineStr">
        <is>
          <t>210201</t>
        </is>
      </c>
      <c r="L2245" s="9">
        <f>62280*2</f>
        <v/>
      </c>
      <c r="M2245" s="9">
        <f>124560-(124560/5.85)</f>
        <v/>
      </c>
      <c r="N2245" s="9">
        <f>7310*2</f>
        <v/>
      </c>
      <c r="O2245" s="9" t="inlineStr">
        <is>
          <t>카페240[타임특가] 리 : 커버리 3개월 패키지 (샴푸 2+ 트리트먼트 택 1)샴푸2 + 트리트먼트 택 1=샴푸2 + 뉴트리셔스 밤1210201</t>
        </is>
      </c>
    </row>
    <row r="2246">
      <c r="B2246" s="10" t="n">
        <v>44292</v>
      </c>
      <c r="C2246" s="9" t="inlineStr">
        <is>
          <t>화</t>
        </is>
      </c>
      <c r="E2246" s="9" t="inlineStr">
        <is>
          <t>샴푸</t>
        </is>
      </c>
      <c r="F2246" s="9" t="inlineStr">
        <is>
          <t>카페24</t>
        </is>
      </c>
      <c r="G2246" s="9" t="inlineStr">
        <is>
          <t>[타임특가] 리 : 커버리 3개월 패키지 (샴푸 2+ 트리트먼트 택 1)샴푸2 + 트리트먼트 택 1=샴푸2 + 헤어팩 트리트먼트1</t>
        </is>
      </c>
      <c r="H2246" s="9" t="n">
        <v>5</v>
      </c>
      <c r="I2246" s="9" t="inlineStr">
        <is>
          <t>리바이탈 샴푸2+트리트먼트1</t>
        </is>
      </c>
      <c r="J2246" s="9" t="inlineStr">
        <is>
          <t>210201</t>
        </is>
      </c>
      <c r="L2246" s="9">
        <f>62280*5</f>
        <v/>
      </c>
      <c r="M2246" s="9">
        <f>311400-(311400/5.85)</f>
        <v/>
      </c>
      <c r="N2246" s="9">
        <f>7327*5</f>
        <v/>
      </c>
      <c r="O2246" s="9" t="inlineStr">
        <is>
          <t>카페240[타임특가] 리 : 커버리 3개월 패키지 (샴푸 2+ 트리트먼트 택 1)샴푸2 + 트리트먼트 택 1=샴푸2 + 헤어팩 트리트먼트1210201</t>
        </is>
      </c>
    </row>
    <row r="2247">
      <c r="B2247" s="10" t="n">
        <v>44292</v>
      </c>
      <c r="C2247" s="9" t="inlineStr">
        <is>
          <t>화</t>
        </is>
      </c>
      <c r="E2247" s="9" t="inlineStr">
        <is>
          <t>샴푸</t>
        </is>
      </c>
      <c r="F2247" s="9" t="inlineStr">
        <is>
          <t>카페24</t>
        </is>
      </c>
      <c r="G2247" s="9" t="inlineStr">
        <is>
          <t>[타임특가] 리 : 커버리 6개월 패키지 (샴푸 5+ 트리트먼트 택 1)샴푸 5 + 트리트먼트 택 1=샴푸 5 + 뉴트리셔스 밤 1</t>
        </is>
      </c>
      <c r="H2247" s="9" t="n">
        <v>4</v>
      </c>
      <c r="I2247" s="9" t="inlineStr">
        <is>
          <t>리바이탈 샴푸5+뉴트리셔스밤1</t>
        </is>
      </c>
      <c r="J2247" s="9" t="inlineStr">
        <is>
          <t>210201</t>
        </is>
      </c>
      <c r="L2247" s="9">
        <f>114840*4</f>
        <v/>
      </c>
      <c r="M2247" s="9">
        <f>459360-(459360/5.85)</f>
        <v/>
      </c>
      <c r="N2247" s="9">
        <f>15905*4</f>
        <v/>
      </c>
      <c r="O2247" s="9" t="inlineStr">
        <is>
          <t>카페240[타임특가] 리 : 커버리 6개월 패키지 (샴푸 5+ 트리트먼트 택 1)샴푸 5 + 트리트먼트 택 1=샴푸 5 + 뉴트리셔스 밤 1210201</t>
        </is>
      </c>
    </row>
    <row r="2248">
      <c r="B2248" s="10" t="n">
        <v>44292</v>
      </c>
      <c r="C2248" s="9" t="inlineStr">
        <is>
          <t>화</t>
        </is>
      </c>
      <c r="E2248" s="9" t="inlineStr">
        <is>
          <t>샴푸</t>
        </is>
      </c>
      <c r="F2248" s="9" t="inlineStr">
        <is>
          <t>카페24</t>
        </is>
      </c>
      <c r="G2248" s="9" t="inlineStr">
        <is>
          <t>[타임특가] 리 : 커버리 온가족 패키지 (샴푸 3+ 헤어팩 트리트먼트 1+뉴트리셔스 밤 1)</t>
        </is>
      </c>
      <c r="H2248" s="9" t="n">
        <v>1</v>
      </c>
      <c r="I2248" s="9" t="inlineStr">
        <is>
          <t>리바이탈 샴푸3+트리트먼트1+뉴트리셔스밤1</t>
        </is>
      </c>
      <c r="J2248" s="9" t="inlineStr">
        <is>
          <t>210201</t>
        </is>
      </c>
      <c r="L2248" s="9">
        <f>94765</f>
        <v/>
      </c>
      <c r="M2248" s="9">
        <f>94765-(94765/5.85)</f>
        <v/>
      </c>
      <c r="N2248" s="9">
        <f>11772</f>
        <v/>
      </c>
      <c r="O2248" s="9" t="inlineStr">
        <is>
          <t>카페240[타임특가] 리 : 커버리 온가족 패키지 (샴푸 3+ 헤어팩 트리트먼트 1+뉴트리셔스 밤 1)210201</t>
        </is>
      </c>
    </row>
    <row r="2249">
      <c r="B2249" s="10" t="n">
        <v>44292</v>
      </c>
      <c r="C2249" s="9" t="inlineStr">
        <is>
          <t>화</t>
        </is>
      </c>
      <c r="E2249" s="9" t="inlineStr">
        <is>
          <t>샴푸</t>
        </is>
      </c>
      <c r="F2249" s="9" t="inlineStr">
        <is>
          <t>카페24</t>
        </is>
      </c>
      <c r="G2249" s="9" t="inlineStr">
        <is>
          <t>[타임특가] 리:커버리 스타터 패키지 (샴푸 1+헤어팩 트리트먼트 1+ 뉴트리셔스 밤 1)</t>
        </is>
      </c>
      <c r="H2249" s="9" t="n">
        <v>1</v>
      </c>
      <c r="I2249" s="9" t="inlineStr">
        <is>
          <t>리바이탈 샴푸1+트리트먼트1+뉴트리셔스밤1</t>
        </is>
      </c>
      <c r="J2249" s="9" t="inlineStr">
        <is>
          <t>210201</t>
        </is>
      </c>
      <c r="L2249" s="9">
        <f>39897</f>
        <v/>
      </c>
      <c r="M2249" s="9">
        <f>39897-(39897/5.85)</f>
        <v/>
      </c>
      <c r="N2249" s="9">
        <f>(2865+1580+1597)</f>
        <v/>
      </c>
      <c r="O2249" s="9" t="inlineStr">
        <is>
          <t>카페240[타임특가] 리:커버리 스타터 패키지 (샴푸 1+헤어팩 트리트먼트 1+ 뉴트리셔스 밤 1)210201</t>
        </is>
      </c>
    </row>
    <row r="2250">
      <c r="B2250" s="10" t="n">
        <v>44292</v>
      </c>
      <c r="C2250" s="9" t="inlineStr">
        <is>
          <t>화</t>
        </is>
      </c>
      <c r="E2250" s="9" t="inlineStr">
        <is>
          <t>뉴트리셔스밤</t>
        </is>
      </c>
      <c r="F2250" s="9" t="inlineStr">
        <is>
          <t>카페24</t>
        </is>
      </c>
      <c r="G2250" s="9" t="inlineStr">
        <is>
          <t>라베나 리커버리 15 뉴트리셔스 밤 [HAIR RÉ:COVERY 15 Nutritious Balm]제품선택=헤어 리커버리 15 뉴트리셔스 밤</t>
        </is>
      </c>
      <c r="H2250" s="9" t="n">
        <v>11</v>
      </c>
      <c r="I2250" s="9" t="inlineStr">
        <is>
          <t>뉴트리셔스밤</t>
        </is>
      </c>
      <c r="J2250" s="9" t="inlineStr">
        <is>
          <t>210201</t>
        </is>
      </c>
      <c r="L2250" s="9" t="n">
        <v>273900</v>
      </c>
      <c r="M2250" s="9" t="n">
        <v>257876.85</v>
      </c>
      <c r="N2250" s="9" t="n">
        <v>17380</v>
      </c>
      <c r="O2250" s="9" t="inlineStr">
        <is>
          <t>카페24뉴트리셔스밤라베나 리커버리 15 뉴트리셔스 밤 [HAIR RÉ:COVERY 15 Nutritious Balm]제품선택=헤어 리커버리 15 뉴트리셔스 밤210201</t>
        </is>
      </c>
    </row>
    <row r="2251">
      <c r="B2251" s="10" t="n">
        <v>44292</v>
      </c>
      <c r="C2251" s="9" t="inlineStr">
        <is>
          <t>화</t>
        </is>
      </c>
      <c r="E2251" s="9" t="inlineStr">
        <is>
          <t>뉴트리셔스밤</t>
        </is>
      </c>
      <c r="F2251" s="9" t="inlineStr">
        <is>
          <t>카페24</t>
        </is>
      </c>
      <c r="G2251" s="9" t="inlineStr">
        <is>
          <t>라베나 리커버리 15 뉴트리셔스 밤 [HAIR RÉ:COVERY 15 Nutritious Balm]제품선택=뉴트리셔스 밤 2개 세트 5% 추가할인</t>
        </is>
      </c>
      <c r="H2251" s="9" t="n">
        <v>3</v>
      </c>
      <c r="I2251" s="9" t="inlineStr">
        <is>
          <t>뉴트리셔스밤 2set</t>
        </is>
      </c>
      <c r="J2251" s="9" t="inlineStr">
        <is>
          <t>210201</t>
        </is>
      </c>
      <c r="L2251" s="9" t="n">
        <v>141930</v>
      </c>
      <c r="M2251" s="9" t="n">
        <v>133627.095</v>
      </c>
      <c r="N2251" s="9" t="n">
        <v>9480</v>
      </c>
      <c r="O2251" s="9" t="inlineStr">
        <is>
          <t>카페24뉴트리셔스밤라베나 리커버리 15 뉴트리셔스 밤 [HAIR RÉ:COVERY 15 Nutritious Balm]제품선택=뉴트리셔스 밤 2개 세트 5% 추가할인210201</t>
        </is>
      </c>
    </row>
    <row r="2252">
      <c r="B2252" s="10" t="n">
        <v>44292</v>
      </c>
      <c r="C2252" s="9" t="inlineStr">
        <is>
          <t>화</t>
        </is>
      </c>
      <c r="E2252" s="9" t="inlineStr">
        <is>
          <t>뉴트리셔스밤</t>
        </is>
      </c>
      <c r="F2252" s="9" t="inlineStr">
        <is>
          <t>카페24</t>
        </is>
      </c>
      <c r="G2252" s="9" t="inlineStr">
        <is>
          <t>라베나 리커버리 15 뉴트리셔스 밤 [HAIR RÉ:COVERY 15 Nutritious Balm]제품선택=뉴트리셔스 밤 3개 세트 10% 추가할인</t>
        </is>
      </c>
      <c r="H2252" s="9" t="n">
        <v>1</v>
      </c>
      <c r="I2252" s="9" t="inlineStr">
        <is>
          <t>뉴트리셔스밤 3set</t>
        </is>
      </c>
      <c r="J2252" s="9" t="inlineStr">
        <is>
          <t>210201</t>
        </is>
      </c>
      <c r="L2252" s="9" t="n">
        <v>67230</v>
      </c>
      <c r="M2252" s="9" t="n">
        <v>63297.045</v>
      </c>
      <c r="N2252" s="9" t="n">
        <v>4740</v>
      </c>
      <c r="O2252" s="9" t="inlineStr">
        <is>
          <t>카페24뉴트리셔스밤라베나 리커버리 15 뉴트리셔스 밤 [HAIR RÉ:COVERY 15 Nutritious Balm]제품선택=뉴트리셔스 밤 3개 세트 10% 추가할인210201</t>
        </is>
      </c>
    </row>
    <row r="2253">
      <c r="B2253" s="10" t="n">
        <v>44292</v>
      </c>
      <c r="C2253" s="9" t="inlineStr">
        <is>
          <t>화</t>
        </is>
      </c>
      <c r="E2253" s="9" t="inlineStr">
        <is>
          <t>뉴트리셔스밤</t>
        </is>
      </c>
      <c r="F2253" s="9" t="inlineStr">
        <is>
          <t>카페24</t>
        </is>
      </c>
      <c r="G2253" s="9" t="inlineStr">
        <is>
          <t>라베나 리커버리 15 뉴트리셔스 밤 [HAIR RÉ:COVERY 15 Nutritious Balm]제품선택=뉴트리셔스밤 1개 + 헤어팩 트리트먼트 1개 세트 5%추가할인</t>
        </is>
      </c>
      <c r="H2253" s="9" t="n">
        <v>1</v>
      </c>
      <c r="I2253" s="9" t="inlineStr">
        <is>
          <t>트리트먼트+뉴트리셔스밤</t>
        </is>
      </c>
      <c r="J2253" s="9" t="inlineStr">
        <is>
          <t>210201</t>
        </is>
      </c>
      <c r="L2253" s="9" t="n">
        <v>48355</v>
      </c>
      <c r="M2253" s="9" t="n">
        <v>45526.2325</v>
      </c>
      <c r="N2253" s="9" t="n">
        <v>3177</v>
      </c>
      <c r="O2253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254">
      <c r="B2254" s="10" t="n">
        <v>44292</v>
      </c>
      <c r="C2254" s="9" t="inlineStr">
        <is>
          <t>화</t>
        </is>
      </c>
      <c r="E2254" s="9" t="inlineStr">
        <is>
          <t>샴푸</t>
        </is>
      </c>
      <c r="F2254" s="9" t="inlineStr">
        <is>
          <t>카페24</t>
        </is>
      </c>
      <c r="G2254" s="9" t="inlineStr">
        <is>
          <t>라베나 리커버리 15 리바이탈 바이오플라보노이드샴푸 [HAIR RÉ:COVERY 15 Revital Shampoo]제품선택=헤어 리커버리 15 리바이탈 샴푸 - 500ml</t>
        </is>
      </c>
      <c r="H2254" s="9" t="n">
        <v>95</v>
      </c>
      <c r="I2254" s="9" t="inlineStr">
        <is>
          <t>리바이탈 샴푸</t>
        </is>
      </c>
      <c r="J2254" s="9" t="inlineStr">
        <is>
          <t>210201</t>
        </is>
      </c>
      <c r="L2254" s="9" t="n">
        <v>2555500</v>
      </c>
      <c r="M2254" s="9" t="n">
        <v>2406003.25</v>
      </c>
      <c r="N2254" s="9" t="n">
        <v>272175</v>
      </c>
      <c r="O225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255">
      <c r="B2255" s="10" t="n">
        <v>44292</v>
      </c>
      <c r="C2255" s="9" t="inlineStr">
        <is>
          <t>화</t>
        </is>
      </c>
      <c r="E2255" s="9" t="inlineStr">
        <is>
          <t>샴푸</t>
        </is>
      </c>
      <c r="F2255" s="9" t="inlineStr">
        <is>
          <t>카페24</t>
        </is>
      </c>
      <c r="G2255" s="9" t="inlineStr">
        <is>
          <t>라베나 리커버리 15 리바이탈 바이오플라보노이드샴푸 [HAIR RÉ:COVERY 15 Revital Shampoo]제품선택=리바이탈 샴푸 2개 세트 5%추가할인</t>
        </is>
      </c>
      <c r="H2255" s="9" t="n">
        <v>29</v>
      </c>
      <c r="I2255" s="9" t="inlineStr">
        <is>
          <t>리바이탈 샴푸 2set</t>
        </is>
      </c>
      <c r="J2255" s="9" t="inlineStr">
        <is>
          <t>210201</t>
        </is>
      </c>
      <c r="L2255" s="9" t="n">
        <v>1482190</v>
      </c>
      <c r="M2255" s="9" t="n">
        <v>1395481.885</v>
      </c>
      <c r="N2255" s="9" t="n">
        <v>166170</v>
      </c>
      <c r="O225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256">
      <c r="B2256" s="10" t="n">
        <v>44292</v>
      </c>
      <c r="C2256" s="9" t="inlineStr">
        <is>
          <t>화</t>
        </is>
      </c>
      <c r="E2256" s="9" t="inlineStr">
        <is>
          <t>샴푸</t>
        </is>
      </c>
      <c r="F2256" s="9" t="inlineStr">
        <is>
          <t>카페24</t>
        </is>
      </c>
      <c r="G2256" s="9" t="inlineStr">
        <is>
          <t>라베나 리커버리 15 리바이탈 바이오플라보노이드샴푸 [HAIR RÉ:COVERY 15 Revital Shampoo]제품선택=리바이탈 샴푸 3개 세트 10% 추가할인</t>
        </is>
      </c>
      <c r="H2256" s="9" t="n">
        <v>9</v>
      </c>
      <c r="I2256" s="9" t="inlineStr">
        <is>
          <t>리바이탈 샴푸 3set</t>
        </is>
      </c>
      <c r="J2256" s="9" t="inlineStr">
        <is>
          <t>210201</t>
        </is>
      </c>
      <c r="L2256" s="9" t="n">
        <v>653670</v>
      </c>
      <c r="M2256" s="9" t="n">
        <v>615430.3050000001</v>
      </c>
      <c r="N2256" s="9" t="n">
        <v>77355</v>
      </c>
      <c r="O225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257">
      <c r="B2257" s="10" t="n">
        <v>44292</v>
      </c>
      <c r="C2257" s="9" t="inlineStr">
        <is>
          <t>화</t>
        </is>
      </c>
      <c r="E2257" s="9" t="inlineStr">
        <is>
          <t>트리트먼트</t>
        </is>
      </c>
      <c r="F2257" s="9" t="inlineStr">
        <is>
          <t>카페24</t>
        </is>
      </c>
      <c r="G2257" s="9" t="inlineStr">
        <is>
          <t>라베나 리커버리 15 헤어팩 트리트먼트 [HAIR RÉ:COVERY 15 Hairpack Treatment]제품선택=헤어 리커버리 15 헤어팩 트리트먼트</t>
        </is>
      </c>
      <c r="H2257" s="9" t="n">
        <v>3</v>
      </c>
      <c r="I2257" s="9" t="inlineStr">
        <is>
          <t>트리트먼트</t>
        </is>
      </c>
      <c r="J2257" s="9" t="inlineStr">
        <is>
          <t>210201</t>
        </is>
      </c>
      <c r="L2257" s="9" t="n">
        <v>78000</v>
      </c>
      <c r="M2257" s="9" t="n">
        <v>73437</v>
      </c>
      <c r="N2257" s="9" t="n">
        <v>4791</v>
      </c>
      <c r="O225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258">
      <c r="B2258" s="10" t="n">
        <v>44292</v>
      </c>
      <c r="C2258" s="9" t="inlineStr">
        <is>
          <t>화</t>
        </is>
      </c>
      <c r="E2258" s="9" t="inlineStr">
        <is>
          <t>트리트먼트</t>
        </is>
      </c>
      <c r="F2258" s="9" t="inlineStr">
        <is>
          <t>카페24</t>
        </is>
      </c>
      <c r="G2258" s="9" t="inlineStr">
        <is>
          <t>라베나 리커버리 15 헤어팩 트리트먼트 [HAIR RÉ:COVERY 15 Hairpack Treatment]제품선택=헤어팩 트리트먼트 3개 세트 10% 추가할인</t>
        </is>
      </c>
      <c r="H2258" s="9" t="n">
        <v>1</v>
      </c>
      <c r="I2258" s="9" t="inlineStr">
        <is>
          <t>트리트먼트 3set</t>
        </is>
      </c>
      <c r="J2258" s="9" t="inlineStr">
        <is>
          <t>210201</t>
        </is>
      </c>
      <c r="L2258" s="9" t="n">
        <v>70200</v>
      </c>
      <c r="M2258" s="9" t="n">
        <v>66093.3</v>
      </c>
      <c r="N2258" s="9" t="n">
        <v>4791</v>
      </c>
      <c r="O225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259">
      <c r="B2259" s="10" t="n">
        <v>44292</v>
      </c>
      <c r="C2259" s="9" t="inlineStr">
        <is>
          <t>화</t>
        </is>
      </c>
      <c r="E2259" s="9" t="inlineStr">
        <is>
          <t>트리트먼트</t>
        </is>
      </c>
      <c r="F2259" s="9" t="inlineStr">
        <is>
          <t>카페24</t>
        </is>
      </c>
      <c r="G2259" s="9" t="inlineStr">
        <is>
          <t>라베나 리커버리 15 헤어팩 트리트먼트 [HAIR RÉ:COVERY 15 Hairpack Treatment]제품선택=헤어팩 트리트먼트 1개 + 뉴트리셔스밤 1개 세트 5% 추가할인</t>
        </is>
      </c>
      <c r="H2259" s="9" t="n">
        <v>1</v>
      </c>
      <c r="I2259" s="9" t="inlineStr">
        <is>
          <t>트리트먼트+뉴트리셔스밤</t>
        </is>
      </c>
      <c r="J2259" s="9" t="inlineStr">
        <is>
          <t>210201</t>
        </is>
      </c>
      <c r="L2259" s="9" t="n">
        <v>48355</v>
      </c>
      <c r="M2259" s="9" t="n">
        <v>45526.2325</v>
      </c>
      <c r="N2259" s="9" t="n">
        <v>3177</v>
      </c>
      <c r="O2259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260">
      <c r="A2260" s="9" t="inlineStr">
        <is>
          <t>성화_인스타성 소재 테스트</t>
        </is>
      </c>
      <c r="B2260" s="10" t="n">
        <v>44293</v>
      </c>
      <c r="C2260" s="9" t="inlineStr">
        <is>
          <t>수</t>
        </is>
      </c>
      <c r="D2260" s="9" t="inlineStr">
        <is>
          <t>페이스북</t>
        </is>
      </c>
      <c r="E2260" s="9" t="inlineStr">
        <is>
          <t>샴푸</t>
        </is>
      </c>
      <c r="K2260" s="9" t="n">
        <v>12852</v>
      </c>
    </row>
    <row r="2261">
      <c r="A2261" s="9" t="inlineStr">
        <is>
          <t>0407_윤민_샴푸_영상단장_거품</t>
        </is>
      </c>
      <c r="B2261" s="10" t="n">
        <v>44293</v>
      </c>
      <c r="C2261" s="9" t="inlineStr">
        <is>
          <t>수</t>
        </is>
      </c>
      <c r="D2261" s="9" t="inlineStr">
        <is>
          <t>페이스북</t>
        </is>
      </c>
      <c r="E2261" s="9" t="inlineStr">
        <is>
          <t>샴푸</t>
        </is>
      </c>
      <c r="K2261" s="9" t="n">
        <v>22849</v>
      </c>
    </row>
    <row r="2262">
      <c r="A2262" s="9" t="inlineStr">
        <is>
          <t>0407_성화_스타터패키지_단장이벤트배너_a/b</t>
        </is>
      </c>
      <c r="B2262" s="10" t="n">
        <v>44293</v>
      </c>
      <c r="C2262" s="9" t="inlineStr">
        <is>
          <t>수</t>
        </is>
      </c>
      <c r="D2262" s="9" t="inlineStr">
        <is>
          <t>페이스북</t>
        </is>
      </c>
      <c r="E2262" s="9" t="inlineStr">
        <is>
          <t>샴푸</t>
        </is>
      </c>
      <c r="K2262" s="9" t="n">
        <v>32848</v>
      </c>
    </row>
    <row r="2263">
      <c r="A2263" s="9" t="inlineStr">
        <is>
          <t>0405_노워시_카드뉴스_에어랩</t>
        </is>
      </c>
      <c r="B2263" s="10" t="n">
        <v>44293</v>
      </c>
      <c r="C2263" s="9" t="inlineStr">
        <is>
          <t>수</t>
        </is>
      </c>
      <c r="D2263" s="9" t="inlineStr">
        <is>
          <t>페이스북</t>
        </is>
      </c>
      <c r="E2263" s="9" t="inlineStr">
        <is>
          <t>뉴트리셔스밤</t>
        </is>
      </c>
      <c r="K2263" s="9" t="n">
        <v>49006</v>
      </c>
    </row>
    <row r="2264">
      <c r="A2264" s="9" t="inlineStr">
        <is>
          <t>0405_샴푸_단장_카카오테스트</t>
        </is>
      </c>
      <c r="B2264" s="10" t="n">
        <v>44293</v>
      </c>
      <c r="C2264" s="9" t="inlineStr">
        <is>
          <t>수</t>
        </is>
      </c>
      <c r="D2264" s="9" t="inlineStr">
        <is>
          <t>페이스북</t>
        </is>
      </c>
      <c r="E2264" s="9" t="inlineStr">
        <is>
          <t>샴푸</t>
        </is>
      </c>
      <c r="K2264" s="9" t="n">
        <v>43796</v>
      </c>
    </row>
    <row r="2265">
      <c r="A2265" s="9" t="inlineStr">
        <is>
          <t>0318~영상기반 단장</t>
        </is>
      </c>
      <c r="B2265" s="10" t="n">
        <v>44293</v>
      </c>
      <c r="C2265" s="9" t="inlineStr">
        <is>
          <t>수</t>
        </is>
      </c>
      <c r="D2265" s="9" t="inlineStr">
        <is>
          <t>페이스북</t>
        </is>
      </c>
      <c r="E2265" s="9" t="inlineStr">
        <is>
          <t>샴푸</t>
        </is>
      </c>
      <c r="K2265" s="9" t="n">
        <v>98184</v>
      </c>
    </row>
    <row r="2266">
      <c r="A2266" s="9" t="inlineStr">
        <is>
          <t>0316~영상베리</t>
        </is>
      </c>
      <c r="B2266" s="10" t="n">
        <v>44293</v>
      </c>
      <c r="C2266" s="9" t="inlineStr">
        <is>
          <t>수</t>
        </is>
      </c>
      <c r="D2266" s="9" t="inlineStr">
        <is>
          <t>페이스북</t>
        </is>
      </c>
      <c r="E2266" s="9" t="inlineStr">
        <is>
          <t>샴푸</t>
        </is>
      </c>
      <c r="K2266" s="9" t="n">
        <v>99077</v>
      </c>
    </row>
    <row r="2267">
      <c r="A2267" s="9" t="inlineStr">
        <is>
          <t>0322_샴푸_GDN_이현1차</t>
        </is>
      </c>
      <c r="B2267" s="10" t="n">
        <v>44293</v>
      </c>
      <c r="C2267" s="9" t="inlineStr">
        <is>
          <t>수</t>
        </is>
      </c>
      <c r="D2267" s="9" t="inlineStr">
        <is>
          <t>GDN</t>
        </is>
      </c>
      <c r="E2267" s="9" t="inlineStr">
        <is>
          <t>샴푸</t>
        </is>
      </c>
      <c r="K2267" s="9" t="n">
        <v>238367</v>
      </c>
    </row>
    <row r="2268">
      <c r="A2268" s="9" t="inlineStr">
        <is>
          <t>0324_샴푸_SDC_CPA</t>
        </is>
      </c>
      <c r="B2268" s="10" t="n">
        <v>44293</v>
      </c>
      <c r="C2268" s="9" t="inlineStr">
        <is>
          <t>수</t>
        </is>
      </c>
      <c r="D2268" s="9" t="inlineStr">
        <is>
          <t>유튜브</t>
        </is>
      </c>
      <c r="E2268" s="9" t="inlineStr">
        <is>
          <t>샴푸</t>
        </is>
      </c>
      <c r="K2268" s="9" t="n">
        <v>100000</v>
      </c>
    </row>
    <row r="2269">
      <c r="A2269" s="9" t="inlineStr">
        <is>
          <t>0324_샴푸_VAC_CPA</t>
        </is>
      </c>
      <c r="B2269" s="10" t="n">
        <v>44293</v>
      </c>
      <c r="C2269" s="9" t="inlineStr">
        <is>
          <t>수</t>
        </is>
      </c>
      <c r="D2269" s="9" t="inlineStr">
        <is>
          <t>유튜브</t>
        </is>
      </c>
      <c r="E2269" s="9" t="inlineStr">
        <is>
          <t>샴푸</t>
        </is>
      </c>
      <c r="K2269" s="9" t="n">
        <v>714884</v>
      </c>
    </row>
    <row r="2270">
      <c r="A2270" s="9" t="inlineStr">
        <is>
          <t>0329_샴푸_GDN_키워드</t>
        </is>
      </c>
      <c r="B2270" s="10" t="n">
        <v>44293</v>
      </c>
      <c r="C2270" s="9" t="inlineStr">
        <is>
          <t>수</t>
        </is>
      </c>
      <c r="D2270" s="9" t="inlineStr">
        <is>
          <t>GDN</t>
        </is>
      </c>
      <c r="E2270" s="9" t="inlineStr">
        <is>
          <t>샴푸</t>
        </is>
      </c>
      <c r="K2270" s="9" t="n">
        <v>106964</v>
      </c>
    </row>
    <row r="2271">
      <c r="A2271" s="9" t="inlineStr">
        <is>
          <t>0330_샴푸_cpv_200만뷰</t>
        </is>
      </c>
      <c r="B2271" s="10" t="n">
        <v>44293</v>
      </c>
      <c r="C2271" s="9" t="inlineStr">
        <is>
          <t>수</t>
        </is>
      </c>
      <c r="D2271" s="9" t="inlineStr">
        <is>
          <t>유튜브</t>
        </is>
      </c>
      <c r="E2271" s="9" t="inlineStr">
        <is>
          <t>샴푸</t>
        </is>
      </c>
      <c r="K2271" s="9" t="n">
        <v>1036993</v>
      </c>
    </row>
    <row r="2272">
      <c r="A2272" s="9" t="inlineStr">
        <is>
          <t>0402_노워시_cpv_아이돌2차</t>
        </is>
      </c>
      <c r="B2272" s="10" t="n">
        <v>44293</v>
      </c>
      <c r="C2272" s="9" t="inlineStr">
        <is>
          <t>수</t>
        </is>
      </c>
      <c r="D2272" s="9" t="inlineStr">
        <is>
          <t>유튜브</t>
        </is>
      </c>
      <c r="E2272" s="9" t="inlineStr">
        <is>
          <t>뉴트리셔스밤</t>
        </is>
      </c>
      <c r="K2272" s="9" t="n">
        <v>461905</v>
      </c>
    </row>
    <row r="2273">
      <c r="A2273" s="9" t="inlineStr">
        <is>
          <t>0407_노워시_VAC_낮은금액효율</t>
        </is>
      </c>
      <c r="B2273" s="10" t="n">
        <v>44293</v>
      </c>
      <c r="C2273" s="9" t="inlineStr">
        <is>
          <t>수</t>
        </is>
      </c>
      <c r="D2273" s="9" t="inlineStr">
        <is>
          <t>유튜브</t>
        </is>
      </c>
      <c r="E2273" s="9" t="inlineStr">
        <is>
          <t>뉴트리셔스밤</t>
        </is>
      </c>
      <c r="K2273" s="9" t="n">
        <v>306735</v>
      </c>
    </row>
    <row r="2274">
      <c r="A2274" s="9" t="inlineStr">
        <is>
          <t>라베나 파워링크_샴푸_광고그룹#1</t>
        </is>
      </c>
      <c r="B2274" s="10" t="n">
        <v>44293</v>
      </c>
      <c r="C2274" s="9" t="inlineStr">
        <is>
          <t>수</t>
        </is>
      </c>
      <c r="D2274" s="9" t="inlineStr">
        <is>
          <t>네이버 검색</t>
        </is>
      </c>
      <c r="E2274" s="9" t="inlineStr">
        <is>
          <t>샴푸</t>
        </is>
      </c>
      <c r="K2274" s="9" t="n">
        <v>1590</v>
      </c>
    </row>
    <row r="2275">
      <c r="A2275" s="9" t="inlineStr">
        <is>
          <t>라베나 파워링크_샴푸#1_유튜브키워드기반</t>
        </is>
      </c>
      <c r="B2275" s="10" t="n">
        <v>44293</v>
      </c>
      <c r="C2275" s="9" t="inlineStr">
        <is>
          <t>수</t>
        </is>
      </c>
      <c r="D2275" s="9" t="inlineStr">
        <is>
          <t>네이버 검색</t>
        </is>
      </c>
      <c r="E2275" s="9" t="inlineStr">
        <is>
          <t>샴푸</t>
        </is>
      </c>
      <c r="K2275" s="9" t="n">
        <v>8139.999999999999</v>
      </c>
    </row>
    <row r="2276">
      <c r="A2276" s="9" t="inlineStr">
        <is>
          <t>샴푸_쇼핑검색#1_광고그룹#1</t>
        </is>
      </c>
      <c r="B2276" s="10" t="n">
        <v>44293</v>
      </c>
      <c r="C2276" s="9" t="inlineStr">
        <is>
          <t>수</t>
        </is>
      </c>
      <c r="D2276" s="9" t="inlineStr">
        <is>
          <t>네이버 검색</t>
        </is>
      </c>
      <c r="E2276" s="9" t="inlineStr">
        <is>
          <t>샴푸</t>
        </is>
      </c>
      <c r="K2276" s="9" t="n">
        <v>3690</v>
      </c>
    </row>
    <row r="2277">
      <c r="A2277" s="9" t="inlineStr">
        <is>
          <t>파워컨텐츠#1_비듬샴푸</t>
        </is>
      </c>
      <c r="B2277" s="10" t="n">
        <v>44293</v>
      </c>
      <c r="C2277" s="9" t="inlineStr">
        <is>
          <t>수</t>
        </is>
      </c>
      <c r="D2277" s="9" t="inlineStr">
        <is>
          <t>네이버 검색</t>
        </is>
      </c>
      <c r="E2277" s="9" t="inlineStr">
        <is>
          <t>샴푸</t>
        </is>
      </c>
      <c r="K2277" s="9" t="n">
        <v>0</v>
      </c>
    </row>
    <row r="2278">
      <c r="B2278" s="10" t="n">
        <v>44293</v>
      </c>
      <c r="C2278" s="9" t="inlineStr">
        <is>
          <t>수</t>
        </is>
      </c>
      <c r="E2278" s="9" t="inlineStr">
        <is>
          <t>샴푸</t>
        </is>
      </c>
      <c r="F2278" s="9" t="inlineStr">
        <is>
          <t>카페24</t>
        </is>
      </c>
      <c r="G2278" s="9" t="inlineStr">
        <is>
          <t>[타임특가] 리 : 커버리 3개월 패키지 (샴푸 2+ 트리트먼트 택 1)샴푸2 + 트리트먼트 택 1=샴푸2 + 뉴트리셔스 밤1</t>
        </is>
      </c>
      <c r="H2278" s="9" t="n">
        <v>1</v>
      </c>
      <c r="I2278" s="9" t="inlineStr">
        <is>
          <t>리바이탈 샴푸2+뉴트리셔스밤1</t>
        </is>
      </c>
      <c r="J2278" s="9" t="inlineStr">
        <is>
          <t>210201</t>
        </is>
      </c>
      <c r="L2278" s="9">
        <f>62280</f>
        <v/>
      </c>
      <c r="M2278" s="9">
        <f>62280-(62280/5.85)</f>
        <v/>
      </c>
      <c r="N2278" s="9">
        <f>(2865*2)+1580</f>
        <v/>
      </c>
      <c r="O2278" s="9" t="inlineStr">
        <is>
          <t>카페24샴푸[타임특가] 리 : 커버리 3개월 패키지 (샴푸 2+ 트리트먼트 택 1)샴푸2 + 트리트먼트 택 1=샴푸2 + 뉴트리셔스 밤1210201</t>
        </is>
      </c>
    </row>
    <row r="2279">
      <c r="B2279" s="10" t="n">
        <v>44293</v>
      </c>
      <c r="C2279" s="9" t="inlineStr">
        <is>
          <t>수</t>
        </is>
      </c>
      <c r="E2279" s="9" t="inlineStr">
        <is>
          <t>샴푸</t>
        </is>
      </c>
      <c r="F2279" s="9" t="inlineStr">
        <is>
          <t>카페24</t>
        </is>
      </c>
      <c r="G2279" s="9" t="inlineStr">
        <is>
          <t>[타임특가] 리 : 커버리 3개월 패키지 (샴푸 2+ 트리트먼트 택 1)샴푸2 + 트리트먼트 택 1=샴푸2 + 헤어팩 트리트먼트1</t>
        </is>
      </c>
      <c r="H2279" s="9" t="n">
        <v>4</v>
      </c>
      <c r="I2279" s="9" t="inlineStr">
        <is>
          <t>리바이탈 샴푸2+트리트먼트1</t>
        </is>
      </c>
      <c r="J2279" s="9" t="inlineStr">
        <is>
          <t>210201</t>
        </is>
      </c>
      <c r="L2279" s="9">
        <f>62280*4</f>
        <v/>
      </c>
      <c r="M2279" s="9">
        <f>249120-(249120/5.85)</f>
        <v/>
      </c>
      <c r="N2279" s="9">
        <f>7327*4</f>
        <v/>
      </c>
      <c r="O2279" s="9" t="inlineStr">
        <is>
          <t>카페24샴푸[타임특가] 리 : 커버리 3개월 패키지 (샴푸 2+ 트리트먼트 택 1)샴푸2 + 트리트먼트 택 1=샴푸2 + 헤어팩 트리트먼트1210201</t>
        </is>
      </c>
    </row>
    <row r="2280">
      <c r="B2280" s="10" t="n">
        <v>44293</v>
      </c>
      <c r="C2280" s="9" t="inlineStr">
        <is>
          <t>수</t>
        </is>
      </c>
      <c r="E2280" s="9" t="inlineStr">
        <is>
          <t>샴푸</t>
        </is>
      </c>
      <c r="F2280" s="9" t="inlineStr">
        <is>
          <t>카페24</t>
        </is>
      </c>
      <c r="G2280" s="9" t="inlineStr">
        <is>
          <t>[타임특가] 리 : 커버리 6개월 패키지 (샴푸 5+ 트리트먼트 택 1)샴푸 5 + 트리트먼트 택 1=샴푸 5 + 뉴트리셔스 밤 1</t>
        </is>
      </c>
      <c r="H2280" s="9" t="n">
        <v>2</v>
      </c>
      <c r="I2280" s="9" t="inlineStr">
        <is>
          <t>리바이탈 샴푸5+뉴트리셔스밤1</t>
        </is>
      </c>
      <c r="J2280" s="9" t="inlineStr">
        <is>
          <t>210201</t>
        </is>
      </c>
      <c r="L2280" s="9">
        <f>114840*2</f>
        <v/>
      </c>
      <c r="M2280" s="9">
        <f>229680-(229680/5.85)</f>
        <v/>
      </c>
      <c r="N2280" s="9">
        <f>(2865*5)+1580</f>
        <v/>
      </c>
      <c r="O2280" s="9" t="inlineStr">
        <is>
          <t>카페24샴푸[타임특가] 리 : 커버리 6개월 패키지 (샴푸 5+ 트리트먼트 택 1)샴푸 5 + 트리트먼트 택 1=샴푸 5 + 뉴트리셔스 밤 1210201</t>
        </is>
      </c>
    </row>
    <row r="2281">
      <c r="B2281" s="10" t="n">
        <v>44293</v>
      </c>
      <c r="C2281" s="9" t="inlineStr">
        <is>
          <t>수</t>
        </is>
      </c>
      <c r="E2281" s="9" t="inlineStr">
        <is>
          <t>샴푸</t>
        </is>
      </c>
      <c r="F2281" s="9" t="inlineStr">
        <is>
          <t>카페24</t>
        </is>
      </c>
      <c r="G2281" s="9" t="inlineStr">
        <is>
          <t>[타임특가] 리 : 커버리 6개월 패키지 (샴푸 5+ 트리트먼트 택 1)샴푸 5 + 트리트먼트 택 1=샴푸 5 + 헤어팩 트리트먼트 1</t>
        </is>
      </c>
      <c r="H2281" s="9" t="n">
        <v>1</v>
      </c>
      <c r="I2281" s="9" t="inlineStr">
        <is>
          <t>리바이탈 샴푸5+트리트먼트1</t>
        </is>
      </c>
      <c r="J2281" s="9" t="inlineStr">
        <is>
          <t>210201</t>
        </is>
      </c>
      <c r="L2281" s="9" t="n">
        <v>114840</v>
      </c>
      <c r="M2281" s="9">
        <f>114840-(114840/5.85)</f>
        <v/>
      </c>
      <c r="N2281" s="9">
        <f>(2865*5)+1597</f>
        <v/>
      </c>
      <c r="O2281" s="9" t="inlineStr">
        <is>
          <t>카페24샴푸[타임특가] 리 : 커버리 6개월 패키지 (샴푸 5+ 트리트먼트 택 1)샴푸 5 + 트리트먼트 택 1=샴푸 5 + 헤어팩 트리트먼트 1210201</t>
        </is>
      </c>
    </row>
    <row r="2282">
      <c r="B2282" s="10" t="n">
        <v>44293</v>
      </c>
      <c r="C2282" s="9" t="inlineStr">
        <is>
          <t>수</t>
        </is>
      </c>
      <c r="E2282" s="9" t="inlineStr">
        <is>
          <t>샴푸</t>
        </is>
      </c>
      <c r="F2282" s="9" t="inlineStr">
        <is>
          <t>카페24</t>
        </is>
      </c>
      <c r="G2282" s="9" t="inlineStr">
        <is>
          <t>[타임특가] 리 : 커버리 온가족 패키지 (샴푸 3+ 헤어팩 트리트먼트 1+뉴트리셔스 밤 1)</t>
        </is>
      </c>
      <c r="H2282" s="9" t="n">
        <v>2</v>
      </c>
      <c r="I2282" s="9" t="inlineStr">
        <is>
          <t>리바이탈 샴푸3+트리트먼트1+뉴트리셔스밤1</t>
        </is>
      </c>
      <c r="J2282" s="9" t="inlineStr">
        <is>
          <t>210201</t>
        </is>
      </c>
      <c r="L2282" s="9">
        <f>94765*2</f>
        <v/>
      </c>
      <c r="M2282" s="9">
        <f>189530-(189530/5.85)</f>
        <v/>
      </c>
      <c r="N2282" s="9">
        <f>11772*2</f>
        <v/>
      </c>
      <c r="O2282" s="9" t="inlineStr">
        <is>
          <t>카페24샴푸[타임특가] 리 : 커버리 온가족 패키지 (샴푸 3+ 헤어팩 트리트먼트 1+뉴트리셔스 밤 1)210201</t>
        </is>
      </c>
    </row>
    <row r="2283">
      <c r="B2283" s="10" t="n">
        <v>44293</v>
      </c>
      <c r="C2283" s="9" t="inlineStr">
        <is>
          <t>수</t>
        </is>
      </c>
      <c r="E2283" s="9" t="inlineStr">
        <is>
          <t>샴푸</t>
        </is>
      </c>
      <c r="F2283" s="9" t="inlineStr">
        <is>
          <t>카페24</t>
        </is>
      </c>
      <c r="G2283" s="9" t="inlineStr">
        <is>
          <t>[타임특가] 리:커버리 스타터 패키지 (샴푸 1+헤어팩 트리트먼트 1+ 뉴트리셔스 밤 1)</t>
        </is>
      </c>
      <c r="H2283" s="9" t="n">
        <v>4</v>
      </c>
      <c r="I2283" s="9" t="inlineStr">
        <is>
          <t>리바이탈 샴푸1+트리트먼트1+뉴트리셔스밤1</t>
        </is>
      </c>
      <c r="J2283" s="9" t="inlineStr">
        <is>
          <t>210201</t>
        </is>
      </c>
      <c r="L2283" s="9">
        <f>39897*4</f>
        <v/>
      </c>
      <c r="M2283" s="9">
        <f>159588-(159588/5.85)</f>
        <v/>
      </c>
      <c r="N2283" s="9">
        <f>(2865+1580+1597)*4</f>
        <v/>
      </c>
      <c r="O2283" s="9" t="inlineStr">
        <is>
          <t>카페24샴푸[타임특가] 리:커버리 스타터 패키지 (샴푸 1+헤어팩 트리트먼트 1+ 뉴트리셔스 밤 1)210201</t>
        </is>
      </c>
    </row>
    <row r="2284">
      <c r="B2284" s="10" t="n">
        <v>44293</v>
      </c>
      <c r="C2284" s="9" t="inlineStr">
        <is>
          <t>수</t>
        </is>
      </c>
      <c r="E2284" s="9" t="inlineStr">
        <is>
          <t>뉴트리셔스밤</t>
        </is>
      </c>
      <c r="F2284" s="9" t="inlineStr">
        <is>
          <t>카페24</t>
        </is>
      </c>
      <c r="G2284" s="9" t="inlineStr">
        <is>
          <t>라베나 리커버리 15 뉴트리셔스 밤 [HAIR RÉ:COVERY 15 Nutritious Balm]제품선택=헤어 리커버리 15 뉴트리셔스 밤</t>
        </is>
      </c>
      <c r="H2284" s="9" t="n">
        <v>16</v>
      </c>
      <c r="I2284" s="9" t="inlineStr">
        <is>
          <t>뉴트리셔스밤</t>
        </is>
      </c>
      <c r="J2284" s="9" t="inlineStr">
        <is>
          <t>210201</t>
        </is>
      </c>
      <c r="L2284" s="9" t="n">
        <v>398400</v>
      </c>
      <c r="M2284" s="9" t="n">
        <v>375093.6</v>
      </c>
      <c r="N2284" s="9" t="n">
        <v>25280</v>
      </c>
      <c r="O2284" s="9" t="inlineStr">
        <is>
          <t>카페24뉴트리셔스밤라베나 리커버리 15 뉴트리셔스 밤 [HAIR RÉ:COVERY 15 Nutritious Balm]제품선택=헤어 리커버리 15 뉴트리셔스 밤210201</t>
        </is>
      </c>
    </row>
    <row r="2285">
      <c r="B2285" s="10" t="n">
        <v>44293</v>
      </c>
      <c r="C2285" s="9" t="inlineStr">
        <is>
          <t>수</t>
        </is>
      </c>
      <c r="E2285" s="9" t="inlineStr">
        <is>
          <t>뉴트리셔스밤</t>
        </is>
      </c>
      <c r="F2285" s="9" t="inlineStr">
        <is>
          <t>카페24</t>
        </is>
      </c>
      <c r="G2285" s="9" t="inlineStr">
        <is>
          <t>라베나 리커버리 15 뉴트리셔스 밤 [HAIR RÉ:COVERY 15 Nutritious Balm]제품선택=뉴트리셔스 밤 2개 세트 5% 추가할인</t>
        </is>
      </c>
      <c r="H2285" s="9" t="n">
        <v>4</v>
      </c>
      <c r="I2285" s="9" t="inlineStr">
        <is>
          <t>뉴트리셔스밤 2set</t>
        </is>
      </c>
      <c r="J2285" s="9" t="inlineStr">
        <is>
          <t>210201</t>
        </is>
      </c>
      <c r="L2285" s="9" t="n">
        <v>189240</v>
      </c>
      <c r="M2285" s="9" t="n">
        <v>178169.46</v>
      </c>
      <c r="N2285" s="9" t="n">
        <v>12640</v>
      </c>
      <c r="O2285" s="9" t="inlineStr">
        <is>
          <t>카페24뉴트리셔스밤라베나 리커버리 15 뉴트리셔스 밤 [HAIR RÉ:COVERY 15 Nutritious Balm]제품선택=뉴트리셔스 밤 2개 세트 5% 추가할인210201</t>
        </is>
      </c>
    </row>
    <row r="2286">
      <c r="B2286" s="10" t="n">
        <v>44293</v>
      </c>
      <c r="C2286" s="9" t="inlineStr">
        <is>
          <t>수</t>
        </is>
      </c>
      <c r="E2286" s="9" t="inlineStr">
        <is>
          <t>뉴트리셔스밤</t>
        </is>
      </c>
      <c r="F2286" s="9" t="inlineStr">
        <is>
          <t>카페24</t>
        </is>
      </c>
      <c r="G2286" s="9" t="inlineStr">
        <is>
          <t>라베나 리커버리 15 뉴트리셔스 밤 [HAIR RÉ:COVERY 15 Nutritious Balm]제품선택=뉴트리셔스밤 1개 + 헤어팩 트리트먼트 1개 세트 5%추가할인</t>
        </is>
      </c>
      <c r="H2286" s="9" t="n">
        <v>1</v>
      </c>
      <c r="I2286" s="9" t="inlineStr">
        <is>
          <t>트리트먼트+뉴트리셔스밤</t>
        </is>
      </c>
      <c r="J2286" s="9" t="inlineStr">
        <is>
          <t>210201</t>
        </is>
      </c>
      <c r="L2286" s="9" t="n">
        <v>48355</v>
      </c>
      <c r="M2286" s="9" t="n">
        <v>45526.2325</v>
      </c>
      <c r="N2286" s="9" t="n">
        <v>3177</v>
      </c>
      <c r="O2286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287">
      <c r="B2287" s="10" t="n">
        <v>44293</v>
      </c>
      <c r="C2287" s="9" t="inlineStr">
        <is>
          <t>수</t>
        </is>
      </c>
      <c r="E2287" s="9" t="inlineStr">
        <is>
          <t>샴푸</t>
        </is>
      </c>
      <c r="F2287" s="9" t="inlineStr">
        <is>
          <t>카페24</t>
        </is>
      </c>
      <c r="G2287" s="9" t="inlineStr">
        <is>
          <t>라베나 리커버리 15 리바이탈 바이오플라보노이드샴푸 [HAIR RÉ:COVERY 15 Revital Shampoo]제품선택=헤어 리커버리 15 리바이탈 샴푸 - 500ml</t>
        </is>
      </c>
      <c r="H2287" s="9" t="n">
        <v>79</v>
      </c>
      <c r="I2287" s="9" t="inlineStr">
        <is>
          <t>리바이탈 샴푸</t>
        </is>
      </c>
      <c r="J2287" s="9" t="inlineStr">
        <is>
          <t>210201</t>
        </is>
      </c>
      <c r="L2287" s="9" t="n">
        <v>2125100</v>
      </c>
      <c r="M2287" s="9" t="n">
        <v>2000781.65</v>
      </c>
      <c r="N2287" s="9" t="n">
        <v>226335</v>
      </c>
      <c r="O228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288">
      <c r="B2288" s="10" t="n">
        <v>44293</v>
      </c>
      <c r="C2288" s="9" t="inlineStr">
        <is>
          <t>수</t>
        </is>
      </c>
      <c r="E2288" s="9" t="inlineStr">
        <is>
          <t>샴푸</t>
        </is>
      </c>
      <c r="F2288" s="9" t="inlineStr">
        <is>
          <t>카페24</t>
        </is>
      </c>
      <c r="G2288" s="9" t="inlineStr">
        <is>
          <t>라베나 리커버리 15 리바이탈 바이오플라보노이드샴푸 [HAIR RÉ:COVERY 15 Revital Shampoo]제품선택=리바이탈 샴푸 2개 세트 5%추가할인</t>
        </is>
      </c>
      <c r="H2288" s="9" t="n">
        <v>24</v>
      </c>
      <c r="I2288" s="9" t="inlineStr">
        <is>
          <t>리바이탈 샴푸 2set</t>
        </is>
      </c>
      <c r="J2288" s="9" t="inlineStr">
        <is>
          <t>210201</t>
        </is>
      </c>
      <c r="L2288" s="9" t="n">
        <v>1226640</v>
      </c>
      <c r="M2288" s="9" t="n">
        <v>1154881.56</v>
      </c>
      <c r="N2288" s="9" t="n">
        <v>137520</v>
      </c>
      <c r="O228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289">
      <c r="B2289" s="10" t="n">
        <v>44293</v>
      </c>
      <c r="C2289" s="9" t="inlineStr">
        <is>
          <t>수</t>
        </is>
      </c>
      <c r="E2289" s="9" t="inlineStr">
        <is>
          <t>샴푸</t>
        </is>
      </c>
      <c r="F2289" s="9" t="inlineStr">
        <is>
          <t>카페24</t>
        </is>
      </c>
      <c r="G2289" s="9" t="inlineStr">
        <is>
          <t>라베나 리커버리 15 리바이탈 바이오플라보노이드샴푸 [HAIR RÉ:COVERY 15 Revital Shampoo]제품선택=리바이탈 샴푸 3개 세트 10% 추가할인</t>
        </is>
      </c>
      <c r="H2289" s="9" t="n">
        <v>22</v>
      </c>
      <c r="I2289" s="9" t="inlineStr">
        <is>
          <t>리바이탈 샴푸 3set</t>
        </is>
      </c>
      <c r="J2289" s="9" t="inlineStr">
        <is>
          <t>210201</t>
        </is>
      </c>
      <c r="L2289" s="9" t="n">
        <v>1597860</v>
      </c>
      <c r="M2289" s="9" t="n">
        <v>1504385.19</v>
      </c>
      <c r="N2289" s="9" t="n">
        <v>189090</v>
      </c>
      <c r="O228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290">
      <c r="B2290" s="10" t="n">
        <v>44293</v>
      </c>
      <c r="C2290" s="9" t="inlineStr">
        <is>
          <t>수</t>
        </is>
      </c>
      <c r="E2290" s="9" t="inlineStr">
        <is>
          <t>샴푸</t>
        </is>
      </c>
      <c r="F2290" s="9" t="inlineStr">
        <is>
          <t>카페24</t>
        </is>
      </c>
      <c r="G2290" s="9" t="inlineStr">
        <is>
          <t>라베나 리커버리 15 리바이탈 샴푸 [HAIR RÉ:COVERY 15 Revital Shampoo]제품선택=리바이탈 샴푸 2개 세트 5%추가할인</t>
        </is>
      </c>
      <c r="H2290" s="9" t="n">
        <v>1</v>
      </c>
      <c r="I2290" s="9" t="inlineStr">
        <is>
          <t>리바이탈 샴푸 2set</t>
        </is>
      </c>
      <c r="J2290" s="9" t="inlineStr">
        <is>
          <t>210201</t>
        </is>
      </c>
      <c r="L2290" s="9" t="n">
        <v>51110</v>
      </c>
      <c r="M2290" s="9" t="n">
        <v>48120.065</v>
      </c>
      <c r="N2290" s="9" t="n">
        <v>5730</v>
      </c>
      <c r="O2290" s="9" t="inlineStr">
        <is>
          <t>카페24샴푸라베나 리커버리 15 리바이탈 샴푸 [HAIR RÉ:COVERY 15 Revital Shampoo]제품선택=리바이탈 샴푸 2개 세트 5%추가할인210201</t>
        </is>
      </c>
    </row>
    <row r="2291">
      <c r="B2291" s="10" t="n">
        <v>44293</v>
      </c>
      <c r="C2291" s="9" t="inlineStr">
        <is>
          <t>수</t>
        </is>
      </c>
      <c r="E2291" s="9" t="inlineStr">
        <is>
          <t>트리트먼트</t>
        </is>
      </c>
      <c r="F2291" s="9" t="inlineStr">
        <is>
          <t>카페24</t>
        </is>
      </c>
      <c r="G2291" s="9" t="inlineStr">
        <is>
          <t>라베나 리커버리 15 헤어팩 트리트먼트 [HAIR RÉ:COVERY 15 Hairpack Treatment]제품선택=헤어 리커버리 15 헤어팩 트리트먼트</t>
        </is>
      </c>
      <c r="H2291" s="9" t="n">
        <v>2</v>
      </c>
      <c r="I2291" s="9" t="inlineStr">
        <is>
          <t>트리트먼트</t>
        </is>
      </c>
      <c r="J2291" s="9" t="inlineStr">
        <is>
          <t>210201</t>
        </is>
      </c>
      <c r="L2291" s="9" t="n">
        <v>52000</v>
      </c>
      <c r="M2291" s="9" t="n">
        <v>48958</v>
      </c>
      <c r="N2291" s="9" t="n">
        <v>3194</v>
      </c>
      <c r="O229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292">
      <c r="B2292" s="10" t="n">
        <v>44293</v>
      </c>
      <c r="C2292" s="9" t="inlineStr">
        <is>
          <t>수</t>
        </is>
      </c>
      <c r="E2292" s="9" t="inlineStr">
        <is>
          <t>트리트먼트</t>
        </is>
      </c>
      <c r="F2292" s="9" t="inlineStr">
        <is>
          <t>카페24</t>
        </is>
      </c>
      <c r="G2292" s="9" t="inlineStr">
        <is>
          <t>라베나 리커버리 15 헤어팩 트리트먼트 [HAIR RÉ:COVERY 15 Hairpack Treatment]제품선택=헤어팩 트리트먼트 3개 세트 10% 추가할인</t>
        </is>
      </c>
      <c r="H2292" s="9" t="n">
        <v>1</v>
      </c>
      <c r="I2292" s="9" t="inlineStr">
        <is>
          <t>트리트먼트 3set</t>
        </is>
      </c>
      <c r="J2292" s="9" t="inlineStr">
        <is>
          <t>210201</t>
        </is>
      </c>
      <c r="L2292" s="9" t="n">
        <v>70200</v>
      </c>
      <c r="M2292" s="9" t="n">
        <v>66093.3</v>
      </c>
      <c r="N2292" s="9" t="n">
        <v>4791</v>
      </c>
      <c r="O2292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293">
      <c r="A2293" s="9" t="inlineStr">
        <is>
          <t>0408_윤민_샴푸_배너_올인원</t>
        </is>
      </c>
      <c r="B2293" s="10" t="n">
        <v>44294</v>
      </c>
      <c r="C2293" s="9" t="inlineStr">
        <is>
          <t>목</t>
        </is>
      </c>
      <c r="D2293" s="9" t="inlineStr">
        <is>
          <t>페이스북</t>
        </is>
      </c>
      <c r="E2293" s="9" t="inlineStr">
        <is>
          <t>샴푸</t>
        </is>
      </c>
      <c r="K2293" s="9" t="n">
        <v>6483</v>
      </c>
    </row>
    <row r="2294">
      <c r="A2294" s="9" t="inlineStr">
        <is>
          <t>0408_인서_샴푸_카드뉴스_2030여자</t>
        </is>
      </c>
      <c r="B2294" s="10" t="n">
        <v>44294</v>
      </c>
      <c r="C2294" s="9" t="inlineStr">
        <is>
          <t>목</t>
        </is>
      </c>
      <c r="D2294" s="9" t="inlineStr">
        <is>
          <t>페이스북</t>
        </is>
      </c>
      <c r="E2294" s="9" t="inlineStr">
        <is>
          <t>샴푸</t>
        </is>
      </c>
      <c r="K2294" s="9" t="n">
        <v>20152</v>
      </c>
    </row>
    <row r="2295">
      <c r="A2295" s="9" t="inlineStr">
        <is>
          <t>성화_인스타성 소재 테스트</t>
        </is>
      </c>
      <c r="B2295" s="10" t="n">
        <v>44294</v>
      </c>
      <c r="C2295" s="9" t="inlineStr">
        <is>
          <t>목</t>
        </is>
      </c>
      <c r="D2295" s="9" t="inlineStr">
        <is>
          <t>페이스북</t>
        </is>
      </c>
      <c r="E2295" s="9" t="inlineStr">
        <is>
          <t>샴푸</t>
        </is>
      </c>
      <c r="K2295" s="9" t="n">
        <v>82766</v>
      </c>
    </row>
    <row r="2296">
      <c r="A2296" s="9" t="inlineStr">
        <is>
          <t>0407_윤민_샴푸_영상단장_거품</t>
        </is>
      </c>
      <c r="B2296" s="10" t="n">
        <v>44294</v>
      </c>
      <c r="C2296" s="9" t="inlineStr">
        <is>
          <t>목</t>
        </is>
      </c>
      <c r="D2296" s="9" t="inlineStr">
        <is>
          <t>페이스북</t>
        </is>
      </c>
      <c r="E2296" s="9" t="inlineStr">
        <is>
          <t>샴푸</t>
        </is>
      </c>
      <c r="K2296" s="9" t="n">
        <v>63731</v>
      </c>
    </row>
    <row r="2297">
      <c r="A2297" s="9" t="inlineStr">
        <is>
          <t>0407_성화_스타터패키지_단장이벤트배너_a/b</t>
        </is>
      </c>
      <c r="B2297" s="10" t="n">
        <v>44294</v>
      </c>
      <c r="C2297" s="9" t="inlineStr">
        <is>
          <t>목</t>
        </is>
      </c>
      <c r="D2297" s="9" t="inlineStr">
        <is>
          <t>페이스북</t>
        </is>
      </c>
      <c r="E2297" s="9" t="inlineStr">
        <is>
          <t>샴푸</t>
        </is>
      </c>
      <c r="K2297" s="9" t="n">
        <v>81155</v>
      </c>
    </row>
    <row r="2298">
      <c r="A2298" s="9" t="inlineStr">
        <is>
          <t>0405_노워시_카드뉴스_에어랩</t>
        </is>
      </c>
      <c r="B2298" s="10" t="n">
        <v>44294</v>
      </c>
      <c r="C2298" s="9" t="inlineStr">
        <is>
          <t>목</t>
        </is>
      </c>
      <c r="D2298" s="9" t="inlineStr">
        <is>
          <t>페이스북</t>
        </is>
      </c>
      <c r="E2298" s="9" t="inlineStr">
        <is>
          <t>뉴트리셔스밤</t>
        </is>
      </c>
      <c r="K2298" s="9" t="n">
        <v>49100</v>
      </c>
    </row>
    <row r="2299">
      <c r="A2299" s="9" t="inlineStr">
        <is>
          <t>0405_샴푸_단장_카카오테스트</t>
        </is>
      </c>
      <c r="B2299" s="10" t="n">
        <v>44294</v>
      </c>
      <c r="C2299" s="9" t="inlineStr">
        <is>
          <t>목</t>
        </is>
      </c>
      <c r="D2299" s="9" t="inlineStr">
        <is>
          <t>페이스북</t>
        </is>
      </c>
      <c r="E2299" s="9" t="inlineStr">
        <is>
          <t>샴푸</t>
        </is>
      </c>
      <c r="K2299" s="9" t="n">
        <v>4368</v>
      </c>
    </row>
    <row r="2300">
      <c r="A2300" s="9" t="inlineStr">
        <is>
          <t>0318~영상기반 단장</t>
        </is>
      </c>
      <c r="B2300" s="10" t="n">
        <v>44294</v>
      </c>
      <c r="C2300" s="9" t="inlineStr">
        <is>
          <t>목</t>
        </is>
      </c>
      <c r="D2300" s="9" t="inlineStr">
        <is>
          <t>페이스북</t>
        </is>
      </c>
      <c r="E2300" s="9" t="inlineStr">
        <is>
          <t>샴푸</t>
        </is>
      </c>
      <c r="K2300" s="9" t="n">
        <v>80271</v>
      </c>
    </row>
    <row r="2301">
      <c r="A2301" s="9" t="inlineStr">
        <is>
          <t>0316~영상베리</t>
        </is>
      </c>
      <c r="B2301" s="10" t="n">
        <v>44294</v>
      </c>
      <c r="C2301" s="9" t="inlineStr">
        <is>
          <t>목</t>
        </is>
      </c>
      <c r="D2301" s="9" t="inlineStr">
        <is>
          <t>페이스북</t>
        </is>
      </c>
      <c r="E2301" s="9" t="inlineStr">
        <is>
          <t>샴푸</t>
        </is>
      </c>
      <c r="K2301" s="9" t="n">
        <v>99637</v>
      </c>
    </row>
    <row r="2302">
      <c r="A2302" s="9" t="inlineStr">
        <is>
          <t>현빈임시테스트</t>
        </is>
      </c>
      <c r="B2302" s="10" t="n">
        <v>44294</v>
      </c>
      <c r="C2302" s="9" t="inlineStr">
        <is>
          <t>목</t>
        </is>
      </c>
      <c r="D2302" s="9" t="inlineStr">
        <is>
          <t>페이스북</t>
        </is>
      </c>
      <c r="E2302" s="9" t="inlineStr">
        <is>
          <t>샴푸</t>
        </is>
      </c>
      <c r="K2302" s="9" t="n">
        <v>30093</v>
      </c>
    </row>
    <row r="2303">
      <c r="A2303" s="9" t="inlineStr">
        <is>
          <t>0322_샴푸_GDN_이현1차</t>
        </is>
      </c>
      <c r="B2303" s="10" t="n">
        <v>44294</v>
      </c>
      <c r="C2303" s="9" t="inlineStr">
        <is>
          <t>목</t>
        </is>
      </c>
      <c r="D2303" s="9" t="inlineStr">
        <is>
          <t>GDN</t>
        </is>
      </c>
      <c r="E2303" s="9" t="inlineStr">
        <is>
          <t>샴푸</t>
        </is>
      </c>
      <c r="K2303" s="9" t="n">
        <v>150865</v>
      </c>
    </row>
    <row r="2304">
      <c r="A2304" s="9" t="inlineStr">
        <is>
          <t>0324_샴푸_SDC_CPA</t>
        </is>
      </c>
      <c r="B2304" s="10" t="n">
        <v>44294</v>
      </c>
      <c r="C2304" s="9" t="inlineStr">
        <is>
          <t>목</t>
        </is>
      </c>
      <c r="D2304" s="9" t="inlineStr">
        <is>
          <t>유튜브</t>
        </is>
      </c>
      <c r="E2304" s="9" t="inlineStr">
        <is>
          <t>샴푸</t>
        </is>
      </c>
      <c r="K2304" s="9" t="n">
        <v>62925</v>
      </c>
    </row>
    <row r="2305">
      <c r="A2305" s="9" t="inlineStr">
        <is>
          <t>0324_샴푸_VAC_CPA</t>
        </is>
      </c>
      <c r="B2305" s="10" t="n">
        <v>44294</v>
      </c>
      <c r="C2305" s="9" t="inlineStr">
        <is>
          <t>목</t>
        </is>
      </c>
      <c r="D2305" s="9" t="inlineStr">
        <is>
          <t>유튜브</t>
        </is>
      </c>
      <c r="E2305" s="9" t="inlineStr">
        <is>
          <t>샴푸</t>
        </is>
      </c>
      <c r="K2305" s="9" t="n">
        <v>1817545</v>
      </c>
    </row>
    <row r="2306">
      <c r="A2306" s="9" t="inlineStr">
        <is>
          <t>0326_샴푸_DA_1차</t>
        </is>
      </c>
      <c r="B2306" s="10" t="n">
        <v>44294</v>
      </c>
      <c r="C2306" s="9" t="inlineStr">
        <is>
          <t>목</t>
        </is>
      </c>
      <c r="D2306" s="9" t="inlineStr">
        <is>
          <t>유튜브</t>
        </is>
      </c>
      <c r="E2306" s="9" t="inlineStr">
        <is>
          <t>샴푸</t>
        </is>
      </c>
      <c r="K2306" s="9" t="n">
        <v>738</v>
      </c>
    </row>
    <row r="2307">
      <c r="A2307" s="9" t="inlineStr">
        <is>
          <t>0329_샴푸_GDN_키워드</t>
        </is>
      </c>
      <c r="B2307" s="10" t="n">
        <v>44294</v>
      </c>
      <c r="C2307" s="9" t="inlineStr">
        <is>
          <t>목</t>
        </is>
      </c>
      <c r="D2307" s="9" t="inlineStr">
        <is>
          <t>GDN</t>
        </is>
      </c>
      <c r="E2307" s="9" t="inlineStr">
        <is>
          <t>샴푸</t>
        </is>
      </c>
      <c r="K2307" s="9" t="n">
        <v>159055</v>
      </c>
    </row>
    <row r="2308">
      <c r="A2308" s="9" t="inlineStr">
        <is>
          <t>0330_샴푸_cpv_200만뷰</t>
        </is>
      </c>
      <c r="B2308" s="10" t="n">
        <v>44294</v>
      </c>
      <c r="C2308" s="9" t="inlineStr">
        <is>
          <t>목</t>
        </is>
      </c>
      <c r="D2308" s="9" t="inlineStr">
        <is>
          <t>유튜브</t>
        </is>
      </c>
      <c r="E2308" s="9" t="inlineStr">
        <is>
          <t>샴푸</t>
        </is>
      </c>
      <c r="K2308" s="9" t="n">
        <v>1478881</v>
      </c>
    </row>
    <row r="2309">
      <c r="A2309" s="9" t="inlineStr">
        <is>
          <t>0402_노워시_cpv_아이돌2차</t>
        </is>
      </c>
      <c r="B2309" s="10" t="n">
        <v>44294</v>
      </c>
      <c r="C2309" s="9" t="inlineStr">
        <is>
          <t>목</t>
        </is>
      </c>
      <c r="D2309" s="9" t="inlineStr">
        <is>
          <t>유튜브</t>
        </is>
      </c>
      <c r="E2309" s="9" t="inlineStr">
        <is>
          <t>뉴트리셔스밤</t>
        </is>
      </c>
      <c r="K2309" s="9" t="n">
        <v>67831</v>
      </c>
    </row>
    <row r="2310">
      <c r="A2310" s="9" t="inlineStr">
        <is>
          <t>0407_노워시_VAC_낮은금액효율</t>
        </is>
      </c>
      <c r="B2310" s="10" t="n">
        <v>44294</v>
      </c>
      <c r="C2310" s="9" t="inlineStr">
        <is>
          <t>목</t>
        </is>
      </c>
      <c r="D2310" s="9" t="inlineStr">
        <is>
          <t>유튜브</t>
        </is>
      </c>
      <c r="E2310" s="9" t="inlineStr">
        <is>
          <t>뉴트리셔스밤</t>
        </is>
      </c>
      <c r="K2310" s="9" t="n">
        <v>40019</v>
      </c>
    </row>
    <row r="2311">
      <c r="A2311" s="9" t="inlineStr">
        <is>
          <t>0408_노워시_VAC_CPA</t>
        </is>
      </c>
      <c r="B2311" s="10" t="n">
        <v>44294</v>
      </c>
      <c r="C2311" s="9" t="inlineStr">
        <is>
          <t>목</t>
        </is>
      </c>
      <c r="D2311" s="9" t="inlineStr">
        <is>
          <t>유튜브</t>
        </is>
      </c>
      <c r="E2311" s="9" t="inlineStr">
        <is>
          <t>뉴트리셔스밤</t>
        </is>
      </c>
      <c r="K2311" s="9" t="n">
        <v>191149</v>
      </c>
    </row>
    <row r="2312">
      <c r="A2312" s="9" t="inlineStr">
        <is>
          <t>라베나 파워링크_샴푸_광고그룹#1</t>
        </is>
      </c>
      <c r="B2312" s="10" t="n">
        <v>44294</v>
      </c>
      <c r="C2312" s="9" t="inlineStr">
        <is>
          <t>목</t>
        </is>
      </c>
      <c r="D2312" s="9" t="inlineStr">
        <is>
          <t>네이버 검색</t>
        </is>
      </c>
      <c r="E2312" s="9" t="inlineStr">
        <is>
          <t>샴푸</t>
        </is>
      </c>
      <c r="K2312" s="9" t="n">
        <v>1640</v>
      </c>
    </row>
    <row r="2313">
      <c r="A2313" s="9" t="inlineStr">
        <is>
          <t>라베나 파워링크_샴푸#1_유튜브키워드기반</t>
        </is>
      </c>
      <c r="B2313" s="10" t="n">
        <v>44294</v>
      </c>
      <c r="C2313" s="9" t="inlineStr">
        <is>
          <t>목</t>
        </is>
      </c>
      <c r="D2313" s="9" t="inlineStr">
        <is>
          <t>네이버 검색</t>
        </is>
      </c>
      <c r="E2313" s="9" t="inlineStr">
        <is>
          <t>샴푸</t>
        </is>
      </c>
      <c r="K2313" s="9" t="n">
        <v>11320</v>
      </c>
    </row>
    <row r="2314">
      <c r="A2314" s="9" t="inlineStr">
        <is>
          <t>샴푸_쇼핑검색#1_광고그룹#1</t>
        </is>
      </c>
      <c r="B2314" s="10" t="n">
        <v>44294</v>
      </c>
      <c r="C2314" s="9" t="inlineStr">
        <is>
          <t>목</t>
        </is>
      </c>
      <c r="D2314" s="9" t="inlineStr">
        <is>
          <t>네이버 검색</t>
        </is>
      </c>
      <c r="E2314" s="9" t="inlineStr">
        <is>
          <t>샴푸</t>
        </is>
      </c>
      <c r="K2314" s="9" t="n">
        <v>7099.999999999999</v>
      </c>
    </row>
    <row r="2315">
      <c r="A2315" s="9" t="inlineStr">
        <is>
          <t>파워컨텐츠#1_비듬샴푸</t>
        </is>
      </c>
      <c r="B2315" s="10" t="n">
        <v>44294</v>
      </c>
      <c r="C2315" s="9" t="inlineStr">
        <is>
          <t>목</t>
        </is>
      </c>
      <c r="D2315" s="9" t="inlineStr">
        <is>
          <t>네이버 검색</t>
        </is>
      </c>
      <c r="E2315" s="9" t="inlineStr">
        <is>
          <t>샴푸</t>
        </is>
      </c>
      <c r="K2315" s="9" t="n">
        <v>140</v>
      </c>
    </row>
    <row r="2316">
      <c r="B2316" s="10" t="n">
        <v>44294</v>
      </c>
      <c r="C2316" s="9" t="inlineStr">
        <is>
          <t>목</t>
        </is>
      </c>
      <c r="E2316" s="9" t="inlineStr">
        <is>
          <t>샴푸</t>
        </is>
      </c>
      <c r="F2316" s="9" t="inlineStr">
        <is>
          <t>카페24</t>
        </is>
      </c>
      <c r="G2316" s="9" t="inlineStr">
        <is>
          <t>[타임특가] 리 : 커버리 3개월 패키지 (샴푸 2+ 트리트먼트 택 1)샴푸2 + 트리트먼트 택 1=샴푸2 + 뉴트리셔스 밤1</t>
        </is>
      </c>
      <c r="H2316" s="9" t="n">
        <v>4</v>
      </c>
      <c r="I2316" s="9" t="inlineStr">
        <is>
          <t>리바이탈 샴푸2+뉴트리셔스밤1</t>
        </is>
      </c>
      <c r="J2316" s="9" t="inlineStr">
        <is>
          <t>210201</t>
        </is>
      </c>
      <c r="L2316" s="9">
        <f>62280*4</f>
        <v/>
      </c>
      <c r="M2316" s="9">
        <f>249120-(249120/5.85)</f>
        <v/>
      </c>
      <c r="N2316" s="9">
        <f>7310*4</f>
        <v/>
      </c>
      <c r="O2316" s="9" t="inlineStr">
        <is>
          <t>카페24샴푸[타임특가] 리 : 커버리 3개월 패키지 (샴푸 2+ 트리트먼트 택 1)샴푸2 + 트리트먼트 택 1=샴푸2 + 뉴트리셔스 밤1210201</t>
        </is>
      </c>
    </row>
    <row r="2317">
      <c r="B2317" s="10" t="n">
        <v>44294</v>
      </c>
      <c r="C2317" s="9" t="inlineStr">
        <is>
          <t>목</t>
        </is>
      </c>
      <c r="E2317" s="9" t="inlineStr">
        <is>
          <t>샴푸</t>
        </is>
      </c>
      <c r="F2317" s="9" t="inlineStr">
        <is>
          <t>카페24</t>
        </is>
      </c>
      <c r="G2317" s="9" t="inlineStr">
        <is>
          <t>[타임특가] 리 : 커버리 3개월 패키지 (샴푸 2+ 트리트먼트 택 1)샴푸2 + 트리트먼트 택 1=샴푸2 + 헤어팩 트리트먼트1</t>
        </is>
      </c>
      <c r="H2317" s="9" t="n">
        <v>10</v>
      </c>
      <c r="I2317" s="9" t="inlineStr">
        <is>
          <t>리바이탈 샴푸2+트리트먼트1</t>
        </is>
      </c>
      <c r="J2317" s="9" t="inlineStr">
        <is>
          <t>210201</t>
        </is>
      </c>
      <c r="L2317" s="9">
        <f>62280*10</f>
        <v/>
      </c>
      <c r="M2317" s="9">
        <f>622800-(622800/5.85)</f>
        <v/>
      </c>
      <c r="N2317" s="9">
        <f>7327*10</f>
        <v/>
      </c>
      <c r="O2317" s="9" t="inlineStr">
        <is>
          <t>카페24샴푸[타임특가] 리 : 커버리 3개월 패키지 (샴푸 2+ 트리트먼트 택 1)샴푸2 + 트리트먼트 택 1=샴푸2 + 헤어팩 트리트먼트1210201</t>
        </is>
      </c>
    </row>
    <row r="2318">
      <c r="B2318" s="10" t="n">
        <v>44294</v>
      </c>
      <c r="C2318" s="9" t="inlineStr">
        <is>
          <t>목</t>
        </is>
      </c>
      <c r="E2318" s="9" t="inlineStr">
        <is>
          <t>샴푸</t>
        </is>
      </c>
      <c r="F2318" s="9" t="inlineStr">
        <is>
          <t>카페24</t>
        </is>
      </c>
      <c r="G2318" s="9" t="inlineStr">
        <is>
          <t>[타임특가] 리 : 커버리 6개월 패키지 (샴푸 5+ 트리트먼트 택 1)샴푸 5 + 트리트먼트 택 1=샴푸 5 + 뉴트리셔스 밤 1</t>
        </is>
      </c>
      <c r="H2318" s="9" t="n">
        <v>3</v>
      </c>
      <c r="I2318" s="9" t="inlineStr">
        <is>
          <t>리바이탈 샴푸5+뉴트리셔스밤1</t>
        </is>
      </c>
      <c r="J2318" s="9" t="inlineStr">
        <is>
          <t>210201</t>
        </is>
      </c>
      <c r="L2318" s="9">
        <f>114840*3</f>
        <v/>
      </c>
      <c r="M2318" s="9">
        <f>344520-(344520/5.85)</f>
        <v/>
      </c>
      <c r="N2318" s="9">
        <f>15905*3</f>
        <v/>
      </c>
      <c r="O2318" s="9" t="inlineStr">
        <is>
          <t>카페24샴푸[타임특가] 리 : 커버리 6개월 패키지 (샴푸 5+ 트리트먼트 택 1)샴푸 5 + 트리트먼트 택 1=샴푸 5 + 뉴트리셔스 밤 1210201</t>
        </is>
      </c>
    </row>
    <row r="2319">
      <c r="B2319" s="10" t="n">
        <v>44294</v>
      </c>
      <c r="C2319" s="9" t="inlineStr">
        <is>
          <t>목</t>
        </is>
      </c>
      <c r="E2319" s="9" t="inlineStr">
        <is>
          <t>샴푸</t>
        </is>
      </c>
      <c r="F2319" s="9" t="inlineStr">
        <is>
          <t>카페24</t>
        </is>
      </c>
      <c r="G2319" s="9" t="inlineStr">
        <is>
          <t>[타임특가] 리 : 커버리 6개월 패키지 (샴푸 5+ 트리트먼트 택 1)샴푸 5 + 트리트먼트 택 1=샴푸 5 + 헤어팩 트리트먼트 1</t>
        </is>
      </c>
      <c r="H2319" s="9" t="n">
        <v>1</v>
      </c>
      <c r="I2319" s="9" t="inlineStr">
        <is>
          <t>리바이탈 샴푸5+트리트먼트1</t>
        </is>
      </c>
      <c r="J2319" s="9" t="inlineStr">
        <is>
          <t>210201</t>
        </is>
      </c>
      <c r="L2319" s="9" t="n">
        <v>114840</v>
      </c>
      <c r="M2319" s="9">
        <f>114840-(114840/5.85)</f>
        <v/>
      </c>
      <c r="N2319" s="9">
        <f>(2865*5)+1597</f>
        <v/>
      </c>
      <c r="O2319" s="9" t="inlineStr">
        <is>
          <t>카페24샴푸[타임특가] 리 : 커버리 6개월 패키지 (샴푸 5+ 트리트먼트 택 1)샴푸 5 + 트리트먼트 택 1=샴푸 5 + 헤어팩 트리트먼트 1210201</t>
        </is>
      </c>
    </row>
    <row r="2320">
      <c r="B2320" s="10" t="n">
        <v>44294</v>
      </c>
      <c r="C2320" s="9" t="inlineStr">
        <is>
          <t>목</t>
        </is>
      </c>
      <c r="E2320" s="9" t="inlineStr">
        <is>
          <t>샴푸</t>
        </is>
      </c>
      <c r="F2320" s="9" t="inlineStr">
        <is>
          <t>카페24</t>
        </is>
      </c>
      <c r="G2320" s="9" t="inlineStr">
        <is>
          <t>[타임특가] 리 : 커버리 온가족 패키지 (샴푸 3+ 헤어팩 트리트먼트 1+뉴트리셔스 밤 1)</t>
        </is>
      </c>
      <c r="H2320" s="9" t="n">
        <v>5</v>
      </c>
      <c r="I2320" s="9" t="inlineStr">
        <is>
          <t>리바이탈 샴푸3+트리트먼트1+뉴트리셔스밤1</t>
        </is>
      </c>
      <c r="J2320" s="9" t="inlineStr">
        <is>
          <t>210201</t>
        </is>
      </c>
      <c r="L2320" s="9">
        <f>94765*5</f>
        <v/>
      </c>
      <c r="M2320" s="9">
        <f>473825-(473825/5.85)</f>
        <v/>
      </c>
      <c r="N2320" s="9">
        <f>11772*5</f>
        <v/>
      </c>
      <c r="O2320" s="9" t="inlineStr">
        <is>
          <t>카페24샴푸[타임특가] 리 : 커버리 온가족 패키지 (샴푸 3+ 헤어팩 트리트먼트 1+뉴트리셔스 밤 1)210201</t>
        </is>
      </c>
    </row>
    <row r="2321">
      <c r="B2321" s="10" t="n">
        <v>44294</v>
      </c>
      <c r="C2321" s="9" t="inlineStr">
        <is>
          <t>목</t>
        </is>
      </c>
      <c r="E2321" s="9" t="inlineStr">
        <is>
          <t>샴푸</t>
        </is>
      </c>
      <c r="F2321" s="9" t="inlineStr">
        <is>
          <t>카페24</t>
        </is>
      </c>
      <c r="G2321" s="9" t="inlineStr">
        <is>
          <t>[타임특가] 리:커버리 스타터 패키지 (샴푸 1+헤어팩 트리트먼트 1+ 뉴트리셔스 밤 1)</t>
        </is>
      </c>
      <c r="H2321" s="9" t="n">
        <v>14</v>
      </c>
      <c r="I2321" s="9" t="inlineStr">
        <is>
          <t>리바이탈 샴푸1+트리트먼트1+뉴트리셔스밤1</t>
        </is>
      </c>
      <c r="J2321" s="9" t="inlineStr">
        <is>
          <t>210201</t>
        </is>
      </c>
      <c r="L2321" s="9">
        <f>39897*14</f>
        <v/>
      </c>
      <c r="M2321" s="9">
        <f>558558-(558558/5.85)</f>
        <v/>
      </c>
      <c r="N2321" s="9">
        <f>(2865+1580+1597)*14</f>
        <v/>
      </c>
      <c r="O2321" s="9" t="inlineStr">
        <is>
          <t>카페240샴푸[타임특가] 리:커버리 스타터 패키지 (샴푸 1+헤어팩 트리트먼트 1+ 뉴트리셔스 밤 1)210201</t>
        </is>
      </c>
    </row>
    <row r="2322">
      <c r="B2322" s="10" t="n">
        <v>44294</v>
      </c>
      <c r="C2322" s="9" t="inlineStr">
        <is>
          <t>목</t>
        </is>
      </c>
      <c r="E2322" s="9" t="inlineStr">
        <is>
          <t>뉴트리셔스밤</t>
        </is>
      </c>
      <c r="F2322" s="9" t="inlineStr">
        <is>
          <t>카페24</t>
        </is>
      </c>
      <c r="G2322" s="9" t="inlineStr">
        <is>
          <t>라베나 리커버리 15 뉴트리셔스 밤 [HAIR RÉ:COVERY 15 Nutritious Balm]제품선택=헤어 리커버리 15 뉴트리셔스 밤</t>
        </is>
      </c>
      <c r="H2322" s="9" t="n">
        <v>12</v>
      </c>
      <c r="I2322" s="9" t="inlineStr">
        <is>
          <t>뉴트리셔스밤</t>
        </is>
      </c>
      <c r="J2322" s="9" t="inlineStr">
        <is>
          <t>210201</t>
        </is>
      </c>
      <c r="L2322" s="9" t="n">
        <v>298800</v>
      </c>
      <c r="M2322" s="9" t="n">
        <v>281320.2</v>
      </c>
      <c r="N2322" s="9" t="n">
        <v>18960</v>
      </c>
      <c r="O2322" s="9" t="inlineStr">
        <is>
          <t>카페24뉴트리셔스밤라베나 리커버리 15 뉴트리셔스 밤 [HAIR RÉ:COVERY 15 Nutritious Balm]제품선택=헤어 리커버리 15 뉴트리셔스 밤210201</t>
        </is>
      </c>
    </row>
    <row r="2323">
      <c r="B2323" s="10" t="n">
        <v>44294</v>
      </c>
      <c r="C2323" s="9" t="inlineStr">
        <is>
          <t>목</t>
        </is>
      </c>
      <c r="E2323" s="9" t="inlineStr">
        <is>
          <t>뉴트리셔스밤</t>
        </is>
      </c>
      <c r="F2323" s="9" t="inlineStr">
        <is>
          <t>카페24</t>
        </is>
      </c>
      <c r="G2323" s="9" t="inlineStr">
        <is>
          <t>라베나 리커버리 15 뉴트리셔스 밤 [HAIR RÉ:COVERY 15 Nutritious Balm]제품선택=뉴트리셔스 밤 2개 세트 5% 추가할인</t>
        </is>
      </c>
      <c r="H2323" s="9" t="n">
        <v>3</v>
      </c>
      <c r="I2323" s="9" t="inlineStr">
        <is>
          <t>뉴트리셔스밤 2set</t>
        </is>
      </c>
      <c r="J2323" s="9" t="inlineStr">
        <is>
          <t>210201</t>
        </is>
      </c>
      <c r="L2323" s="9" t="n">
        <v>141930</v>
      </c>
      <c r="M2323" s="9" t="n">
        <v>133627.095</v>
      </c>
      <c r="N2323" s="9" t="n">
        <v>9480</v>
      </c>
      <c r="O2323" s="9" t="inlineStr">
        <is>
          <t>카페24뉴트리셔스밤라베나 리커버리 15 뉴트리셔스 밤 [HAIR RÉ:COVERY 15 Nutritious Balm]제품선택=뉴트리셔스 밤 2개 세트 5% 추가할인210201</t>
        </is>
      </c>
    </row>
    <row r="2324">
      <c r="B2324" s="10" t="n">
        <v>44294</v>
      </c>
      <c r="C2324" s="9" t="inlineStr">
        <is>
          <t>목</t>
        </is>
      </c>
      <c r="E2324" s="9" t="inlineStr">
        <is>
          <t>뉴트리셔스밤</t>
        </is>
      </c>
      <c r="F2324" s="9" t="inlineStr">
        <is>
          <t>카페24</t>
        </is>
      </c>
      <c r="G2324" s="9" t="inlineStr">
        <is>
          <t>라베나 리커버리 15 뉴트리셔스 밤 [HAIR RÉ:COVERY 15 Nutritious Balm]제품선택=뉴트리셔스 밤 3개 세트 10% 추가할인</t>
        </is>
      </c>
      <c r="H2324" s="9" t="n">
        <v>3</v>
      </c>
      <c r="I2324" s="9" t="inlineStr">
        <is>
          <t>뉴트리셔스밤 3set</t>
        </is>
      </c>
      <c r="J2324" s="9" t="inlineStr">
        <is>
          <t>210201</t>
        </is>
      </c>
      <c r="L2324" s="9" t="n">
        <v>201690</v>
      </c>
      <c r="M2324" s="9" t="n">
        <v>189891.135</v>
      </c>
      <c r="N2324" s="9" t="n">
        <v>14220</v>
      </c>
      <c r="O2324" s="9" t="inlineStr">
        <is>
          <t>카페24뉴트리셔스밤라베나 리커버리 15 뉴트리셔스 밤 [HAIR RÉ:COVERY 15 Nutritious Balm]제품선택=뉴트리셔스 밤 3개 세트 10% 추가할인210201</t>
        </is>
      </c>
    </row>
    <row r="2325">
      <c r="B2325" s="10" t="n">
        <v>44294</v>
      </c>
      <c r="C2325" s="9" t="inlineStr">
        <is>
          <t>목</t>
        </is>
      </c>
      <c r="E2325" s="9" t="inlineStr">
        <is>
          <t>샴푸</t>
        </is>
      </c>
      <c r="F2325" s="9" t="inlineStr">
        <is>
          <t>카페24</t>
        </is>
      </c>
      <c r="G2325" s="9" t="inlineStr">
        <is>
          <t>라베나 리커버리 15 리바이탈 바이오플라보노이드샴푸 [HAIR RÉ:COVERY 15 Revital Shampoo]제품선택=헤어 리커버리 15 리바이탈 샴푸 - 500ml</t>
        </is>
      </c>
      <c r="H2325" s="9" t="n">
        <v>125</v>
      </c>
      <c r="I2325" s="9" t="inlineStr">
        <is>
          <t>리바이탈 샴푸</t>
        </is>
      </c>
      <c r="J2325" s="9" t="inlineStr">
        <is>
          <t>210201</t>
        </is>
      </c>
      <c r="L2325" s="9" t="n">
        <v>3362500</v>
      </c>
      <c r="M2325" s="9" t="n">
        <v>3165793.75</v>
      </c>
      <c r="N2325" s="9" t="n">
        <v>358125</v>
      </c>
      <c r="O232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326">
      <c r="B2326" s="10" t="n">
        <v>44294</v>
      </c>
      <c r="C2326" s="9" t="inlineStr">
        <is>
          <t>목</t>
        </is>
      </c>
      <c r="E2326" s="9" t="inlineStr">
        <is>
          <t>샴푸</t>
        </is>
      </c>
      <c r="F2326" s="9" t="inlineStr">
        <is>
          <t>카페24</t>
        </is>
      </c>
      <c r="G2326" s="9" t="inlineStr">
        <is>
          <t>라베나 리커버리 15 리바이탈 바이오플라보노이드샴푸 [HAIR RÉ:COVERY 15 Revital Shampoo]제품선택=리바이탈 샴푸 2개 세트 5%추가할인</t>
        </is>
      </c>
      <c r="H2326" s="9" t="n">
        <v>34</v>
      </c>
      <c r="I2326" s="9" t="inlineStr">
        <is>
          <t>리바이탈 샴푸 2set</t>
        </is>
      </c>
      <c r="J2326" s="9" t="inlineStr">
        <is>
          <t>210201</t>
        </is>
      </c>
      <c r="L2326" s="9" t="n">
        <v>1737740</v>
      </c>
      <c r="M2326" s="9" t="n">
        <v>1636082.21</v>
      </c>
      <c r="N2326" s="9" t="n">
        <v>194820</v>
      </c>
      <c r="O232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327">
      <c r="B2327" s="10" t="n">
        <v>44294</v>
      </c>
      <c r="C2327" s="9" t="inlineStr">
        <is>
          <t>목</t>
        </is>
      </c>
      <c r="E2327" s="9" t="inlineStr">
        <is>
          <t>샴푸</t>
        </is>
      </c>
      <c r="F2327" s="9" t="inlineStr">
        <is>
          <t>카페24</t>
        </is>
      </c>
      <c r="G2327" s="9" t="inlineStr">
        <is>
          <t>라베나 리커버리 15 리바이탈 바이오플라보노이드샴푸 [HAIR RÉ:COVERY 15 Revital Shampoo]제품선택=리바이탈 샴푸 3개 세트 10% 추가할인</t>
        </is>
      </c>
      <c r="H2327" s="9" t="n">
        <v>14</v>
      </c>
      <c r="I2327" s="9" t="inlineStr">
        <is>
          <t>리바이탈 샴푸 3set</t>
        </is>
      </c>
      <c r="J2327" s="9" t="inlineStr">
        <is>
          <t>210201</t>
        </is>
      </c>
      <c r="L2327" s="9" t="n">
        <v>1016820</v>
      </c>
      <c r="M2327" s="9" t="n">
        <v>957336.03</v>
      </c>
      <c r="N2327" s="9" t="n">
        <v>120330</v>
      </c>
      <c r="O232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328">
      <c r="B2328" s="10" t="n">
        <v>44294</v>
      </c>
      <c r="C2328" s="9" t="inlineStr">
        <is>
          <t>목</t>
        </is>
      </c>
      <c r="E2328" s="9" t="inlineStr">
        <is>
          <t>트리트먼트</t>
        </is>
      </c>
      <c r="F2328" s="9" t="inlineStr">
        <is>
          <t>카페24</t>
        </is>
      </c>
      <c r="G2328" s="9" t="inlineStr">
        <is>
          <t>라베나 리커버리 15 헤어팩 트리트먼트 [HAIR RÉ:COVERY 15 Hairpack Treatment]제품선택=헤어 리커버리 15 헤어팩 트리트먼트</t>
        </is>
      </c>
      <c r="H2328" s="9" t="n">
        <v>1</v>
      </c>
      <c r="I2328" s="9" t="inlineStr">
        <is>
          <t>트리트먼트</t>
        </is>
      </c>
      <c r="J2328" s="9" t="inlineStr">
        <is>
          <t>210201</t>
        </is>
      </c>
      <c r="L2328" s="9" t="n">
        <v>26000</v>
      </c>
      <c r="M2328" s="9" t="n">
        <v>24479</v>
      </c>
      <c r="N2328" s="9" t="n">
        <v>1597</v>
      </c>
      <c r="O232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329">
      <c r="B2329" s="10" t="n">
        <v>44294</v>
      </c>
      <c r="C2329" s="9" t="inlineStr">
        <is>
          <t>목</t>
        </is>
      </c>
      <c r="E2329" s="9" t="inlineStr">
        <is>
          <t>트리트먼트</t>
        </is>
      </c>
      <c r="F2329" s="9" t="inlineStr">
        <is>
          <t>카페24</t>
        </is>
      </c>
      <c r="G2329" s="9" t="inlineStr">
        <is>
          <t>라베나 리커버리 15 헤어팩 트리트먼트 [HAIR RÉ:COVERY 15 Hairpack Treatment]제품선택=헤어팩 트리트먼트 2개 세트 5% 추가할인</t>
        </is>
      </c>
      <c r="H2329" s="9" t="n">
        <v>3</v>
      </c>
      <c r="I2329" s="9" t="inlineStr">
        <is>
          <t>트리트먼트 2set</t>
        </is>
      </c>
      <c r="J2329" s="9" t="inlineStr">
        <is>
          <t>210201</t>
        </is>
      </c>
      <c r="L2329" s="9" t="n">
        <v>148200</v>
      </c>
      <c r="M2329" s="9" t="n">
        <v>139530.3</v>
      </c>
      <c r="N2329" s="9" t="n">
        <v>9582</v>
      </c>
      <c r="O2329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330">
      <c r="A2330" s="9" t="inlineStr">
        <is>
          <t>0409_인서_샴푸_카드뉴스_산후탈모</t>
        </is>
      </c>
      <c r="B2330" s="10" t="n">
        <v>44295</v>
      </c>
      <c r="C2330" s="9" t="inlineStr">
        <is>
          <t>금</t>
        </is>
      </c>
      <c r="D2330" s="9" t="inlineStr">
        <is>
          <t>페이스북</t>
        </is>
      </c>
      <c r="E2330" s="9" t="inlineStr">
        <is>
          <t>샴푸</t>
        </is>
      </c>
      <c r="K2330" s="9" t="n">
        <v>19848</v>
      </c>
    </row>
    <row r="2331">
      <c r="A2331" s="9" t="inlineStr">
        <is>
          <t>0408_윤민_샴푸_배너_올인원</t>
        </is>
      </c>
      <c r="B2331" s="10" t="n">
        <v>44295</v>
      </c>
      <c r="C2331" s="9" t="inlineStr">
        <is>
          <t>금</t>
        </is>
      </c>
      <c r="D2331" s="9" t="inlineStr">
        <is>
          <t>페이스북</t>
        </is>
      </c>
      <c r="E2331" s="9" t="inlineStr">
        <is>
          <t>샴푸</t>
        </is>
      </c>
      <c r="K2331" s="9" t="n">
        <v>38542</v>
      </c>
    </row>
    <row r="2332">
      <c r="A2332" s="9" t="inlineStr">
        <is>
          <t>0408_인서_샴푸_카드뉴스_2030여자</t>
        </is>
      </c>
      <c r="B2332" s="10" t="n">
        <v>44295</v>
      </c>
      <c r="C2332" s="9" t="inlineStr">
        <is>
          <t>금</t>
        </is>
      </c>
      <c r="D2332" s="9" t="inlineStr">
        <is>
          <t>페이스북</t>
        </is>
      </c>
      <c r="E2332" s="9" t="inlineStr">
        <is>
          <t>샴푸</t>
        </is>
      </c>
      <c r="K2332" s="9" t="n">
        <v>50152</v>
      </c>
    </row>
    <row r="2333">
      <c r="A2333" s="9" t="inlineStr">
        <is>
          <t>성화_인스타성 소재 테스트</t>
        </is>
      </c>
      <c r="B2333" s="10" t="n">
        <v>44295</v>
      </c>
      <c r="C2333" s="9" t="inlineStr">
        <is>
          <t>금</t>
        </is>
      </c>
      <c r="D2333" s="9" t="inlineStr">
        <is>
          <t>페이스북</t>
        </is>
      </c>
      <c r="E2333" s="9" t="inlineStr">
        <is>
          <t>샴푸</t>
        </is>
      </c>
      <c r="K2333" s="9" t="n">
        <v>92432</v>
      </c>
    </row>
    <row r="2334">
      <c r="A2334" s="9" t="inlineStr">
        <is>
          <t>0407_윤민_샴푸_영상단장_거품</t>
        </is>
      </c>
      <c r="B2334" s="10" t="n">
        <v>44295</v>
      </c>
      <c r="C2334" s="9" t="inlineStr">
        <is>
          <t>금</t>
        </is>
      </c>
      <c r="D2334" s="9" t="inlineStr">
        <is>
          <t>페이스북</t>
        </is>
      </c>
      <c r="E2334" s="9" t="inlineStr">
        <is>
          <t>샴푸</t>
        </is>
      </c>
      <c r="K2334" s="9" t="n">
        <v>30183</v>
      </c>
    </row>
    <row r="2335">
      <c r="A2335" s="9" t="inlineStr">
        <is>
          <t>0407_성화_스타터패키지_단장이벤트배너_a/b</t>
        </is>
      </c>
      <c r="B2335" s="10" t="n">
        <v>44295</v>
      </c>
      <c r="C2335" s="9" t="inlineStr">
        <is>
          <t>금</t>
        </is>
      </c>
      <c r="D2335" s="9" t="inlineStr">
        <is>
          <t>페이스북</t>
        </is>
      </c>
      <c r="E2335" s="9" t="inlineStr">
        <is>
          <t>샴푸</t>
        </is>
      </c>
      <c r="K2335" s="9" t="n">
        <v>169306</v>
      </c>
    </row>
    <row r="2336">
      <c r="A2336" s="9" t="inlineStr">
        <is>
          <t>0405_노워시_카드뉴스_에어랩</t>
        </is>
      </c>
      <c r="B2336" s="10" t="n">
        <v>44295</v>
      </c>
      <c r="C2336" s="9" t="inlineStr">
        <is>
          <t>금</t>
        </is>
      </c>
      <c r="D2336" s="9" t="inlineStr">
        <is>
          <t>페이스북</t>
        </is>
      </c>
      <c r="E2336" s="9" t="inlineStr">
        <is>
          <t>뉴트리셔스밤</t>
        </is>
      </c>
      <c r="K2336" s="9" t="n">
        <v>46691</v>
      </c>
    </row>
    <row r="2337">
      <c r="A2337" s="9" t="inlineStr">
        <is>
          <t>0318~영상기반 단장</t>
        </is>
      </c>
      <c r="B2337" s="10" t="n">
        <v>44295</v>
      </c>
      <c r="C2337" s="9" t="inlineStr">
        <is>
          <t>금</t>
        </is>
      </c>
      <c r="D2337" s="9" t="inlineStr">
        <is>
          <t>페이스북</t>
        </is>
      </c>
      <c r="E2337" s="9" t="inlineStr">
        <is>
          <t>샴푸</t>
        </is>
      </c>
      <c r="K2337" s="9" t="n">
        <v>47722</v>
      </c>
    </row>
    <row r="2338">
      <c r="A2338" s="9" t="inlineStr">
        <is>
          <t>0316~영상베리</t>
        </is>
      </c>
      <c r="B2338" s="10" t="n">
        <v>44295</v>
      </c>
      <c r="C2338" s="9" t="inlineStr">
        <is>
          <t>금</t>
        </is>
      </c>
      <c r="D2338" s="9" t="inlineStr">
        <is>
          <t>페이스북</t>
        </is>
      </c>
      <c r="E2338" s="9" t="inlineStr">
        <is>
          <t>샴푸</t>
        </is>
      </c>
      <c r="K2338" s="9" t="n">
        <v>99921</v>
      </c>
    </row>
    <row r="2339">
      <c r="A2339" s="9" t="inlineStr">
        <is>
          <t>0409_이현_샴푸_카드뉴스_열비듬탈모</t>
        </is>
      </c>
      <c r="B2339" s="10" t="n">
        <v>44296</v>
      </c>
      <c r="C2339" s="9" t="inlineStr">
        <is>
          <t>토</t>
        </is>
      </c>
      <c r="D2339" s="9" t="inlineStr">
        <is>
          <t>페이스북</t>
        </is>
      </c>
      <c r="E2339" s="9" t="inlineStr">
        <is>
          <t>샴푸</t>
        </is>
      </c>
      <c r="K2339" s="9" t="n">
        <v>115459</v>
      </c>
    </row>
    <row r="2340">
      <c r="A2340" s="9" t="inlineStr">
        <is>
          <t>0409_인서_샴푸_카드뉴스_산후탈모</t>
        </is>
      </c>
      <c r="B2340" s="10" t="n">
        <v>44296</v>
      </c>
      <c r="C2340" s="9" t="inlineStr">
        <is>
          <t>토</t>
        </is>
      </c>
      <c r="D2340" s="9" t="inlineStr">
        <is>
          <t>페이스북</t>
        </is>
      </c>
      <c r="E2340" s="9" t="inlineStr">
        <is>
          <t>샴푸</t>
        </is>
      </c>
      <c r="K2340" s="9" t="n">
        <v>55713</v>
      </c>
    </row>
    <row r="2341">
      <c r="A2341" s="9" t="inlineStr">
        <is>
          <t>0408_윤민_샴푸_배너_올인원</t>
        </is>
      </c>
      <c r="B2341" s="10" t="n">
        <v>44296</v>
      </c>
      <c r="C2341" s="9" t="inlineStr">
        <is>
          <t>토</t>
        </is>
      </c>
      <c r="D2341" s="9" t="inlineStr">
        <is>
          <t>페이스북</t>
        </is>
      </c>
      <c r="E2341" s="9" t="inlineStr">
        <is>
          <t>샴푸</t>
        </is>
      </c>
      <c r="K2341" s="9" t="n">
        <v>49441</v>
      </c>
    </row>
    <row r="2342">
      <c r="A2342" s="9" t="inlineStr">
        <is>
          <t>0408_인서_샴푸_카드뉴스_2030여자</t>
        </is>
      </c>
      <c r="B2342" s="10" t="n">
        <v>44296</v>
      </c>
      <c r="C2342" s="9" t="inlineStr">
        <is>
          <t>토</t>
        </is>
      </c>
      <c r="D2342" s="9" t="inlineStr">
        <is>
          <t>페이스북</t>
        </is>
      </c>
      <c r="E2342" s="9" t="inlineStr">
        <is>
          <t>샴푸</t>
        </is>
      </c>
      <c r="K2342" s="9" t="n">
        <v>53900</v>
      </c>
    </row>
    <row r="2343">
      <c r="A2343" s="9" t="inlineStr">
        <is>
          <t>성화_인스타성 소재 테스트</t>
        </is>
      </c>
      <c r="B2343" s="10" t="n">
        <v>44296</v>
      </c>
      <c r="C2343" s="9" t="inlineStr">
        <is>
          <t>토</t>
        </is>
      </c>
      <c r="D2343" s="9" t="inlineStr">
        <is>
          <t>페이스북</t>
        </is>
      </c>
      <c r="E2343" s="9" t="inlineStr">
        <is>
          <t>샴푸</t>
        </is>
      </c>
      <c r="K2343" s="9" t="n">
        <v>99300</v>
      </c>
    </row>
    <row r="2344">
      <c r="A2344" s="9" t="inlineStr">
        <is>
          <t>0407_성화_스타터패키지_단장이벤트배너_a/b</t>
        </is>
      </c>
      <c r="B2344" s="10" t="n">
        <v>44296</v>
      </c>
      <c r="C2344" s="9" t="inlineStr">
        <is>
          <t>토</t>
        </is>
      </c>
      <c r="D2344" s="9" t="inlineStr">
        <is>
          <t>페이스북</t>
        </is>
      </c>
      <c r="E2344" s="9" t="inlineStr">
        <is>
          <t>샴푸</t>
        </is>
      </c>
      <c r="K2344" s="9" t="n">
        <v>186662</v>
      </c>
    </row>
    <row r="2345">
      <c r="A2345" s="9" t="inlineStr">
        <is>
          <t>0405_노워시_카드뉴스_에어랩</t>
        </is>
      </c>
      <c r="B2345" s="10" t="n">
        <v>44296</v>
      </c>
      <c r="C2345" s="9" t="inlineStr">
        <is>
          <t>토</t>
        </is>
      </c>
      <c r="D2345" s="9" t="inlineStr">
        <is>
          <t>페이스북</t>
        </is>
      </c>
      <c r="E2345" s="9" t="inlineStr">
        <is>
          <t>뉴트리셔스밤</t>
        </is>
      </c>
      <c r="K2345" s="9" t="n">
        <v>55120</v>
      </c>
    </row>
    <row r="2346">
      <c r="A2346" s="9" t="inlineStr">
        <is>
          <t>0318~영상기반 단장</t>
        </is>
      </c>
      <c r="B2346" s="10" t="n">
        <v>44296</v>
      </c>
      <c r="C2346" s="9" t="inlineStr">
        <is>
          <t>토</t>
        </is>
      </c>
      <c r="D2346" s="9" t="inlineStr">
        <is>
          <t>페이스북</t>
        </is>
      </c>
      <c r="E2346" s="9" t="inlineStr">
        <is>
          <t>샴푸</t>
        </is>
      </c>
      <c r="K2346" s="9" t="n">
        <v>50099</v>
      </c>
    </row>
    <row r="2347">
      <c r="A2347" s="9" t="inlineStr">
        <is>
          <t>0316~영상베리</t>
        </is>
      </c>
      <c r="B2347" s="10" t="n">
        <v>44296</v>
      </c>
      <c r="C2347" s="9" t="inlineStr">
        <is>
          <t>토</t>
        </is>
      </c>
      <c r="D2347" s="9" t="inlineStr">
        <is>
          <t>페이스북</t>
        </is>
      </c>
      <c r="E2347" s="9" t="inlineStr">
        <is>
          <t>샴푸</t>
        </is>
      </c>
      <c r="K2347" s="9" t="n">
        <v>103886</v>
      </c>
    </row>
    <row r="2348">
      <c r="A2348" s="9" t="inlineStr">
        <is>
          <t>0409_이현_샴푸_카드뉴스_열비듬탈모</t>
        </is>
      </c>
      <c r="B2348" s="10" t="n">
        <v>44297</v>
      </c>
      <c r="C2348" s="9" t="inlineStr">
        <is>
          <t>일</t>
        </is>
      </c>
      <c r="D2348" s="9" t="inlineStr">
        <is>
          <t>페이스북</t>
        </is>
      </c>
      <c r="E2348" s="9" t="inlineStr">
        <is>
          <t>샴푸</t>
        </is>
      </c>
      <c r="K2348" s="9" t="n">
        <v>40842</v>
      </c>
    </row>
    <row r="2349">
      <c r="A2349" s="9" t="inlineStr">
        <is>
          <t>0409_인서_샴푸_카드뉴스_산후탈모</t>
        </is>
      </c>
      <c r="B2349" s="10" t="n">
        <v>44297</v>
      </c>
      <c r="C2349" s="9" t="inlineStr">
        <is>
          <t>일</t>
        </is>
      </c>
      <c r="D2349" s="9" t="inlineStr">
        <is>
          <t>페이스북</t>
        </is>
      </c>
      <c r="E2349" s="9" t="inlineStr">
        <is>
          <t>샴푸</t>
        </is>
      </c>
      <c r="K2349" s="9" t="n">
        <v>21398</v>
      </c>
    </row>
    <row r="2350">
      <c r="A2350" s="9" t="inlineStr">
        <is>
          <t>0408_윤민_샴푸_배너_올인원</t>
        </is>
      </c>
      <c r="B2350" s="10" t="n">
        <v>44297</v>
      </c>
      <c r="C2350" s="9" t="inlineStr">
        <is>
          <t>일</t>
        </is>
      </c>
      <c r="D2350" s="9" t="inlineStr">
        <is>
          <t>페이스북</t>
        </is>
      </c>
      <c r="E2350" s="9" t="inlineStr">
        <is>
          <t>샴푸</t>
        </is>
      </c>
      <c r="K2350" s="9" t="n">
        <v>51740</v>
      </c>
    </row>
    <row r="2351">
      <c r="A2351" s="9" t="inlineStr">
        <is>
          <t>0408_인서_샴푸_카드뉴스_2030여자</t>
        </is>
      </c>
      <c r="B2351" s="10" t="n">
        <v>44297</v>
      </c>
      <c r="C2351" s="9" t="inlineStr">
        <is>
          <t>일</t>
        </is>
      </c>
      <c r="D2351" s="9" t="inlineStr">
        <is>
          <t>페이스북</t>
        </is>
      </c>
      <c r="E2351" s="9" t="inlineStr">
        <is>
          <t>샴푸</t>
        </is>
      </c>
      <c r="K2351" s="9" t="n">
        <v>22445</v>
      </c>
    </row>
    <row r="2352">
      <c r="A2352" s="9" t="inlineStr">
        <is>
          <t>성화_인스타성 소재 테스트</t>
        </is>
      </c>
      <c r="B2352" s="10" t="n">
        <v>44297</v>
      </c>
      <c r="C2352" s="9" t="inlineStr">
        <is>
          <t>일</t>
        </is>
      </c>
      <c r="D2352" s="9" t="inlineStr">
        <is>
          <t>페이스북</t>
        </is>
      </c>
      <c r="E2352" s="9" t="inlineStr">
        <is>
          <t>샴푸</t>
        </is>
      </c>
      <c r="K2352" s="9" t="n">
        <v>49580</v>
      </c>
    </row>
    <row r="2353">
      <c r="A2353" s="9" t="inlineStr">
        <is>
          <t>0407_성화_스타터패키지_단장이벤트배너_a/b</t>
        </is>
      </c>
      <c r="B2353" s="10" t="n">
        <v>44297</v>
      </c>
      <c r="C2353" s="9" t="inlineStr">
        <is>
          <t>일</t>
        </is>
      </c>
      <c r="D2353" s="9" t="inlineStr">
        <is>
          <t>페이스북</t>
        </is>
      </c>
      <c r="E2353" s="9" t="inlineStr">
        <is>
          <t>샴푸</t>
        </is>
      </c>
      <c r="K2353" s="9" t="n">
        <v>201010</v>
      </c>
    </row>
    <row r="2354">
      <c r="A2354" s="9" t="inlineStr">
        <is>
          <t>0405_노워시_카드뉴스_에어랩</t>
        </is>
      </c>
      <c r="B2354" s="10" t="n">
        <v>44297</v>
      </c>
      <c r="C2354" s="9" t="inlineStr">
        <is>
          <t>일</t>
        </is>
      </c>
      <c r="D2354" s="9" t="inlineStr">
        <is>
          <t>페이스북</t>
        </is>
      </c>
      <c r="E2354" s="9" t="inlineStr">
        <is>
          <t>뉴트리셔스밤</t>
        </is>
      </c>
      <c r="K2354" s="9" t="n">
        <v>53007</v>
      </c>
    </row>
    <row r="2355">
      <c r="A2355" s="9" t="inlineStr">
        <is>
          <t>0318~영상기반 단장</t>
        </is>
      </c>
      <c r="B2355" s="10" t="n">
        <v>44297</v>
      </c>
      <c r="C2355" s="9" t="inlineStr">
        <is>
          <t>일</t>
        </is>
      </c>
      <c r="D2355" s="9" t="inlineStr">
        <is>
          <t>페이스북</t>
        </is>
      </c>
      <c r="E2355" s="9" t="inlineStr">
        <is>
          <t>샴푸</t>
        </is>
      </c>
      <c r="K2355" s="9" t="n">
        <v>107572</v>
      </c>
    </row>
    <row r="2356">
      <c r="A2356" s="9" t="inlineStr">
        <is>
          <t>0316~영상베리</t>
        </is>
      </c>
      <c r="B2356" s="10" t="n">
        <v>44297</v>
      </c>
      <c r="C2356" s="9" t="inlineStr">
        <is>
          <t>일</t>
        </is>
      </c>
      <c r="D2356" s="9" t="inlineStr">
        <is>
          <t>페이스북</t>
        </is>
      </c>
      <c r="E2356" s="9" t="inlineStr">
        <is>
          <t>샴푸</t>
        </is>
      </c>
      <c r="K2356" s="9" t="n">
        <v>100124</v>
      </c>
    </row>
    <row r="2357">
      <c r="A2357" s="9" t="inlineStr">
        <is>
          <t>0322_샴푸_GDN_이현1차</t>
        </is>
      </c>
      <c r="B2357" s="10" t="n">
        <v>44295</v>
      </c>
      <c r="C2357" s="9" t="inlineStr">
        <is>
          <t>금</t>
        </is>
      </c>
      <c r="D2357" s="9" t="inlineStr">
        <is>
          <t>GDN</t>
        </is>
      </c>
      <c r="E2357" s="9" t="inlineStr">
        <is>
          <t>샴푸</t>
        </is>
      </c>
      <c r="K2357" s="9" t="n">
        <v>100184</v>
      </c>
    </row>
    <row r="2358">
      <c r="A2358" s="9" t="inlineStr">
        <is>
          <t>0324_샴푸_SDC_CPA</t>
        </is>
      </c>
      <c r="B2358" s="10" t="n">
        <v>44295</v>
      </c>
      <c r="C2358" s="9" t="inlineStr">
        <is>
          <t>금</t>
        </is>
      </c>
      <c r="D2358" s="9" t="inlineStr">
        <is>
          <t>유튜브</t>
        </is>
      </c>
      <c r="E2358" s="9" t="inlineStr">
        <is>
          <t>샴푸</t>
        </is>
      </c>
      <c r="K2358" s="9" t="n">
        <v>3367</v>
      </c>
    </row>
    <row r="2359">
      <c r="A2359" s="9" t="inlineStr">
        <is>
          <t>0324_샴푸_VAC_CPA</t>
        </is>
      </c>
      <c r="B2359" s="10" t="n">
        <v>44295</v>
      </c>
      <c r="C2359" s="9" t="inlineStr">
        <is>
          <t>금</t>
        </is>
      </c>
      <c r="D2359" s="9" t="inlineStr">
        <is>
          <t>유튜브</t>
        </is>
      </c>
      <c r="E2359" s="9" t="inlineStr">
        <is>
          <t>샴푸</t>
        </is>
      </c>
      <c r="K2359" s="9" t="n">
        <v>1801772</v>
      </c>
    </row>
    <row r="2360">
      <c r="A2360" s="9" t="inlineStr">
        <is>
          <t>0326_샴푸_DA_1차</t>
        </is>
      </c>
      <c r="B2360" s="10" t="n">
        <v>44295</v>
      </c>
      <c r="C2360" s="9" t="inlineStr">
        <is>
          <t>금</t>
        </is>
      </c>
      <c r="D2360" s="9" t="inlineStr">
        <is>
          <t>유튜브</t>
        </is>
      </c>
      <c r="E2360" s="9" t="inlineStr">
        <is>
          <t>샴푸</t>
        </is>
      </c>
      <c r="K2360" s="9" t="n">
        <v>316220</v>
      </c>
    </row>
    <row r="2361">
      <c r="A2361" s="9" t="inlineStr">
        <is>
          <t>0329_샴푸_GDN_키워드</t>
        </is>
      </c>
      <c r="B2361" s="10" t="n">
        <v>44295</v>
      </c>
      <c r="C2361" s="9" t="inlineStr">
        <is>
          <t>금</t>
        </is>
      </c>
      <c r="D2361" s="9" t="inlineStr">
        <is>
          <t>GDN</t>
        </is>
      </c>
      <c r="E2361" s="9" t="inlineStr">
        <is>
          <t>샴푸</t>
        </is>
      </c>
      <c r="K2361" s="9" t="n">
        <v>102413</v>
      </c>
    </row>
    <row r="2362">
      <c r="A2362" s="9" t="inlineStr">
        <is>
          <t>0330_샴푸_cpv_200만뷰</t>
        </is>
      </c>
      <c r="B2362" s="10" t="n">
        <v>44295</v>
      </c>
      <c r="C2362" s="9" t="inlineStr">
        <is>
          <t>금</t>
        </is>
      </c>
      <c r="D2362" s="9" t="inlineStr">
        <is>
          <t>유튜브</t>
        </is>
      </c>
      <c r="E2362" s="9" t="inlineStr">
        <is>
          <t>샴푸</t>
        </is>
      </c>
      <c r="K2362" s="9" t="n">
        <v>1539789</v>
      </c>
    </row>
    <row r="2363">
      <c r="A2363" s="9" t="inlineStr">
        <is>
          <t>0322_샴푸_GDN_이현1차</t>
        </is>
      </c>
      <c r="B2363" s="10" t="n">
        <v>44296</v>
      </c>
      <c r="C2363" s="9" t="inlineStr">
        <is>
          <t>토</t>
        </is>
      </c>
      <c r="D2363" s="9" t="inlineStr">
        <is>
          <t>GDN</t>
        </is>
      </c>
      <c r="E2363" s="9" t="inlineStr">
        <is>
          <t>샴푸</t>
        </is>
      </c>
      <c r="K2363" s="9" t="n">
        <v>86212</v>
      </c>
    </row>
    <row r="2364">
      <c r="A2364" s="9" t="inlineStr">
        <is>
          <t>0324_샴푸_VAC_CPA</t>
        </is>
      </c>
      <c r="B2364" s="10" t="n">
        <v>44296</v>
      </c>
      <c r="C2364" s="9" t="inlineStr">
        <is>
          <t>토</t>
        </is>
      </c>
      <c r="D2364" s="9" t="inlineStr">
        <is>
          <t>유튜브</t>
        </is>
      </c>
      <c r="E2364" s="9" t="inlineStr">
        <is>
          <t>샴푸</t>
        </is>
      </c>
      <c r="K2364" s="9" t="n">
        <v>2497774</v>
      </c>
    </row>
    <row r="2365">
      <c r="A2365" s="9" t="inlineStr">
        <is>
          <t>0326_샴푸_DA_1차</t>
        </is>
      </c>
      <c r="B2365" s="10" t="n">
        <v>44296</v>
      </c>
      <c r="C2365" s="9" t="inlineStr">
        <is>
          <t>토</t>
        </is>
      </c>
      <c r="D2365" s="9" t="inlineStr">
        <is>
          <t>유튜브</t>
        </is>
      </c>
      <c r="E2365" s="9" t="inlineStr">
        <is>
          <t>샴푸</t>
        </is>
      </c>
      <c r="K2365" s="9" t="n">
        <v>113086</v>
      </c>
    </row>
    <row r="2366">
      <c r="A2366" s="9" t="inlineStr">
        <is>
          <t>0329_샴푸_GDN_키워드</t>
        </is>
      </c>
      <c r="B2366" s="10" t="n">
        <v>44296</v>
      </c>
      <c r="C2366" s="9" t="inlineStr">
        <is>
          <t>토</t>
        </is>
      </c>
      <c r="D2366" s="9" t="inlineStr">
        <is>
          <t>GDN</t>
        </is>
      </c>
      <c r="E2366" s="9" t="inlineStr">
        <is>
          <t>샴푸</t>
        </is>
      </c>
      <c r="K2366" s="9" t="n">
        <v>75140</v>
      </c>
    </row>
    <row r="2367">
      <c r="A2367" s="9" t="inlineStr">
        <is>
          <t>0330_샴푸_cpv_200만뷰</t>
        </is>
      </c>
      <c r="B2367" s="10" t="n">
        <v>44296</v>
      </c>
      <c r="C2367" s="9" t="inlineStr">
        <is>
          <t>토</t>
        </is>
      </c>
      <c r="D2367" s="9" t="inlineStr">
        <is>
          <t>유튜브</t>
        </is>
      </c>
      <c r="E2367" s="9" t="inlineStr">
        <is>
          <t>샴푸</t>
        </is>
      </c>
      <c r="K2367" s="9" t="n">
        <v>978453</v>
      </c>
    </row>
    <row r="2368">
      <c r="A2368" s="9" t="inlineStr">
        <is>
          <t>0322_샴푸_GDN_이현1차</t>
        </is>
      </c>
      <c r="B2368" s="10" t="n">
        <v>44297</v>
      </c>
      <c r="C2368" s="9" t="inlineStr">
        <is>
          <t>일</t>
        </is>
      </c>
      <c r="D2368" s="9" t="inlineStr">
        <is>
          <t>GDN</t>
        </is>
      </c>
      <c r="E2368" s="9" t="inlineStr">
        <is>
          <t>샴푸</t>
        </is>
      </c>
      <c r="K2368" s="9" t="n">
        <v>113497</v>
      </c>
    </row>
    <row r="2369">
      <c r="A2369" s="9" t="inlineStr">
        <is>
          <t>0324_샴푸_VAC_CPA</t>
        </is>
      </c>
      <c r="B2369" s="10" t="n">
        <v>44297</v>
      </c>
      <c r="C2369" s="9" t="inlineStr">
        <is>
          <t>일</t>
        </is>
      </c>
      <c r="D2369" s="9" t="inlineStr">
        <is>
          <t>유튜브</t>
        </is>
      </c>
      <c r="E2369" s="9" t="inlineStr">
        <is>
          <t>샴푸</t>
        </is>
      </c>
      <c r="K2369" s="9" t="n">
        <v>2502263</v>
      </c>
    </row>
    <row r="2370">
      <c r="A2370" s="9" t="inlineStr">
        <is>
          <t>0329_샴푸_GDN_키워드</t>
        </is>
      </c>
      <c r="B2370" s="10" t="n">
        <v>44297</v>
      </c>
      <c r="C2370" s="9" t="inlineStr">
        <is>
          <t>일</t>
        </is>
      </c>
      <c r="D2370" s="9" t="inlineStr">
        <is>
          <t>GDN</t>
        </is>
      </c>
      <c r="E2370" s="9" t="inlineStr">
        <is>
          <t>샴푸</t>
        </is>
      </c>
      <c r="K2370" s="9" t="n">
        <v>2916</v>
      </c>
    </row>
    <row r="2371">
      <c r="A2371" s="9" t="inlineStr">
        <is>
          <t>0330_샴푸_cpv_200만뷰</t>
        </is>
      </c>
      <c r="B2371" s="10" t="n">
        <v>44297</v>
      </c>
      <c r="C2371" s="9" t="inlineStr">
        <is>
          <t>일</t>
        </is>
      </c>
      <c r="D2371" s="9" t="inlineStr">
        <is>
          <t>유튜브</t>
        </is>
      </c>
      <c r="E2371" s="9" t="inlineStr">
        <is>
          <t>샴푸</t>
        </is>
      </c>
      <c r="K2371" s="9" t="n">
        <v>1030767</v>
      </c>
    </row>
    <row r="2372">
      <c r="A2372" s="9" t="inlineStr">
        <is>
          <t>라베나 파워링크_샴푸_광고그룹#1</t>
        </is>
      </c>
      <c r="B2372" s="10" t="n">
        <v>44297</v>
      </c>
      <c r="C2372" s="9" t="inlineStr">
        <is>
          <t>일</t>
        </is>
      </c>
      <c r="D2372" s="9" t="inlineStr">
        <is>
          <t>네이버 검색</t>
        </is>
      </c>
      <c r="E2372" s="9" t="inlineStr">
        <is>
          <t>샴푸</t>
        </is>
      </c>
      <c r="K2372" s="9" t="n">
        <v>2420</v>
      </c>
    </row>
    <row r="2373">
      <c r="A2373" s="9" t="inlineStr">
        <is>
          <t>라베나 파워링크_샴푸#1_유튜브키워드기반</t>
        </is>
      </c>
      <c r="B2373" s="10" t="n">
        <v>44297</v>
      </c>
      <c r="C2373" s="9" t="inlineStr">
        <is>
          <t>일</t>
        </is>
      </c>
      <c r="D2373" s="9" t="inlineStr">
        <is>
          <t>네이버 검색</t>
        </is>
      </c>
      <c r="E2373" s="9" t="inlineStr">
        <is>
          <t>샴푸</t>
        </is>
      </c>
      <c r="K2373" s="9" t="n">
        <v>19480</v>
      </c>
    </row>
    <row r="2374">
      <c r="A2374" s="9" t="inlineStr">
        <is>
          <t>샴푸_쇼핑검색#1_광고그룹#1</t>
        </is>
      </c>
      <c r="B2374" s="10" t="n">
        <v>44297</v>
      </c>
      <c r="C2374" s="9" t="inlineStr">
        <is>
          <t>일</t>
        </is>
      </c>
      <c r="D2374" s="9" t="inlineStr">
        <is>
          <t>네이버 검색</t>
        </is>
      </c>
      <c r="E2374" s="9" t="inlineStr">
        <is>
          <t>샴푸</t>
        </is>
      </c>
      <c r="K2374" s="9" t="n">
        <v>2580</v>
      </c>
    </row>
    <row r="2375">
      <c r="A2375" s="9" t="inlineStr">
        <is>
          <t>파워컨텐츠#1_비듬샴푸</t>
        </is>
      </c>
      <c r="B2375" s="10" t="n">
        <v>44297</v>
      </c>
      <c r="C2375" s="9" t="inlineStr">
        <is>
          <t>일</t>
        </is>
      </c>
      <c r="D2375" s="9" t="inlineStr">
        <is>
          <t>네이버 검색</t>
        </is>
      </c>
      <c r="E2375" s="9" t="inlineStr">
        <is>
          <t>샴푸</t>
        </is>
      </c>
      <c r="K2375" s="9" t="n">
        <v>70</v>
      </c>
    </row>
    <row r="2376">
      <c r="A2376" s="9" t="inlineStr">
        <is>
          <t>라베나 파워링크_샴푸_광고그룹#1</t>
        </is>
      </c>
      <c r="B2376" s="10" t="n">
        <v>44296</v>
      </c>
      <c r="C2376" s="9" t="inlineStr">
        <is>
          <t>토</t>
        </is>
      </c>
      <c r="D2376" s="9" t="inlineStr">
        <is>
          <t>네이버 검색</t>
        </is>
      </c>
      <c r="E2376" s="9" t="inlineStr">
        <is>
          <t>샴푸</t>
        </is>
      </c>
      <c r="K2376" s="9" t="n">
        <v>1910</v>
      </c>
    </row>
    <row r="2377">
      <c r="A2377" s="9" t="inlineStr">
        <is>
          <t>라베나 파워링크_샴푸#1_유튜브키워드기반</t>
        </is>
      </c>
      <c r="B2377" s="10" t="n">
        <v>44296</v>
      </c>
      <c r="C2377" s="9" t="inlineStr">
        <is>
          <t>토</t>
        </is>
      </c>
      <c r="D2377" s="9" t="inlineStr">
        <is>
          <t>네이버 검색</t>
        </is>
      </c>
      <c r="E2377" s="9" t="inlineStr">
        <is>
          <t>샴푸</t>
        </is>
      </c>
      <c r="K2377" s="9" t="n">
        <v>15150</v>
      </c>
    </row>
    <row r="2378">
      <c r="A2378" s="9" t="inlineStr">
        <is>
          <t>샴푸_쇼핑검색#1_광고그룹#1</t>
        </is>
      </c>
      <c r="B2378" s="10" t="n">
        <v>44296</v>
      </c>
      <c r="C2378" s="9" t="inlineStr">
        <is>
          <t>토</t>
        </is>
      </c>
      <c r="D2378" s="9" t="inlineStr">
        <is>
          <t>네이버 검색</t>
        </is>
      </c>
      <c r="E2378" s="9" t="inlineStr">
        <is>
          <t>샴푸</t>
        </is>
      </c>
      <c r="K2378" s="9" t="n">
        <v>2770</v>
      </c>
    </row>
    <row r="2379">
      <c r="A2379" s="9" t="inlineStr">
        <is>
          <t>파워컨텐츠#1_비듬샴푸</t>
        </is>
      </c>
      <c r="B2379" s="10" t="n">
        <v>44296</v>
      </c>
      <c r="C2379" s="9" t="inlineStr">
        <is>
          <t>토</t>
        </is>
      </c>
      <c r="D2379" s="9" t="inlineStr">
        <is>
          <t>네이버 검색</t>
        </is>
      </c>
      <c r="E2379" s="9" t="inlineStr">
        <is>
          <t>샴푸</t>
        </is>
      </c>
      <c r="K2379" s="9" t="n">
        <v>0</v>
      </c>
    </row>
    <row r="2380">
      <c r="A2380" s="9" t="inlineStr">
        <is>
          <t>라베나 파워링크_샴푸_광고그룹#1</t>
        </is>
      </c>
      <c r="B2380" s="10" t="n">
        <v>44295</v>
      </c>
      <c r="C2380" s="9" t="inlineStr">
        <is>
          <t>금</t>
        </is>
      </c>
      <c r="D2380" s="9" t="inlineStr">
        <is>
          <t>네이버 검색</t>
        </is>
      </c>
      <c r="E2380" s="9" t="inlineStr">
        <is>
          <t>샴푸</t>
        </is>
      </c>
      <c r="K2380" s="9" t="n">
        <v>1590</v>
      </c>
    </row>
    <row r="2381">
      <c r="A2381" s="9" t="inlineStr">
        <is>
          <t>라베나 파워링크_샴푸#1_유튜브키워드기반</t>
        </is>
      </c>
      <c r="B2381" s="10" t="n">
        <v>44295</v>
      </c>
      <c r="C2381" s="9" t="inlineStr">
        <is>
          <t>금</t>
        </is>
      </c>
      <c r="D2381" s="9" t="inlineStr">
        <is>
          <t>네이버 검색</t>
        </is>
      </c>
      <c r="E2381" s="9" t="inlineStr">
        <is>
          <t>샴푸</t>
        </is>
      </c>
      <c r="K2381" s="9" t="n">
        <v>15150</v>
      </c>
    </row>
    <row r="2382">
      <c r="A2382" s="9" t="inlineStr">
        <is>
          <t>샴푸_쇼핑검색#1_광고그룹#1</t>
        </is>
      </c>
      <c r="B2382" s="10" t="n">
        <v>44295</v>
      </c>
      <c r="C2382" s="9" t="inlineStr">
        <is>
          <t>금</t>
        </is>
      </c>
      <c r="D2382" s="9" t="inlineStr">
        <is>
          <t>네이버 검색</t>
        </is>
      </c>
      <c r="E2382" s="9" t="inlineStr">
        <is>
          <t>샴푸</t>
        </is>
      </c>
      <c r="K2382" s="9" t="n">
        <v>3020</v>
      </c>
    </row>
    <row r="2383">
      <c r="A2383" s="9" t="inlineStr">
        <is>
          <t>파워컨텐츠#1_비듬샴푸</t>
        </is>
      </c>
      <c r="B2383" s="10" t="n">
        <v>44295</v>
      </c>
      <c r="C2383" s="9" t="inlineStr">
        <is>
          <t>금</t>
        </is>
      </c>
      <c r="D2383" s="9" t="inlineStr">
        <is>
          <t>네이버 검색</t>
        </is>
      </c>
      <c r="E2383" s="9" t="inlineStr">
        <is>
          <t>샴푸</t>
        </is>
      </c>
      <c r="K2383" s="9" t="n">
        <v>0</v>
      </c>
    </row>
    <row r="2384">
      <c r="B2384" s="10" t="n">
        <v>44295</v>
      </c>
      <c r="C2384" s="9" t="inlineStr">
        <is>
          <t>금</t>
        </is>
      </c>
      <c r="E2384" s="9" t="inlineStr">
        <is>
          <t>샴푸</t>
        </is>
      </c>
      <c r="F2384" s="9" t="inlineStr">
        <is>
          <t>카페24</t>
        </is>
      </c>
      <c r="G2384" s="9" t="inlineStr">
        <is>
          <t>[타임특가] 리 : 커버리 3개월 패키지 (샴푸 2+ 트리트먼트 택 1)샴푸2 + 트리트먼트 택 1=샴푸2 + 뉴트리셔스 밤1</t>
        </is>
      </c>
      <c r="H2384" s="9" t="n">
        <v>2</v>
      </c>
      <c r="I2384" s="9" t="inlineStr">
        <is>
          <t>리바이탈 샴푸2+뉴트리셔스밤1</t>
        </is>
      </c>
      <c r="J2384" s="9" t="inlineStr">
        <is>
          <t>210201</t>
        </is>
      </c>
      <c r="L2384" s="9">
        <f>62280*2</f>
        <v/>
      </c>
      <c r="M2384" s="9">
        <f>124560-(124560/5.85)</f>
        <v/>
      </c>
      <c r="N2384" s="9">
        <f>7310*2</f>
        <v/>
      </c>
      <c r="O2384" s="9" t="inlineStr">
        <is>
          <t>카페24샴푸[타임특가] 리 : 커버리 3개월 패키지 (샴푸 2+ 트리트먼트 택 1)샴푸2 + 트리트먼트 택 1=샴푸2 + 뉴트리셔스 밤1210201</t>
        </is>
      </c>
    </row>
    <row r="2385">
      <c r="B2385" s="10" t="n">
        <v>44295</v>
      </c>
      <c r="C2385" s="9" t="inlineStr">
        <is>
          <t>금</t>
        </is>
      </c>
      <c r="E2385" s="9" t="inlineStr">
        <is>
          <t>샴푸</t>
        </is>
      </c>
      <c r="F2385" s="9" t="inlineStr">
        <is>
          <t>카페24</t>
        </is>
      </c>
      <c r="G2385" s="9" t="inlineStr">
        <is>
          <t>[타임특가] 리 : 커버리 3개월 패키지 (샴푸 2+ 트리트먼트 택 1)샴푸2 + 트리트먼트 택 1=샴푸2 + 헤어팩 트리트먼트1</t>
        </is>
      </c>
      <c r="H2385" s="9" t="n">
        <v>8</v>
      </c>
      <c r="I2385" s="9" t="inlineStr">
        <is>
          <t>리바이탈 샴푸2+트리트먼트1</t>
        </is>
      </c>
      <c r="J2385" s="9" t="inlineStr">
        <is>
          <t>210201</t>
        </is>
      </c>
      <c r="L2385" s="9">
        <f>62280*8</f>
        <v/>
      </c>
      <c r="M2385" s="9">
        <f>498240-(498240/5.85)</f>
        <v/>
      </c>
      <c r="N2385" s="9">
        <f>7327*8</f>
        <v/>
      </c>
      <c r="O2385" s="9" t="inlineStr">
        <is>
          <t>카페24샴푸[타임특가] 리 : 커버리 3개월 패키지 (샴푸 2+ 트리트먼트 택 1)샴푸2 + 트리트먼트 택 1=샴푸2 + 헤어팩 트리트먼트1210201</t>
        </is>
      </c>
    </row>
    <row r="2386">
      <c r="B2386" s="10" t="n">
        <v>44295</v>
      </c>
      <c r="C2386" s="9" t="inlineStr">
        <is>
          <t>금</t>
        </is>
      </c>
      <c r="E2386" s="9" t="inlineStr">
        <is>
          <t>샴푸</t>
        </is>
      </c>
      <c r="F2386" s="9" t="inlineStr">
        <is>
          <t>카페24</t>
        </is>
      </c>
      <c r="G2386" s="9" t="inlineStr">
        <is>
          <t>[타임특가] 리 : 커버리 6개월 패키지 (샴푸 5+ 트리트먼트 택 1)샴푸 5 + 트리트먼트 택 1=샴푸 5 + 헤어팩 트리트먼트 1</t>
        </is>
      </c>
      <c r="H2386" s="9" t="n">
        <v>2</v>
      </c>
      <c r="I2386" s="9" t="inlineStr">
        <is>
          <t>리바이탈 샴푸5+트리트먼트1</t>
        </is>
      </c>
      <c r="J2386" s="9" t="inlineStr">
        <is>
          <t>210201</t>
        </is>
      </c>
      <c r="L2386" s="9">
        <f>114840*2</f>
        <v/>
      </c>
      <c r="M2386" s="9">
        <f>229680-(229680/5.85)</f>
        <v/>
      </c>
      <c r="N2386" s="9">
        <f>15922*2</f>
        <v/>
      </c>
      <c r="O2386" s="9" t="inlineStr">
        <is>
          <t>카페24샴푸[타임특가] 리 : 커버리 6개월 패키지 (샴푸 5+ 트리트먼트 택 1)샴푸 5 + 트리트먼트 택 1=샴푸 5 + 헤어팩 트리트먼트 1210201</t>
        </is>
      </c>
    </row>
    <row r="2387">
      <c r="B2387" s="10" t="n">
        <v>44295</v>
      </c>
      <c r="C2387" s="9" t="inlineStr">
        <is>
          <t>금</t>
        </is>
      </c>
      <c r="E2387" s="9" t="inlineStr">
        <is>
          <t>샴푸</t>
        </is>
      </c>
      <c r="F2387" s="9" t="inlineStr">
        <is>
          <t>카페24</t>
        </is>
      </c>
      <c r="G2387" s="9" t="inlineStr">
        <is>
          <t>[타임특가] 리 : 커버리 온가족 패키지 (샴푸 3+ 헤어팩 트리트먼트 1+뉴트리셔스 밤 1)</t>
        </is>
      </c>
      <c r="H2387" s="9" t="n">
        <v>2</v>
      </c>
      <c r="I2387" s="9" t="inlineStr">
        <is>
          <t>리바이탈 샴푸3+트리트먼트1+뉴트리셔스밤1</t>
        </is>
      </c>
      <c r="J2387" s="9" t="inlineStr">
        <is>
          <t>210201</t>
        </is>
      </c>
      <c r="L2387" s="9">
        <f>94765*2</f>
        <v/>
      </c>
      <c r="M2387" s="9">
        <f>189530-(189530/5.85)</f>
        <v/>
      </c>
      <c r="N2387" s="9">
        <f>11772*2</f>
        <v/>
      </c>
      <c r="O2387" s="9" t="inlineStr">
        <is>
          <t>카페24샴푸[타임특가] 리 : 커버리 온가족 패키지 (샴푸 3+ 헤어팩 트리트먼트 1+뉴트리셔스 밤 1)210201</t>
        </is>
      </c>
    </row>
    <row r="2388">
      <c r="B2388" s="10" t="n">
        <v>44295</v>
      </c>
      <c r="C2388" s="9" t="inlineStr">
        <is>
          <t>금</t>
        </is>
      </c>
      <c r="E2388" s="9" t="inlineStr">
        <is>
          <t>샴푸</t>
        </is>
      </c>
      <c r="F2388" s="9" t="inlineStr">
        <is>
          <t>카페24</t>
        </is>
      </c>
      <c r="G2388" s="9" t="inlineStr">
        <is>
          <t>[타임특가] 리:커버리 스타터 패키지 (샴푸 1+헤어팩 트리트먼트 1+ 뉴트리셔스 밤 1)</t>
        </is>
      </c>
      <c r="H2388" s="9" t="n">
        <v>12</v>
      </c>
      <c r="I2388" s="9" t="inlineStr">
        <is>
          <t>리바이탈 샴푸1+트리트먼트1+뉴트리셔스밤1</t>
        </is>
      </c>
      <c r="J2388" s="9" t="inlineStr">
        <is>
          <t>210201</t>
        </is>
      </c>
      <c r="L2388" s="9">
        <f>39897*12</f>
        <v/>
      </c>
      <c r="M2388" s="9">
        <f>478764-(478764/5.85)</f>
        <v/>
      </c>
      <c r="N2388" s="9">
        <f>(2865+1580+1597)*12</f>
        <v/>
      </c>
      <c r="O2388" s="9" t="inlineStr">
        <is>
          <t>카페24샴푸[타임특가] 리:커버리 스타터 패키지 (샴푸 1+헤어팩 트리트먼트 1+ 뉴트리셔스 밤 1)210201</t>
        </is>
      </c>
    </row>
    <row r="2389">
      <c r="B2389" s="10" t="n">
        <v>44295</v>
      </c>
      <c r="C2389" s="9" t="inlineStr">
        <is>
          <t>금</t>
        </is>
      </c>
      <c r="E2389" s="9" t="inlineStr">
        <is>
          <t>뉴트리셔스밤</t>
        </is>
      </c>
      <c r="F2389" s="9" t="inlineStr">
        <is>
          <t>카페24</t>
        </is>
      </c>
      <c r="G2389" s="9" t="inlineStr">
        <is>
          <t>라베나 리커버리 15 뉴트리셔스 밤 [HAIR RÉ:COVERY 15 Nutritious Balm]제품선택=헤어 리커버리 15 뉴트리셔스 밤</t>
        </is>
      </c>
      <c r="H2389" s="9" t="n">
        <v>3</v>
      </c>
      <c r="I2389" s="9" t="inlineStr">
        <is>
          <t>뉴트리셔스밤</t>
        </is>
      </c>
      <c r="J2389" s="9" t="inlineStr">
        <is>
          <t>210201</t>
        </is>
      </c>
      <c r="L2389" s="9" t="n">
        <v>74700</v>
      </c>
      <c r="M2389" s="9" t="n">
        <v>70330.04999999999</v>
      </c>
      <c r="N2389" s="9" t="n">
        <v>4740</v>
      </c>
      <c r="O2389" s="9" t="inlineStr">
        <is>
          <t>카페24뉴트리셔스밤라베나 리커버리 15 뉴트리셔스 밤 [HAIR RÉ:COVERY 15 Nutritious Balm]제품선택=헤어 리커버리 15 뉴트리셔스 밤210201</t>
        </is>
      </c>
    </row>
    <row r="2390">
      <c r="B2390" s="10" t="n">
        <v>44295</v>
      </c>
      <c r="C2390" s="9" t="inlineStr">
        <is>
          <t>금</t>
        </is>
      </c>
      <c r="E2390" s="9" t="inlineStr">
        <is>
          <t>샴푸</t>
        </is>
      </c>
      <c r="F2390" s="9" t="inlineStr">
        <is>
          <t>카페24</t>
        </is>
      </c>
      <c r="G2390" s="9" t="inlineStr">
        <is>
          <t>라베나 리커버리 15 리바이탈 바이오플라보노이드샴푸 [HAIR RÉ:COVERY 15 Revital Shampoo]제품선택=헤어 리커버리 15 리바이탈 샴푸 - 500ml</t>
        </is>
      </c>
      <c r="H2390" s="9" t="n">
        <v>124</v>
      </c>
      <c r="I2390" s="9" t="inlineStr">
        <is>
          <t>리바이탈 샴푸</t>
        </is>
      </c>
      <c r="J2390" s="9" t="inlineStr">
        <is>
          <t>210201</t>
        </is>
      </c>
      <c r="L2390" s="9" t="n">
        <v>3335600</v>
      </c>
      <c r="M2390" s="9" t="n">
        <v>3140467.4</v>
      </c>
      <c r="N2390" s="9" t="n">
        <v>355260</v>
      </c>
      <c r="O239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391">
      <c r="B2391" s="10" t="n">
        <v>44295</v>
      </c>
      <c r="C2391" s="9" t="inlineStr">
        <is>
          <t>금</t>
        </is>
      </c>
      <c r="E2391" s="9" t="inlineStr">
        <is>
          <t>샴푸</t>
        </is>
      </c>
      <c r="F2391" s="9" t="inlineStr">
        <is>
          <t>카페24</t>
        </is>
      </c>
      <c r="G2391" s="9" t="inlineStr">
        <is>
          <t>라베나 리커버리 15 리바이탈 바이오플라보노이드샴푸 [HAIR RÉ:COVERY 15 Revital Shampoo]제품선택=리바이탈 샴푸 2개 세트 5%추가할인</t>
        </is>
      </c>
      <c r="H2391" s="9" t="n">
        <v>37</v>
      </c>
      <c r="I2391" s="9" t="inlineStr">
        <is>
          <t>리바이탈 샴푸 2set</t>
        </is>
      </c>
      <c r="J2391" s="9" t="inlineStr">
        <is>
          <t>210201</t>
        </is>
      </c>
      <c r="L2391" s="9" t="n">
        <v>1891070</v>
      </c>
      <c r="M2391" s="9" t="n">
        <v>1780442.405</v>
      </c>
      <c r="N2391" s="9" t="n">
        <v>212010</v>
      </c>
      <c r="O239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392">
      <c r="B2392" s="10" t="n">
        <v>44295</v>
      </c>
      <c r="C2392" s="9" t="inlineStr">
        <is>
          <t>금</t>
        </is>
      </c>
      <c r="E2392" s="9" t="inlineStr">
        <is>
          <t>샴푸</t>
        </is>
      </c>
      <c r="F2392" s="9" t="inlineStr">
        <is>
          <t>카페24</t>
        </is>
      </c>
      <c r="G2392" s="9" t="inlineStr">
        <is>
          <t>라베나 리커버리 15 리바이탈 바이오플라보노이드샴푸 [HAIR RÉ:COVERY 15 Revital Shampoo]제품선택=리바이탈 샴푸 3개 세트 10% 추가할인</t>
        </is>
      </c>
      <c r="H2392" s="9" t="n">
        <v>13</v>
      </c>
      <c r="I2392" s="9" t="inlineStr">
        <is>
          <t>리바이탈 샴푸 3set</t>
        </is>
      </c>
      <c r="J2392" s="9" t="inlineStr">
        <is>
          <t>210201</t>
        </is>
      </c>
      <c r="L2392" s="9" t="n">
        <v>944190</v>
      </c>
      <c r="M2392" s="9" t="n">
        <v>888954.885</v>
      </c>
      <c r="N2392" s="9" t="n">
        <v>111735</v>
      </c>
      <c r="O239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393">
      <c r="B2393" s="10" t="n">
        <v>44295</v>
      </c>
      <c r="C2393" s="9" t="inlineStr">
        <is>
          <t>금</t>
        </is>
      </c>
      <c r="E2393" s="9" t="inlineStr">
        <is>
          <t>트리트먼트</t>
        </is>
      </c>
      <c r="F2393" s="9" t="inlineStr">
        <is>
          <t>카페24</t>
        </is>
      </c>
      <c r="G2393" s="9" t="inlineStr">
        <is>
          <t>라베나 리커버리 15 헤어팩 트리트먼트 [HAIR RÉ:COVERY 15 Hairpack Treatment]제품선택=헤어 리커버리 15 헤어팩 트리트먼트</t>
        </is>
      </c>
      <c r="H2393" s="9" t="n">
        <v>4</v>
      </c>
      <c r="I2393" s="9" t="inlineStr">
        <is>
          <t>트리트먼트</t>
        </is>
      </c>
      <c r="J2393" s="9" t="inlineStr">
        <is>
          <t>210201</t>
        </is>
      </c>
      <c r="L2393" s="9" t="n">
        <v>104000</v>
      </c>
      <c r="M2393" s="9" t="n">
        <v>97916</v>
      </c>
      <c r="N2393" s="9" t="n">
        <v>6388</v>
      </c>
      <c r="O239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394">
      <c r="B2394" s="10" t="n">
        <v>44296</v>
      </c>
      <c r="C2394" s="9" t="inlineStr">
        <is>
          <t>토</t>
        </is>
      </c>
      <c r="E2394" s="9" t="inlineStr">
        <is>
          <t>샴푸</t>
        </is>
      </c>
      <c r="F2394" s="9" t="inlineStr">
        <is>
          <t>카페24</t>
        </is>
      </c>
      <c r="G2394" s="9" t="inlineStr">
        <is>
          <t>[타임특가] 리 : 커버리 3개월 패키지 (샴푸 2+ 트리트먼트 택 1)샴푸2 + 트리트먼트 택 1=샴푸2 + 뉴트리셔스 밤1</t>
        </is>
      </c>
      <c r="H2394" s="9" t="n">
        <v>2</v>
      </c>
      <c r="I2394" s="9" t="inlineStr">
        <is>
          <t>리바이탈 샴푸2+뉴트리셔스밤1</t>
        </is>
      </c>
      <c r="J2394" s="9" t="inlineStr">
        <is>
          <t>210201</t>
        </is>
      </c>
      <c r="L2394" s="9">
        <f>62280*2</f>
        <v/>
      </c>
      <c r="M2394" s="9">
        <f>124560-(124560/5.85)</f>
        <v/>
      </c>
      <c r="N2394" s="9">
        <f>7310*2</f>
        <v/>
      </c>
      <c r="O2394" s="9" t="inlineStr">
        <is>
          <t>카페24샴푸[타임특가] 리 : 커버리 3개월 패키지 (샴푸 2+ 트리트먼트 택 1)샴푸2 + 트리트먼트 택 1=샴푸2 + 뉴트리셔스 밤1210201</t>
        </is>
      </c>
    </row>
    <row r="2395">
      <c r="B2395" s="10" t="n">
        <v>44296</v>
      </c>
      <c r="C2395" s="9" t="inlineStr">
        <is>
          <t>토</t>
        </is>
      </c>
      <c r="E2395" s="9" t="inlineStr">
        <is>
          <t>샴푸</t>
        </is>
      </c>
      <c r="F2395" s="9" t="inlineStr">
        <is>
          <t>카페24</t>
        </is>
      </c>
      <c r="G2395" s="9" t="inlineStr">
        <is>
          <t>[타임특가] 리 : 커버리 3개월 패키지 (샴푸 2+ 트리트먼트 택 1)샴푸2 + 트리트먼트 택 1=샴푸2 + 헤어팩 트리트먼트1</t>
        </is>
      </c>
      <c r="H2395" s="9" t="n">
        <v>6</v>
      </c>
      <c r="I2395" s="9" t="inlineStr">
        <is>
          <t>리바이탈 샴푸2+트리트먼트1</t>
        </is>
      </c>
      <c r="J2395" s="9" t="inlineStr">
        <is>
          <t>210201</t>
        </is>
      </c>
      <c r="L2395" s="9">
        <f>62280*6</f>
        <v/>
      </c>
      <c r="M2395" s="9">
        <f>373680-(373680/5.85)</f>
        <v/>
      </c>
      <c r="N2395" s="9">
        <f>7327*6</f>
        <v/>
      </c>
      <c r="O2395" s="9" t="inlineStr">
        <is>
          <t>카페24샴푸[타임특가] 리 : 커버리 3개월 패키지 (샴푸 2+ 트리트먼트 택 1)샴푸2 + 트리트먼트 택 1=샴푸2 + 헤어팩 트리트먼트1210201</t>
        </is>
      </c>
    </row>
    <row r="2396">
      <c r="B2396" s="10" t="n">
        <v>44296</v>
      </c>
      <c r="C2396" s="9" t="inlineStr">
        <is>
          <t>토</t>
        </is>
      </c>
      <c r="E2396" s="9" t="inlineStr">
        <is>
          <t>샴푸</t>
        </is>
      </c>
      <c r="F2396" s="9" t="inlineStr">
        <is>
          <t>카페24</t>
        </is>
      </c>
      <c r="G2396" s="9" t="inlineStr">
        <is>
          <t>[타임특가] 리 : 커버리 6개월 패키지 (샴푸 5+ 트리트먼트 택 1)샴푸 5 + 트리트먼트 택 1=샴푸 5 + 뉴트리셔스 밤 1</t>
        </is>
      </c>
      <c r="H2396" s="9" t="n">
        <v>1</v>
      </c>
      <c r="I2396" s="9" t="inlineStr">
        <is>
          <t>리바이탈 샴푸5+뉴트리셔스밤1</t>
        </is>
      </c>
      <c r="J2396" s="9" t="inlineStr">
        <is>
          <t>210201</t>
        </is>
      </c>
      <c r="L2396" s="9">
        <f>114840</f>
        <v/>
      </c>
      <c r="M2396" s="9">
        <f>114840-(114840/5.85)</f>
        <v/>
      </c>
      <c r="N2396" s="9">
        <f>15905</f>
        <v/>
      </c>
      <c r="O2396" s="9" t="inlineStr">
        <is>
          <t>카페24샴푸[타임특가] 리 : 커버리 6개월 패키지 (샴푸 5+ 트리트먼트 택 1)샴푸 5 + 트리트먼트 택 1=샴푸 5 + 뉴트리셔스 밤 1210201</t>
        </is>
      </c>
    </row>
    <row r="2397">
      <c r="B2397" s="10" t="n">
        <v>44296</v>
      </c>
      <c r="C2397" s="9" t="inlineStr">
        <is>
          <t>토</t>
        </is>
      </c>
      <c r="E2397" s="9" t="inlineStr">
        <is>
          <t>샴푸</t>
        </is>
      </c>
      <c r="F2397" s="9" t="inlineStr">
        <is>
          <t>카페24</t>
        </is>
      </c>
      <c r="G2397" s="9" t="inlineStr">
        <is>
          <t>[타임특가] 리 : 커버리 6개월 패키지 (샴푸 5+ 트리트먼트 택 1)샴푸 5 + 트리트먼트 택 1=샴푸 5 + 헤어팩 트리트먼트 1</t>
        </is>
      </c>
      <c r="H2397" s="9" t="n">
        <v>1</v>
      </c>
      <c r="I2397" s="9" t="inlineStr">
        <is>
          <t>리바이탈 샴푸5+트리트먼트1</t>
        </is>
      </c>
      <c r="J2397" s="9" t="inlineStr">
        <is>
          <t>210201</t>
        </is>
      </c>
      <c r="L2397" s="9" t="n">
        <v>114840</v>
      </c>
      <c r="M2397" s="9">
        <f>114840-(114840/5.85)</f>
        <v/>
      </c>
      <c r="N2397" s="9">
        <f>(2865*5)+1597</f>
        <v/>
      </c>
      <c r="O2397" s="9" t="inlineStr">
        <is>
          <t>카페24샴푸[타임특가] 리 : 커버리 6개월 패키지 (샴푸 5+ 트리트먼트 택 1)샴푸 5 + 트리트먼트 택 1=샴푸 5 + 헤어팩 트리트먼트 1210201</t>
        </is>
      </c>
    </row>
    <row r="2398">
      <c r="B2398" s="10" t="n">
        <v>44296</v>
      </c>
      <c r="C2398" s="9" t="inlineStr">
        <is>
          <t>토</t>
        </is>
      </c>
      <c r="E2398" s="9" t="inlineStr">
        <is>
          <t>샴푸</t>
        </is>
      </c>
      <c r="F2398" s="9" t="inlineStr">
        <is>
          <t>카페24</t>
        </is>
      </c>
      <c r="G2398" s="9" t="inlineStr">
        <is>
          <t>[타임특가] 리 : 커버리 온가족 패키지 (샴푸 3+ 헤어팩 트리트먼트 1+뉴트리셔스 밤 1)</t>
        </is>
      </c>
      <c r="H2398" s="9" t="n">
        <v>3</v>
      </c>
      <c r="I2398" s="9" t="inlineStr">
        <is>
          <t>리바이탈 샴푸3+트리트먼트1+뉴트리셔스밤1</t>
        </is>
      </c>
      <c r="J2398" s="9" t="inlineStr">
        <is>
          <t>210201</t>
        </is>
      </c>
      <c r="L2398" s="9">
        <f>94765*3</f>
        <v/>
      </c>
      <c r="M2398" s="9">
        <f>284295-(284295/5.85)</f>
        <v/>
      </c>
      <c r="N2398" s="9">
        <f>11772*3</f>
        <v/>
      </c>
      <c r="O2398" s="9" t="inlineStr">
        <is>
          <t>카페24샴푸[타임특가] 리 : 커버리 온가족 패키지 (샴푸 3+ 헤어팩 트리트먼트 1+뉴트리셔스 밤 1)210201</t>
        </is>
      </c>
    </row>
    <row r="2399">
      <c r="B2399" s="10" t="n">
        <v>44296</v>
      </c>
      <c r="C2399" s="9" t="inlineStr">
        <is>
          <t>토</t>
        </is>
      </c>
      <c r="E2399" s="9" t="inlineStr">
        <is>
          <t>샴푸</t>
        </is>
      </c>
      <c r="F2399" s="9" t="inlineStr">
        <is>
          <t>카페24</t>
        </is>
      </c>
      <c r="G2399" s="9" t="inlineStr">
        <is>
          <t>[타임특가] 리:커버리 스타터 패키지 (샴푸 1+헤어팩 트리트먼트 1+ 뉴트리셔스 밤 1)</t>
        </is>
      </c>
      <c r="H2399" s="9" t="n">
        <v>10</v>
      </c>
      <c r="I2399" s="9" t="inlineStr">
        <is>
          <t>리바이탈 샴푸1+트리트먼트1+뉴트리셔스밤1</t>
        </is>
      </c>
      <c r="J2399" s="9" t="inlineStr">
        <is>
          <t>210201</t>
        </is>
      </c>
      <c r="L2399" s="9">
        <f>39897*10</f>
        <v/>
      </c>
      <c r="M2399" s="9">
        <f>398970-(398970/5.85)</f>
        <v/>
      </c>
      <c r="N2399" s="9">
        <f>(2865+1580+1597)*10</f>
        <v/>
      </c>
      <c r="O2399" s="9" t="inlineStr">
        <is>
          <t>카페24샴푸[타임특가] 리:커버리 스타터 패키지 (샴푸 1+헤어팩 트리트먼트 1+ 뉴트리셔스 밤 1)210201</t>
        </is>
      </c>
    </row>
    <row r="2400" ht="16.5" customHeight="1" s="12">
      <c r="B2400" s="10" t="n">
        <v>44296</v>
      </c>
      <c r="C2400" s="9" t="inlineStr">
        <is>
          <t>토</t>
        </is>
      </c>
      <c r="E2400" s="9" t="inlineStr">
        <is>
          <t>샴푸</t>
        </is>
      </c>
      <c r="F2400" s="9" t="inlineStr">
        <is>
          <t>카페24</t>
        </is>
      </c>
      <c r="G2400" s="9" t="inlineStr">
        <is>
          <t>[탈모케어] 라베나 리커버리 15 리바이탈 샴푸 [HAIR RÉ:COVERY 15 Revital Shampoo]제품선택=리바이탈 샴푸 2개 세트 5%추가할인</t>
        </is>
      </c>
      <c r="H2400" s="9" t="n">
        <v>1</v>
      </c>
      <c r="I2400" s="9" t="inlineStr">
        <is>
          <t>리바이탈 샴푸 2set</t>
        </is>
      </c>
      <c r="J2400" s="9" t="inlineStr">
        <is>
          <t>210201</t>
        </is>
      </c>
      <c r="L2400" s="9" t="n">
        <v>51110</v>
      </c>
      <c r="M2400" s="9">
        <f>51110-(51110/5.85)</f>
        <v/>
      </c>
      <c r="N2400" s="9">
        <f>2865*2</f>
        <v/>
      </c>
      <c r="O2400" s="9" t="inlineStr">
        <is>
          <t>카페24샴푸[탈모케어] 라베나 리커버리 15 리바이탈 샴푸 [HAIR RÉ:COVERY 15 Revital Shampoo]제품선택=리바이탈 샴푸 2개 세트 5%추가할인210201</t>
        </is>
      </c>
    </row>
    <row r="2401">
      <c r="B2401" s="10" t="n">
        <v>44296</v>
      </c>
      <c r="C2401" s="9" t="inlineStr">
        <is>
          <t>토</t>
        </is>
      </c>
      <c r="E2401" s="9" t="inlineStr">
        <is>
          <t>뉴트리셔스밤</t>
        </is>
      </c>
      <c r="F2401" s="9" t="inlineStr">
        <is>
          <t>카페24</t>
        </is>
      </c>
      <c r="G2401" s="9" t="inlineStr">
        <is>
          <t>라베나 리커버리 15 뉴트리셔스 밤 [HAIR RÉ:COVERY 15 Nutritious Balm]제품선택=헤어 리커버리 15 뉴트리셔스 밤</t>
        </is>
      </c>
      <c r="H2401" s="9" t="n">
        <v>3</v>
      </c>
      <c r="I2401" s="9" t="inlineStr">
        <is>
          <t>뉴트리셔스밤</t>
        </is>
      </c>
      <c r="J2401" s="9" t="inlineStr">
        <is>
          <t>210201</t>
        </is>
      </c>
      <c r="L2401" s="9" t="n">
        <v>74700</v>
      </c>
      <c r="M2401" s="9" t="n">
        <v>70330.04999999999</v>
      </c>
      <c r="N2401" s="9" t="n">
        <v>4740</v>
      </c>
      <c r="O2401" s="9" t="inlineStr">
        <is>
          <t>카페24뉴트리셔스밤라베나 리커버리 15 뉴트리셔스 밤 [HAIR RÉ:COVERY 15 Nutritious Balm]제품선택=헤어 리커버리 15 뉴트리셔스 밤210201</t>
        </is>
      </c>
    </row>
    <row r="2402">
      <c r="B2402" s="10" t="n">
        <v>44296</v>
      </c>
      <c r="C2402" s="9" t="inlineStr">
        <is>
          <t>토</t>
        </is>
      </c>
      <c r="E2402" s="9" t="inlineStr">
        <is>
          <t>샴푸</t>
        </is>
      </c>
      <c r="F2402" s="9" t="inlineStr">
        <is>
          <t>카페24</t>
        </is>
      </c>
      <c r="G2402" s="9" t="inlineStr">
        <is>
          <t>라베나 리커버리 15 리바이탈 바이오플라보노이드샴푸 [HAIR RÉ:COVERY 15 Revital Shampoo:]제품선택=헤어 리커버리 15 리바이탈 샴푸 - 500ml</t>
        </is>
      </c>
      <c r="H2402" s="9" t="n">
        <v>1</v>
      </c>
      <c r="I2402" s="9" t="inlineStr">
        <is>
          <t>리바이탈 샴푸</t>
        </is>
      </c>
      <c r="J2402" s="9" t="inlineStr">
        <is>
          <t>210201</t>
        </is>
      </c>
      <c r="L2402" s="9" t="n">
        <v>26900</v>
      </c>
      <c r="M2402" s="9">
        <f>26900-(26900/5.85)</f>
        <v/>
      </c>
      <c r="N2402" s="9" t="n">
        <v>2865</v>
      </c>
      <c r="O2402" s="9" t="inlineStr">
        <is>
          <t>카페24샴푸라베나 리커버리 15 리바이탈 바이오플라보노이드샴푸 [HAIR RÉ:COVERY 15 Revital Shampoo:]제품선택=헤어 리커버리 15 리바이탈 샴푸 - 500ml210201</t>
        </is>
      </c>
    </row>
    <row r="2403">
      <c r="B2403" s="10" t="n">
        <v>44296</v>
      </c>
      <c r="C2403" s="9" t="inlineStr">
        <is>
          <t>토</t>
        </is>
      </c>
      <c r="E2403" s="9" t="inlineStr">
        <is>
          <t>샴푸</t>
        </is>
      </c>
      <c r="F2403" s="9" t="inlineStr">
        <is>
          <t>카페24</t>
        </is>
      </c>
      <c r="G2403" s="9" t="inlineStr">
        <is>
          <t>라베나 리커버리 15 리바이탈 바이오플라보노이드샴푸 [HAIR RÉ:COVERY 15 Revital Shampoo]제품선택=헤어 리커버리 15 리바이탈 샴푸 - 500ml</t>
        </is>
      </c>
      <c r="H2403" s="9" t="n">
        <v>143</v>
      </c>
      <c r="I2403" s="9" t="inlineStr">
        <is>
          <t>리바이탈 샴푸</t>
        </is>
      </c>
      <c r="J2403" s="9" t="inlineStr">
        <is>
          <t>210201</t>
        </is>
      </c>
      <c r="L2403" s="9" t="n">
        <v>3846700</v>
      </c>
      <c r="M2403" s="9" t="n">
        <v>3621668.05</v>
      </c>
      <c r="N2403" s="9" t="n">
        <v>409695</v>
      </c>
      <c r="O240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404">
      <c r="B2404" s="10" t="n">
        <v>44296</v>
      </c>
      <c r="C2404" s="9" t="inlineStr">
        <is>
          <t>토</t>
        </is>
      </c>
      <c r="E2404" s="9" t="inlineStr">
        <is>
          <t>샴푸</t>
        </is>
      </c>
      <c r="F2404" s="9" t="inlineStr">
        <is>
          <t>카페24</t>
        </is>
      </c>
      <c r="G2404" s="9" t="inlineStr">
        <is>
          <t>라베나 리커버리 15 리바이탈 바이오플라보노이드샴푸 [HAIR RÉ:COVERY 15 Revital Shampoo]제품선택=리바이탈 샴푸 2개 세트 5%추가할인</t>
        </is>
      </c>
      <c r="H2404" s="9" t="n">
        <v>33</v>
      </c>
      <c r="I2404" s="9" t="inlineStr">
        <is>
          <t>리바이탈 샴푸 2set</t>
        </is>
      </c>
      <c r="J2404" s="9" t="inlineStr">
        <is>
          <t>210201</t>
        </is>
      </c>
      <c r="L2404" s="9" t="n">
        <v>1686630</v>
      </c>
      <c r="M2404" s="9" t="n">
        <v>1587962.145</v>
      </c>
      <c r="N2404" s="9" t="n">
        <v>189090</v>
      </c>
      <c r="O240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405">
      <c r="B2405" s="10" t="n">
        <v>44296</v>
      </c>
      <c r="C2405" s="9" t="inlineStr">
        <is>
          <t>토</t>
        </is>
      </c>
      <c r="E2405" s="9" t="inlineStr">
        <is>
          <t>샴푸</t>
        </is>
      </c>
      <c r="F2405" s="9" t="inlineStr">
        <is>
          <t>카페24</t>
        </is>
      </c>
      <c r="G2405" s="9" t="inlineStr">
        <is>
          <t>라베나 리커버리 15 리바이탈 바이오플라보노이드샴푸 [HAIR RÉ:COVERY 15 Revital Shampoo]제품선택=리바이탈 샴푸 3개 세트 10% 추가할인</t>
        </is>
      </c>
      <c r="H2405" s="9" t="n">
        <v>16</v>
      </c>
      <c r="I2405" s="9" t="inlineStr">
        <is>
          <t>리바이탈 샴푸 3set</t>
        </is>
      </c>
      <c r="J2405" s="9" t="inlineStr">
        <is>
          <t>210201</t>
        </is>
      </c>
      <c r="L2405" s="9" t="n">
        <v>1162080</v>
      </c>
      <c r="M2405" s="9" t="n">
        <v>1094098.32</v>
      </c>
      <c r="N2405" s="9" t="n">
        <v>137520</v>
      </c>
      <c r="O240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406">
      <c r="B2406" s="10" t="n">
        <v>44296</v>
      </c>
      <c r="C2406" s="9" t="inlineStr">
        <is>
          <t>토</t>
        </is>
      </c>
      <c r="E2406" s="9" t="inlineStr">
        <is>
          <t>트리트먼트</t>
        </is>
      </c>
      <c r="F2406" s="9" t="inlineStr">
        <is>
          <t>카페24</t>
        </is>
      </c>
      <c r="G2406" s="9" t="inlineStr">
        <is>
          <t>라베나 리커버리 15 헤어팩 트리트먼트 [HAIR RÉ:COVERY 15 Hairpack Treatment]제품선택=헤어팩 트리트먼트 2개 세트 5% 추가할인</t>
        </is>
      </c>
      <c r="H2406" s="9" t="n">
        <v>1</v>
      </c>
      <c r="I2406" s="9" t="inlineStr">
        <is>
          <t>트리트먼트 2set</t>
        </is>
      </c>
      <c r="J2406" s="9" t="inlineStr">
        <is>
          <t>210201</t>
        </is>
      </c>
      <c r="L2406" s="9" t="n">
        <v>49400</v>
      </c>
      <c r="M2406" s="9" t="n">
        <v>46510.1</v>
      </c>
      <c r="N2406" s="9" t="n">
        <v>3194</v>
      </c>
      <c r="O240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407">
      <c r="B2407" s="10" t="n">
        <v>44297</v>
      </c>
      <c r="C2407" s="9" t="inlineStr">
        <is>
          <t>일</t>
        </is>
      </c>
      <c r="E2407" s="9" t="inlineStr">
        <is>
          <t>샴푸</t>
        </is>
      </c>
      <c r="F2407" s="9" t="inlineStr">
        <is>
          <t>카페24</t>
        </is>
      </c>
      <c r="G2407" s="9" t="inlineStr">
        <is>
          <t>[문제성두피 케어] 라베나 리커버리 15 리바이탈 샴푸 [HAIR RÉ:COVERY 15 Revital Shampoo]제품선택=리바이탈 샴푸 2개 세트 5%추가할인</t>
        </is>
      </c>
      <c r="H2407" s="9" t="n">
        <v>1</v>
      </c>
      <c r="I2407" s="9" t="inlineStr">
        <is>
          <t>리바이탈 샴푸 2set</t>
        </is>
      </c>
      <c r="J2407" s="9" t="inlineStr">
        <is>
          <t>210201</t>
        </is>
      </c>
      <c r="L2407" s="9" t="n">
        <v>51110</v>
      </c>
      <c r="M2407" s="9">
        <f>51110-(51110/5.85)</f>
        <v/>
      </c>
      <c r="N2407" s="9">
        <f>2865*2</f>
        <v/>
      </c>
      <c r="O2407" s="9" t="inlineStr">
        <is>
          <t>카페24샴푸[문제성두피 케어] 라베나 리커버리 15 리바이탈 샴푸 [HAIR RÉ:COVERY 15 Revital Shampoo]제품선택=리바이탈 샴푸 2개 세트 5%추가할인210201</t>
        </is>
      </c>
    </row>
    <row r="2408">
      <c r="B2408" s="10" t="n">
        <v>44297</v>
      </c>
      <c r="C2408" s="9" t="inlineStr">
        <is>
          <t>일</t>
        </is>
      </c>
      <c r="E2408" s="9" t="inlineStr">
        <is>
          <t>샴푸</t>
        </is>
      </c>
      <c r="F2408" s="9" t="inlineStr">
        <is>
          <t>카페24</t>
        </is>
      </c>
      <c r="G2408" s="9" t="inlineStr">
        <is>
          <t>[타임특가] 리 : 커버리 3개월 패키지 (샴푸 2+ 트리트먼트 택 1)샴푸2 + 트리트먼트 택 1=샴푸2 + 뉴트리셔스 밤1</t>
        </is>
      </c>
      <c r="H2408" s="9" t="n">
        <v>8</v>
      </c>
      <c r="I2408" s="9" t="inlineStr">
        <is>
          <t>리바이탈 샴푸2+뉴트리셔스밤1</t>
        </is>
      </c>
      <c r="J2408" s="9" t="inlineStr">
        <is>
          <t>210201</t>
        </is>
      </c>
      <c r="L2408" s="9">
        <f>62280*8</f>
        <v/>
      </c>
      <c r="M2408" s="9">
        <f>498240-(498240/5.85)</f>
        <v/>
      </c>
      <c r="N2408" s="9">
        <f>7310*8</f>
        <v/>
      </c>
      <c r="O2408" s="9" t="inlineStr">
        <is>
          <t>카페24샴푸[타임특가] 리 : 커버리 3개월 패키지 (샴푸 2+ 트리트먼트 택 1)샴푸2 + 트리트먼트 택 1=샴푸2 + 뉴트리셔스 밤1210201</t>
        </is>
      </c>
    </row>
    <row r="2409">
      <c r="B2409" s="10" t="n">
        <v>44297</v>
      </c>
      <c r="C2409" s="9" t="inlineStr">
        <is>
          <t>일</t>
        </is>
      </c>
      <c r="E2409" s="9" t="inlineStr">
        <is>
          <t>샴푸</t>
        </is>
      </c>
      <c r="F2409" s="9" t="inlineStr">
        <is>
          <t>카페24</t>
        </is>
      </c>
      <c r="G2409" s="9" t="inlineStr">
        <is>
          <t>[타임특가] 리 : 커버리 3개월 패키지 (샴푸 2+ 트리트먼트 택 1)샴푸2 + 트리트먼트 택 1=샴푸2 + 헤어팩 트리트먼트1</t>
        </is>
      </c>
      <c r="H2409" s="9" t="n">
        <v>8</v>
      </c>
      <c r="I2409" s="9" t="inlineStr">
        <is>
          <t>리바이탈 샴푸2+트리트먼트1</t>
        </is>
      </c>
      <c r="J2409" s="9" t="inlineStr">
        <is>
          <t>210201</t>
        </is>
      </c>
      <c r="L2409" s="9">
        <f>62280*8</f>
        <v/>
      </c>
      <c r="M2409" s="9">
        <f>498240-(498240/5.85)</f>
        <v/>
      </c>
      <c r="N2409" s="9">
        <f>7327*8</f>
        <v/>
      </c>
      <c r="O2409" s="9" t="inlineStr">
        <is>
          <t>카페24샴푸[타임특가] 리 : 커버리 3개월 패키지 (샴푸 2+ 트리트먼트 택 1)샴푸2 + 트리트먼트 택 1=샴푸2 + 헤어팩 트리트먼트1210201</t>
        </is>
      </c>
    </row>
    <row r="2410">
      <c r="B2410" s="10" t="n">
        <v>44297</v>
      </c>
      <c r="C2410" s="9" t="inlineStr">
        <is>
          <t>일</t>
        </is>
      </c>
      <c r="E2410" s="9" t="inlineStr">
        <is>
          <t>샴푸</t>
        </is>
      </c>
      <c r="F2410" s="9" t="inlineStr">
        <is>
          <t>카페24</t>
        </is>
      </c>
      <c r="G2410" s="9" t="inlineStr">
        <is>
          <t>[타임특가] 리 : 커버리 6개월 패키지 (샴푸 5+ 트리트먼트 택 1)샴푸 5 + 트리트먼트 택 1=샴푸 5 + 뉴트리셔스 밤 1</t>
        </is>
      </c>
      <c r="H2410" s="9" t="n">
        <v>2</v>
      </c>
      <c r="I2410" s="9" t="inlineStr">
        <is>
          <t>리바이탈 샴푸5+뉴트리셔스밤1</t>
        </is>
      </c>
      <c r="J2410" s="9" t="inlineStr">
        <is>
          <t>210201</t>
        </is>
      </c>
      <c r="L2410" s="9">
        <f>114840*2</f>
        <v/>
      </c>
      <c r="M2410" s="9">
        <f>229680-(229680/5.85)</f>
        <v/>
      </c>
      <c r="N2410" s="9">
        <f>15905*2</f>
        <v/>
      </c>
      <c r="O2410" s="9" t="inlineStr">
        <is>
          <t>카페24샴푸[타임특가] 리 : 커버리 6개월 패키지 (샴푸 5+ 트리트먼트 택 1)샴푸 5 + 트리트먼트 택 1=샴푸 5 + 뉴트리셔스 밤 1210201</t>
        </is>
      </c>
    </row>
    <row r="2411">
      <c r="B2411" s="10" t="n">
        <v>44297</v>
      </c>
      <c r="C2411" s="9" t="inlineStr">
        <is>
          <t>일</t>
        </is>
      </c>
      <c r="E2411" s="9" t="inlineStr">
        <is>
          <t>샴푸</t>
        </is>
      </c>
      <c r="F2411" s="9" t="inlineStr">
        <is>
          <t>카페24</t>
        </is>
      </c>
      <c r="G2411" s="9" t="inlineStr">
        <is>
          <t>[타임특가] 리 : 커버리 6개월 패키지 (샴푸 5+ 트리트먼트 택 1)샴푸 5 + 트리트먼트 택 1=샴푸 5 + 헤어팩 트리트먼트 1</t>
        </is>
      </c>
      <c r="H2411" s="9" t="n">
        <v>3</v>
      </c>
      <c r="I2411" s="9" t="inlineStr">
        <is>
          <t>리바이탈 샴푸5+트리트먼트1</t>
        </is>
      </c>
      <c r="J2411" s="9" t="inlineStr">
        <is>
          <t>210201</t>
        </is>
      </c>
      <c r="L2411" s="9">
        <f>114840*3</f>
        <v/>
      </c>
      <c r="M2411" s="9">
        <f>344520-(344520/5.85)</f>
        <v/>
      </c>
      <c r="N2411" s="9">
        <f>15922*3</f>
        <v/>
      </c>
      <c r="O2411" s="9" t="inlineStr">
        <is>
          <t>카페24샴푸[타임특가] 리 : 커버리 6개월 패키지 (샴푸 5+ 트리트먼트 택 1)샴푸 5 + 트리트먼트 택 1=샴푸 5 + 헤어팩 트리트먼트 1210201</t>
        </is>
      </c>
    </row>
    <row r="2412">
      <c r="B2412" s="10" t="n">
        <v>44297</v>
      </c>
      <c r="C2412" s="9" t="inlineStr">
        <is>
          <t>일</t>
        </is>
      </c>
      <c r="E2412" s="9" t="inlineStr">
        <is>
          <t>샴푸</t>
        </is>
      </c>
      <c r="F2412" s="9" t="inlineStr">
        <is>
          <t>카페24</t>
        </is>
      </c>
      <c r="G2412" s="9" t="inlineStr">
        <is>
          <t>[타임특가] 리 : 커버리 온가족 패키지 (샴푸 3+ 헤어팩 트리트먼트 1+뉴트리셔스 밤 1)</t>
        </is>
      </c>
      <c r="H2412" s="9" t="n">
        <v>1</v>
      </c>
      <c r="I2412" s="9" t="inlineStr">
        <is>
          <t>리바이탈 샴푸3+트리트먼트1+뉴트리셔스밤1</t>
        </is>
      </c>
      <c r="J2412" s="9" t="inlineStr">
        <is>
          <t>210201</t>
        </is>
      </c>
      <c r="L2412" s="9">
        <f>94765</f>
        <v/>
      </c>
      <c r="M2412" s="9">
        <f>94765-(94765/5.85)</f>
        <v/>
      </c>
      <c r="N2412" s="9">
        <f>11772</f>
        <v/>
      </c>
      <c r="O2412" s="9" t="inlineStr">
        <is>
          <t>카페24샴푸[타임특가] 리 : 커버리 온가족 패키지 (샴푸 3+ 헤어팩 트리트먼트 1+뉴트리셔스 밤 1)210201</t>
        </is>
      </c>
    </row>
    <row r="2413">
      <c r="B2413" s="10" t="n">
        <v>44297</v>
      </c>
      <c r="C2413" s="9" t="inlineStr">
        <is>
          <t>일</t>
        </is>
      </c>
      <c r="E2413" s="9" t="inlineStr">
        <is>
          <t>샴푸</t>
        </is>
      </c>
      <c r="F2413" s="9" t="inlineStr">
        <is>
          <t>카페24</t>
        </is>
      </c>
      <c r="G2413" s="9" t="inlineStr">
        <is>
          <t>[타임특가] 리:커버리 스타터 패키지 (샴푸 1+헤어팩 트리트먼트 1+ 뉴트리셔스 밤 1)</t>
        </is>
      </c>
      <c r="H2413" s="9" t="n">
        <v>13</v>
      </c>
      <c r="I2413" s="9" t="inlineStr">
        <is>
          <t>리바이탈 샴푸1+트리트먼트1+뉴트리셔스밤1</t>
        </is>
      </c>
      <c r="J2413" s="9" t="inlineStr">
        <is>
          <t>210201</t>
        </is>
      </c>
      <c r="L2413" s="9">
        <f>39897*13</f>
        <v/>
      </c>
      <c r="M2413" s="9">
        <f>518661-(518661/5.85)</f>
        <v/>
      </c>
      <c r="N2413" s="9">
        <f>(2865+1580+1597)*13</f>
        <v/>
      </c>
      <c r="O2413" s="9" t="inlineStr">
        <is>
          <t>카페24샴푸[타임특가] 리:커버리 스타터 패키지 (샴푸 1+헤어팩 트리트먼트 1+ 뉴트리셔스 밤 1)210201</t>
        </is>
      </c>
    </row>
    <row r="2414">
      <c r="B2414" s="10" t="n">
        <v>44297</v>
      </c>
      <c r="C2414" s="9" t="inlineStr">
        <is>
          <t>일</t>
        </is>
      </c>
      <c r="E2414" s="9" t="inlineStr">
        <is>
          <t>뉴트리셔스밤</t>
        </is>
      </c>
      <c r="F2414" s="9" t="inlineStr">
        <is>
          <t>카페24</t>
        </is>
      </c>
      <c r="G2414" s="9" t="inlineStr">
        <is>
          <t>라베나 리커버리 15 뉴트리셔스 밤 [HAIR RÉ:COVERY 15 Nutritious Balm]제품선택=헤어 리커버리 15 뉴트리셔스 밤</t>
        </is>
      </c>
      <c r="H2414" s="9" t="n">
        <v>5</v>
      </c>
      <c r="I2414" s="9" t="inlineStr">
        <is>
          <t>뉴트리셔스밤</t>
        </is>
      </c>
      <c r="J2414" s="9" t="inlineStr">
        <is>
          <t>210201</t>
        </is>
      </c>
      <c r="L2414" s="9" t="n">
        <v>124500</v>
      </c>
      <c r="M2414" s="9" t="n">
        <v>117216.75</v>
      </c>
      <c r="N2414" s="9" t="n">
        <v>7900</v>
      </c>
      <c r="O2414" s="9" t="inlineStr">
        <is>
          <t>카페24뉴트리셔스밤라베나 리커버리 15 뉴트리셔스 밤 [HAIR RÉ:COVERY 15 Nutritious Balm]제품선택=헤어 리커버리 15 뉴트리셔스 밤210201</t>
        </is>
      </c>
    </row>
    <row r="2415">
      <c r="B2415" s="10" t="n">
        <v>44297</v>
      </c>
      <c r="C2415" s="9" t="inlineStr">
        <is>
          <t>일</t>
        </is>
      </c>
      <c r="E2415" s="9" t="inlineStr">
        <is>
          <t>뉴트리셔스밤</t>
        </is>
      </c>
      <c r="F2415" s="9" t="inlineStr">
        <is>
          <t>카페24</t>
        </is>
      </c>
      <c r="G2415" s="9" t="inlineStr">
        <is>
          <t>라베나 리커버리 15 뉴트리셔스 밤 [HAIR RÉ:COVERY 15 Nutritious Balm]제품선택=뉴트리셔스 밤 2개 세트 5% 추가할인</t>
        </is>
      </c>
      <c r="H2415" s="9" t="n">
        <v>2</v>
      </c>
      <c r="I2415" s="9" t="inlineStr">
        <is>
          <t>뉴트리셔스밤 2set</t>
        </is>
      </c>
      <c r="J2415" s="9" t="inlineStr">
        <is>
          <t>210201</t>
        </is>
      </c>
      <c r="L2415" s="9" t="n">
        <v>94620</v>
      </c>
      <c r="M2415" s="9" t="n">
        <v>89084.73</v>
      </c>
      <c r="N2415" s="9" t="n">
        <v>6320</v>
      </c>
      <c r="O2415" s="9" t="inlineStr">
        <is>
          <t>카페24뉴트리셔스밤라베나 리커버리 15 뉴트리셔스 밤 [HAIR RÉ:COVERY 15 Nutritious Balm]제품선택=뉴트리셔스 밤 2개 세트 5% 추가할인210201</t>
        </is>
      </c>
    </row>
    <row r="2416">
      <c r="B2416" s="10" t="n">
        <v>44297</v>
      </c>
      <c r="C2416" s="9" t="inlineStr">
        <is>
          <t>일</t>
        </is>
      </c>
      <c r="E2416" s="9" t="inlineStr">
        <is>
          <t>뉴트리셔스밤</t>
        </is>
      </c>
      <c r="F2416" s="9" t="inlineStr">
        <is>
          <t>카페24</t>
        </is>
      </c>
      <c r="G2416" s="9" t="inlineStr">
        <is>
          <t>라베나 리커버리 15 뉴트리셔스 밤 [HAIR RÉ:COVERY 15 Nutritious Balm]제품선택=뉴트리셔스 밤 3개 세트 10% 추가할인</t>
        </is>
      </c>
      <c r="H2416" s="9" t="n">
        <v>2</v>
      </c>
      <c r="I2416" s="9" t="inlineStr">
        <is>
          <t>뉴트리셔스밤 3set</t>
        </is>
      </c>
      <c r="J2416" s="9" t="inlineStr">
        <is>
          <t>210201</t>
        </is>
      </c>
      <c r="L2416" s="9" t="n">
        <v>134460</v>
      </c>
      <c r="M2416" s="9" t="n">
        <v>126594.09</v>
      </c>
      <c r="N2416" s="9" t="n">
        <v>9480</v>
      </c>
      <c r="O2416" s="9" t="inlineStr">
        <is>
          <t>카페24뉴트리셔스밤라베나 리커버리 15 뉴트리셔스 밤 [HAIR RÉ:COVERY 15 Nutritious Balm]제품선택=뉴트리셔스 밤 3개 세트 10% 추가할인210201</t>
        </is>
      </c>
    </row>
    <row r="2417">
      <c r="B2417" s="10" t="n">
        <v>44297</v>
      </c>
      <c r="C2417" s="9" t="inlineStr">
        <is>
          <t>일</t>
        </is>
      </c>
      <c r="E2417" s="9" t="inlineStr">
        <is>
          <t>샴푸</t>
        </is>
      </c>
      <c r="F2417" s="9" t="inlineStr">
        <is>
          <t>카페24</t>
        </is>
      </c>
      <c r="G2417" s="9" t="inlineStr">
        <is>
          <t>라베나 리커버리 15 리바이탈 바이오플라보노이드샴푸 [HAIR RÉ:COVERY 15 Revital Shampoo]제품선택=헤어 리커버리 15 리바이탈 샴푸 - 500ml</t>
        </is>
      </c>
      <c r="H2417" s="9" t="n">
        <v>204</v>
      </c>
      <c r="I2417" s="9" t="inlineStr">
        <is>
          <t>리바이탈 샴푸</t>
        </is>
      </c>
      <c r="J2417" s="9" t="inlineStr">
        <is>
          <t>210201</t>
        </is>
      </c>
      <c r="L2417" s="9" t="n">
        <v>5487600</v>
      </c>
      <c r="M2417" s="9" t="n">
        <v>5166575.399999999</v>
      </c>
      <c r="N2417" s="9" t="n">
        <v>584460</v>
      </c>
      <c r="O2417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418">
      <c r="B2418" s="10" t="n">
        <v>44297</v>
      </c>
      <c r="C2418" s="9" t="inlineStr">
        <is>
          <t>일</t>
        </is>
      </c>
      <c r="E2418" s="9" t="inlineStr">
        <is>
          <t>샴푸</t>
        </is>
      </c>
      <c r="F2418" s="9" t="inlineStr">
        <is>
          <t>카페24</t>
        </is>
      </c>
      <c r="G2418" s="9" t="inlineStr">
        <is>
          <t>라베나 리커버리 15 리바이탈 바이오플라보노이드샴푸 [HAIR RÉ:COVERY 15 Revital Shampoo]제품선택=리바이탈 샴푸 2개 세트 5%추가할인</t>
        </is>
      </c>
      <c r="H2418" s="9" t="n">
        <v>51</v>
      </c>
      <c r="I2418" s="9" t="inlineStr">
        <is>
          <t>리바이탈 샴푸 2set</t>
        </is>
      </c>
      <c r="J2418" s="9" t="inlineStr">
        <is>
          <t>210201</t>
        </is>
      </c>
      <c r="L2418" s="9" t="n">
        <v>2606610</v>
      </c>
      <c r="M2418" s="9" t="n">
        <v>2454123.315</v>
      </c>
      <c r="N2418" s="9" t="n">
        <v>292230</v>
      </c>
      <c r="O2418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419">
      <c r="B2419" s="10" t="n">
        <v>44297</v>
      </c>
      <c r="C2419" s="9" t="inlineStr">
        <is>
          <t>일</t>
        </is>
      </c>
      <c r="E2419" s="9" t="inlineStr">
        <is>
          <t>샴푸</t>
        </is>
      </c>
      <c r="F2419" s="9" t="inlineStr">
        <is>
          <t>카페24</t>
        </is>
      </c>
      <c r="G2419" s="9" t="inlineStr">
        <is>
          <t>라베나 리커버리 15 리바이탈 바이오플라보노이드샴푸 [HAIR RÉ:COVERY 15 Revital Shampoo]제품선택=리바이탈 샴푸 3개 세트 10% 추가할인</t>
        </is>
      </c>
      <c r="H2419" s="9" t="n">
        <v>17</v>
      </c>
      <c r="I2419" s="9" t="inlineStr">
        <is>
          <t>리바이탈 샴푸 3set</t>
        </is>
      </c>
      <c r="J2419" s="9" t="inlineStr">
        <is>
          <t>210201</t>
        </is>
      </c>
      <c r="L2419" s="9" t="n">
        <v>1234710</v>
      </c>
      <c r="M2419" s="9" t="n">
        <v>1162479.465</v>
      </c>
      <c r="N2419" s="9" t="n">
        <v>146115</v>
      </c>
      <c r="O2419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420">
      <c r="B2420" s="10" t="n">
        <v>44297</v>
      </c>
      <c r="C2420" s="9" t="inlineStr">
        <is>
          <t>일</t>
        </is>
      </c>
      <c r="E2420" s="9" t="inlineStr">
        <is>
          <t>트리트먼트</t>
        </is>
      </c>
      <c r="F2420" s="9" t="inlineStr">
        <is>
          <t>카페24</t>
        </is>
      </c>
      <c r="G2420" s="9" t="inlineStr">
        <is>
          <t>라베나 리커버리 15 헤어팩 트리트먼트 [HAIR RÉ:COVERY 15 Hairpack Treatment]제품선택=헤어 리커버리 15 헤어팩 트리트먼트</t>
        </is>
      </c>
      <c r="H2420" s="9" t="n">
        <v>1</v>
      </c>
      <c r="I2420" s="9" t="inlineStr">
        <is>
          <t>트리트먼트</t>
        </is>
      </c>
      <c r="J2420" s="9" t="inlineStr">
        <is>
          <t>210201</t>
        </is>
      </c>
      <c r="L2420" s="9" t="n">
        <v>26000</v>
      </c>
      <c r="M2420" s="9" t="n">
        <v>24479</v>
      </c>
      <c r="N2420" s="9" t="n">
        <v>1597</v>
      </c>
      <c r="O2420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421">
      <c r="B2421" s="10" t="n">
        <v>44297</v>
      </c>
      <c r="C2421" s="9" t="inlineStr">
        <is>
          <t>일</t>
        </is>
      </c>
      <c r="E2421" s="9" t="inlineStr">
        <is>
          <t>트리트먼트</t>
        </is>
      </c>
      <c r="F2421" s="9" t="inlineStr">
        <is>
          <t>카페24</t>
        </is>
      </c>
      <c r="G2421" s="9" t="inlineStr">
        <is>
          <t>라베나 리커버리 15 헤어팩 트리트먼트 [HAIR RÉ:COVERY 15 Hairpack Treatment]제품선택=헤어팩 트리트먼트 3개 세트 10% 추가할인</t>
        </is>
      </c>
      <c r="H2421" s="9" t="n">
        <v>1</v>
      </c>
      <c r="I2421" s="9" t="inlineStr">
        <is>
          <t>트리트먼트 3set</t>
        </is>
      </c>
      <c r="J2421" s="9" t="inlineStr">
        <is>
          <t>210201</t>
        </is>
      </c>
      <c r="L2421" s="9" t="n">
        <v>70200</v>
      </c>
      <c r="M2421" s="9" t="n">
        <v>66093.3</v>
      </c>
      <c r="N2421" s="9" t="n">
        <v>4791</v>
      </c>
      <c r="O2421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422">
      <c r="A2422" s="9" t="inlineStr">
        <is>
          <t>0412_인서_샴푸_단장_탈모</t>
        </is>
      </c>
      <c r="B2422" s="10" t="n">
        <v>44298</v>
      </c>
      <c r="C2422" s="9" t="inlineStr">
        <is>
          <t>월</t>
        </is>
      </c>
      <c r="D2422" s="9" t="inlineStr">
        <is>
          <t>페이스북</t>
        </is>
      </c>
      <c r="E2422" s="9" t="inlineStr">
        <is>
          <t>샴푸</t>
        </is>
      </c>
      <c r="K2422" s="9" t="n">
        <v>18496</v>
      </c>
    </row>
    <row r="2423">
      <c r="A2423" s="9" t="inlineStr">
        <is>
          <t>0409_이현_샴푸_카드뉴스_열비듬탈모</t>
        </is>
      </c>
      <c r="B2423" s="10" t="n">
        <v>44298</v>
      </c>
      <c r="C2423" s="9" t="inlineStr">
        <is>
          <t>월</t>
        </is>
      </c>
      <c r="D2423" s="9" t="inlineStr">
        <is>
          <t>페이스북</t>
        </is>
      </c>
      <c r="E2423" s="9" t="inlineStr">
        <is>
          <t>샴푸</t>
        </is>
      </c>
      <c r="K2423" s="9" t="n">
        <v>486</v>
      </c>
    </row>
    <row r="2424">
      <c r="A2424" s="9" t="inlineStr">
        <is>
          <t>0408_윤민_샴푸_배너_올인원</t>
        </is>
      </c>
      <c r="B2424" s="10" t="n">
        <v>44298</v>
      </c>
      <c r="C2424" s="9" t="inlineStr">
        <is>
          <t>월</t>
        </is>
      </c>
      <c r="D2424" s="9" t="inlineStr">
        <is>
          <t>페이스북</t>
        </is>
      </c>
      <c r="E2424" s="9" t="inlineStr">
        <is>
          <t>샴푸</t>
        </is>
      </c>
      <c r="K2424" s="9" t="n">
        <v>84048</v>
      </c>
    </row>
    <row r="2425">
      <c r="A2425" s="9" t="inlineStr">
        <is>
          <t>0407_성화_스타터패키지_단장이벤트배너_a/b</t>
        </is>
      </c>
      <c r="B2425" s="10" t="n">
        <v>44298</v>
      </c>
      <c r="C2425" s="9" t="inlineStr">
        <is>
          <t>월</t>
        </is>
      </c>
      <c r="D2425" s="9" t="inlineStr">
        <is>
          <t>페이스북</t>
        </is>
      </c>
      <c r="E2425" s="9" t="inlineStr">
        <is>
          <t>샴푸</t>
        </is>
      </c>
      <c r="K2425" s="9" t="n">
        <v>197128</v>
      </c>
    </row>
    <row r="2426">
      <c r="A2426" s="9" t="inlineStr">
        <is>
          <t>0405_노워시_카드뉴스_에어랩</t>
        </is>
      </c>
      <c r="B2426" s="10" t="n">
        <v>44298</v>
      </c>
      <c r="C2426" s="9" t="inlineStr">
        <is>
          <t>월</t>
        </is>
      </c>
      <c r="D2426" s="9" t="inlineStr">
        <is>
          <t>페이스북</t>
        </is>
      </c>
      <c r="E2426" s="9" t="inlineStr">
        <is>
          <t>뉴트리셔스밤</t>
        </is>
      </c>
      <c r="K2426" s="9" t="n">
        <v>51760</v>
      </c>
    </row>
    <row r="2427">
      <c r="A2427" s="9" t="inlineStr">
        <is>
          <t>0318~영상기반 단장</t>
        </is>
      </c>
      <c r="B2427" s="10" t="n">
        <v>44298</v>
      </c>
      <c r="C2427" s="9" t="inlineStr">
        <is>
          <t>월</t>
        </is>
      </c>
      <c r="D2427" s="9" t="inlineStr">
        <is>
          <t>페이스북</t>
        </is>
      </c>
      <c r="E2427" s="9" t="inlineStr">
        <is>
          <t>샴푸</t>
        </is>
      </c>
      <c r="K2427" s="9" t="n">
        <v>99975</v>
      </c>
    </row>
    <row r="2428">
      <c r="A2428" s="9" t="inlineStr">
        <is>
          <t>0316~영상베리</t>
        </is>
      </c>
      <c r="B2428" s="10" t="n">
        <v>44298</v>
      </c>
      <c r="C2428" s="9" t="inlineStr">
        <is>
          <t>월</t>
        </is>
      </c>
      <c r="D2428" s="9" t="inlineStr">
        <is>
          <t>페이스북</t>
        </is>
      </c>
      <c r="E2428" s="9" t="inlineStr">
        <is>
          <t>샴푸</t>
        </is>
      </c>
      <c r="K2428" s="9" t="n">
        <v>100178</v>
      </c>
    </row>
    <row r="2429">
      <c r="A2429" s="9" t="inlineStr">
        <is>
          <t>0322_샴푸_GDN_이현1차</t>
        </is>
      </c>
      <c r="B2429" s="10" t="n">
        <v>44298</v>
      </c>
      <c r="C2429" s="9" t="inlineStr">
        <is>
          <t>월</t>
        </is>
      </c>
      <c r="D2429" s="9" t="inlineStr">
        <is>
          <t>GDN</t>
        </is>
      </c>
      <c r="E2429" s="9" t="inlineStr">
        <is>
          <t>샴푸</t>
        </is>
      </c>
      <c r="K2429" s="9" t="n">
        <v>104621</v>
      </c>
    </row>
    <row r="2430">
      <c r="A2430" s="9" t="inlineStr">
        <is>
          <t>0324_샴푸_VAC_CPA</t>
        </is>
      </c>
      <c r="B2430" s="10" t="n">
        <v>44298</v>
      </c>
      <c r="C2430" s="9" t="inlineStr">
        <is>
          <t>월</t>
        </is>
      </c>
      <c r="D2430" s="9" t="inlineStr">
        <is>
          <t>유튜브</t>
        </is>
      </c>
      <c r="E2430" s="9" t="inlineStr">
        <is>
          <t>샴푸</t>
        </is>
      </c>
      <c r="K2430" s="9" t="n">
        <v>2600494</v>
      </c>
    </row>
    <row r="2431">
      <c r="A2431" s="9" t="inlineStr">
        <is>
          <t>0329_샴푸_GDN_키워드</t>
        </is>
      </c>
      <c r="B2431" s="10" t="n">
        <v>44298</v>
      </c>
      <c r="C2431" s="9" t="inlineStr">
        <is>
          <t>월</t>
        </is>
      </c>
      <c r="D2431" s="9" t="inlineStr">
        <is>
          <t>GDN</t>
        </is>
      </c>
      <c r="E2431" s="9" t="inlineStr">
        <is>
          <t>샴푸</t>
        </is>
      </c>
      <c r="K2431" s="9" t="n">
        <v>1928</v>
      </c>
    </row>
    <row r="2432">
      <c r="A2432" s="9" t="inlineStr">
        <is>
          <t>0330_샴푸_cpv_200만뷰</t>
        </is>
      </c>
      <c r="B2432" s="10" t="n">
        <v>44298</v>
      </c>
      <c r="C2432" s="9" t="inlineStr">
        <is>
          <t>월</t>
        </is>
      </c>
      <c r="D2432" s="9" t="inlineStr">
        <is>
          <t>유튜브</t>
        </is>
      </c>
      <c r="E2432" s="9" t="inlineStr">
        <is>
          <t>샴푸</t>
        </is>
      </c>
      <c r="K2432" s="9" t="n">
        <v>1042199</v>
      </c>
    </row>
    <row r="2433">
      <c r="A2433" s="9" t="inlineStr">
        <is>
          <t>라베나 파워링크_샴푸_광고그룹#1</t>
        </is>
      </c>
      <c r="B2433" s="10" t="n">
        <v>44298</v>
      </c>
      <c r="C2433" s="9" t="inlineStr">
        <is>
          <t>월</t>
        </is>
      </c>
      <c r="D2433" s="9" t="inlineStr">
        <is>
          <t>네이버 검색</t>
        </is>
      </c>
      <c r="E2433" s="9" t="inlineStr">
        <is>
          <t>샴푸</t>
        </is>
      </c>
      <c r="K2433" s="9" t="n">
        <v>1920</v>
      </c>
    </row>
    <row r="2434">
      <c r="A2434" s="9" t="inlineStr">
        <is>
          <t>라베나 파워링크_샴푸#1_유튜브키워드기반</t>
        </is>
      </c>
      <c r="B2434" s="10" t="n">
        <v>44298</v>
      </c>
      <c r="C2434" s="9" t="inlineStr">
        <is>
          <t>월</t>
        </is>
      </c>
      <c r="D2434" s="9" t="inlineStr">
        <is>
          <t>네이버 검색</t>
        </is>
      </c>
      <c r="E2434" s="9" t="inlineStr">
        <is>
          <t>샴푸</t>
        </is>
      </c>
      <c r="K2434" s="9" t="n">
        <v>17670</v>
      </c>
    </row>
    <row r="2435">
      <c r="A2435" s="9" t="inlineStr">
        <is>
          <t>샴푸_쇼핑검색#1_광고그룹#1</t>
        </is>
      </c>
      <c r="B2435" s="10" t="n">
        <v>44298</v>
      </c>
      <c r="C2435" s="9" t="inlineStr">
        <is>
          <t>월</t>
        </is>
      </c>
      <c r="D2435" s="9" t="inlineStr">
        <is>
          <t>네이버 검색</t>
        </is>
      </c>
      <c r="E2435" s="9" t="inlineStr">
        <is>
          <t>샴푸</t>
        </is>
      </c>
      <c r="K2435" s="9" t="n">
        <v>2140</v>
      </c>
    </row>
    <row r="2436">
      <c r="A2436" s="9" t="inlineStr">
        <is>
          <t>파워컨텐츠#1_비듬샴푸</t>
        </is>
      </c>
      <c r="B2436" s="10" t="n">
        <v>44298</v>
      </c>
      <c r="C2436" s="9" t="inlineStr">
        <is>
          <t>월</t>
        </is>
      </c>
      <c r="D2436" s="9" t="inlineStr">
        <is>
          <t>네이버 검색</t>
        </is>
      </c>
      <c r="E2436" s="9" t="inlineStr">
        <is>
          <t>샴푸</t>
        </is>
      </c>
      <c r="K2436" s="9" t="n">
        <v>70</v>
      </c>
    </row>
    <row r="2437" ht="16.5" customHeight="1" s="12">
      <c r="A2437" s="9" t="inlineStr">
        <is>
          <t>키워드테스트</t>
        </is>
      </c>
      <c r="B2437" s="10" t="n">
        <v>44298</v>
      </c>
      <c r="C2437" s="9" t="inlineStr">
        <is>
          <t>월</t>
        </is>
      </c>
      <c r="D2437" s="9" t="inlineStr">
        <is>
          <t>카카오</t>
        </is>
      </c>
      <c r="E2437" s="9" t="inlineStr">
        <is>
          <t>샴푸</t>
        </is>
      </c>
      <c r="K2437" s="9">
        <f>51590/1.1</f>
        <v/>
      </c>
    </row>
    <row r="2438">
      <c r="B2438" s="10" t="n">
        <v>44298</v>
      </c>
      <c r="C2438" s="9" t="inlineStr">
        <is>
          <t>월</t>
        </is>
      </c>
      <c r="E2438" s="9" t="inlineStr">
        <is>
          <t>샴푸</t>
        </is>
      </c>
      <c r="F2438" s="9" t="inlineStr">
        <is>
          <t>카페24</t>
        </is>
      </c>
      <c r="G2438" s="9" t="inlineStr">
        <is>
          <t>[타임특가] 리 : 커버리 3개월 패키지 (샴푸 2+ 트리트먼트 택 1)샴푸2 + 트리트먼트 택 1=샴푸2 + 뉴트리셔스 밤1</t>
        </is>
      </c>
      <c r="H2438" s="9" t="n">
        <v>7</v>
      </c>
      <c r="I2438" s="9" t="inlineStr">
        <is>
          <t>리바이탈 샴푸2+뉴트리셔스밤1</t>
        </is>
      </c>
      <c r="J2438" s="9" t="inlineStr">
        <is>
          <t>210201</t>
        </is>
      </c>
      <c r="L2438" s="9">
        <f>62280*7</f>
        <v/>
      </c>
      <c r="M2438" s="9">
        <f>435960-(435960/5.85)</f>
        <v/>
      </c>
      <c r="N2438" s="9">
        <f>7310*7</f>
        <v/>
      </c>
      <c r="O2438" s="9" t="inlineStr">
        <is>
          <t>카페240[타임특가] 리 : 커버리 3개월 패키지 (샴푸 2+ 트리트먼트 택 1)샴푸2 + 트리트먼트 택 1=샴푸2 + 뉴트리셔스 밤1210201</t>
        </is>
      </c>
    </row>
    <row r="2439">
      <c r="B2439" s="10" t="n">
        <v>44298</v>
      </c>
      <c r="C2439" s="9" t="inlineStr">
        <is>
          <t>월</t>
        </is>
      </c>
      <c r="E2439" s="9" t="inlineStr">
        <is>
          <t>샴푸</t>
        </is>
      </c>
      <c r="F2439" s="9" t="inlineStr">
        <is>
          <t>카페24</t>
        </is>
      </c>
      <c r="G2439" s="9" t="inlineStr">
        <is>
          <t>[타임특가] 리 : 커버리 3개월 패키지 (샴푸 2+ 트리트먼트 택 1)샴푸2 + 트리트먼트 택 1=샴푸2 + 헤어팩 트리트먼트1</t>
        </is>
      </c>
      <c r="H2439" s="9" t="n">
        <v>6</v>
      </c>
      <c r="I2439" s="9" t="inlineStr">
        <is>
          <t>리바이탈 샴푸2+트리트먼트1</t>
        </is>
      </c>
      <c r="J2439" s="9" t="inlineStr">
        <is>
          <t>210201</t>
        </is>
      </c>
      <c r="L2439" s="9">
        <f>62280*6</f>
        <v/>
      </c>
      <c r="M2439" s="9">
        <f>373680-(373680/5.85)</f>
        <v/>
      </c>
      <c r="N2439" s="9">
        <f>7327*6</f>
        <v/>
      </c>
      <c r="O2439" s="9" t="inlineStr">
        <is>
          <t>카페240[타임특가] 리 : 커버리 3개월 패키지 (샴푸 2+ 트리트먼트 택 1)샴푸2 + 트리트먼트 택 1=샴푸2 + 헤어팩 트리트먼트1210201</t>
        </is>
      </c>
    </row>
    <row r="2440">
      <c r="B2440" s="10" t="n">
        <v>44298</v>
      </c>
      <c r="C2440" s="9" t="inlineStr">
        <is>
          <t>월</t>
        </is>
      </c>
      <c r="E2440" s="9" t="inlineStr">
        <is>
          <t>샴푸</t>
        </is>
      </c>
      <c r="F2440" s="9" t="inlineStr">
        <is>
          <t>카페24</t>
        </is>
      </c>
      <c r="G2440" s="9" t="inlineStr">
        <is>
          <t>[타임특가] 리 : 커버리 6개월 패키지 (샴푸 5+ 트리트먼트 택 1)샴푸 5 + 트리트먼트 택 1=샴푸 5 + 뉴트리셔스 밤 1</t>
        </is>
      </c>
      <c r="H2440" s="9" t="n">
        <v>2</v>
      </c>
      <c r="I2440" s="9" t="inlineStr">
        <is>
          <t>리바이탈 샴푸5+뉴트리셔스밤1</t>
        </is>
      </c>
      <c r="J2440" s="9" t="inlineStr">
        <is>
          <t>210201</t>
        </is>
      </c>
      <c r="L2440" s="9">
        <f>114840*2</f>
        <v/>
      </c>
      <c r="M2440" s="9">
        <f>229680-(229680/5.85)</f>
        <v/>
      </c>
      <c r="N2440" s="9">
        <f>15905*2</f>
        <v/>
      </c>
      <c r="O2440" s="9" t="inlineStr">
        <is>
          <t>카페240[타임특가] 리 : 커버리 6개월 패키지 (샴푸 5+ 트리트먼트 택 1)샴푸 5 + 트리트먼트 택 1=샴푸 5 + 뉴트리셔스 밤 1210201</t>
        </is>
      </c>
    </row>
    <row r="2441">
      <c r="B2441" s="10" t="n">
        <v>44298</v>
      </c>
      <c r="C2441" s="9" t="inlineStr">
        <is>
          <t>월</t>
        </is>
      </c>
      <c r="E2441" s="9" t="inlineStr">
        <is>
          <t>샴푸</t>
        </is>
      </c>
      <c r="F2441" s="9" t="inlineStr">
        <is>
          <t>카페24</t>
        </is>
      </c>
      <c r="G2441" s="9" t="inlineStr">
        <is>
          <t>[타임특가] 리 : 커버리 6개월 패키지 (샴푸 5+ 트리트먼트 택 1)샴푸 5 + 트리트먼트 택 1=샴푸 5 + 헤어팩 트리트먼트 1</t>
        </is>
      </c>
      <c r="H2441" s="9" t="n">
        <v>1</v>
      </c>
      <c r="I2441" s="9" t="inlineStr">
        <is>
          <t>리바이탈 샴푸5+트리트먼트1</t>
        </is>
      </c>
      <c r="J2441" s="9" t="inlineStr">
        <is>
          <t>210201</t>
        </is>
      </c>
      <c r="L2441" s="9" t="n">
        <v>114840</v>
      </c>
      <c r="M2441" s="9">
        <f>114840-(114840/5.85)</f>
        <v/>
      </c>
      <c r="N2441" s="9">
        <f>(2865*5)+1597</f>
        <v/>
      </c>
      <c r="O2441" s="9" t="inlineStr">
        <is>
          <t>카페240[타임특가] 리 : 커버리 6개월 패키지 (샴푸 5+ 트리트먼트 택 1)샴푸 5 + 트리트먼트 택 1=샴푸 5 + 헤어팩 트리트먼트 1210201</t>
        </is>
      </c>
    </row>
    <row r="2442">
      <c r="B2442" s="10" t="n">
        <v>44298</v>
      </c>
      <c r="C2442" s="9" t="inlineStr">
        <is>
          <t>월</t>
        </is>
      </c>
      <c r="E2442" s="9" t="inlineStr">
        <is>
          <t>샴푸</t>
        </is>
      </c>
      <c r="F2442" s="9" t="inlineStr">
        <is>
          <t>카페24</t>
        </is>
      </c>
      <c r="G2442" s="9" t="inlineStr">
        <is>
          <t>[타임특가] 리 : 커버리 온가족 패키지 (샴푸 3+ 헤어팩 트리트먼트 1+뉴트리셔스 밤 1)</t>
        </is>
      </c>
      <c r="H2442" s="9" t="n">
        <v>2</v>
      </c>
      <c r="I2442" s="9" t="inlineStr">
        <is>
          <t>리바이탈 샴푸3+트리트먼트1+뉴트리셔스밤1</t>
        </is>
      </c>
      <c r="J2442" s="9" t="inlineStr">
        <is>
          <t>210201</t>
        </is>
      </c>
      <c r="L2442" s="9">
        <f>94765*2</f>
        <v/>
      </c>
      <c r="M2442" s="9">
        <f>189530-(189530/5.85)</f>
        <v/>
      </c>
      <c r="N2442" s="9">
        <f>11772*2</f>
        <v/>
      </c>
      <c r="O2442" s="9" t="inlineStr">
        <is>
          <t>카페240[타임특가] 리 : 커버리 온가족 패키지 (샴푸 3+ 헤어팩 트리트먼트 1+뉴트리셔스 밤 1)210201</t>
        </is>
      </c>
    </row>
    <row r="2443">
      <c r="B2443" s="10" t="n">
        <v>44298</v>
      </c>
      <c r="C2443" s="9" t="inlineStr">
        <is>
          <t>월</t>
        </is>
      </c>
      <c r="E2443" s="9" t="inlineStr">
        <is>
          <t>샴푸</t>
        </is>
      </c>
      <c r="F2443" s="9" t="inlineStr">
        <is>
          <t>카페24</t>
        </is>
      </c>
      <c r="G2443" s="9" t="inlineStr">
        <is>
          <t>[타임특가] 리:커버리 스타터 패키지 (샴푸 1+헤어팩 트리트먼트 1+ 뉴트리셔스 밤 1)</t>
        </is>
      </c>
      <c r="H2443" s="9" t="n">
        <v>5</v>
      </c>
      <c r="I2443" s="9" t="inlineStr">
        <is>
          <t>리바이탈 샴푸1+트리트먼트1+뉴트리셔스밤1</t>
        </is>
      </c>
      <c r="J2443" s="9" t="inlineStr">
        <is>
          <t>210201</t>
        </is>
      </c>
      <c r="L2443" s="9">
        <f>39897*5</f>
        <v/>
      </c>
      <c r="M2443" s="9">
        <f>199485-(199485/5.85)</f>
        <v/>
      </c>
      <c r="N2443" s="9">
        <f>(2865+1580+1597)*5</f>
        <v/>
      </c>
      <c r="O2443" s="9" t="inlineStr">
        <is>
          <t>카페240[타임특가] 리:커버리 스타터 패키지 (샴푸 1+헤어팩 트리트먼트 1+ 뉴트리셔스 밤 1)210201</t>
        </is>
      </c>
    </row>
    <row r="2444">
      <c r="B2444" s="10" t="n">
        <v>44298</v>
      </c>
      <c r="C2444" s="9" t="inlineStr">
        <is>
          <t>월</t>
        </is>
      </c>
      <c r="E2444" s="9" t="inlineStr">
        <is>
          <t>뉴트리셔스밤</t>
        </is>
      </c>
      <c r="F2444" s="9" t="inlineStr">
        <is>
          <t>카페24</t>
        </is>
      </c>
      <c r="G2444" s="9" t="inlineStr">
        <is>
          <t>라베나 리커버리 15 뉴트리셔스 밤 [HAIR RÉ:COVERY 15 Nutritious Balm]제품선택=헤어 리커버리 15 뉴트리셔스 밤</t>
        </is>
      </c>
      <c r="H2444" s="9" t="n">
        <v>5</v>
      </c>
      <c r="I2444" s="9" t="inlineStr">
        <is>
          <t>뉴트리셔스밤</t>
        </is>
      </c>
      <c r="J2444" s="9" t="inlineStr">
        <is>
          <t>210201</t>
        </is>
      </c>
      <c r="L2444" s="9" t="n">
        <v>124500</v>
      </c>
      <c r="M2444" s="9" t="n">
        <v>117216.75</v>
      </c>
      <c r="N2444" s="9" t="n">
        <v>7900</v>
      </c>
      <c r="O2444" s="9" t="inlineStr">
        <is>
          <t>카페24뉴트리셔스밤라베나 리커버리 15 뉴트리셔스 밤 [HAIR RÉ:COVERY 15 Nutritious Balm]제품선택=헤어 리커버리 15 뉴트리셔스 밤210201</t>
        </is>
      </c>
    </row>
    <row r="2445">
      <c r="B2445" s="10" t="n">
        <v>44298</v>
      </c>
      <c r="C2445" s="9" t="inlineStr">
        <is>
          <t>월</t>
        </is>
      </c>
      <c r="E2445" s="9" t="inlineStr">
        <is>
          <t>샴푸</t>
        </is>
      </c>
      <c r="F2445" s="9" t="inlineStr">
        <is>
          <t>카페24</t>
        </is>
      </c>
      <c r="G2445" s="9" t="inlineStr">
        <is>
          <t>라베나 리커버리 15 리바이탈 바이오플라보노이드샴푸 [HAIR RÉ:COVERY 15 Revital Shampoo]제품선택=헤어 리커버리 15 리바이탈 샴푸 - 500ml</t>
        </is>
      </c>
      <c r="H2445" s="9" t="n">
        <v>182</v>
      </c>
      <c r="I2445" s="9" t="inlineStr">
        <is>
          <t>리바이탈 샴푸</t>
        </is>
      </c>
      <c r="J2445" s="9" t="inlineStr">
        <is>
          <t>210201</t>
        </is>
      </c>
      <c r="L2445" s="9" t="n">
        <v>4895800</v>
      </c>
      <c r="M2445" s="9" t="n">
        <v>4609395.7</v>
      </c>
      <c r="N2445" s="9" t="n">
        <v>521430</v>
      </c>
      <c r="O244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446">
      <c r="B2446" s="10" t="n">
        <v>44298</v>
      </c>
      <c r="C2446" s="9" t="inlineStr">
        <is>
          <t>월</t>
        </is>
      </c>
      <c r="E2446" s="9" t="inlineStr">
        <is>
          <t>샴푸</t>
        </is>
      </c>
      <c r="F2446" s="9" t="inlineStr">
        <is>
          <t>카페24</t>
        </is>
      </c>
      <c r="G2446" s="9" t="inlineStr">
        <is>
          <t>라베나 리커버리 15 리바이탈 바이오플라보노이드샴푸 [HAIR RÉ:COVERY 15 Revital Shampoo]제품선택=리바이탈 샴푸 2개 세트 5%추가할인</t>
        </is>
      </c>
      <c r="H2446" s="9" t="n">
        <v>56</v>
      </c>
      <c r="I2446" s="9" t="inlineStr">
        <is>
          <t>리바이탈 샴푸 2set</t>
        </is>
      </c>
      <c r="J2446" s="9" t="inlineStr">
        <is>
          <t>210201</t>
        </is>
      </c>
      <c r="L2446" s="9" t="n">
        <v>2862160</v>
      </c>
      <c r="M2446" s="9" t="n">
        <v>2694723.64</v>
      </c>
      <c r="N2446" s="9" t="n">
        <v>320880</v>
      </c>
      <c r="O244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447">
      <c r="B2447" s="10" t="n">
        <v>44298</v>
      </c>
      <c r="C2447" s="9" t="inlineStr">
        <is>
          <t>월</t>
        </is>
      </c>
      <c r="E2447" s="9" t="inlineStr">
        <is>
          <t>샴푸</t>
        </is>
      </c>
      <c r="F2447" s="9" t="inlineStr">
        <is>
          <t>카페24</t>
        </is>
      </c>
      <c r="G2447" s="9" t="inlineStr">
        <is>
          <t>라베나 리커버리 15 리바이탈 바이오플라보노이드샴푸 [HAIR RÉ:COVERY 15 Revital Shampoo]제품선택=리바이탈 샴푸 3개 세트 10% 추가할인</t>
        </is>
      </c>
      <c r="H2447" s="9" t="n">
        <v>12</v>
      </c>
      <c r="I2447" s="9" t="inlineStr">
        <is>
          <t>리바이탈 샴푸 3set</t>
        </is>
      </c>
      <c r="J2447" s="9" t="inlineStr">
        <is>
          <t>210201</t>
        </is>
      </c>
      <c r="L2447" s="9" t="n">
        <v>871560</v>
      </c>
      <c r="M2447" s="9" t="n">
        <v>820573.74</v>
      </c>
      <c r="N2447" s="9" t="n">
        <v>103140</v>
      </c>
      <c r="O244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448">
      <c r="B2448" s="10" t="n">
        <v>44298</v>
      </c>
      <c r="C2448" s="9" t="inlineStr">
        <is>
          <t>월</t>
        </is>
      </c>
      <c r="E2448" s="9" t="inlineStr">
        <is>
          <t>트리트먼트</t>
        </is>
      </c>
      <c r="F2448" s="9" t="inlineStr">
        <is>
          <t>카페24</t>
        </is>
      </c>
      <c r="G2448" s="9" t="inlineStr">
        <is>
          <t>라베나 리커버리 15 헤어팩 트리트먼트 [HAIR RÉ:COVERY 15 Hairpack Treatment]제품선택=헤어 리커버리 15 헤어팩 트리트먼트</t>
        </is>
      </c>
      <c r="H2448" s="9" t="n">
        <v>4</v>
      </c>
      <c r="I2448" s="9" t="inlineStr">
        <is>
          <t>트리트먼트</t>
        </is>
      </c>
      <c r="J2448" s="9" t="inlineStr">
        <is>
          <t>210201</t>
        </is>
      </c>
      <c r="L2448" s="9" t="n">
        <v>104000</v>
      </c>
      <c r="M2448" s="9" t="n">
        <v>97916</v>
      </c>
      <c r="N2448" s="9" t="n">
        <v>6388</v>
      </c>
      <c r="O244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449">
      <c r="B2449" s="10" t="n">
        <v>44298</v>
      </c>
      <c r="C2449" s="9" t="inlineStr">
        <is>
          <t>월</t>
        </is>
      </c>
      <c r="E2449" s="9" t="inlineStr">
        <is>
          <t>트리트먼트</t>
        </is>
      </c>
      <c r="F2449" s="9" t="inlineStr">
        <is>
          <t>카페24</t>
        </is>
      </c>
      <c r="G2449" s="9" t="inlineStr">
        <is>
          <t>라베나 리커버리 15 헤어팩 트리트먼트 [HAIR RÉ:COVERY 15 Hairpack Treatment]제품선택=헤어팩 트리트먼트 2개 세트 5% 추가할인</t>
        </is>
      </c>
      <c r="H2449" s="9" t="n">
        <v>1</v>
      </c>
      <c r="I2449" s="9" t="inlineStr">
        <is>
          <t>트리트먼트 2set</t>
        </is>
      </c>
      <c r="J2449" s="9" t="inlineStr">
        <is>
          <t>210201</t>
        </is>
      </c>
      <c r="L2449" s="9" t="n">
        <v>49400</v>
      </c>
      <c r="M2449" s="9" t="n">
        <v>46510.1</v>
      </c>
      <c r="N2449" s="9" t="n">
        <v>3194</v>
      </c>
      <c r="O2449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450">
      <c r="B2450" s="10" t="n">
        <v>44298</v>
      </c>
      <c r="C2450" s="9" t="inlineStr">
        <is>
          <t>월</t>
        </is>
      </c>
      <c r="E2450" s="9" t="inlineStr">
        <is>
          <t>트리트먼트</t>
        </is>
      </c>
      <c r="F2450" s="9" t="inlineStr">
        <is>
          <t>카페24</t>
        </is>
      </c>
      <c r="G2450" s="9" t="inlineStr">
        <is>
          <t>라베나 리커버리 15 헤어팩 트리트먼트 [HAIR RÉ:COVERY 15 Hairpack Treatment]제품선택=헤어팩 트리트먼트 1개 + 뉴트리셔스밤 1개 세트 5% 추가할인</t>
        </is>
      </c>
      <c r="H2450" s="9" t="n">
        <v>1</v>
      </c>
      <c r="I2450" s="9" t="inlineStr">
        <is>
          <t>트리트먼트+뉴트리셔스밤</t>
        </is>
      </c>
      <c r="J2450" s="9" t="inlineStr">
        <is>
          <t>210201</t>
        </is>
      </c>
      <c r="L2450" s="9" t="n">
        <v>48355</v>
      </c>
      <c r="M2450" s="9" t="n">
        <v>45526.2325</v>
      </c>
      <c r="N2450" s="9" t="n">
        <v>3177</v>
      </c>
      <c r="O2450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451">
      <c r="A2451" s="9" t="inlineStr">
        <is>
          <t>0413_샴푸_카드뉴스_윤민</t>
        </is>
      </c>
      <c r="B2451" s="10" t="n">
        <v>44299</v>
      </c>
      <c r="C2451" s="9" t="inlineStr">
        <is>
          <t>화</t>
        </is>
      </c>
      <c r="D2451" s="9" t="inlineStr">
        <is>
          <t>페이스북</t>
        </is>
      </c>
      <c r="E2451" s="9" t="inlineStr">
        <is>
          <t>샴푸</t>
        </is>
      </c>
      <c r="K2451" s="9" t="n">
        <v>22487</v>
      </c>
    </row>
    <row r="2452">
      <c r="A2452" s="9" t="inlineStr">
        <is>
          <t>0413_윤민_샴푸_배너_사춘기부모</t>
        </is>
      </c>
      <c r="B2452" s="10" t="n">
        <v>44299</v>
      </c>
      <c r="C2452" s="9" t="inlineStr">
        <is>
          <t>화</t>
        </is>
      </c>
      <c r="D2452" s="9" t="inlineStr">
        <is>
          <t>페이스북</t>
        </is>
      </c>
      <c r="E2452" s="9" t="inlineStr">
        <is>
          <t>샴푸</t>
        </is>
      </c>
      <c r="K2452" s="9" t="n">
        <v>32964</v>
      </c>
    </row>
    <row r="2453">
      <c r="A2453" s="9" t="inlineStr">
        <is>
          <t>0412_인서_샴푸_단장_탈모</t>
        </is>
      </c>
      <c r="B2453" s="10" t="n">
        <v>44299</v>
      </c>
      <c r="C2453" s="9" t="inlineStr">
        <is>
          <t>화</t>
        </is>
      </c>
      <c r="D2453" s="9" t="inlineStr">
        <is>
          <t>페이스북</t>
        </is>
      </c>
      <c r="E2453" s="9" t="inlineStr">
        <is>
          <t>샴푸</t>
        </is>
      </c>
      <c r="K2453" s="9" t="n">
        <v>49288</v>
      </c>
    </row>
    <row r="2454">
      <c r="A2454" s="9" t="inlineStr">
        <is>
          <t>0409_이현_샴푸_카드뉴스_열비듬탈모</t>
        </is>
      </c>
      <c r="B2454" s="10" t="n">
        <v>44299</v>
      </c>
      <c r="C2454" s="9" t="inlineStr">
        <is>
          <t>화</t>
        </is>
      </c>
      <c r="D2454" s="9" t="inlineStr">
        <is>
          <t>페이스북</t>
        </is>
      </c>
      <c r="E2454" s="9" t="inlineStr">
        <is>
          <t>샴푸</t>
        </is>
      </c>
      <c r="K2454" s="9" t="n">
        <v>89908</v>
      </c>
    </row>
    <row r="2455">
      <c r="A2455" s="9" t="inlineStr">
        <is>
          <t>0408_윤민_샴푸_배너_올인원</t>
        </is>
      </c>
      <c r="B2455" s="10" t="n">
        <v>44299</v>
      </c>
      <c r="C2455" s="9" t="inlineStr">
        <is>
          <t>화</t>
        </is>
      </c>
      <c r="D2455" s="9" t="inlineStr">
        <is>
          <t>페이스북</t>
        </is>
      </c>
      <c r="E2455" s="9" t="inlineStr">
        <is>
          <t>샴푸</t>
        </is>
      </c>
      <c r="K2455" s="9" t="n">
        <v>85647</v>
      </c>
    </row>
    <row r="2456">
      <c r="A2456" s="9" t="inlineStr">
        <is>
          <t>0407_성화_스타터패키지_단장이벤트배너_a/b</t>
        </is>
      </c>
      <c r="B2456" s="10" t="n">
        <v>44299</v>
      </c>
      <c r="C2456" s="9" t="inlineStr">
        <is>
          <t>화</t>
        </is>
      </c>
      <c r="D2456" s="9" t="inlineStr">
        <is>
          <t>페이스북</t>
        </is>
      </c>
      <c r="E2456" s="9" t="inlineStr">
        <is>
          <t>샴푸</t>
        </is>
      </c>
      <c r="K2456" s="9" t="n">
        <v>211388</v>
      </c>
    </row>
    <row r="2457">
      <c r="A2457" s="9" t="inlineStr">
        <is>
          <t>0405_노워시_카드뉴스_에어랩</t>
        </is>
      </c>
      <c r="B2457" s="10" t="n">
        <v>44299</v>
      </c>
      <c r="C2457" s="9" t="inlineStr">
        <is>
          <t>화</t>
        </is>
      </c>
      <c r="D2457" s="9" t="inlineStr">
        <is>
          <t>페이스북</t>
        </is>
      </c>
      <c r="E2457" s="9" t="inlineStr">
        <is>
          <t>뉴트리셔스밤</t>
        </is>
      </c>
      <c r="K2457" s="9" t="n">
        <v>47307</v>
      </c>
    </row>
    <row r="2458">
      <c r="A2458" s="9" t="inlineStr">
        <is>
          <t>0318~영상기반 단장</t>
        </is>
      </c>
      <c r="B2458" s="10" t="n">
        <v>44299</v>
      </c>
      <c r="C2458" s="9" t="inlineStr">
        <is>
          <t>화</t>
        </is>
      </c>
      <c r="D2458" s="9" t="inlineStr">
        <is>
          <t>페이스북</t>
        </is>
      </c>
      <c r="E2458" s="9" t="inlineStr">
        <is>
          <t>샴푸</t>
        </is>
      </c>
      <c r="K2458" s="9" t="n">
        <v>97167</v>
      </c>
    </row>
    <row r="2459">
      <c r="A2459" s="9" t="inlineStr">
        <is>
          <t>0316~영상베리</t>
        </is>
      </c>
      <c r="B2459" s="10" t="n">
        <v>44299</v>
      </c>
      <c r="C2459" s="9" t="inlineStr">
        <is>
          <t>화</t>
        </is>
      </c>
      <c r="D2459" s="9" t="inlineStr">
        <is>
          <t>페이스북</t>
        </is>
      </c>
      <c r="E2459" s="9" t="inlineStr">
        <is>
          <t>샴푸</t>
        </is>
      </c>
      <c r="K2459" s="9" t="n">
        <v>97753</v>
      </c>
    </row>
    <row r="2460">
      <c r="A2460" s="9" t="inlineStr">
        <is>
          <t>0322_샴푸_GDN_이현1차</t>
        </is>
      </c>
      <c r="B2460" s="10" t="n">
        <v>44299</v>
      </c>
      <c r="C2460" s="9" t="inlineStr">
        <is>
          <t>화</t>
        </is>
      </c>
      <c r="D2460" s="9" t="inlineStr">
        <is>
          <t>GDN</t>
        </is>
      </c>
      <c r="E2460" s="9" t="inlineStr">
        <is>
          <t>샴푸</t>
        </is>
      </c>
      <c r="K2460" s="9" t="n">
        <v>85494</v>
      </c>
    </row>
    <row r="2461">
      <c r="A2461" s="9" t="inlineStr">
        <is>
          <t>0324_샴푸_VAC_CPA</t>
        </is>
      </c>
      <c r="B2461" s="10" t="n">
        <v>44299</v>
      </c>
      <c r="C2461" s="9" t="inlineStr">
        <is>
          <t>화</t>
        </is>
      </c>
      <c r="D2461" s="9" t="inlineStr">
        <is>
          <t>유튜브</t>
        </is>
      </c>
      <c r="E2461" s="9" t="inlineStr">
        <is>
          <t>샴푸</t>
        </is>
      </c>
      <c r="K2461" s="9" t="n">
        <v>2570200</v>
      </c>
    </row>
    <row r="2462">
      <c r="A2462" s="9" t="inlineStr">
        <is>
          <t>0329_샴푸_GDN_키워드</t>
        </is>
      </c>
      <c r="B2462" s="10" t="n">
        <v>44299</v>
      </c>
      <c r="C2462" s="9" t="inlineStr">
        <is>
          <t>화</t>
        </is>
      </c>
      <c r="D2462" s="9" t="inlineStr">
        <is>
          <t>GDN</t>
        </is>
      </c>
      <c r="E2462" s="9" t="inlineStr">
        <is>
          <t>샴푸</t>
        </is>
      </c>
      <c r="K2462" s="9" t="n">
        <v>621</v>
      </c>
    </row>
    <row r="2463">
      <c r="A2463" s="9" t="inlineStr">
        <is>
          <t>0330_샴푸_cpv_200만뷰</t>
        </is>
      </c>
      <c r="B2463" s="10" t="n">
        <v>44299</v>
      </c>
      <c r="C2463" s="9" t="inlineStr">
        <is>
          <t>화</t>
        </is>
      </c>
      <c r="D2463" s="9" t="inlineStr">
        <is>
          <t>유튜브</t>
        </is>
      </c>
      <c r="E2463" s="9" t="inlineStr">
        <is>
          <t>샴푸</t>
        </is>
      </c>
      <c r="K2463" s="9" t="n">
        <v>285382</v>
      </c>
    </row>
    <row r="2464">
      <c r="A2464" s="9" t="inlineStr">
        <is>
          <t>라베나 파워링크_샴푸_광고그룹#1</t>
        </is>
      </c>
      <c r="B2464" s="10" t="n">
        <v>44299</v>
      </c>
      <c r="C2464" s="9" t="inlineStr">
        <is>
          <t>화</t>
        </is>
      </c>
      <c r="D2464" s="9" t="inlineStr">
        <is>
          <t>네이버 검색</t>
        </is>
      </c>
      <c r="E2464" s="9" t="inlineStr">
        <is>
          <t>샴푸</t>
        </is>
      </c>
      <c r="K2464" s="9" t="n">
        <v>2340</v>
      </c>
    </row>
    <row r="2465">
      <c r="A2465" s="9" t="inlineStr">
        <is>
          <t>라베나 파워링크_샴푸#1_유튜브키워드기반</t>
        </is>
      </c>
      <c r="B2465" s="10" t="n">
        <v>44299</v>
      </c>
      <c r="C2465" s="9" t="inlineStr">
        <is>
          <t>화</t>
        </is>
      </c>
      <c r="D2465" s="9" t="inlineStr">
        <is>
          <t>네이버 검색</t>
        </is>
      </c>
      <c r="E2465" s="9" t="inlineStr">
        <is>
          <t>샴푸</t>
        </is>
      </c>
      <c r="K2465" s="9" t="n">
        <v>12670</v>
      </c>
    </row>
    <row r="2466">
      <c r="A2466" s="9" t="inlineStr">
        <is>
          <t>샴푸_쇼핑검색#1_광고그룹#1</t>
        </is>
      </c>
      <c r="B2466" s="10" t="n">
        <v>44299</v>
      </c>
      <c r="C2466" s="9" t="inlineStr">
        <is>
          <t>화</t>
        </is>
      </c>
      <c r="D2466" s="9" t="inlineStr">
        <is>
          <t>네이버 검색</t>
        </is>
      </c>
      <c r="E2466" s="9" t="inlineStr">
        <is>
          <t>샴푸</t>
        </is>
      </c>
      <c r="K2466" s="9" t="n">
        <v>1320</v>
      </c>
    </row>
    <row r="2467">
      <c r="A2467" s="9" t="inlineStr">
        <is>
          <t>파워컨텐츠#1_비듬샴푸</t>
        </is>
      </c>
      <c r="B2467" s="10" t="n">
        <v>44299</v>
      </c>
      <c r="C2467" s="9" t="inlineStr">
        <is>
          <t>화</t>
        </is>
      </c>
      <c r="D2467" s="9" t="inlineStr">
        <is>
          <t>네이버 검색</t>
        </is>
      </c>
      <c r="E2467" s="9" t="inlineStr">
        <is>
          <t>샴푸</t>
        </is>
      </c>
      <c r="K2467" s="9" t="n">
        <v>0</v>
      </c>
    </row>
    <row r="2468" ht="16.5" customHeight="1" s="12">
      <c r="A2468" s="9" t="inlineStr">
        <is>
          <t>키워드테스트</t>
        </is>
      </c>
      <c r="B2468" s="10" t="n">
        <v>44299</v>
      </c>
      <c r="C2468" s="9" t="inlineStr">
        <is>
          <t>화</t>
        </is>
      </c>
      <c r="D2468" s="9" t="inlineStr">
        <is>
          <t>카카오</t>
        </is>
      </c>
      <c r="E2468" s="9" t="inlineStr">
        <is>
          <t>샴푸</t>
        </is>
      </c>
      <c r="K2468" s="9">
        <f>50138/1.1</f>
        <v/>
      </c>
    </row>
    <row r="2469">
      <c r="B2469" s="10" t="n">
        <v>44299</v>
      </c>
      <c r="C2469" s="9" t="inlineStr">
        <is>
          <t>화</t>
        </is>
      </c>
      <c r="E2469" s="9" t="inlineStr">
        <is>
          <t>샴푸</t>
        </is>
      </c>
      <c r="F2469" s="9" t="inlineStr">
        <is>
          <t>카페24</t>
        </is>
      </c>
      <c r="G2469" s="9" t="inlineStr">
        <is>
          <t>[문제성두피 케어] 라베나 리커버리 15 리바이탈 샴푸 [HAIR RÉ:COVERY 15 Revital Shampoo]제품선택=헤어 리커버리 15 리바이탈 샴푸 - 500ml</t>
        </is>
      </c>
      <c r="H2469" s="9" t="n">
        <v>3</v>
      </c>
      <c r="I2469" s="9" t="inlineStr">
        <is>
          <t>리바이탈 샴푸</t>
        </is>
      </c>
      <c r="J2469" s="9" t="inlineStr">
        <is>
          <t>210201</t>
        </is>
      </c>
      <c r="L2469" s="9">
        <f>26900*3</f>
        <v/>
      </c>
      <c r="M2469" s="9">
        <f>80700-(80700/5.85)</f>
        <v/>
      </c>
      <c r="N2469" s="9">
        <f>2865*3</f>
        <v/>
      </c>
      <c r="O2469" s="9" t="inlineStr">
        <is>
          <t>카페24샴푸[문제성두피 케어] 라베나 리커버리 15 리바이탈 샴푸 [HAIR RÉ:COVERY 15 Revital Shampoo]제품선택=헤어 리커버리 15 리바이탈 샴푸 - 500ml210201</t>
        </is>
      </c>
    </row>
    <row r="2470">
      <c r="B2470" s="10" t="n">
        <v>44299</v>
      </c>
      <c r="C2470" s="9" t="inlineStr">
        <is>
          <t>화</t>
        </is>
      </c>
      <c r="E2470" s="9" t="inlineStr">
        <is>
          <t>샴푸</t>
        </is>
      </c>
      <c r="F2470" s="9" t="inlineStr">
        <is>
          <t>카페24</t>
        </is>
      </c>
      <c r="G2470" s="9" t="inlineStr">
        <is>
          <t>[문제성두피 케어] 라베나 리커버리 15 리바이탈 샴푸 [HAIR RÉ:COVERY 15 Revital Shampoo]제품선택=리바이탈 샴푸 2개 세트 5%추가할인</t>
        </is>
      </c>
      <c r="H2470" s="9" t="n">
        <v>2</v>
      </c>
      <c r="I2470" s="9" t="inlineStr">
        <is>
          <t>리바이탈 샴푸 2set</t>
        </is>
      </c>
      <c r="J2470" s="9" t="inlineStr">
        <is>
          <t>210201</t>
        </is>
      </c>
      <c r="L2470" s="9">
        <f>51110*2</f>
        <v/>
      </c>
      <c r="M2470" s="9">
        <f>102220-(102220/5.85)</f>
        <v/>
      </c>
      <c r="N2470" s="9">
        <f>5730*2</f>
        <v/>
      </c>
      <c r="O2470" s="9" t="inlineStr">
        <is>
          <t>카페24샴푸[문제성두피 케어] 라베나 리커버리 15 리바이탈 샴푸 [HAIR RÉ:COVERY 15 Revital Shampoo]제품선택=리바이탈 샴푸 2개 세트 5%추가할인210201</t>
        </is>
      </c>
    </row>
    <row r="2471">
      <c r="B2471" s="10" t="n">
        <v>44299</v>
      </c>
      <c r="C2471" s="9" t="inlineStr">
        <is>
          <t>화</t>
        </is>
      </c>
      <c r="E2471" s="9" t="inlineStr">
        <is>
          <t>샴푸</t>
        </is>
      </c>
      <c r="F2471" s="9" t="inlineStr">
        <is>
          <t>카페24</t>
        </is>
      </c>
      <c r="G2471" s="9" t="inlineStr">
        <is>
          <t>[타임특가] 리 : 커버리 3개월 패키지 (샴푸 2+ 트리트먼트 택 1)샴푸2 + 트리트먼트 택 1=샴푸2 + 뉴트리셔스 밤1</t>
        </is>
      </c>
      <c r="H2471" s="9" t="n">
        <v>5</v>
      </c>
      <c r="I2471" s="9" t="inlineStr">
        <is>
          <t>리바이탈 샴푸2+뉴트리셔스밤1</t>
        </is>
      </c>
      <c r="J2471" s="9" t="inlineStr">
        <is>
          <t>210201</t>
        </is>
      </c>
      <c r="L2471" s="9">
        <f>62280*5</f>
        <v/>
      </c>
      <c r="M2471" s="9">
        <f>311400-(311400/5.85)</f>
        <v/>
      </c>
      <c r="N2471" s="9">
        <f>7310*5</f>
        <v/>
      </c>
      <c r="O2471" s="9" t="inlineStr">
        <is>
          <t>카페24샴푸[타임특가] 리 : 커버리 3개월 패키지 (샴푸 2+ 트리트먼트 택 1)샴푸2 + 트리트먼트 택 1=샴푸2 + 뉴트리셔스 밤1210201</t>
        </is>
      </c>
    </row>
    <row r="2472">
      <c r="B2472" s="10" t="n">
        <v>44299</v>
      </c>
      <c r="C2472" s="9" t="inlineStr">
        <is>
          <t>화</t>
        </is>
      </c>
      <c r="E2472" s="9" t="inlineStr">
        <is>
          <t>샴푸</t>
        </is>
      </c>
      <c r="F2472" s="9" t="inlineStr">
        <is>
          <t>카페24</t>
        </is>
      </c>
      <c r="G2472" s="9" t="inlineStr">
        <is>
          <t>[타임특가] 리 : 커버리 3개월 패키지 (샴푸 2+ 트리트먼트 택 1)샴푸2 + 트리트먼트 택 1=샴푸2 + 헤어팩 트리트먼트1</t>
        </is>
      </c>
      <c r="H2472" s="9" t="n">
        <v>7</v>
      </c>
      <c r="I2472" s="9" t="inlineStr">
        <is>
          <t>리바이탈 샴푸2+트리트먼트1</t>
        </is>
      </c>
      <c r="J2472" s="9" t="inlineStr">
        <is>
          <t>210201</t>
        </is>
      </c>
      <c r="L2472" s="9">
        <f>62280*7</f>
        <v/>
      </c>
      <c r="M2472" s="9">
        <f>435960-(435960/5.85)</f>
        <v/>
      </c>
      <c r="N2472" s="9">
        <f>7327*7</f>
        <v/>
      </c>
      <c r="O2472" s="9" t="inlineStr">
        <is>
          <t>카페24샴푸[타임특가] 리 : 커버리 3개월 패키지 (샴푸 2+ 트리트먼트 택 1)샴푸2 + 트리트먼트 택 1=샴푸2 + 헤어팩 트리트먼트1210201</t>
        </is>
      </c>
    </row>
    <row r="2473">
      <c r="B2473" s="10" t="n">
        <v>44299</v>
      </c>
      <c r="C2473" s="9" t="inlineStr">
        <is>
          <t>화</t>
        </is>
      </c>
      <c r="E2473" s="9" t="inlineStr">
        <is>
          <t>샴푸</t>
        </is>
      </c>
      <c r="F2473" s="9" t="inlineStr">
        <is>
          <t>카페24</t>
        </is>
      </c>
      <c r="G2473" s="9" t="inlineStr">
        <is>
          <t>[타임특가] 리 : 커버리 6개월 패키지 (샴푸 5+ 트리트먼트 택 1)샴푸 5 + 트리트먼트 택 1=샴푸 5 + 뉴트리셔스 밤 1</t>
        </is>
      </c>
      <c r="H2473" s="9" t="n">
        <v>1</v>
      </c>
      <c r="I2473" s="9" t="inlineStr">
        <is>
          <t>리바이탈 샴푸5+뉴트리셔스밤1</t>
        </is>
      </c>
      <c r="J2473" s="9" t="inlineStr">
        <is>
          <t>210201</t>
        </is>
      </c>
      <c r="L2473" s="9">
        <f>114840</f>
        <v/>
      </c>
      <c r="M2473" s="9">
        <f>114840-(114840/5.85)</f>
        <v/>
      </c>
      <c r="N2473" s="9">
        <f>15905</f>
        <v/>
      </c>
      <c r="O2473" s="9" t="inlineStr">
        <is>
          <t>카페24샴푸[타임특가] 리 : 커버리 6개월 패키지 (샴푸 5+ 트리트먼트 택 1)샴푸 5 + 트리트먼트 택 1=샴푸 5 + 뉴트리셔스 밤 1210201</t>
        </is>
      </c>
    </row>
    <row r="2474">
      <c r="B2474" s="10" t="n">
        <v>44299</v>
      </c>
      <c r="C2474" s="9" t="inlineStr">
        <is>
          <t>화</t>
        </is>
      </c>
      <c r="E2474" s="9" t="inlineStr">
        <is>
          <t>샴푸</t>
        </is>
      </c>
      <c r="F2474" s="9" t="inlineStr">
        <is>
          <t>카페24</t>
        </is>
      </c>
      <c r="G2474" s="9" t="inlineStr">
        <is>
          <t>[타임특가] 리 : 커버리 6개월 패키지 (샴푸 5+ 트리트먼트 택 1)샴푸 5 + 트리트먼트 택 1=샴푸 5 + 헤어팩 트리트먼트 1</t>
        </is>
      </c>
      <c r="H2474" s="9" t="n">
        <v>1</v>
      </c>
      <c r="I2474" s="9" t="inlineStr">
        <is>
          <t>리바이탈 샴푸5+트리트먼트1</t>
        </is>
      </c>
      <c r="J2474" s="9" t="inlineStr">
        <is>
          <t>210201</t>
        </is>
      </c>
      <c r="L2474" s="9" t="n">
        <v>114840</v>
      </c>
      <c r="M2474" s="9">
        <f>114840-(114840/5.85)</f>
        <v/>
      </c>
      <c r="N2474" s="9">
        <f>(2865*5)+1597</f>
        <v/>
      </c>
      <c r="O2474" s="9" t="inlineStr">
        <is>
          <t>카페24샴푸[타임특가] 리 : 커버리 6개월 패키지 (샴푸 5+ 트리트먼트 택 1)샴푸 5 + 트리트먼트 택 1=샴푸 5 + 헤어팩 트리트먼트 1210201</t>
        </is>
      </c>
    </row>
    <row r="2475">
      <c r="B2475" s="10" t="n">
        <v>44299</v>
      </c>
      <c r="C2475" s="9" t="inlineStr">
        <is>
          <t>화</t>
        </is>
      </c>
      <c r="E2475" s="9" t="inlineStr">
        <is>
          <t>샴푸</t>
        </is>
      </c>
      <c r="F2475" s="9" t="inlineStr">
        <is>
          <t>카페24</t>
        </is>
      </c>
      <c r="G2475" s="9" t="inlineStr">
        <is>
          <t>[타임특가] 리 : 커버리 온가족 패키지 (샴푸 3+ 헤어팩 트리트먼트 1+뉴트리셔스 밤 1)</t>
        </is>
      </c>
      <c r="H2475" s="9" t="n">
        <v>2</v>
      </c>
      <c r="I2475" s="9" t="inlineStr">
        <is>
          <t>리바이탈 샴푸3+트리트먼트1+뉴트리셔스밤1</t>
        </is>
      </c>
      <c r="J2475" s="9" t="inlineStr">
        <is>
          <t>210201</t>
        </is>
      </c>
      <c r="L2475" s="9">
        <f>94765*2</f>
        <v/>
      </c>
      <c r="M2475" s="9">
        <f>189530-(189530/5.85)</f>
        <v/>
      </c>
      <c r="N2475" s="9">
        <f>11772*2</f>
        <v/>
      </c>
      <c r="O2475" s="9" t="inlineStr">
        <is>
          <t>카페24샴푸[타임특가] 리 : 커버리 온가족 패키지 (샴푸 3+ 헤어팩 트리트먼트 1+뉴트리셔스 밤 1)210201</t>
        </is>
      </c>
    </row>
    <row r="2476">
      <c r="B2476" s="10" t="n">
        <v>44299</v>
      </c>
      <c r="C2476" s="9" t="inlineStr">
        <is>
          <t>화</t>
        </is>
      </c>
      <c r="E2476" s="9" t="inlineStr">
        <is>
          <t>샴푸</t>
        </is>
      </c>
      <c r="F2476" s="9" t="inlineStr">
        <is>
          <t>카페24</t>
        </is>
      </c>
      <c r="G2476" s="9" t="inlineStr">
        <is>
          <t>[타임특가] 리:커버리 스타터 패키지 (샴푸 1+헤어팩 트리트먼트 1+ 뉴트리셔스 밤 1)</t>
        </is>
      </c>
      <c r="H2476" s="9" t="n">
        <v>13</v>
      </c>
      <c r="I2476" s="9" t="inlineStr">
        <is>
          <t>리바이탈 샴푸1+트리트먼트1+뉴트리셔스밤1</t>
        </is>
      </c>
      <c r="J2476" s="9" t="inlineStr">
        <is>
          <t>210201</t>
        </is>
      </c>
      <c r="L2476" s="9">
        <f>39897*13</f>
        <v/>
      </c>
      <c r="M2476" s="9">
        <f>518661-(518661/5.85)</f>
        <v/>
      </c>
      <c r="N2476" s="9">
        <f>(2865+1580+1597)*13</f>
        <v/>
      </c>
      <c r="O2476" s="9" t="inlineStr">
        <is>
          <t>카페24샴푸[타임특가] 리:커버리 스타터 패키지 (샴푸 1+헤어팩 트리트먼트 1+ 뉴트리셔스 밤 1)210201</t>
        </is>
      </c>
    </row>
    <row r="2477">
      <c r="B2477" s="10" t="n">
        <v>44299</v>
      </c>
      <c r="C2477" s="9" t="inlineStr">
        <is>
          <t>화</t>
        </is>
      </c>
      <c r="E2477" s="9" t="inlineStr">
        <is>
          <t>샴푸</t>
        </is>
      </c>
      <c r="F2477" s="9" t="inlineStr">
        <is>
          <t>카페24</t>
        </is>
      </c>
      <c r="G2477" s="9" t="inlineStr">
        <is>
          <t>[탈모케어] 라베나 리커버리 15 리바이탈 샴푸 [HAIR RÉ:COVERY 15 Revital Shampoo]제품선택=리바이탈 샴푸 2개 세트 5%추가할인</t>
        </is>
      </c>
      <c r="H2477" s="9" t="n">
        <v>1</v>
      </c>
      <c r="I2477" s="9" t="inlineStr">
        <is>
          <t>리바이탈 샴푸 2set</t>
        </is>
      </c>
      <c r="J2477" s="9" t="inlineStr">
        <is>
          <t>210201</t>
        </is>
      </c>
      <c r="L2477" s="9" t="n">
        <v>51110</v>
      </c>
      <c r="M2477" s="9">
        <f>51110-(51110/5.85)</f>
        <v/>
      </c>
      <c r="N2477" s="9">
        <f>2865*2</f>
        <v/>
      </c>
      <c r="O2477" s="9" t="inlineStr">
        <is>
          <t>카페24샴푸[탈모케어] 라베나 리커버리 15 리바이탈 샴푸 [HAIR RÉ:COVERY 15 Revital Shampoo]제품선택=리바이탈 샴푸 2개 세트 5%추가할인210201</t>
        </is>
      </c>
    </row>
    <row r="2478">
      <c r="B2478" s="10" t="n">
        <v>44299</v>
      </c>
      <c r="C2478" s="9" t="inlineStr">
        <is>
          <t>화</t>
        </is>
      </c>
      <c r="E2478" s="9" t="inlineStr">
        <is>
          <t>뉴트리셔스밤</t>
        </is>
      </c>
      <c r="F2478" s="9" t="inlineStr">
        <is>
          <t>카페24</t>
        </is>
      </c>
      <c r="G2478" s="9" t="inlineStr">
        <is>
          <t>라베나 리커버리 15 뉴트리셔스 밤 [HAIR RÉ:COVERY 15 Nutritious Balm]제품선택=헤어 리커버리 15 뉴트리셔스 밤</t>
        </is>
      </c>
      <c r="H2478" s="9" t="n">
        <v>7</v>
      </c>
      <c r="I2478" s="9" t="inlineStr">
        <is>
          <t>뉴트리셔스밤</t>
        </is>
      </c>
      <c r="J2478" s="9" t="inlineStr">
        <is>
          <t>210201</t>
        </is>
      </c>
      <c r="L2478" s="9" t="n">
        <v>174300</v>
      </c>
      <c r="M2478" s="9" t="n">
        <v>164103.45</v>
      </c>
      <c r="N2478" s="9" t="n">
        <v>11060</v>
      </c>
      <c r="O2478" s="9" t="inlineStr">
        <is>
          <t>카페24뉴트리셔스밤라베나 리커버리 15 뉴트리셔스 밤 [HAIR RÉ:COVERY 15 Nutritious Balm]제품선택=헤어 리커버리 15 뉴트리셔스 밤210201</t>
        </is>
      </c>
    </row>
    <row r="2479">
      <c r="B2479" s="10" t="n">
        <v>44299</v>
      </c>
      <c r="C2479" s="9" t="inlineStr">
        <is>
          <t>화</t>
        </is>
      </c>
      <c r="E2479" s="9" t="inlineStr">
        <is>
          <t>샴푸</t>
        </is>
      </c>
      <c r="F2479" s="9" t="inlineStr">
        <is>
          <t>카페24</t>
        </is>
      </c>
      <c r="G2479" s="9" t="inlineStr">
        <is>
          <t>라베나 리커버리 15 리바이탈 바이오플라보노이드샴푸 [HAIR RÉ:COVERY 15 Revital Shampoo]제품선택=헤어 리커버리 15 리바이탈 샴푸 - 500ml</t>
        </is>
      </c>
      <c r="H2479" s="9" t="n">
        <v>158</v>
      </c>
      <c r="I2479" s="9" t="inlineStr">
        <is>
          <t>리바이탈 샴푸</t>
        </is>
      </c>
      <c r="J2479" s="9" t="inlineStr">
        <is>
          <t>210201</t>
        </is>
      </c>
      <c r="L2479" s="9" t="n">
        <v>4250200</v>
      </c>
      <c r="M2479" s="9" t="n">
        <v>4001563.3</v>
      </c>
      <c r="N2479" s="9" t="n">
        <v>452670</v>
      </c>
      <c r="O2479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480">
      <c r="B2480" s="10" t="n">
        <v>44299</v>
      </c>
      <c r="C2480" s="9" t="inlineStr">
        <is>
          <t>화</t>
        </is>
      </c>
      <c r="E2480" s="9" t="inlineStr">
        <is>
          <t>샴푸</t>
        </is>
      </c>
      <c r="F2480" s="9" t="inlineStr">
        <is>
          <t>카페24</t>
        </is>
      </c>
      <c r="G2480" s="9" t="inlineStr">
        <is>
          <t>라베나 리커버리 15 리바이탈 바이오플라보노이드샴푸 [HAIR RÉ:COVERY 15 Revital Shampoo]제품선택=리바이탈 샴푸 2개 세트 5%추가할인</t>
        </is>
      </c>
      <c r="H2480" s="9" t="n">
        <v>31</v>
      </c>
      <c r="I2480" s="9" t="inlineStr">
        <is>
          <t>리바이탈 샴푸 2set</t>
        </is>
      </c>
      <c r="J2480" s="9" t="inlineStr">
        <is>
          <t>210201</t>
        </is>
      </c>
      <c r="L2480" s="9" t="n">
        <v>1584410</v>
      </c>
      <c r="M2480" s="9" t="n">
        <v>1491722.015</v>
      </c>
      <c r="N2480" s="9" t="n">
        <v>177630</v>
      </c>
      <c r="O2480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481">
      <c r="B2481" s="10" t="n">
        <v>44299</v>
      </c>
      <c r="C2481" s="9" t="inlineStr">
        <is>
          <t>화</t>
        </is>
      </c>
      <c r="E2481" s="9" t="inlineStr">
        <is>
          <t>샴푸</t>
        </is>
      </c>
      <c r="F2481" s="9" t="inlineStr">
        <is>
          <t>카페24</t>
        </is>
      </c>
      <c r="G2481" s="9" t="inlineStr">
        <is>
          <t>라베나 리커버리 15 리바이탈 바이오플라보노이드샴푸 [HAIR RÉ:COVERY 15 Revital Shampoo]제품선택=리바이탈 샴푸 3개 세트 10% 추가할인</t>
        </is>
      </c>
      <c r="H2481" s="9" t="n">
        <v>13</v>
      </c>
      <c r="I2481" s="9" t="inlineStr">
        <is>
          <t>리바이탈 샴푸 3set</t>
        </is>
      </c>
      <c r="J2481" s="9" t="inlineStr">
        <is>
          <t>210201</t>
        </is>
      </c>
      <c r="L2481" s="9" t="n">
        <v>944190</v>
      </c>
      <c r="M2481" s="9" t="n">
        <v>888954.885</v>
      </c>
      <c r="N2481" s="9" t="n">
        <v>111735</v>
      </c>
      <c r="O2481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482">
      <c r="B2482" s="10" t="n">
        <v>44299</v>
      </c>
      <c r="C2482" s="9" t="inlineStr">
        <is>
          <t>화</t>
        </is>
      </c>
      <c r="E2482" s="9" t="inlineStr">
        <is>
          <t>트리트먼트</t>
        </is>
      </c>
      <c r="F2482" s="9" t="inlineStr">
        <is>
          <t>카페24</t>
        </is>
      </c>
      <c r="G2482" s="9" t="inlineStr">
        <is>
          <t>라베나 리커버리 15 헤어팩 트리트먼트 [HAIR RÉ:COVERY 15 Hairpack Treatment]제품선택=헤어 리커버리 15 헤어팩 트리트먼트</t>
        </is>
      </c>
      <c r="H2482" s="9" t="n">
        <v>4</v>
      </c>
      <c r="I2482" s="9" t="inlineStr">
        <is>
          <t>트리트먼트</t>
        </is>
      </c>
      <c r="J2482" s="9" t="inlineStr">
        <is>
          <t>210201</t>
        </is>
      </c>
      <c r="L2482" s="9" t="n">
        <v>104000</v>
      </c>
      <c r="M2482" s="9" t="n">
        <v>97916</v>
      </c>
      <c r="N2482" s="9" t="n">
        <v>6388</v>
      </c>
      <c r="O2482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483">
      <c r="B2483" s="10" t="n">
        <v>44299</v>
      </c>
      <c r="C2483" s="9" t="inlineStr">
        <is>
          <t>화</t>
        </is>
      </c>
      <c r="E2483" s="9" t="inlineStr">
        <is>
          <t>트리트먼트</t>
        </is>
      </c>
      <c r="F2483" s="9" t="inlineStr">
        <is>
          <t>카페24</t>
        </is>
      </c>
      <c r="G2483" s="9" t="inlineStr">
        <is>
          <t>라베나 리커버리 15 헤어팩 트리트먼트 [HAIR RÉ:COVERY 15 Hairpack Treatment]제품선택=헤어팩 트리트먼트 2개 세트 5% 추가할인</t>
        </is>
      </c>
      <c r="H2483" s="9" t="n">
        <v>1</v>
      </c>
      <c r="I2483" s="9" t="inlineStr">
        <is>
          <t>트리트먼트 2set</t>
        </is>
      </c>
      <c r="J2483" s="9" t="inlineStr">
        <is>
          <t>210201</t>
        </is>
      </c>
      <c r="L2483" s="9" t="n">
        <v>49400</v>
      </c>
      <c r="M2483" s="9" t="n">
        <v>46510.1</v>
      </c>
      <c r="N2483" s="9" t="n">
        <v>3194</v>
      </c>
      <c r="O2483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484">
      <c r="B2484" s="10" t="n">
        <v>44299</v>
      </c>
      <c r="C2484" s="9" t="inlineStr">
        <is>
          <t>화</t>
        </is>
      </c>
      <c r="E2484" s="9" t="inlineStr">
        <is>
          <t>트리트먼트</t>
        </is>
      </c>
      <c r="F2484" s="9" t="inlineStr">
        <is>
          <t>카페24</t>
        </is>
      </c>
      <c r="G2484" s="9" t="inlineStr">
        <is>
          <t>라베나 리커버리 15 헤어팩 트리트먼트 [HAIR RÉ:COVERY 15 Hairpack Treatment]제품선택=헤어팩 트리트먼트 1개 + 뉴트리셔스밤 1개 세트 5% 추가할인</t>
        </is>
      </c>
      <c r="H2484" s="9" t="n">
        <v>2</v>
      </c>
      <c r="I2484" s="9" t="inlineStr">
        <is>
          <t>트리트먼트+뉴트리셔스밤</t>
        </is>
      </c>
      <c r="J2484" s="9" t="inlineStr">
        <is>
          <t>210201</t>
        </is>
      </c>
      <c r="L2484" s="9" t="n">
        <v>96710</v>
      </c>
      <c r="M2484" s="9" t="n">
        <v>91052.465</v>
      </c>
      <c r="N2484" s="9" t="n">
        <v>6354</v>
      </c>
      <c r="O2484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485">
      <c r="A2485" s="9" t="inlineStr">
        <is>
          <t>0414_인서_샴푸_카드뉴스_묶은자국</t>
        </is>
      </c>
      <c r="B2485" s="10" t="n">
        <v>44300</v>
      </c>
      <c r="C2485" s="9" t="inlineStr">
        <is>
          <t>수</t>
        </is>
      </c>
      <c r="D2485" s="9" t="inlineStr">
        <is>
          <t>페이스북</t>
        </is>
      </c>
      <c r="E2485" s="9" t="inlineStr">
        <is>
          <t>샴푸</t>
        </is>
      </c>
      <c r="K2485" s="9" t="n">
        <v>19422</v>
      </c>
    </row>
    <row r="2486">
      <c r="A2486" s="9" t="inlineStr">
        <is>
          <t>0413_샴푸_카드뉴스_윤민</t>
        </is>
      </c>
      <c r="B2486" s="10" t="n">
        <v>44300</v>
      </c>
      <c r="C2486" s="9" t="inlineStr">
        <is>
          <t>수</t>
        </is>
      </c>
      <c r="D2486" s="9" t="inlineStr">
        <is>
          <t>페이스북</t>
        </is>
      </c>
      <c r="E2486" s="9" t="inlineStr">
        <is>
          <t>샴푸</t>
        </is>
      </c>
      <c r="K2486" s="9" t="n">
        <v>16355</v>
      </c>
    </row>
    <row r="2487">
      <c r="A2487" s="9" t="inlineStr">
        <is>
          <t>0413_윤민_샴푸_배너_사춘기부모</t>
        </is>
      </c>
      <c r="B2487" s="10" t="n">
        <v>44300</v>
      </c>
      <c r="C2487" s="9" t="inlineStr">
        <is>
          <t>수</t>
        </is>
      </c>
      <c r="D2487" s="9" t="inlineStr">
        <is>
          <t>페이스북</t>
        </is>
      </c>
      <c r="E2487" s="9" t="inlineStr">
        <is>
          <t>샴푸</t>
        </is>
      </c>
      <c r="K2487" s="9" t="n">
        <v>48603</v>
      </c>
    </row>
    <row r="2488">
      <c r="A2488" s="9" t="inlineStr">
        <is>
          <t>0412_인서_샴푸_단장_탈모</t>
        </is>
      </c>
      <c r="B2488" s="10" t="n">
        <v>44300</v>
      </c>
      <c r="C2488" s="9" t="inlineStr">
        <is>
          <t>수</t>
        </is>
      </c>
      <c r="D2488" s="9" t="inlineStr">
        <is>
          <t>페이스북</t>
        </is>
      </c>
      <c r="E2488" s="9" t="inlineStr">
        <is>
          <t>샴푸</t>
        </is>
      </c>
      <c r="K2488" s="9" t="n">
        <v>48674</v>
      </c>
    </row>
    <row r="2489">
      <c r="A2489" s="9" t="inlineStr">
        <is>
          <t>0408_윤민_샴푸_배너_올인원</t>
        </is>
      </c>
      <c r="B2489" s="10" t="n">
        <v>44300</v>
      </c>
      <c r="C2489" s="9" t="inlineStr">
        <is>
          <t>수</t>
        </is>
      </c>
      <c r="D2489" s="9" t="inlineStr">
        <is>
          <t>페이스북</t>
        </is>
      </c>
      <c r="E2489" s="9" t="inlineStr">
        <is>
          <t>샴푸</t>
        </is>
      </c>
      <c r="K2489" s="9" t="n">
        <v>91014</v>
      </c>
    </row>
    <row r="2490">
      <c r="A2490" s="9" t="inlineStr">
        <is>
          <t>0407_성화_스타터패키지_단장이벤트배너_a/b</t>
        </is>
      </c>
      <c r="B2490" s="10" t="n">
        <v>44300</v>
      </c>
      <c r="C2490" s="9" t="inlineStr">
        <is>
          <t>수</t>
        </is>
      </c>
      <c r="D2490" s="9" t="inlineStr">
        <is>
          <t>페이스북</t>
        </is>
      </c>
      <c r="E2490" s="9" t="inlineStr">
        <is>
          <t>샴푸</t>
        </is>
      </c>
      <c r="K2490" s="9" t="n">
        <v>248127</v>
      </c>
    </row>
    <row r="2491">
      <c r="A2491" s="9" t="inlineStr">
        <is>
          <t>0405_노워시_카드뉴스_에어랩</t>
        </is>
      </c>
      <c r="B2491" s="10" t="n">
        <v>44300</v>
      </c>
      <c r="C2491" s="9" t="inlineStr">
        <is>
          <t>수</t>
        </is>
      </c>
      <c r="D2491" s="9" t="inlineStr">
        <is>
          <t>페이스북</t>
        </is>
      </c>
      <c r="E2491" s="9" t="inlineStr">
        <is>
          <t>뉴트리셔스밤</t>
        </is>
      </c>
      <c r="K2491" s="9" t="n">
        <v>34586</v>
      </c>
    </row>
    <row r="2492">
      <c r="A2492" s="9" t="inlineStr">
        <is>
          <t>0318~영상기반 단장</t>
        </is>
      </c>
      <c r="B2492" s="10" t="n">
        <v>44300</v>
      </c>
      <c r="C2492" s="9" t="inlineStr">
        <is>
          <t>수</t>
        </is>
      </c>
      <c r="D2492" s="9" t="inlineStr">
        <is>
          <t>페이스북</t>
        </is>
      </c>
      <c r="E2492" s="9" t="inlineStr">
        <is>
          <t>샴푸</t>
        </is>
      </c>
      <c r="K2492" s="9" t="n">
        <v>96988</v>
      </c>
    </row>
    <row r="2493">
      <c r="A2493" s="9" t="inlineStr">
        <is>
          <t>0316~영상베리</t>
        </is>
      </c>
      <c r="B2493" s="10" t="n">
        <v>44300</v>
      </c>
      <c r="C2493" s="9" t="inlineStr">
        <is>
          <t>수</t>
        </is>
      </c>
      <c r="D2493" s="9" t="inlineStr">
        <is>
          <t>페이스북</t>
        </is>
      </c>
      <c r="E2493" s="9" t="inlineStr">
        <is>
          <t>샴푸</t>
        </is>
      </c>
      <c r="K2493" s="9" t="n">
        <v>97303</v>
      </c>
    </row>
    <row r="2494">
      <c r="A2494" s="9" t="inlineStr">
        <is>
          <t>0322_샴푸_GDN_이현1차</t>
        </is>
      </c>
      <c r="B2494" s="10" t="n">
        <v>44300</v>
      </c>
      <c r="C2494" s="9" t="inlineStr">
        <is>
          <t>수</t>
        </is>
      </c>
      <c r="D2494" s="9" t="inlineStr">
        <is>
          <t>GDN</t>
        </is>
      </c>
      <c r="E2494" s="9" t="inlineStr">
        <is>
          <t>샴푸</t>
        </is>
      </c>
      <c r="K2494" s="9" t="n">
        <v>121395</v>
      </c>
    </row>
    <row r="2495">
      <c r="A2495" s="9" t="inlineStr">
        <is>
          <t>0324_샴푸_SDC_CPA</t>
        </is>
      </c>
      <c r="B2495" s="10" t="n">
        <v>44300</v>
      </c>
      <c r="C2495" s="9" t="inlineStr">
        <is>
          <t>수</t>
        </is>
      </c>
      <c r="D2495" s="9" t="inlineStr">
        <is>
          <t>유튜브</t>
        </is>
      </c>
      <c r="E2495" s="9" t="inlineStr">
        <is>
          <t>샴푸</t>
        </is>
      </c>
      <c r="K2495" s="9" t="n">
        <v>22706</v>
      </c>
    </row>
    <row r="2496">
      <c r="A2496" s="9" t="inlineStr">
        <is>
          <t>0324_샴푸_VAC_CPA</t>
        </is>
      </c>
      <c r="B2496" s="10" t="n">
        <v>44300</v>
      </c>
      <c r="C2496" s="9" t="inlineStr">
        <is>
          <t>수</t>
        </is>
      </c>
      <c r="D2496" s="9" t="inlineStr">
        <is>
          <t>유튜브</t>
        </is>
      </c>
      <c r="E2496" s="9" t="inlineStr">
        <is>
          <t>샴푸</t>
        </is>
      </c>
      <c r="K2496" s="9" t="n">
        <v>2542819</v>
      </c>
    </row>
    <row r="2497">
      <c r="A2497" s="9" t="inlineStr">
        <is>
          <t>0329_샴푸_GDN_키워드</t>
        </is>
      </c>
      <c r="B2497" s="10" t="n">
        <v>44300</v>
      </c>
      <c r="C2497" s="9" t="inlineStr">
        <is>
          <t>수</t>
        </is>
      </c>
      <c r="D2497" s="9" t="inlineStr">
        <is>
          <t>GDN</t>
        </is>
      </c>
      <c r="E2497" s="9" t="inlineStr">
        <is>
          <t>샴푸</t>
        </is>
      </c>
      <c r="K2497" s="9" t="n">
        <v>1270</v>
      </c>
    </row>
    <row r="2498">
      <c r="A2498" s="9" t="inlineStr">
        <is>
          <t>0330_샴푸_cpv_200만뷰</t>
        </is>
      </c>
      <c r="B2498" s="10" t="n">
        <v>44300</v>
      </c>
      <c r="C2498" s="9" t="inlineStr">
        <is>
          <t>수</t>
        </is>
      </c>
      <c r="D2498" s="9" t="inlineStr">
        <is>
          <t>유튜브</t>
        </is>
      </c>
      <c r="E2498" s="9" t="inlineStr">
        <is>
          <t>샴푸</t>
        </is>
      </c>
      <c r="K2498" s="9" t="n">
        <v>850679</v>
      </c>
    </row>
    <row r="2499">
      <c r="A2499" s="9" t="inlineStr">
        <is>
          <t>라베나 파워링크_샴푸_광고그룹#1</t>
        </is>
      </c>
      <c r="B2499" s="10" t="n">
        <v>44300</v>
      </c>
      <c r="C2499" s="9" t="inlineStr">
        <is>
          <t>수</t>
        </is>
      </c>
      <c r="D2499" s="9" t="inlineStr">
        <is>
          <t>네이버 검색</t>
        </is>
      </c>
      <c r="E2499" s="9" t="inlineStr">
        <is>
          <t>샴푸</t>
        </is>
      </c>
      <c r="K2499" s="9" t="n">
        <v>2070</v>
      </c>
    </row>
    <row r="2500">
      <c r="A2500" s="9" t="inlineStr">
        <is>
          <t>라베나 파워링크_샴푸#1_유튜브키워드기반</t>
        </is>
      </c>
      <c r="B2500" s="10" t="n">
        <v>44300</v>
      </c>
      <c r="C2500" s="9" t="inlineStr">
        <is>
          <t>수</t>
        </is>
      </c>
      <c r="D2500" s="9" t="inlineStr">
        <is>
          <t>네이버 검색</t>
        </is>
      </c>
      <c r="E2500" s="9" t="inlineStr">
        <is>
          <t>샴푸</t>
        </is>
      </c>
      <c r="K2500" s="9" t="n">
        <v>13390</v>
      </c>
    </row>
    <row r="2501">
      <c r="A2501" s="9" t="inlineStr">
        <is>
          <t>샴푸_쇼핑검색#1_광고그룹#1</t>
        </is>
      </c>
      <c r="B2501" s="10" t="n">
        <v>44300</v>
      </c>
      <c r="C2501" s="9" t="inlineStr">
        <is>
          <t>수</t>
        </is>
      </c>
      <c r="D2501" s="9" t="inlineStr">
        <is>
          <t>네이버 검색</t>
        </is>
      </c>
      <c r="E2501" s="9" t="inlineStr">
        <is>
          <t>샴푸</t>
        </is>
      </c>
      <c r="K2501" s="9" t="n">
        <v>1950</v>
      </c>
    </row>
    <row r="2502">
      <c r="A2502" s="9" t="inlineStr">
        <is>
          <t>파워컨텐츠#1_비듬샴푸</t>
        </is>
      </c>
      <c r="B2502" s="10" t="n">
        <v>44300</v>
      </c>
      <c r="C2502" s="9" t="inlineStr">
        <is>
          <t>수</t>
        </is>
      </c>
      <c r="D2502" s="9" t="inlineStr">
        <is>
          <t>네이버 검색</t>
        </is>
      </c>
      <c r="E2502" s="9" t="inlineStr">
        <is>
          <t>샴푸</t>
        </is>
      </c>
      <c r="K2502" s="9" t="n">
        <v>210</v>
      </c>
    </row>
    <row r="2503" ht="16.5" customHeight="1" s="12">
      <c r="A2503" s="9" t="inlineStr">
        <is>
          <t>키워드테스트</t>
        </is>
      </c>
      <c r="B2503" s="10" t="n">
        <v>44300</v>
      </c>
      <c r="C2503" s="9" t="inlineStr">
        <is>
          <t>수</t>
        </is>
      </c>
      <c r="D2503" s="9" t="inlineStr">
        <is>
          <t>카카오</t>
        </is>
      </c>
      <c r="E2503" s="9" t="inlineStr">
        <is>
          <t>샴푸</t>
        </is>
      </c>
      <c r="K2503" s="9">
        <f>1452/1.1</f>
        <v/>
      </c>
    </row>
    <row r="2504">
      <c r="B2504" s="10" t="n">
        <v>44300</v>
      </c>
      <c r="C2504" s="9" t="inlineStr">
        <is>
          <t>수</t>
        </is>
      </c>
      <c r="E2504" s="9" t="inlineStr">
        <is>
          <t>샴푸</t>
        </is>
      </c>
      <c r="F2504" s="9" t="inlineStr">
        <is>
          <t>카페24</t>
        </is>
      </c>
      <c r="G2504" s="9" t="inlineStr">
        <is>
          <t>[문제성두피 케어] 라베나 리커버리 15 리바이탈 샴푸 [HAIR RÉ:COVERY 15 Revital Shampoo]제품선택=리바이탈 샴푸 2개 세트 5%추가할인</t>
        </is>
      </c>
      <c r="H2504" s="9" t="n">
        <v>3</v>
      </c>
      <c r="I2504" s="9" t="inlineStr">
        <is>
          <t>리바이탈 샴푸 2set</t>
        </is>
      </c>
      <c r="J2504" s="9" t="inlineStr">
        <is>
          <t>210201</t>
        </is>
      </c>
      <c r="L2504" s="9">
        <f>51110*3</f>
        <v/>
      </c>
      <c r="M2504" s="9">
        <f>153330-(153330/5.85)</f>
        <v/>
      </c>
      <c r="N2504" s="9">
        <f>5730*3</f>
        <v/>
      </c>
      <c r="O2504" s="9" t="inlineStr">
        <is>
          <t>카페24샴푸[문제성두피 케어] 라베나 리커버리 15 리바이탈 샴푸 [HAIR RÉ:COVERY 15 Revital Shampoo]제품선택=리바이탈 샴푸 2개 세트 5%추가할인210201</t>
        </is>
      </c>
    </row>
    <row r="2505">
      <c r="B2505" s="10" t="n">
        <v>44300</v>
      </c>
      <c r="C2505" s="9" t="inlineStr">
        <is>
          <t>수</t>
        </is>
      </c>
      <c r="E2505" s="9" t="inlineStr">
        <is>
          <t>샴푸</t>
        </is>
      </c>
      <c r="F2505" s="9" t="inlineStr">
        <is>
          <t>카페24</t>
        </is>
      </c>
      <c r="G2505" s="9" t="inlineStr">
        <is>
          <t>[타임특가] 리 : 커버리 3개월 패키지 (샴푸 2+ 트리트먼트 택 1)샴푸2 + 트리트먼트 택 1=샴푸2 + 뉴트리셔스 밤1</t>
        </is>
      </c>
      <c r="H2505" s="9" t="n">
        <v>6</v>
      </c>
      <c r="I2505" s="9" t="inlineStr">
        <is>
          <t>리바이탈 샴푸2+뉴트리셔스밤1</t>
        </is>
      </c>
      <c r="J2505" s="9" t="inlineStr">
        <is>
          <t>210201</t>
        </is>
      </c>
      <c r="L2505" s="9">
        <f>62280*6</f>
        <v/>
      </c>
      <c r="M2505" s="9">
        <f>373680-(373680/5.85)</f>
        <v/>
      </c>
      <c r="N2505" s="9">
        <f>7310*6</f>
        <v/>
      </c>
      <c r="O2505" s="9" t="inlineStr">
        <is>
          <t>카페24샴푸[타임특가] 리 : 커버리 3개월 패키지 (샴푸 2+ 트리트먼트 택 1)샴푸2 + 트리트먼트 택 1=샴푸2 + 뉴트리셔스 밤1210201</t>
        </is>
      </c>
    </row>
    <row r="2506">
      <c r="B2506" s="10" t="n">
        <v>44300</v>
      </c>
      <c r="C2506" s="9" t="inlineStr">
        <is>
          <t>수</t>
        </is>
      </c>
      <c r="E2506" s="9" t="inlineStr">
        <is>
          <t>샴푸</t>
        </is>
      </c>
      <c r="F2506" s="9" t="inlineStr">
        <is>
          <t>카페24</t>
        </is>
      </c>
      <c r="G2506" s="9" t="inlineStr">
        <is>
          <t>[타임특가] 리 : 커버리 3개월 패키지 (샴푸 2+ 트리트먼트 택 1)샴푸2 + 트리트먼트 택 1=샴푸2 + 헤어팩 트리트먼트1</t>
        </is>
      </c>
      <c r="H2506" s="9" t="n">
        <v>9</v>
      </c>
      <c r="I2506" s="9" t="inlineStr">
        <is>
          <t>리바이탈 샴푸2+트리트먼트1</t>
        </is>
      </c>
      <c r="J2506" s="9" t="inlineStr">
        <is>
          <t>210201</t>
        </is>
      </c>
      <c r="L2506" s="9">
        <f>62280*9</f>
        <v/>
      </c>
      <c r="M2506" s="9">
        <f>560520-(560520/5.85)</f>
        <v/>
      </c>
      <c r="N2506" s="9">
        <f>7327*9</f>
        <v/>
      </c>
      <c r="O2506" s="9" t="inlineStr">
        <is>
          <t>카페24샴푸[타임특가] 리 : 커버리 3개월 패키지 (샴푸 2+ 트리트먼트 택 1)샴푸2 + 트리트먼트 택 1=샴푸2 + 헤어팩 트리트먼트1210201</t>
        </is>
      </c>
    </row>
    <row r="2507">
      <c r="B2507" s="10" t="n">
        <v>44300</v>
      </c>
      <c r="C2507" s="9" t="inlineStr">
        <is>
          <t>수</t>
        </is>
      </c>
      <c r="E2507" s="9" t="inlineStr">
        <is>
          <t>샴푸</t>
        </is>
      </c>
      <c r="F2507" s="9" t="inlineStr">
        <is>
          <t>카페24</t>
        </is>
      </c>
      <c r="G2507" s="9" t="inlineStr">
        <is>
          <t>[타임특가] 리 : 커버리 6개월 패키지 (샴푸 5+ 트리트먼트 택 1)샴푸 5 + 트리트먼트 택 1=샴푸 5 + 뉴트리셔스 밤 1</t>
        </is>
      </c>
      <c r="H2507" s="9" t="n">
        <v>1</v>
      </c>
      <c r="I2507" s="9" t="inlineStr">
        <is>
          <t>리바이탈 샴푸5+뉴트리셔스밤1</t>
        </is>
      </c>
      <c r="J2507" s="9" t="inlineStr">
        <is>
          <t>210201</t>
        </is>
      </c>
      <c r="L2507" s="9">
        <f>114840</f>
        <v/>
      </c>
      <c r="M2507" s="9">
        <f>114840-(114840/5.85)</f>
        <v/>
      </c>
      <c r="N2507" s="9">
        <f>15905</f>
        <v/>
      </c>
      <c r="O2507" s="9" t="inlineStr">
        <is>
          <t>카페24샴푸[타임특가] 리 : 커버리 6개월 패키지 (샴푸 5+ 트리트먼트 택 1)샴푸 5 + 트리트먼트 택 1=샴푸 5 + 뉴트리셔스 밤 1210201</t>
        </is>
      </c>
    </row>
    <row r="2508">
      <c r="B2508" s="10" t="n">
        <v>44300</v>
      </c>
      <c r="C2508" s="9" t="inlineStr">
        <is>
          <t>수</t>
        </is>
      </c>
      <c r="E2508" s="9" t="inlineStr">
        <is>
          <t>샴푸</t>
        </is>
      </c>
      <c r="F2508" s="9" t="inlineStr">
        <is>
          <t>카페24</t>
        </is>
      </c>
      <c r="G2508" s="9" t="inlineStr">
        <is>
          <t>[타임특가] 리 : 커버리 6개월 패키지 (샴푸 5+ 트리트먼트 택 1)샴푸 5 + 트리트먼트 택 1=샴푸 5 + 헤어팩 트리트먼트 1</t>
        </is>
      </c>
      <c r="H2508" s="9" t="n">
        <v>2</v>
      </c>
      <c r="I2508" s="9" t="inlineStr">
        <is>
          <t>리바이탈 샴푸5+트리트먼트1</t>
        </is>
      </c>
      <c r="J2508" s="9" t="inlineStr">
        <is>
          <t>210201</t>
        </is>
      </c>
      <c r="L2508" s="9">
        <f>114840*2</f>
        <v/>
      </c>
      <c r="M2508" s="9">
        <f>229680-(229680/5.85)</f>
        <v/>
      </c>
      <c r="N2508" s="9">
        <f>15922*2</f>
        <v/>
      </c>
      <c r="O2508" s="9" t="inlineStr">
        <is>
          <t>카페24샴푸[타임특가] 리 : 커버리 6개월 패키지 (샴푸 5+ 트리트먼트 택 1)샴푸 5 + 트리트먼트 택 1=샴푸 5 + 헤어팩 트리트먼트 1210201</t>
        </is>
      </c>
    </row>
    <row r="2509">
      <c r="B2509" s="10" t="n">
        <v>44300</v>
      </c>
      <c r="C2509" s="9" t="inlineStr">
        <is>
          <t>수</t>
        </is>
      </c>
      <c r="E2509" s="9" t="inlineStr">
        <is>
          <t>샴푸</t>
        </is>
      </c>
      <c r="F2509" s="9" t="inlineStr">
        <is>
          <t>카페24</t>
        </is>
      </c>
      <c r="G2509" s="9" t="inlineStr">
        <is>
          <t>[타임특가] 리 : 커버리 온가족 패키지 (샴푸 3+ 헤어팩 트리트먼트 1+뉴트리셔스 밤 1)</t>
        </is>
      </c>
      <c r="H2509" s="9" t="n">
        <v>5</v>
      </c>
      <c r="I2509" s="9" t="inlineStr">
        <is>
          <t>리바이탈 샴푸3+트리트먼트1+뉴트리셔스밤1</t>
        </is>
      </c>
      <c r="J2509" s="9" t="inlineStr">
        <is>
          <t>210201</t>
        </is>
      </c>
      <c r="L2509" s="9">
        <f>94765*5</f>
        <v/>
      </c>
      <c r="M2509" s="9">
        <f>473825-(473825/5.85)</f>
        <v/>
      </c>
      <c r="N2509" s="9">
        <f>11772*5</f>
        <v/>
      </c>
      <c r="O2509" s="9" t="inlineStr">
        <is>
          <t>카페24샴푸[타임특가] 리 : 커버리 온가족 패키지 (샴푸 3+ 헤어팩 트리트먼트 1+뉴트리셔스 밤 1)210201</t>
        </is>
      </c>
    </row>
    <row r="2510">
      <c r="B2510" s="10" t="n">
        <v>44300</v>
      </c>
      <c r="C2510" s="9" t="inlineStr">
        <is>
          <t>수</t>
        </is>
      </c>
      <c r="E2510" s="9" t="inlineStr">
        <is>
          <t>샴푸</t>
        </is>
      </c>
      <c r="F2510" s="9" t="inlineStr">
        <is>
          <t>카페24</t>
        </is>
      </c>
      <c r="G2510" s="9" t="inlineStr">
        <is>
          <t>[타임특가] 리:커버리 스타터 패키지 (샴푸 1+헤어팩 트리트먼트 1+ 뉴트리셔스 밤 1)</t>
        </is>
      </c>
      <c r="H2510" s="9" t="n">
        <v>12</v>
      </c>
      <c r="I2510" s="9" t="inlineStr">
        <is>
          <t>리바이탈 샴푸1+트리트먼트1+뉴트리셔스밤1</t>
        </is>
      </c>
      <c r="J2510" s="9" t="inlineStr">
        <is>
          <t>210201</t>
        </is>
      </c>
      <c r="L2510" s="9">
        <f>39897*12</f>
        <v/>
      </c>
      <c r="M2510" s="9">
        <f>478764-(478764/5.85)</f>
        <v/>
      </c>
      <c r="N2510" s="9">
        <f>(2865+1580+1597)*12</f>
        <v/>
      </c>
      <c r="O2510" s="9" t="inlineStr">
        <is>
          <t>카페24샴푸[타임특가] 리:커버리 스타터 패키지 (샴푸 1+헤어팩 트리트먼트 1+ 뉴트리셔스 밤 1)210201</t>
        </is>
      </c>
    </row>
    <row r="2511">
      <c r="B2511" s="10" t="n">
        <v>44300</v>
      </c>
      <c r="C2511" s="9" t="inlineStr">
        <is>
          <t>수</t>
        </is>
      </c>
      <c r="E2511" s="9" t="inlineStr">
        <is>
          <t>샴푸</t>
        </is>
      </c>
      <c r="F2511" s="9" t="inlineStr">
        <is>
          <t>카페24</t>
        </is>
      </c>
      <c r="G2511" s="9" t="inlineStr">
        <is>
          <t>[탈모케어] 라베나 리커버리 15 리바이탈 샴푸 [HAIR RÉ:COVERY 15 Revital Shampoo]제품선택=헤어 리커버리 15 리바이탈 샴푸 - 500ml</t>
        </is>
      </c>
      <c r="H2511" s="9" t="n">
        <v>2</v>
      </c>
      <c r="I2511" s="9" t="inlineStr">
        <is>
          <t>리바이탈 샴푸</t>
        </is>
      </c>
      <c r="J2511" s="9" t="inlineStr">
        <is>
          <t>210201</t>
        </is>
      </c>
      <c r="L2511" s="9">
        <f>26900*2</f>
        <v/>
      </c>
      <c r="M2511" s="9">
        <f>53800-(53800/5.85)</f>
        <v/>
      </c>
      <c r="N2511" s="9">
        <f>2865*2</f>
        <v/>
      </c>
      <c r="O2511" s="9" t="inlineStr">
        <is>
          <t>카페24샴푸[탈모케어] 라베나 리커버리 15 리바이탈 샴푸 [HAIR RÉ:COVERY 15 Revital Shampoo]제품선택=헤어 리커버리 15 리바이탈 샴푸 - 500ml210201</t>
        </is>
      </c>
    </row>
    <row r="2512">
      <c r="B2512" s="10" t="n">
        <v>44300</v>
      </c>
      <c r="C2512" s="9" t="inlineStr">
        <is>
          <t>수</t>
        </is>
      </c>
      <c r="E2512" s="9" t="inlineStr">
        <is>
          <t>샴푸</t>
        </is>
      </c>
      <c r="F2512" s="9" t="inlineStr">
        <is>
          <t>카페24</t>
        </is>
      </c>
      <c r="G2512" s="9" t="inlineStr">
        <is>
          <t>[탈모케어] 라베나 리커버리 15 리바이탈 샴푸 [HAIR RÉ:COVERY 15 Revital Shampoo]제품선택=리바이탈 샴푸 2개 세트 5%추가할인</t>
        </is>
      </c>
      <c r="H2512" s="9" t="n">
        <v>1</v>
      </c>
      <c r="I2512" s="9" t="inlineStr">
        <is>
          <t>리바이탈 샴푸 2set</t>
        </is>
      </c>
      <c r="J2512" s="9" t="inlineStr">
        <is>
          <t>210201</t>
        </is>
      </c>
      <c r="L2512" s="9" t="n">
        <v>51110</v>
      </c>
      <c r="M2512" s="9">
        <f>51110-(51110/5.85)</f>
        <v/>
      </c>
      <c r="N2512" s="9">
        <f>2865*2</f>
        <v/>
      </c>
      <c r="O2512" s="9" t="inlineStr">
        <is>
          <t>카페24샴푸[탈모케어] 라베나 리커버리 15 리바이탈 샴푸 [HAIR RÉ:COVERY 15 Revital Shampoo]제품선택=리바이탈 샴푸 2개 세트 5%추가할인210201</t>
        </is>
      </c>
    </row>
    <row r="2513">
      <c r="B2513" s="10" t="n">
        <v>44300</v>
      </c>
      <c r="C2513" s="9" t="inlineStr">
        <is>
          <t>수</t>
        </is>
      </c>
      <c r="E2513" s="9" t="inlineStr">
        <is>
          <t>뉴트리셔스밤</t>
        </is>
      </c>
      <c r="F2513" s="9" t="inlineStr">
        <is>
          <t>카페24</t>
        </is>
      </c>
      <c r="G2513" s="9" t="inlineStr">
        <is>
          <t>라베나 리커버리 15 뉴트리셔스 밤 [HAIR RÉ:COVERY 15 Nutritious Balm]제품선택=헤어 리커버리 15 뉴트리셔스 밤</t>
        </is>
      </c>
      <c r="H2513" s="9" t="n">
        <v>3</v>
      </c>
      <c r="I2513" s="9" t="inlineStr">
        <is>
          <t>뉴트리셔스밤</t>
        </is>
      </c>
      <c r="J2513" s="9" t="inlineStr">
        <is>
          <t>210201</t>
        </is>
      </c>
      <c r="L2513" s="9" t="n">
        <v>74700</v>
      </c>
      <c r="M2513" s="9" t="n">
        <v>70330.04999999999</v>
      </c>
      <c r="N2513" s="9" t="n">
        <v>4740</v>
      </c>
      <c r="O2513" s="9" t="inlineStr">
        <is>
          <t>카페24뉴트리셔스밤라베나 리커버리 15 뉴트리셔스 밤 [HAIR RÉ:COVERY 15 Nutritious Balm]제품선택=헤어 리커버리 15 뉴트리셔스 밤210201</t>
        </is>
      </c>
    </row>
    <row r="2514">
      <c r="B2514" s="10" t="n">
        <v>44300</v>
      </c>
      <c r="C2514" s="9" t="inlineStr">
        <is>
          <t>수</t>
        </is>
      </c>
      <c r="E2514" s="9" t="inlineStr">
        <is>
          <t>뉴트리셔스밤</t>
        </is>
      </c>
      <c r="F2514" s="9" t="inlineStr">
        <is>
          <t>카페24</t>
        </is>
      </c>
      <c r="G2514" s="9" t="inlineStr">
        <is>
          <t>라베나 리커버리 15 뉴트리셔스 밤 [HAIR RÉ:COVERY 15 Nutritious Balm]제품선택=뉴트리셔스 밤 3개 세트 10% 추가할인</t>
        </is>
      </c>
      <c r="H2514" s="9" t="n">
        <v>1</v>
      </c>
      <c r="I2514" s="9" t="inlineStr">
        <is>
          <t>뉴트리셔스밤 3set</t>
        </is>
      </c>
      <c r="J2514" s="9" t="inlineStr">
        <is>
          <t>210201</t>
        </is>
      </c>
      <c r="L2514" s="9" t="n">
        <v>67230</v>
      </c>
      <c r="M2514" s="9" t="n">
        <v>63297.045</v>
      </c>
      <c r="N2514" s="9" t="n">
        <v>4740</v>
      </c>
      <c r="O2514" s="9" t="inlineStr">
        <is>
          <t>카페24뉴트리셔스밤라베나 리커버리 15 뉴트리셔스 밤 [HAIR RÉ:COVERY 15 Nutritious Balm]제품선택=뉴트리셔스 밤 3개 세트 10% 추가할인210201</t>
        </is>
      </c>
    </row>
    <row r="2515">
      <c r="B2515" s="10" t="n">
        <v>44300</v>
      </c>
      <c r="C2515" s="9" t="inlineStr">
        <is>
          <t>수</t>
        </is>
      </c>
      <c r="E2515" s="9" t="inlineStr">
        <is>
          <t>샴푸</t>
        </is>
      </c>
      <c r="F2515" s="9" t="inlineStr">
        <is>
          <t>카페24</t>
        </is>
      </c>
      <c r="G2515" s="9" t="inlineStr">
        <is>
          <t>라베나 리커버리 15 리바이탈 바이오플라보노이드샴푸 [HAIR RÉ:COVERY 15 Revital Shampoo]제품선택=헤어 리커버리 15 리바이탈 샴푸 - 500ml</t>
        </is>
      </c>
      <c r="H2515" s="9" t="n">
        <v>148</v>
      </c>
      <c r="I2515" s="9" t="inlineStr">
        <is>
          <t>리바이탈 샴푸</t>
        </is>
      </c>
      <c r="J2515" s="9" t="inlineStr">
        <is>
          <t>210201</t>
        </is>
      </c>
      <c r="L2515" s="9" t="n">
        <v>3981200</v>
      </c>
      <c r="M2515" s="9" t="n">
        <v>3748299.8</v>
      </c>
      <c r="N2515" s="9" t="n">
        <v>424020</v>
      </c>
      <c r="O251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516">
      <c r="B2516" s="10" t="n">
        <v>44300</v>
      </c>
      <c r="C2516" s="9" t="inlineStr">
        <is>
          <t>수</t>
        </is>
      </c>
      <c r="E2516" s="9" t="inlineStr">
        <is>
          <t>샴푸</t>
        </is>
      </c>
      <c r="F2516" s="9" t="inlineStr">
        <is>
          <t>카페24</t>
        </is>
      </c>
      <c r="G2516" s="9" t="inlineStr">
        <is>
          <t>라베나 리커버리 15 리바이탈 바이오플라보노이드샴푸 [HAIR RÉ:COVERY 15 Revital Shampoo]제품선택=리바이탈 샴푸 2개 세트 5%추가할인</t>
        </is>
      </c>
      <c r="H2516" s="9" t="n">
        <v>54</v>
      </c>
      <c r="I2516" s="9" t="inlineStr">
        <is>
          <t>리바이탈 샴푸 2set</t>
        </is>
      </c>
      <c r="J2516" s="9" t="inlineStr">
        <is>
          <t>210201</t>
        </is>
      </c>
      <c r="L2516" s="9" t="n">
        <v>2759940</v>
      </c>
      <c r="M2516" s="9" t="n">
        <v>2598483.51</v>
      </c>
      <c r="N2516" s="9" t="n">
        <v>309420</v>
      </c>
      <c r="O251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517">
      <c r="B2517" s="10" t="n">
        <v>44300</v>
      </c>
      <c r="C2517" s="9" t="inlineStr">
        <is>
          <t>수</t>
        </is>
      </c>
      <c r="E2517" s="9" t="inlineStr">
        <is>
          <t>샴푸</t>
        </is>
      </c>
      <c r="F2517" s="9" t="inlineStr">
        <is>
          <t>카페24</t>
        </is>
      </c>
      <c r="G2517" s="9" t="inlineStr">
        <is>
          <t>라베나 리커버리 15 리바이탈 바이오플라보노이드샴푸 [HAIR RÉ:COVERY 15 Revital Shampoo]제품선택=리바이탈 샴푸 3개 세트 10% 추가할인</t>
        </is>
      </c>
      <c r="H2517" s="9" t="n">
        <v>20</v>
      </c>
      <c r="I2517" s="9" t="inlineStr">
        <is>
          <t>리바이탈 샴푸 3set</t>
        </is>
      </c>
      <c r="J2517" s="9" t="inlineStr">
        <is>
          <t>210201</t>
        </is>
      </c>
      <c r="L2517" s="9" t="n">
        <v>1452600</v>
      </c>
      <c r="M2517" s="9" t="n">
        <v>1367622.9</v>
      </c>
      <c r="N2517" s="9" t="n">
        <v>171900</v>
      </c>
      <c r="O251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518">
      <c r="B2518" s="10" t="n">
        <v>44300</v>
      </c>
      <c r="C2518" s="9" t="inlineStr">
        <is>
          <t>수</t>
        </is>
      </c>
      <c r="E2518" s="9" t="inlineStr">
        <is>
          <t>트리트먼트</t>
        </is>
      </c>
      <c r="F2518" s="9" t="inlineStr">
        <is>
          <t>카페24</t>
        </is>
      </c>
      <c r="G2518" s="9" t="inlineStr">
        <is>
          <t>라베나 리커버리 15 헤어팩 트리트먼트 [HAIR RÉ:COVERY 15 Hairpack Treatment]제품선택=헤어 리커버리 15 헤어팩 트리트먼트</t>
        </is>
      </c>
      <c r="H2518" s="9" t="n">
        <v>2</v>
      </c>
      <c r="I2518" s="9" t="inlineStr">
        <is>
          <t>트리트먼트</t>
        </is>
      </c>
      <c r="J2518" s="9" t="inlineStr">
        <is>
          <t>210201</t>
        </is>
      </c>
      <c r="L2518" s="9" t="n">
        <v>52000</v>
      </c>
      <c r="M2518" s="9" t="n">
        <v>48958</v>
      </c>
      <c r="N2518" s="9" t="n">
        <v>3194</v>
      </c>
      <c r="O251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519">
      <c r="B2519" s="10" t="n">
        <v>44300</v>
      </c>
      <c r="C2519" s="9" t="inlineStr">
        <is>
          <t>수</t>
        </is>
      </c>
      <c r="E2519" s="9" t="inlineStr">
        <is>
          <t>트리트먼트</t>
        </is>
      </c>
      <c r="F2519" s="9" t="inlineStr">
        <is>
          <t>카페24</t>
        </is>
      </c>
      <c r="G2519" s="9" t="inlineStr">
        <is>
          <t>라베나 리커버리 15 헤어팩 트리트먼트 [HAIR RÉ:COVERY 15 Hairpack Treatment]제품선택=헤어팩 트리트먼트 3개 세트 10% 추가할인</t>
        </is>
      </c>
      <c r="H2519" s="9" t="n">
        <v>1</v>
      </c>
      <c r="I2519" s="9" t="inlineStr">
        <is>
          <t>트리트먼트 3set</t>
        </is>
      </c>
      <c r="J2519" s="9" t="inlineStr">
        <is>
          <t>210201</t>
        </is>
      </c>
      <c r="L2519" s="9" t="n">
        <v>70200</v>
      </c>
      <c r="M2519" s="9" t="n">
        <v>66093.3</v>
      </c>
      <c r="N2519" s="9" t="n">
        <v>4791</v>
      </c>
      <c r="O2519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520">
      <c r="A2520" s="9" t="inlineStr">
        <is>
          <t>0415_이현_샴푸_카드뉴스_기름기</t>
        </is>
      </c>
      <c r="B2520" s="10" t="n">
        <v>44301</v>
      </c>
      <c r="C2520" s="9" t="inlineStr">
        <is>
          <t>목</t>
        </is>
      </c>
      <c r="D2520" s="9" t="inlineStr">
        <is>
          <t>페이스북</t>
        </is>
      </c>
      <c r="E2520" s="9" t="inlineStr">
        <is>
          <t>샴푸</t>
        </is>
      </c>
      <c r="K2520" s="9" t="n">
        <v>30058</v>
      </c>
    </row>
    <row r="2521">
      <c r="A2521" s="9" t="inlineStr">
        <is>
          <t>0414_인서_샴푸_카드뉴스_묶은자국</t>
        </is>
      </c>
      <c r="B2521" s="10" t="n">
        <v>44301</v>
      </c>
      <c r="C2521" s="9" t="inlineStr">
        <is>
          <t>목</t>
        </is>
      </c>
      <c r="D2521" s="9" t="inlineStr">
        <is>
          <t>페이스북</t>
        </is>
      </c>
      <c r="E2521" s="9" t="inlineStr">
        <is>
          <t>샴푸</t>
        </is>
      </c>
      <c r="K2521" s="9" t="n">
        <v>50492</v>
      </c>
    </row>
    <row r="2522">
      <c r="A2522" s="9" t="inlineStr">
        <is>
          <t>0413_윤민_샴푸_배너_사춘기부모</t>
        </is>
      </c>
      <c r="B2522" s="10" t="n">
        <v>44301</v>
      </c>
      <c r="C2522" s="9" t="inlineStr">
        <is>
          <t>목</t>
        </is>
      </c>
      <c r="D2522" s="9" t="inlineStr">
        <is>
          <t>페이스북</t>
        </is>
      </c>
      <c r="E2522" s="9" t="inlineStr">
        <is>
          <t>샴푸</t>
        </is>
      </c>
      <c r="K2522" s="9" t="n">
        <v>1638</v>
      </c>
    </row>
    <row r="2523">
      <c r="A2523" s="9" t="inlineStr">
        <is>
          <t>0412_인서_샴푸_단장</t>
        </is>
      </c>
      <c r="B2523" s="10" t="n">
        <v>44301</v>
      </c>
      <c r="C2523" s="9" t="inlineStr">
        <is>
          <t>목</t>
        </is>
      </c>
      <c r="D2523" s="9" t="inlineStr">
        <is>
          <t>페이스북</t>
        </is>
      </c>
      <c r="E2523" s="9" t="inlineStr">
        <is>
          <t>샴푸</t>
        </is>
      </c>
      <c r="K2523" s="9" t="n">
        <v>50762</v>
      </c>
    </row>
    <row r="2524">
      <c r="A2524" s="9" t="inlineStr">
        <is>
          <t>0408_윤민_샴푸_배너_올인원</t>
        </is>
      </c>
      <c r="B2524" s="10" t="n">
        <v>44301</v>
      </c>
      <c r="C2524" s="9" t="inlineStr">
        <is>
          <t>목</t>
        </is>
      </c>
      <c r="D2524" s="9" t="inlineStr">
        <is>
          <t>페이스북</t>
        </is>
      </c>
      <c r="E2524" s="9" t="inlineStr">
        <is>
          <t>샴푸</t>
        </is>
      </c>
      <c r="K2524" s="9" t="n">
        <v>3225</v>
      </c>
    </row>
    <row r="2525">
      <c r="A2525" s="9" t="inlineStr">
        <is>
          <t>성화_인스타성 소재 테스트</t>
        </is>
      </c>
      <c r="B2525" s="10" t="n">
        <v>44301</v>
      </c>
      <c r="C2525" s="9" t="inlineStr">
        <is>
          <t>목</t>
        </is>
      </c>
      <c r="D2525" s="9" t="inlineStr">
        <is>
          <t>페이스북</t>
        </is>
      </c>
      <c r="E2525" s="9" t="inlineStr">
        <is>
          <t>샴푸</t>
        </is>
      </c>
      <c r="K2525" s="9" t="n">
        <v>32956</v>
      </c>
    </row>
    <row r="2526">
      <c r="A2526" s="9" t="inlineStr">
        <is>
          <t>0407_성화_스타터패키지_단장이벤트배너_a/b</t>
        </is>
      </c>
      <c r="B2526" s="10" t="n">
        <v>44301</v>
      </c>
      <c r="C2526" s="9" t="inlineStr">
        <is>
          <t>목</t>
        </is>
      </c>
      <c r="D2526" s="9" t="inlineStr">
        <is>
          <t>페이스북</t>
        </is>
      </c>
      <c r="E2526" s="9" t="inlineStr">
        <is>
          <t>샴푸</t>
        </is>
      </c>
      <c r="K2526" s="9" t="n">
        <v>252762</v>
      </c>
    </row>
    <row r="2527">
      <c r="A2527" s="9" t="inlineStr">
        <is>
          <t>0318~영상기반 단장</t>
        </is>
      </c>
      <c r="B2527" s="10" t="n">
        <v>44301</v>
      </c>
      <c r="C2527" s="9" t="inlineStr">
        <is>
          <t>목</t>
        </is>
      </c>
      <c r="D2527" s="9" t="inlineStr">
        <is>
          <t>페이스북</t>
        </is>
      </c>
      <c r="E2527" s="9" t="inlineStr">
        <is>
          <t>샴푸</t>
        </is>
      </c>
      <c r="K2527" s="9" t="n">
        <v>99010</v>
      </c>
    </row>
    <row r="2528">
      <c r="A2528" s="9" t="inlineStr">
        <is>
          <t>0316~영상베리</t>
        </is>
      </c>
      <c r="B2528" s="10" t="n">
        <v>44301</v>
      </c>
      <c r="C2528" s="9" t="inlineStr">
        <is>
          <t>목</t>
        </is>
      </c>
      <c r="D2528" s="9" t="inlineStr">
        <is>
          <t>페이스북</t>
        </is>
      </c>
      <c r="E2528" s="9" t="inlineStr">
        <is>
          <t>샴푸</t>
        </is>
      </c>
      <c r="K2528" s="9" t="n">
        <v>98016</v>
      </c>
    </row>
    <row r="2529">
      <c r="A2529" s="9" t="inlineStr">
        <is>
          <t>0322_샴푸_GDN_이현1차</t>
        </is>
      </c>
      <c r="B2529" s="10" t="n">
        <v>44301</v>
      </c>
      <c r="C2529" s="9" t="inlineStr">
        <is>
          <t>목</t>
        </is>
      </c>
      <c r="D2529" s="9" t="inlineStr">
        <is>
          <t>GDN</t>
        </is>
      </c>
      <c r="E2529" s="9" t="inlineStr">
        <is>
          <t>샴푸</t>
        </is>
      </c>
      <c r="K2529" s="9" t="n">
        <v>98715</v>
      </c>
    </row>
    <row r="2530">
      <c r="A2530" s="9" t="inlineStr">
        <is>
          <t>0324_샴푸_SDC_CPA</t>
        </is>
      </c>
      <c r="B2530" s="10" t="n">
        <v>44301</v>
      </c>
      <c r="C2530" s="9" t="inlineStr">
        <is>
          <t>목</t>
        </is>
      </c>
      <c r="D2530" s="9" t="inlineStr">
        <is>
          <t>유튜브</t>
        </is>
      </c>
      <c r="E2530" s="9" t="inlineStr">
        <is>
          <t>샴푸</t>
        </is>
      </c>
      <c r="K2530" s="9" t="n">
        <v>7663</v>
      </c>
    </row>
    <row r="2531">
      <c r="A2531" s="9" t="inlineStr">
        <is>
          <t>0324_샴푸_VAC_CPA</t>
        </is>
      </c>
      <c r="B2531" s="10" t="n">
        <v>44301</v>
      </c>
      <c r="C2531" s="9" t="inlineStr">
        <is>
          <t>목</t>
        </is>
      </c>
      <c r="D2531" s="9" t="inlineStr">
        <is>
          <t>유튜브</t>
        </is>
      </c>
      <c r="E2531" s="9" t="inlineStr">
        <is>
          <t>샴푸</t>
        </is>
      </c>
      <c r="K2531" s="9" t="n">
        <v>2521222</v>
      </c>
    </row>
    <row r="2532">
      <c r="A2532" s="9" t="inlineStr">
        <is>
          <t>0330_샴푸_cpv_200만뷰</t>
        </is>
      </c>
      <c r="B2532" s="10" t="n">
        <v>44301</v>
      </c>
      <c r="C2532" s="9" t="inlineStr">
        <is>
          <t>목</t>
        </is>
      </c>
      <c r="D2532" s="9" t="inlineStr">
        <is>
          <t>유튜브</t>
        </is>
      </c>
      <c r="E2532" s="9" t="inlineStr">
        <is>
          <t>샴푸</t>
        </is>
      </c>
      <c r="K2532" s="9" t="n">
        <v>270970</v>
      </c>
    </row>
    <row r="2533">
      <c r="A2533" s="9" t="inlineStr">
        <is>
          <t>라베나 파워링크_샴푸_광고그룹#1</t>
        </is>
      </c>
      <c r="B2533" s="10" t="n">
        <v>44301</v>
      </c>
      <c r="C2533" s="9" t="inlineStr">
        <is>
          <t>목</t>
        </is>
      </c>
      <c r="D2533" s="9" t="inlineStr">
        <is>
          <t>네이버 검색</t>
        </is>
      </c>
      <c r="E2533" s="9" t="inlineStr">
        <is>
          <t>샴푸</t>
        </is>
      </c>
      <c r="K2533" s="9" t="n">
        <v>1660</v>
      </c>
    </row>
    <row r="2534">
      <c r="A2534" s="9" t="inlineStr">
        <is>
          <t>라베나 파워링크_샴푸#1_유튜브키워드기반</t>
        </is>
      </c>
      <c r="B2534" s="10" t="n">
        <v>44301</v>
      </c>
      <c r="C2534" s="9" t="inlineStr">
        <is>
          <t>목</t>
        </is>
      </c>
      <c r="D2534" s="9" t="inlineStr">
        <is>
          <t>네이버 검색</t>
        </is>
      </c>
      <c r="E2534" s="9" t="inlineStr">
        <is>
          <t>샴푸</t>
        </is>
      </c>
      <c r="K2534" s="9" t="n">
        <v>9310</v>
      </c>
    </row>
    <row r="2535">
      <c r="A2535" s="9" t="inlineStr">
        <is>
          <t>샴푸_쇼핑검색#1_광고그룹#1</t>
        </is>
      </c>
      <c r="B2535" s="10" t="n">
        <v>44301</v>
      </c>
      <c r="C2535" s="9" t="inlineStr">
        <is>
          <t>목</t>
        </is>
      </c>
      <c r="D2535" s="9" t="inlineStr">
        <is>
          <t>네이버 검색</t>
        </is>
      </c>
      <c r="E2535" s="9" t="inlineStr">
        <is>
          <t>샴푸</t>
        </is>
      </c>
      <c r="K2535" s="9" t="n">
        <v>2980</v>
      </c>
    </row>
    <row r="2536">
      <c r="A2536" s="9" t="inlineStr">
        <is>
          <t>파워컨텐츠#1_비듬샴푸</t>
        </is>
      </c>
      <c r="B2536" s="10" t="n">
        <v>44301</v>
      </c>
      <c r="C2536" s="9" t="inlineStr">
        <is>
          <t>목</t>
        </is>
      </c>
      <c r="D2536" s="9" t="inlineStr">
        <is>
          <t>네이버 검색</t>
        </is>
      </c>
      <c r="E2536" s="9" t="inlineStr">
        <is>
          <t>샴푸</t>
        </is>
      </c>
      <c r="K2536" s="9" t="n">
        <v>70</v>
      </c>
    </row>
    <row r="2537">
      <c r="B2537" s="10" t="n">
        <v>44301</v>
      </c>
      <c r="C2537" s="9" t="inlineStr">
        <is>
          <t>목</t>
        </is>
      </c>
      <c r="E2537" s="9" t="inlineStr">
        <is>
          <t>샴푸</t>
        </is>
      </c>
      <c r="F2537" s="9" t="inlineStr">
        <is>
          <t>카페24</t>
        </is>
      </c>
      <c r="G2537" s="9" t="inlineStr">
        <is>
          <t>[타임특가] 리 : 커버리 3개월 패키지 (샴푸 2+ 트리트먼트 택 1)샴푸2 + 트리트먼트 택 1=샴푸2 + 뉴트리셔스 밤1</t>
        </is>
      </c>
      <c r="H2537" s="9" t="n">
        <v>3</v>
      </c>
      <c r="I2537" s="9" t="inlineStr">
        <is>
          <t>리바이탈 샴푸2+뉴트리셔스밤1</t>
        </is>
      </c>
      <c r="J2537" s="9" t="inlineStr">
        <is>
          <t>210201</t>
        </is>
      </c>
      <c r="L2537" s="9">
        <f>62280*3</f>
        <v/>
      </c>
      <c r="M2537" s="9">
        <f>186840-(186840/5.85)</f>
        <v/>
      </c>
      <c r="N2537" s="9">
        <f>7310*3</f>
        <v/>
      </c>
      <c r="O2537" s="9" t="inlineStr">
        <is>
          <t>카페24샴푸[타임특가] 리 : 커버리 3개월 패키지 (샴푸 2+ 트리트먼트 택 1)샴푸2 + 트리트먼트 택 1=샴푸2 + 뉴트리셔스 밤1210201</t>
        </is>
      </c>
    </row>
    <row r="2538">
      <c r="B2538" s="10" t="n">
        <v>44301</v>
      </c>
      <c r="C2538" s="9" t="inlineStr">
        <is>
          <t>목</t>
        </is>
      </c>
      <c r="E2538" s="9" t="inlineStr">
        <is>
          <t>샴푸</t>
        </is>
      </c>
      <c r="F2538" s="9" t="inlineStr">
        <is>
          <t>카페24</t>
        </is>
      </c>
      <c r="G2538" s="9" t="inlineStr">
        <is>
          <t>[타임특가] 리 : 커버리 3개월 패키지 (샴푸 2+ 트리트먼트 택 1)샴푸2 + 트리트먼트 택 1=샴푸2 + 헤어팩 트리트먼트1</t>
        </is>
      </c>
      <c r="H2538" s="9" t="n">
        <v>6</v>
      </c>
      <c r="I2538" s="9" t="inlineStr">
        <is>
          <t>리바이탈 샴푸2+트리트먼트1</t>
        </is>
      </c>
      <c r="J2538" s="9" t="inlineStr">
        <is>
          <t>210201</t>
        </is>
      </c>
      <c r="L2538" s="9">
        <f>62280*6</f>
        <v/>
      </c>
      <c r="M2538" s="9">
        <f>373680-(373680/5.85)</f>
        <v/>
      </c>
      <c r="N2538" s="9">
        <f>7327*6</f>
        <v/>
      </c>
      <c r="O2538" s="9" t="inlineStr">
        <is>
          <t>카페24샴푸[타임특가] 리 : 커버리 3개월 패키지 (샴푸 2+ 트리트먼트 택 1)샴푸2 + 트리트먼트 택 1=샴푸2 + 헤어팩 트리트먼트1210201</t>
        </is>
      </c>
    </row>
    <row r="2539">
      <c r="B2539" s="10" t="n">
        <v>44301</v>
      </c>
      <c r="C2539" s="9" t="inlineStr">
        <is>
          <t>목</t>
        </is>
      </c>
      <c r="E2539" s="9" t="inlineStr">
        <is>
          <t>샴푸</t>
        </is>
      </c>
      <c r="F2539" s="9" t="inlineStr">
        <is>
          <t>카페24</t>
        </is>
      </c>
      <c r="G2539" s="9" t="inlineStr">
        <is>
          <t>[타임특가] 리 : 커버리 6개월 패키지 (샴푸 5+ 트리트먼트 택 1)샴푸 5 + 트리트먼트 택 1=샴푸 5 + 뉴트리셔스 밤 1</t>
        </is>
      </c>
      <c r="H2539" s="9" t="n">
        <v>1</v>
      </c>
      <c r="I2539" s="9" t="inlineStr">
        <is>
          <t>리바이탈 샴푸5+뉴트리셔스밤1</t>
        </is>
      </c>
      <c r="J2539" s="9" t="inlineStr">
        <is>
          <t>210201</t>
        </is>
      </c>
      <c r="L2539" s="9">
        <f>114840</f>
        <v/>
      </c>
      <c r="M2539" s="9">
        <f>114840-(114840/5.85)</f>
        <v/>
      </c>
      <c r="N2539" s="9">
        <f>15905</f>
        <v/>
      </c>
      <c r="O2539" s="9" t="inlineStr">
        <is>
          <t>카페24샴푸[타임특가] 리 : 커버리 6개월 패키지 (샴푸 5+ 트리트먼트 택 1)샴푸 5 + 트리트먼트 택 1=샴푸 5 + 뉴트리셔스 밤 1210201</t>
        </is>
      </c>
    </row>
    <row r="2540">
      <c r="B2540" s="10" t="n">
        <v>44301</v>
      </c>
      <c r="C2540" s="9" t="inlineStr">
        <is>
          <t>목</t>
        </is>
      </c>
      <c r="E2540" s="9" t="inlineStr">
        <is>
          <t>샴푸</t>
        </is>
      </c>
      <c r="F2540" s="9" t="inlineStr">
        <is>
          <t>카페24</t>
        </is>
      </c>
      <c r="G2540" s="9" t="inlineStr">
        <is>
          <t>[타임특가] 리 : 커버리 6개월 패키지 (샴푸 5+ 트리트먼트 택 1)샴푸 5 + 트리트먼트 택 1=샴푸 5 + 헤어팩 트리트먼트 1</t>
        </is>
      </c>
      <c r="H2540" s="9" t="n">
        <v>1</v>
      </c>
      <c r="I2540" s="9" t="inlineStr">
        <is>
          <t>리바이탈 샴푸5+트리트먼트1</t>
        </is>
      </c>
      <c r="J2540" s="9" t="inlineStr">
        <is>
          <t>210201</t>
        </is>
      </c>
      <c r="L2540" s="9">
        <f>114840</f>
        <v/>
      </c>
      <c r="M2540" s="9">
        <f>114840-(114840/5.85)</f>
        <v/>
      </c>
      <c r="N2540" s="9">
        <f>15922</f>
        <v/>
      </c>
      <c r="O2540" s="9" t="inlineStr">
        <is>
          <t>카페24샴푸[타임특가] 리 : 커버리 6개월 패키지 (샴푸 5+ 트리트먼트 택 1)샴푸 5 + 트리트먼트 택 1=샴푸 5 + 헤어팩 트리트먼트 1210201</t>
        </is>
      </c>
    </row>
    <row r="2541">
      <c r="B2541" s="10" t="n">
        <v>44301</v>
      </c>
      <c r="C2541" s="9" t="inlineStr">
        <is>
          <t>목</t>
        </is>
      </c>
      <c r="E2541" s="9" t="inlineStr">
        <is>
          <t>샴푸</t>
        </is>
      </c>
      <c r="F2541" s="9" t="inlineStr">
        <is>
          <t>카페24</t>
        </is>
      </c>
      <c r="G2541" s="9" t="inlineStr">
        <is>
          <t>[타임특가] 리 : 커버리 온가족 패키지 (샴푸 3+ 헤어팩 트리트먼트 1+뉴트리셔스 밤 1)</t>
        </is>
      </c>
      <c r="H2541" s="9" t="n">
        <v>3</v>
      </c>
      <c r="I2541" s="9" t="inlineStr">
        <is>
          <t>리바이탈 샴푸3+트리트먼트1+뉴트리셔스밤1</t>
        </is>
      </c>
      <c r="J2541" s="9" t="inlineStr">
        <is>
          <t>210201</t>
        </is>
      </c>
      <c r="L2541" s="9">
        <f>94765*3</f>
        <v/>
      </c>
      <c r="M2541" s="9">
        <f>284295-(284295/5.85)</f>
        <v/>
      </c>
      <c r="N2541" s="9">
        <f>11772*3</f>
        <v/>
      </c>
      <c r="O2541" s="9" t="inlineStr">
        <is>
          <t>카페24샴푸[타임특가] 리 : 커버리 온가족 패키지 (샴푸 3+ 헤어팩 트리트먼트 1+뉴트리셔스 밤 1)210201</t>
        </is>
      </c>
    </row>
    <row r="2542">
      <c r="B2542" s="10" t="n">
        <v>44301</v>
      </c>
      <c r="C2542" s="9" t="inlineStr">
        <is>
          <t>목</t>
        </is>
      </c>
      <c r="E2542" s="9" t="inlineStr">
        <is>
          <t>샴푸</t>
        </is>
      </c>
      <c r="F2542" s="9" t="inlineStr">
        <is>
          <t>카페24</t>
        </is>
      </c>
      <c r="G2542" s="9" t="inlineStr">
        <is>
          <t>[타임특가] 리:커버리 스타터 패키지 (샴푸 1+헤어팩 트리트먼트 1+ 뉴트리셔스 밤 1)</t>
        </is>
      </c>
      <c r="H2542" s="9" t="n">
        <v>15</v>
      </c>
      <c r="I2542" s="9" t="inlineStr">
        <is>
          <t>리바이탈 샴푸1+트리트먼트1+뉴트리셔스밤1</t>
        </is>
      </c>
      <c r="J2542" s="9" t="inlineStr">
        <is>
          <t>210201</t>
        </is>
      </c>
      <c r="L2542" s="9">
        <f>39897*15</f>
        <v/>
      </c>
      <c r="M2542" s="9">
        <f>598455-(598455/5.85)</f>
        <v/>
      </c>
      <c r="N2542" s="9">
        <f>(2865+1580+1597)*15</f>
        <v/>
      </c>
      <c r="O2542" s="9" t="inlineStr">
        <is>
          <t>카페24샴푸[타임특가] 리:커버리 스타터 패키지 (샴푸 1+헤어팩 트리트먼트 1+ 뉴트리셔스 밤 1)210201</t>
        </is>
      </c>
    </row>
    <row r="2543">
      <c r="B2543" s="10" t="n">
        <v>44301</v>
      </c>
      <c r="C2543" s="9" t="inlineStr">
        <is>
          <t>목</t>
        </is>
      </c>
      <c r="E2543" s="9" t="inlineStr">
        <is>
          <t>뉴트리셔스밤</t>
        </is>
      </c>
      <c r="F2543" s="9" t="inlineStr">
        <is>
          <t>카페24</t>
        </is>
      </c>
      <c r="G2543" s="9" t="inlineStr">
        <is>
          <t>라베나 리커버리 15 뉴트리셔스 밤 [HAIR RÉ:COVERY 15 Nutritious Balm]제품선택=헤어 리커버리 15 뉴트리셔스 밤</t>
        </is>
      </c>
      <c r="H2543" s="9" t="n">
        <v>2</v>
      </c>
      <c r="I2543" s="9" t="inlineStr">
        <is>
          <t>뉴트리셔스밤</t>
        </is>
      </c>
      <c r="J2543" s="9" t="inlineStr">
        <is>
          <t>210201</t>
        </is>
      </c>
      <c r="L2543" s="9" t="n">
        <v>49800</v>
      </c>
      <c r="M2543" s="9" t="n">
        <v>46886.7</v>
      </c>
      <c r="N2543" s="9" t="n">
        <v>3160</v>
      </c>
      <c r="O2543" s="9" t="inlineStr">
        <is>
          <t>카페24뉴트리셔스밤라베나 리커버리 15 뉴트리셔스 밤 [HAIR RÉ:COVERY 15 Nutritious Balm]제품선택=헤어 리커버리 15 뉴트리셔스 밤210201</t>
        </is>
      </c>
    </row>
    <row r="2544">
      <c r="B2544" s="10" t="n">
        <v>44301</v>
      </c>
      <c r="C2544" s="9" t="inlineStr">
        <is>
          <t>목</t>
        </is>
      </c>
      <c r="E2544" s="9" t="inlineStr">
        <is>
          <t>샴푸</t>
        </is>
      </c>
      <c r="F2544" s="9" t="inlineStr">
        <is>
          <t>카페24</t>
        </is>
      </c>
      <c r="G2544" s="9" t="inlineStr">
        <is>
          <t>라베나 리커버리 15 리바이탈 바이오플라보노이드샴푸 [HAIR RÉ:COVERY 15 Revital Shampoo]제품선택=헤어 리커버리 15 리바이탈 샴푸 - 500ml</t>
        </is>
      </c>
      <c r="H2544" s="9" t="n">
        <v>121</v>
      </c>
      <c r="I2544" s="9" t="inlineStr">
        <is>
          <t>리바이탈 샴푸</t>
        </is>
      </c>
      <c r="J2544" s="9" t="inlineStr">
        <is>
          <t>210201</t>
        </is>
      </c>
      <c r="L2544" s="9" t="n">
        <v>3254900</v>
      </c>
      <c r="M2544" s="9" t="n">
        <v>3064488.35</v>
      </c>
      <c r="N2544" s="9" t="n">
        <v>346665</v>
      </c>
      <c r="O254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545">
      <c r="B2545" s="10" t="n">
        <v>44301</v>
      </c>
      <c r="C2545" s="9" t="inlineStr">
        <is>
          <t>목</t>
        </is>
      </c>
      <c r="E2545" s="9" t="inlineStr">
        <is>
          <t>샴푸</t>
        </is>
      </c>
      <c r="F2545" s="9" t="inlineStr">
        <is>
          <t>카페24</t>
        </is>
      </c>
      <c r="G2545" s="9" t="inlineStr">
        <is>
          <t>라베나 리커버리 15 리바이탈 바이오플라보노이드샴푸 [HAIR RÉ:COVERY 15 Revital Shampoo]제품선택=리바이탈 샴푸 2개 세트 5%추가할인</t>
        </is>
      </c>
      <c r="H2545" s="9" t="n">
        <v>35</v>
      </c>
      <c r="I2545" s="9" t="inlineStr">
        <is>
          <t>리바이탈 샴푸 2set</t>
        </is>
      </c>
      <c r="J2545" s="9" t="inlineStr">
        <is>
          <t>210201</t>
        </is>
      </c>
      <c r="L2545" s="9" t="n">
        <v>1788850</v>
      </c>
      <c r="M2545" s="9" t="n">
        <v>1684202.275</v>
      </c>
      <c r="N2545" s="9" t="n">
        <v>200550</v>
      </c>
      <c r="O254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546">
      <c r="B2546" s="10" t="n">
        <v>44301</v>
      </c>
      <c r="C2546" s="9" t="inlineStr">
        <is>
          <t>목</t>
        </is>
      </c>
      <c r="E2546" s="9" t="inlineStr">
        <is>
          <t>샴푸</t>
        </is>
      </c>
      <c r="F2546" s="9" t="inlineStr">
        <is>
          <t>카페24</t>
        </is>
      </c>
      <c r="G2546" s="9" t="inlineStr">
        <is>
          <t>라베나 리커버리 15 리바이탈 바이오플라보노이드샴푸 [HAIR RÉ:COVERY 15 Revital Shampoo]제품선택=리바이탈 샴푸 3개 세트 10% 추가할인</t>
        </is>
      </c>
      <c r="H2546" s="9" t="n">
        <v>11</v>
      </c>
      <c r="I2546" s="9" t="inlineStr">
        <is>
          <t>리바이탈 샴푸 3set</t>
        </is>
      </c>
      <c r="J2546" s="9" t="inlineStr">
        <is>
          <t>210201</t>
        </is>
      </c>
      <c r="L2546" s="9" t="n">
        <v>798930</v>
      </c>
      <c r="M2546" s="9" t="n">
        <v>752192.5950000001</v>
      </c>
      <c r="N2546" s="9" t="n">
        <v>94545</v>
      </c>
      <c r="O254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547">
      <c r="B2547" s="10" t="n">
        <v>44301</v>
      </c>
      <c r="C2547" s="9" t="inlineStr">
        <is>
          <t>목</t>
        </is>
      </c>
      <c r="E2547" s="9" t="inlineStr">
        <is>
          <t>트리트먼트</t>
        </is>
      </c>
      <c r="F2547" s="9" t="inlineStr">
        <is>
          <t>카페24</t>
        </is>
      </c>
      <c r="G2547" s="9" t="inlineStr">
        <is>
          <t>라베나 리커버리 15 헤어팩 트리트먼트 [HAIR RÉ:COVERY 15 Hairpack Treatment]제품선택=헤어 리커버리 15 헤어팩 트리트먼트</t>
        </is>
      </c>
      <c r="H2547" s="9" t="n">
        <v>1</v>
      </c>
      <c r="I2547" s="9" t="inlineStr">
        <is>
          <t>트리트먼트</t>
        </is>
      </c>
      <c r="J2547" s="9" t="inlineStr">
        <is>
          <t>210201</t>
        </is>
      </c>
      <c r="L2547" s="9" t="n">
        <v>26000</v>
      </c>
      <c r="M2547" s="9" t="n">
        <v>24479</v>
      </c>
      <c r="N2547" s="9" t="n">
        <v>1597</v>
      </c>
      <c r="O254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548">
      <c r="B2548" s="10" t="n">
        <v>44301</v>
      </c>
      <c r="C2548" s="9" t="inlineStr">
        <is>
          <t>목</t>
        </is>
      </c>
      <c r="E2548" s="9" t="inlineStr">
        <is>
          <t>트리트먼트</t>
        </is>
      </c>
      <c r="F2548" s="9" t="inlineStr">
        <is>
          <t>카페24</t>
        </is>
      </c>
      <c r="G2548" s="9" t="inlineStr">
        <is>
          <t>라베나 리커버리 15 헤어팩 트리트먼트 [HAIR RÉ:COVERY 15 Hairpack Treatment]제품선택=헤어팩 트리트먼트 2개 세트 5% 추가할인</t>
        </is>
      </c>
      <c r="H2548" s="9" t="n">
        <v>2</v>
      </c>
      <c r="I2548" s="9" t="inlineStr">
        <is>
          <t>트리트먼트 2set</t>
        </is>
      </c>
      <c r="J2548" s="9" t="inlineStr">
        <is>
          <t>210201</t>
        </is>
      </c>
      <c r="L2548" s="9" t="n">
        <v>98800</v>
      </c>
      <c r="M2548" s="9" t="n">
        <v>93020.2</v>
      </c>
      <c r="N2548" s="9" t="n">
        <v>6388</v>
      </c>
      <c r="O2548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549">
      <c r="B2549" s="10" t="n">
        <v>44301</v>
      </c>
      <c r="C2549" s="9" t="inlineStr">
        <is>
          <t>목</t>
        </is>
      </c>
      <c r="E2549" s="9" t="inlineStr">
        <is>
          <t>트리트먼트</t>
        </is>
      </c>
      <c r="F2549" s="9" t="inlineStr">
        <is>
          <t>카페24</t>
        </is>
      </c>
      <c r="G2549" s="9" t="inlineStr">
        <is>
          <t>라베나 리커버리 15 헤어팩 트리트먼트 [HAIR RÉ:COVERY 15 Hairpack Treatment]제품선택=헤어팩 트리트먼트 3개 세트 10% 추가할인</t>
        </is>
      </c>
      <c r="H2549" s="9" t="n">
        <v>1</v>
      </c>
      <c r="I2549" s="9" t="inlineStr">
        <is>
          <t>트리트먼트 3set</t>
        </is>
      </c>
      <c r="J2549" s="9" t="inlineStr">
        <is>
          <t>210201</t>
        </is>
      </c>
      <c r="L2549" s="9" t="n">
        <v>70200</v>
      </c>
      <c r="M2549" s="9" t="n">
        <v>66093.3</v>
      </c>
      <c r="N2549" s="9" t="n">
        <v>4791</v>
      </c>
      <c r="O2549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550">
      <c r="A2550" s="9" t="inlineStr">
        <is>
          <t>0416_이현_샴푸_단장</t>
        </is>
      </c>
      <c r="B2550" s="10" t="n">
        <v>44302</v>
      </c>
      <c r="C2550" s="9" t="inlineStr">
        <is>
          <t>금</t>
        </is>
      </c>
      <c r="D2550" s="9" t="inlineStr">
        <is>
          <t>페이스북</t>
        </is>
      </c>
      <c r="E2550" s="9" t="inlineStr">
        <is>
          <t>샴푸</t>
        </is>
      </c>
      <c r="K2550" s="9" t="n">
        <v>15280</v>
      </c>
    </row>
    <row r="2551">
      <c r="A2551" s="9" t="inlineStr">
        <is>
          <t>0416_이현_샴푸패키지_단장</t>
        </is>
      </c>
      <c r="B2551" s="10" t="n">
        <v>44302</v>
      </c>
      <c r="C2551" s="9" t="inlineStr">
        <is>
          <t>금</t>
        </is>
      </c>
      <c r="D2551" s="9" t="inlineStr">
        <is>
          <t>페이스북</t>
        </is>
      </c>
      <c r="E2551" s="9" t="inlineStr">
        <is>
          <t>샴푸</t>
        </is>
      </c>
      <c r="K2551" s="9" t="n">
        <v>13872</v>
      </c>
    </row>
    <row r="2552">
      <c r="A2552" s="9" t="inlineStr">
        <is>
          <t>0415_윤민_샴푸_카드뉴스_탈모+머릿결</t>
        </is>
      </c>
      <c r="B2552" s="10" t="n">
        <v>44302</v>
      </c>
      <c r="C2552" s="9" t="inlineStr">
        <is>
          <t>금</t>
        </is>
      </c>
      <c r="D2552" s="9" t="inlineStr">
        <is>
          <t>페이스북</t>
        </is>
      </c>
      <c r="E2552" s="9" t="inlineStr">
        <is>
          <t>샴푸</t>
        </is>
      </c>
      <c r="K2552" s="9" t="n">
        <v>19286</v>
      </c>
    </row>
    <row r="2553">
      <c r="A2553" s="9" t="inlineStr">
        <is>
          <t>0415_이현_샴푸_카드뉴스_기름기</t>
        </is>
      </c>
      <c r="B2553" s="10" t="n">
        <v>44302</v>
      </c>
      <c r="C2553" s="9" t="inlineStr">
        <is>
          <t>금</t>
        </is>
      </c>
      <c r="D2553" s="9" t="inlineStr">
        <is>
          <t>페이스북</t>
        </is>
      </c>
      <c r="E2553" s="9" t="inlineStr">
        <is>
          <t>샴푸</t>
        </is>
      </c>
      <c r="K2553" s="9" t="n">
        <v>48016</v>
      </c>
    </row>
    <row r="2554">
      <c r="A2554" s="9" t="inlineStr">
        <is>
          <t>0414_인서_샴푸_카드뉴스_묶은자국</t>
        </is>
      </c>
      <c r="B2554" s="10" t="n">
        <v>44302</v>
      </c>
      <c r="C2554" s="9" t="inlineStr">
        <is>
          <t>금</t>
        </is>
      </c>
      <c r="D2554" s="9" t="inlineStr">
        <is>
          <t>페이스북</t>
        </is>
      </c>
      <c r="E2554" s="9" t="inlineStr">
        <is>
          <t>샴푸</t>
        </is>
      </c>
      <c r="K2554" s="9" t="n">
        <v>11097</v>
      </c>
    </row>
    <row r="2555">
      <c r="A2555" s="9" t="inlineStr">
        <is>
          <t>0412_인서_샴푸_단장</t>
        </is>
      </c>
      <c r="B2555" s="10" t="n">
        <v>44302</v>
      </c>
      <c r="C2555" s="9" t="inlineStr">
        <is>
          <t>금</t>
        </is>
      </c>
      <c r="D2555" s="9" t="inlineStr">
        <is>
          <t>페이스북</t>
        </is>
      </c>
      <c r="E2555" s="9" t="inlineStr">
        <is>
          <t>샴푸</t>
        </is>
      </c>
      <c r="K2555" s="9" t="n">
        <v>47529</v>
      </c>
    </row>
    <row r="2556">
      <c r="A2556" s="9" t="inlineStr">
        <is>
          <t>0408~_윤민_샴푸_배너_올인원</t>
        </is>
      </c>
      <c r="B2556" s="10" t="n">
        <v>44302</v>
      </c>
      <c r="C2556" s="9" t="inlineStr">
        <is>
          <t>금</t>
        </is>
      </c>
      <c r="D2556" s="9" t="inlineStr">
        <is>
          <t>페이스북</t>
        </is>
      </c>
      <c r="E2556" s="9" t="inlineStr">
        <is>
          <t>샴푸</t>
        </is>
      </c>
      <c r="K2556" s="9" t="n">
        <v>33915</v>
      </c>
    </row>
    <row r="2557">
      <c r="A2557" s="9" t="inlineStr">
        <is>
          <t>성화_인스타성 소재 테스트</t>
        </is>
      </c>
      <c r="B2557" s="10" t="n">
        <v>44302</v>
      </c>
      <c r="C2557" s="9" t="inlineStr">
        <is>
          <t>금</t>
        </is>
      </c>
      <c r="D2557" s="9" t="inlineStr">
        <is>
          <t>페이스북</t>
        </is>
      </c>
      <c r="E2557" s="9" t="inlineStr">
        <is>
          <t>샴푸</t>
        </is>
      </c>
      <c r="K2557" s="9" t="n">
        <v>16874</v>
      </c>
    </row>
    <row r="2558">
      <c r="A2558" s="9" t="inlineStr">
        <is>
          <t>0407_성화_스타터패키지_단장이벤트배너_a/b</t>
        </is>
      </c>
      <c r="B2558" s="10" t="n">
        <v>44302</v>
      </c>
      <c r="C2558" s="9" t="inlineStr">
        <is>
          <t>금</t>
        </is>
      </c>
      <c r="D2558" s="9" t="inlineStr">
        <is>
          <t>페이스북</t>
        </is>
      </c>
      <c r="E2558" s="9" t="inlineStr">
        <is>
          <t>샴푸</t>
        </is>
      </c>
      <c r="K2558" s="9" t="n">
        <v>441776</v>
      </c>
    </row>
    <row r="2559">
      <c r="A2559" s="9" t="inlineStr">
        <is>
          <t>0318~영상기반 단장</t>
        </is>
      </c>
      <c r="B2559" s="10" t="n">
        <v>44302</v>
      </c>
      <c r="C2559" s="9" t="inlineStr">
        <is>
          <t>금</t>
        </is>
      </c>
      <c r="D2559" s="9" t="inlineStr">
        <is>
          <t>페이스북</t>
        </is>
      </c>
      <c r="E2559" s="9" t="inlineStr">
        <is>
          <t>샴푸</t>
        </is>
      </c>
      <c r="K2559" s="9" t="n">
        <v>99486</v>
      </c>
    </row>
    <row r="2560">
      <c r="A2560" s="9" t="inlineStr">
        <is>
          <t>0316~영상베리</t>
        </is>
      </c>
      <c r="B2560" s="10" t="n">
        <v>44302</v>
      </c>
      <c r="C2560" s="9" t="inlineStr">
        <is>
          <t>금</t>
        </is>
      </c>
      <c r="D2560" s="9" t="inlineStr">
        <is>
          <t>페이스북</t>
        </is>
      </c>
      <c r="E2560" s="9" t="inlineStr">
        <is>
          <t>샴푸</t>
        </is>
      </c>
      <c r="K2560" s="9" t="n">
        <v>99865</v>
      </c>
    </row>
    <row r="2561">
      <c r="A2561" s="9" t="inlineStr">
        <is>
          <t>0416_이현_샴푸_단장</t>
        </is>
      </c>
      <c r="B2561" s="10" t="n">
        <v>44303</v>
      </c>
      <c r="C2561" s="9" t="inlineStr">
        <is>
          <t>토</t>
        </is>
      </c>
      <c r="D2561" s="9" t="inlineStr">
        <is>
          <t>페이스북</t>
        </is>
      </c>
      <c r="E2561" s="9" t="inlineStr">
        <is>
          <t>샴푸</t>
        </is>
      </c>
      <c r="K2561" s="9" t="n">
        <v>49601</v>
      </c>
    </row>
    <row r="2562">
      <c r="A2562" s="9" t="inlineStr">
        <is>
          <t>0416_이현_샴푸패키지_단장</t>
        </is>
      </c>
      <c r="B2562" s="10" t="n">
        <v>44303</v>
      </c>
      <c r="C2562" s="9" t="inlineStr">
        <is>
          <t>토</t>
        </is>
      </c>
      <c r="D2562" s="9" t="inlineStr">
        <is>
          <t>페이스북</t>
        </is>
      </c>
      <c r="E2562" s="9" t="inlineStr">
        <is>
          <t>샴푸</t>
        </is>
      </c>
      <c r="K2562" s="9" t="n">
        <v>51238</v>
      </c>
    </row>
    <row r="2563">
      <c r="A2563" s="9" t="inlineStr">
        <is>
          <t>0415_윤민_샴푸_카드뉴스_탈모+머릿결</t>
        </is>
      </c>
      <c r="B2563" s="10" t="n">
        <v>44303</v>
      </c>
      <c r="C2563" s="9" t="inlineStr">
        <is>
          <t>토</t>
        </is>
      </c>
      <c r="D2563" s="9" t="inlineStr">
        <is>
          <t>페이스북</t>
        </is>
      </c>
      <c r="E2563" s="9" t="inlineStr">
        <is>
          <t>샴푸</t>
        </is>
      </c>
      <c r="K2563" s="9" t="n">
        <v>51322</v>
      </c>
    </row>
    <row r="2564">
      <c r="A2564" s="9" t="inlineStr">
        <is>
          <t>0415_이현_샴푸_카드뉴스_기름기</t>
        </is>
      </c>
      <c r="B2564" s="10" t="n">
        <v>44303</v>
      </c>
      <c r="C2564" s="9" t="inlineStr">
        <is>
          <t>토</t>
        </is>
      </c>
      <c r="D2564" s="9" t="inlineStr">
        <is>
          <t>페이스북</t>
        </is>
      </c>
      <c r="E2564" s="9" t="inlineStr">
        <is>
          <t>샴푸</t>
        </is>
      </c>
      <c r="K2564" s="9" t="n">
        <v>52047</v>
      </c>
    </row>
    <row r="2565">
      <c r="A2565" s="9" t="inlineStr">
        <is>
          <t>0412_인서_샴푸_단장</t>
        </is>
      </c>
      <c r="B2565" s="10" t="n">
        <v>44303</v>
      </c>
      <c r="C2565" s="9" t="inlineStr">
        <is>
          <t>토</t>
        </is>
      </c>
      <c r="D2565" s="9" t="inlineStr">
        <is>
          <t>페이스북</t>
        </is>
      </c>
      <c r="E2565" s="9" t="inlineStr">
        <is>
          <t>샴푸</t>
        </is>
      </c>
      <c r="K2565" s="9" t="n">
        <v>50668</v>
      </c>
    </row>
    <row r="2566">
      <c r="A2566" s="9" t="inlineStr">
        <is>
          <t>0408~_윤민_샴푸_배너_올인원</t>
        </is>
      </c>
      <c r="B2566" s="10" t="n">
        <v>44303</v>
      </c>
      <c r="C2566" s="9" t="inlineStr">
        <is>
          <t>토</t>
        </is>
      </c>
      <c r="D2566" s="9" t="inlineStr">
        <is>
          <t>페이스북</t>
        </is>
      </c>
      <c r="E2566" s="9" t="inlineStr">
        <is>
          <t>샴푸</t>
        </is>
      </c>
      <c r="K2566" s="9" t="n">
        <v>51562</v>
      </c>
    </row>
    <row r="2567">
      <c r="A2567" s="9" t="inlineStr">
        <is>
          <t>0407_성화_스타터패키지_단장이벤트배너_a/b</t>
        </is>
      </c>
      <c r="B2567" s="10" t="n">
        <v>44303</v>
      </c>
      <c r="C2567" s="9" t="inlineStr">
        <is>
          <t>토</t>
        </is>
      </c>
      <c r="D2567" s="9" t="inlineStr">
        <is>
          <t>페이스북</t>
        </is>
      </c>
      <c r="E2567" s="9" t="inlineStr">
        <is>
          <t>샴푸</t>
        </is>
      </c>
      <c r="K2567" s="9" t="n">
        <v>525421</v>
      </c>
    </row>
    <row r="2568">
      <c r="A2568" s="9" t="inlineStr">
        <is>
          <t>0318~영상기반 단장</t>
        </is>
      </c>
      <c r="B2568" s="10" t="n">
        <v>44303</v>
      </c>
      <c r="C2568" s="9" t="inlineStr">
        <is>
          <t>토</t>
        </is>
      </c>
      <c r="D2568" s="9" t="inlineStr">
        <is>
          <t>페이스북</t>
        </is>
      </c>
      <c r="E2568" s="9" t="inlineStr">
        <is>
          <t>샴푸</t>
        </is>
      </c>
      <c r="K2568" s="9" t="n">
        <v>106450</v>
      </c>
    </row>
    <row r="2569">
      <c r="A2569" s="9" t="inlineStr">
        <is>
          <t>0316~영상베리</t>
        </is>
      </c>
      <c r="B2569" s="10" t="n">
        <v>44303</v>
      </c>
      <c r="C2569" s="9" t="inlineStr">
        <is>
          <t>토</t>
        </is>
      </c>
      <c r="D2569" s="9" t="inlineStr">
        <is>
          <t>페이스북</t>
        </is>
      </c>
      <c r="E2569" s="9" t="inlineStr">
        <is>
          <t>샴푸</t>
        </is>
      </c>
      <c r="K2569" s="9" t="n">
        <v>106664</v>
      </c>
    </row>
    <row r="2570">
      <c r="A2570" s="9" t="inlineStr">
        <is>
          <t>0416_이현_샴푸_단장</t>
        </is>
      </c>
      <c r="B2570" s="10" t="n">
        <v>44304</v>
      </c>
      <c r="C2570" s="9" t="inlineStr">
        <is>
          <t>일</t>
        </is>
      </c>
      <c r="D2570" s="9" t="inlineStr">
        <is>
          <t>페이스북</t>
        </is>
      </c>
      <c r="E2570" s="9" t="inlineStr">
        <is>
          <t>샴푸</t>
        </is>
      </c>
      <c r="K2570" s="9" t="n">
        <v>48625</v>
      </c>
    </row>
    <row r="2571">
      <c r="A2571" s="9" t="inlineStr">
        <is>
          <t>0416_이현_샴푸패키지_단장</t>
        </is>
      </c>
      <c r="B2571" s="10" t="n">
        <v>44304</v>
      </c>
      <c r="C2571" s="9" t="inlineStr">
        <is>
          <t>일</t>
        </is>
      </c>
      <c r="D2571" s="9" t="inlineStr">
        <is>
          <t>페이스북</t>
        </is>
      </c>
      <c r="E2571" s="9" t="inlineStr">
        <is>
          <t>샴푸</t>
        </is>
      </c>
      <c r="K2571" s="9" t="n">
        <v>54173</v>
      </c>
    </row>
    <row r="2572">
      <c r="A2572" s="9" t="inlineStr">
        <is>
          <t>0415_윤민_샴푸_카드뉴스_탈모+머릿결</t>
        </is>
      </c>
      <c r="B2572" s="10" t="n">
        <v>44304</v>
      </c>
      <c r="C2572" s="9" t="inlineStr">
        <is>
          <t>일</t>
        </is>
      </c>
      <c r="D2572" s="9" t="inlineStr">
        <is>
          <t>페이스북</t>
        </is>
      </c>
      <c r="E2572" s="9" t="inlineStr">
        <is>
          <t>샴푸</t>
        </is>
      </c>
      <c r="K2572" s="9" t="n">
        <v>8164</v>
      </c>
    </row>
    <row r="2573">
      <c r="A2573" s="9" t="inlineStr">
        <is>
          <t>0415_이현_샴푸_카드뉴스_기름기</t>
        </is>
      </c>
      <c r="B2573" s="10" t="n">
        <v>44304</v>
      </c>
      <c r="C2573" s="9" t="inlineStr">
        <is>
          <t>일</t>
        </is>
      </c>
      <c r="D2573" s="9" t="inlineStr">
        <is>
          <t>페이스북</t>
        </is>
      </c>
      <c r="E2573" s="9" t="inlineStr">
        <is>
          <t>샴푸</t>
        </is>
      </c>
      <c r="K2573" s="9" t="n">
        <v>28303</v>
      </c>
    </row>
    <row r="2574">
      <c r="A2574" s="9" t="inlineStr">
        <is>
          <t>0412_인서_샴푸_단장</t>
        </is>
      </c>
      <c r="B2574" s="10" t="n">
        <v>44304</v>
      </c>
      <c r="C2574" s="9" t="inlineStr">
        <is>
          <t>일</t>
        </is>
      </c>
      <c r="D2574" s="9" t="inlineStr">
        <is>
          <t>페이스북</t>
        </is>
      </c>
      <c r="E2574" s="9" t="inlineStr">
        <is>
          <t>샴푸</t>
        </is>
      </c>
      <c r="K2574" s="9" t="n">
        <v>55411</v>
      </c>
    </row>
    <row r="2575">
      <c r="A2575" s="9" t="inlineStr">
        <is>
          <t>0408~_윤민_샴푸_배너_올인원</t>
        </is>
      </c>
      <c r="B2575" s="10" t="n">
        <v>44304</v>
      </c>
      <c r="C2575" s="9" t="inlineStr">
        <is>
          <t>일</t>
        </is>
      </c>
      <c r="D2575" s="9" t="inlineStr">
        <is>
          <t>페이스북</t>
        </is>
      </c>
      <c r="E2575" s="9" t="inlineStr">
        <is>
          <t>샴푸</t>
        </is>
      </c>
      <c r="K2575" s="9" t="n">
        <v>51925</v>
      </c>
    </row>
    <row r="2576">
      <c r="A2576" s="9" t="inlineStr">
        <is>
          <t>0407_성화_스타터패키지_단장이벤트배너_a/b</t>
        </is>
      </c>
      <c r="B2576" s="10" t="n">
        <v>44304</v>
      </c>
      <c r="C2576" s="9" t="inlineStr">
        <is>
          <t>일</t>
        </is>
      </c>
      <c r="D2576" s="9" t="inlineStr">
        <is>
          <t>페이스북</t>
        </is>
      </c>
      <c r="E2576" s="9" t="inlineStr">
        <is>
          <t>샴푸</t>
        </is>
      </c>
      <c r="K2576" s="9" t="n">
        <v>524567</v>
      </c>
    </row>
    <row r="2577">
      <c r="A2577" s="9" t="inlineStr">
        <is>
          <t>0318~영상기반 단장</t>
        </is>
      </c>
      <c r="B2577" s="10" t="n">
        <v>44304</v>
      </c>
      <c r="C2577" s="9" t="inlineStr">
        <is>
          <t>일</t>
        </is>
      </c>
      <c r="D2577" s="9" t="inlineStr">
        <is>
          <t>페이스북</t>
        </is>
      </c>
      <c r="E2577" s="9" t="inlineStr">
        <is>
          <t>샴푸</t>
        </is>
      </c>
      <c r="K2577" s="9" t="n">
        <v>100219</v>
      </c>
    </row>
    <row r="2578">
      <c r="A2578" s="9" t="inlineStr">
        <is>
          <t>0316~영상베리</t>
        </is>
      </c>
      <c r="B2578" s="10" t="n">
        <v>44304</v>
      </c>
      <c r="C2578" s="9" t="inlineStr">
        <is>
          <t>일</t>
        </is>
      </c>
      <c r="D2578" s="9" t="inlineStr">
        <is>
          <t>페이스북</t>
        </is>
      </c>
      <c r="E2578" s="9" t="inlineStr">
        <is>
          <t>샴푸</t>
        </is>
      </c>
      <c r="K2578" s="9" t="n">
        <v>96692</v>
      </c>
    </row>
    <row r="2579">
      <c r="A2579" s="9" t="inlineStr">
        <is>
          <t>0322_샴푸_GDN_이현1차</t>
        </is>
      </c>
      <c r="B2579" s="10" t="n">
        <v>44302</v>
      </c>
      <c r="C2579" s="9" t="inlineStr">
        <is>
          <t>금</t>
        </is>
      </c>
      <c r="D2579" s="9" t="inlineStr">
        <is>
          <t>GDN</t>
        </is>
      </c>
      <c r="E2579" s="9" t="inlineStr">
        <is>
          <t>샴푸</t>
        </is>
      </c>
      <c r="K2579" s="9" t="n">
        <v>105319</v>
      </c>
    </row>
    <row r="2580">
      <c r="A2580" s="9" t="inlineStr">
        <is>
          <t>0324_샴푸_SDC_CPA</t>
        </is>
      </c>
      <c r="B2580" s="10" t="n">
        <v>44302</v>
      </c>
      <c r="C2580" s="9" t="inlineStr">
        <is>
          <t>금</t>
        </is>
      </c>
      <c r="D2580" s="9" t="inlineStr">
        <is>
          <t>유튜브</t>
        </is>
      </c>
      <c r="E2580" s="9" t="inlineStr">
        <is>
          <t>샴푸</t>
        </is>
      </c>
      <c r="K2580" s="9" t="n">
        <v>9609</v>
      </c>
    </row>
    <row r="2581">
      <c r="A2581" s="9" t="inlineStr">
        <is>
          <t>0324_샴푸_VAC_CPA</t>
        </is>
      </c>
      <c r="B2581" s="10" t="n">
        <v>44302</v>
      </c>
      <c r="C2581" s="9" t="inlineStr">
        <is>
          <t>금</t>
        </is>
      </c>
      <c r="D2581" s="9" t="inlineStr">
        <is>
          <t>유튜브</t>
        </is>
      </c>
      <c r="E2581" s="9" t="inlineStr">
        <is>
          <t>샴푸</t>
        </is>
      </c>
      <c r="K2581" s="9" t="n">
        <v>2492406</v>
      </c>
    </row>
    <row r="2582">
      <c r="A2582" s="9" t="inlineStr">
        <is>
          <t>0329_샴푸_GDN_키워드</t>
        </is>
      </c>
      <c r="B2582" s="10" t="n">
        <v>44302</v>
      </c>
      <c r="C2582" s="9" t="inlineStr">
        <is>
          <t>금</t>
        </is>
      </c>
      <c r="D2582" s="9" t="inlineStr">
        <is>
          <t>GDN</t>
        </is>
      </c>
      <c r="E2582" s="9" t="inlineStr">
        <is>
          <t>샴푸</t>
        </is>
      </c>
      <c r="K2582" s="9" t="n">
        <v>133</v>
      </c>
    </row>
    <row r="2583">
      <c r="A2583" s="9" t="inlineStr">
        <is>
          <t>0330_샴푸_cpv_200만뷰</t>
        </is>
      </c>
      <c r="B2583" s="10" t="n">
        <v>44302</v>
      </c>
      <c r="C2583" s="9" t="inlineStr">
        <is>
          <t>금</t>
        </is>
      </c>
      <c r="D2583" s="9" t="inlineStr">
        <is>
          <t>유튜브</t>
        </is>
      </c>
      <c r="E2583" s="9" t="inlineStr">
        <is>
          <t>샴푸</t>
        </is>
      </c>
      <c r="K2583" s="9" t="n">
        <v>767541</v>
      </c>
    </row>
    <row r="2584">
      <c r="A2584" s="9" t="inlineStr">
        <is>
          <t>0322_샴푸_GDN_이현1차</t>
        </is>
      </c>
      <c r="B2584" s="10" t="n">
        <v>44303</v>
      </c>
      <c r="C2584" s="9" t="inlineStr">
        <is>
          <t>토</t>
        </is>
      </c>
      <c r="D2584" s="9" t="inlineStr">
        <is>
          <t>GDN</t>
        </is>
      </c>
      <c r="E2584" s="9" t="inlineStr">
        <is>
          <t>샴푸</t>
        </is>
      </c>
      <c r="K2584" s="9" t="n">
        <v>92324</v>
      </c>
    </row>
    <row r="2585">
      <c r="A2585" s="9" t="inlineStr">
        <is>
          <t>0324_샴푸_SDC_CPA</t>
        </is>
      </c>
      <c r="B2585" s="10" t="n">
        <v>44303</v>
      </c>
      <c r="C2585" s="9" t="inlineStr">
        <is>
          <t>토</t>
        </is>
      </c>
      <c r="D2585" s="9" t="inlineStr">
        <is>
          <t>유튜브</t>
        </is>
      </c>
      <c r="E2585" s="9" t="inlineStr">
        <is>
          <t>샴푸</t>
        </is>
      </c>
      <c r="K2585" s="9" t="n">
        <v>4046</v>
      </c>
    </row>
    <row r="2586">
      <c r="A2586" s="9" t="inlineStr">
        <is>
          <t>0324_샴푸_VAC_CPA</t>
        </is>
      </c>
      <c r="B2586" s="10" t="n">
        <v>44303</v>
      </c>
      <c r="C2586" s="9" t="inlineStr">
        <is>
          <t>토</t>
        </is>
      </c>
      <c r="D2586" s="9" t="inlineStr">
        <is>
          <t>유튜브</t>
        </is>
      </c>
      <c r="E2586" s="9" t="inlineStr">
        <is>
          <t>샴푸</t>
        </is>
      </c>
      <c r="K2586" s="9" t="n">
        <v>2493222</v>
      </c>
    </row>
    <row r="2587">
      <c r="A2587" s="9" t="inlineStr">
        <is>
          <t>0329_샴푸_GDN_키워드</t>
        </is>
      </c>
      <c r="B2587" s="10" t="n">
        <v>44303</v>
      </c>
      <c r="C2587" s="9" t="inlineStr">
        <is>
          <t>토</t>
        </is>
      </c>
      <c r="D2587" s="9" t="inlineStr">
        <is>
          <t>GDN</t>
        </is>
      </c>
      <c r="E2587" s="9" t="inlineStr">
        <is>
          <t>샴푸</t>
        </is>
      </c>
      <c r="K2587" s="9" t="n">
        <v>3236</v>
      </c>
    </row>
    <row r="2588">
      <c r="A2588" s="9" t="inlineStr">
        <is>
          <t>0330_샴푸_cpv_200만뷰</t>
        </is>
      </c>
      <c r="B2588" s="10" t="n">
        <v>44303</v>
      </c>
      <c r="C2588" s="9" t="inlineStr">
        <is>
          <t>토</t>
        </is>
      </c>
      <c r="D2588" s="9" t="inlineStr">
        <is>
          <t>유튜브</t>
        </is>
      </c>
      <c r="E2588" s="9" t="inlineStr">
        <is>
          <t>샴푸</t>
        </is>
      </c>
      <c r="K2588" s="9" t="n">
        <v>808100</v>
      </c>
    </row>
    <row r="2589">
      <c r="A2589" s="9" t="inlineStr">
        <is>
          <t>0322_샴푸_GDN_이현1차</t>
        </is>
      </c>
      <c r="B2589" s="10" t="n">
        <v>44304</v>
      </c>
      <c r="C2589" s="9" t="inlineStr">
        <is>
          <t>일</t>
        </is>
      </c>
      <c r="D2589" s="9" t="inlineStr">
        <is>
          <t>GDN</t>
        </is>
      </c>
      <c r="E2589" s="9" t="inlineStr">
        <is>
          <t>샴푸</t>
        </is>
      </c>
      <c r="K2589" s="9" t="n">
        <v>100742</v>
      </c>
    </row>
    <row r="2590">
      <c r="A2590" s="9" t="inlineStr">
        <is>
          <t>0324_샴푸_SDC_CPA</t>
        </is>
      </c>
      <c r="B2590" s="10" t="n">
        <v>44304</v>
      </c>
      <c r="C2590" s="9" t="inlineStr">
        <is>
          <t>일</t>
        </is>
      </c>
      <c r="D2590" s="9" t="inlineStr">
        <is>
          <t>유튜브</t>
        </is>
      </c>
      <c r="E2590" s="9" t="inlineStr">
        <is>
          <t>샴푸</t>
        </is>
      </c>
      <c r="K2590" s="9" t="n">
        <v>3247</v>
      </c>
    </row>
    <row r="2591">
      <c r="A2591" s="9" t="inlineStr">
        <is>
          <t>0324_샴푸_VAC_CPA</t>
        </is>
      </c>
      <c r="B2591" s="10" t="n">
        <v>44304</v>
      </c>
      <c r="C2591" s="9" t="inlineStr">
        <is>
          <t>일</t>
        </is>
      </c>
      <c r="D2591" s="9" t="inlineStr">
        <is>
          <t>유튜브</t>
        </is>
      </c>
      <c r="E2591" s="9" t="inlineStr">
        <is>
          <t>샴푸</t>
        </is>
      </c>
      <c r="K2591" s="9" t="n">
        <v>2486165</v>
      </c>
    </row>
    <row r="2592">
      <c r="A2592" s="9" t="inlineStr">
        <is>
          <t>0329_샴푸_GDN_키워드</t>
        </is>
      </c>
      <c r="B2592" s="10" t="n">
        <v>44304</v>
      </c>
      <c r="C2592" s="9" t="inlineStr">
        <is>
          <t>일</t>
        </is>
      </c>
      <c r="D2592" s="9" t="inlineStr">
        <is>
          <t>GDN</t>
        </is>
      </c>
      <c r="E2592" s="9" t="inlineStr">
        <is>
          <t>샴푸</t>
        </is>
      </c>
      <c r="K2592" s="9" t="n">
        <v>4855</v>
      </c>
    </row>
    <row r="2593">
      <c r="A2593" s="9" t="inlineStr">
        <is>
          <t>0330_샴푸_cpv_200만뷰</t>
        </is>
      </c>
      <c r="B2593" s="10" t="n">
        <v>44304</v>
      </c>
      <c r="C2593" s="9" t="inlineStr">
        <is>
          <t>일</t>
        </is>
      </c>
      <c r="D2593" s="9" t="inlineStr">
        <is>
          <t>유튜브</t>
        </is>
      </c>
      <c r="E2593" s="9" t="inlineStr">
        <is>
          <t>샴푸</t>
        </is>
      </c>
      <c r="K2593" s="9" t="n">
        <v>446423</v>
      </c>
    </row>
    <row r="2594">
      <c r="A2594" s="9" t="inlineStr">
        <is>
          <t>라베나 파워링크_샴푸_광고그룹#1</t>
        </is>
      </c>
      <c r="B2594" s="10" t="n">
        <v>44304</v>
      </c>
      <c r="C2594" s="9" t="inlineStr">
        <is>
          <t>일</t>
        </is>
      </c>
      <c r="D2594" s="9" t="inlineStr">
        <is>
          <t>네이버 검색</t>
        </is>
      </c>
      <c r="E2594" s="9" t="inlineStr">
        <is>
          <t>샴푸</t>
        </is>
      </c>
      <c r="K2594" s="9" t="n">
        <v>1720</v>
      </c>
    </row>
    <row r="2595">
      <c r="A2595" s="9" t="inlineStr">
        <is>
          <t>라베나 파워링크_샴푸#1_유튜브키워드기반</t>
        </is>
      </c>
      <c r="B2595" s="10" t="n">
        <v>44304</v>
      </c>
      <c r="C2595" s="9" t="inlineStr">
        <is>
          <t>일</t>
        </is>
      </c>
      <c r="D2595" s="9" t="inlineStr">
        <is>
          <t>네이버 검색</t>
        </is>
      </c>
      <c r="E2595" s="9" t="inlineStr">
        <is>
          <t>샴푸</t>
        </is>
      </c>
      <c r="K2595" s="9" t="n">
        <v>9320</v>
      </c>
    </row>
    <row r="2596">
      <c r="A2596" s="9" t="inlineStr">
        <is>
          <t>샴푸_쇼핑검색#1_광고그룹#1</t>
        </is>
      </c>
      <c r="B2596" s="10" t="n">
        <v>44304</v>
      </c>
      <c r="C2596" s="9" t="inlineStr">
        <is>
          <t>일</t>
        </is>
      </c>
      <c r="D2596" s="9" t="inlineStr">
        <is>
          <t>네이버 검색</t>
        </is>
      </c>
      <c r="E2596" s="9" t="inlineStr">
        <is>
          <t>샴푸</t>
        </is>
      </c>
      <c r="K2596" s="9" t="n">
        <v>4140</v>
      </c>
    </row>
    <row r="2597">
      <c r="A2597" s="9" t="inlineStr">
        <is>
          <t>파워컨텐츠#1_비듬샴푸</t>
        </is>
      </c>
      <c r="B2597" s="10" t="n">
        <v>44304</v>
      </c>
      <c r="C2597" s="9" t="inlineStr">
        <is>
          <t>일</t>
        </is>
      </c>
      <c r="D2597" s="9" t="inlineStr">
        <is>
          <t>네이버 검색</t>
        </is>
      </c>
      <c r="E2597" s="9" t="inlineStr">
        <is>
          <t>샴푸</t>
        </is>
      </c>
      <c r="K2597" s="9" t="n">
        <v>0</v>
      </c>
    </row>
    <row r="2598">
      <c r="A2598" s="9" t="inlineStr">
        <is>
          <t>라베나 파워링크_샴푸_광고그룹#1</t>
        </is>
      </c>
      <c r="B2598" s="10" t="n">
        <v>44303</v>
      </c>
      <c r="C2598" s="9" t="inlineStr">
        <is>
          <t>토</t>
        </is>
      </c>
      <c r="D2598" s="9" t="inlineStr">
        <is>
          <t>네이버 검색</t>
        </is>
      </c>
      <c r="E2598" s="9" t="inlineStr">
        <is>
          <t>샴푸</t>
        </is>
      </c>
      <c r="K2598" s="9" t="n">
        <v>1580</v>
      </c>
    </row>
    <row r="2599">
      <c r="A2599" s="9" t="inlineStr">
        <is>
          <t>라베나 파워링크_샴푸#1_유튜브키워드기반</t>
        </is>
      </c>
      <c r="B2599" s="10" t="n">
        <v>44303</v>
      </c>
      <c r="C2599" s="9" t="inlineStr">
        <is>
          <t>토</t>
        </is>
      </c>
      <c r="D2599" s="9" t="inlineStr">
        <is>
          <t>네이버 검색</t>
        </is>
      </c>
      <c r="E2599" s="9" t="inlineStr">
        <is>
          <t>샴푸</t>
        </is>
      </c>
      <c r="K2599" s="9" t="n">
        <v>9790</v>
      </c>
    </row>
    <row r="2600">
      <c r="A2600" s="9" t="inlineStr">
        <is>
          <t>샴푸_쇼핑검색#1_광고그룹#1</t>
        </is>
      </c>
      <c r="B2600" s="10" t="n">
        <v>44303</v>
      </c>
      <c r="C2600" s="9" t="inlineStr">
        <is>
          <t>토</t>
        </is>
      </c>
      <c r="D2600" s="9" t="inlineStr">
        <is>
          <t>네이버 검색</t>
        </is>
      </c>
      <c r="E2600" s="9" t="inlineStr">
        <is>
          <t>샴푸</t>
        </is>
      </c>
      <c r="K2600" s="9" t="n">
        <v>2880</v>
      </c>
    </row>
    <row r="2601">
      <c r="A2601" s="9" t="inlineStr">
        <is>
          <t>파워컨텐츠#1_비듬샴푸</t>
        </is>
      </c>
      <c r="B2601" s="10" t="n">
        <v>44303</v>
      </c>
      <c r="C2601" s="9" t="inlineStr">
        <is>
          <t>토</t>
        </is>
      </c>
      <c r="D2601" s="9" t="inlineStr">
        <is>
          <t>네이버 검색</t>
        </is>
      </c>
      <c r="E2601" s="9" t="inlineStr">
        <is>
          <t>샴푸</t>
        </is>
      </c>
      <c r="K2601" s="9" t="n">
        <v>210</v>
      </c>
    </row>
    <row r="2602">
      <c r="A2602" s="9" t="inlineStr">
        <is>
          <t>라베나 파워링크_샴푸_광고그룹#1</t>
        </is>
      </c>
      <c r="B2602" s="10" t="n">
        <v>44302</v>
      </c>
      <c r="C2602" s="9" t="inlineStr">
        <is>
          <t>금</t>
        </is>
      </c>
      <c r="D2602" s="9" t="inlineStr">
        <is>
          <t>네이버 검색</t>
        </is>
      </c>
      <c r="E2602" s="9" t="inlineStr">
        <is>
          <t>샴푸</t>
        </is>
      </c>
      <c r="K2602" s="9" t="n">
        <v>1620</v>
      </c>
    </row>
    <row r="2603">
      <c r="A2603" s="9" t="inlineStr">
        <is>
          <t>라베나 파워링크_샴푸#1_유튜브키워드기반</t>
        </is>
      </c>
      <c r="B2603" s="10" t="n">
        <v>44302</v>
      </c>
      <c r="C2603" s="9" t="inlineStr">
        <is>
          <t>금</t>
        </is>
      </c>
      <c r="D2603" s="9" t="inlineStr">
        <is>
          <t>네이버 검색</t>
        </is>
      </c>
      <c r="E2603" s="9" t="inlineStr">
        <is>
          <t>샴푸</t>
        </is>
      </c>
      <c r="K2603" s="9" t="n">
        <v>10890</v>
      </c>
    </row>
    <row r="2604">
      <c r="A2604" s="9" t="inlineStr">
        <is>
          <t>샴푸_쇼핑검색#1_광고그룹#1</t>
        </is>
      </c>
      <c r="B2604" s="10" t="n">
        <v>44302</v>
      </c>
      <c r="C2604" s="9" t="inlineStr">
        <is>
          <t>금</t>
        </is>
      </c>
      <c r="D2604" s="9" t="inlineStr">
        <is>
          <t>네이버 검색</t>
        </is>
      </c>
      <c r="E2604" s="9" t="inlineStr">
        <is>
          <t>샴푸</t>
        </is>
      </c>
      <c r="K2604" s="9" t="n">
        <v>2450</v>
      </c>
    </row>
    <row r="2605">
      <c r="A2605" s="9" t="inlineStr">
        <is>
          <t>파워컨텐츠#1_비듬샴푸</t>
        </is>
      </c>
      <c r="B2605" s="10" t="n">
        <v>44302</v>
      </c>
      <c r="C2605" s="9" t="inlineStr">
        <is>
          <t>금</t>
        </is>
      </c>
      <c r="D2605" s="9" t="inlineStr">
        <is>
          <t>네이버 검색</t>
        </is>
      </c>
      <c r="E2605" s="9" t="inlineStr">
        <is>
          <t>샴푸</t>
        </is>
      </c>
      <c r="K2605" s="9" t="n">
        <v>70</v>
      </c>
    </row>
    <row r="2606">
      <c r="B2606" s="10" t="n">
        <v>44302</v>
      </c>
      <c r="C2606" s="9" t="inlineStr">
        <is>
          <t>금</t>
        </is>
      </c>
      <c r="E2606" s="9" t="inlineStr">
        <is>
          <t>샴푸</t>
        </is>
      </c>
      <c r="F2606" s="9" t="inlineStr">
        <is>
          <t>카페24</t>
        </is>
      </c>
      <c r="G2606" s="9" t="inlineStr">
        <is>
          <t>[타임특가] 리 : 커버리 3개월 패키지 (샴푸 2+ 트리트먼트 택 1)샴푸2 + 트리트먼트 택 1=샴푸2 + 뉴트리셔스 밤1</t>
        </is>
      </c>
      <c r="H2606" s="9" t="n">
        <v>3</v>
      </c>
      <c r="I2606" s="9" t="inlineStr">
        <is>
          <t>리바이탈 샴푸2+뉴트리셔스밤1</t>
        </is>
      </c>
      <c r="J2606" s="9" t="inlineStr">
        <is>
          <t>210201</t>
        </is>
      </c>
      <c r="L2606" s="9">
        <f>62280*3</f>
        <v/>
      </c>
      <c r="M2606" s="9">
        <f>186840-(186840/5.85)</f>
        <v/>
      </c>
      <c r="N2606" s="9">
        <f>7310*3</f>
        <v/>
      </c>
      <c r="O2606" s="9" t="inlineStr">
        <is>
          <t>카페24샴푸[타임특가] 리 : 커버리 3개월 패키지 (샴푸 2+ 트리트먼트 택 1)샴푸2 + 트리트먼트 택 1=샴푸2 + 뉴트리셔스 밤1210201</t>
        </is>
      </c>
    </row>
    <row r="2607">
      <c r="B2607" s="10" t="n">
        <v>44302</v>
      </c>
      <c r="C2607" s="9" t="inlineStr">
        <is>
          <t>금</t>
        </is>
      </c>
      <c r="E2607" s="9" t="inlineStr">
        <is>
          <t>샴푸</t>
        </is>
      </c>
      <c r="F2607" s="9" t="inlineStr">
        <is>
          <t>카페24</t>
        </is>
      </c>
      <c r="G2607" s="9" t="inlineStr">
        <is>
          <t>[타임특가] 리 : 커버리 3개월 패키지 (샴푸 2+ 트리트먼트 택 1)샴푸2 + 트리트먼트 택 1=샴푸2 + 헤어팩 트리트먼트1</t>
        </is>
      </c>
      <c r="H2607" s="9" t="n">
        <v>2</v>
      </c>
      <c r="I2607" s="9" t="inlineStr">
        <is>
          <t>리바이탈 샴푸2+트리트먼트1</t>
        </is>
      </c>
      <c r="J2607" s="9" t="inlineStr">
        <is>
          <t>210201</t>
        </is>
      </c>
      <c r="L2607" s="9">
        <f>62280*2</f>
        <v/>
      </c>
      <c r="M2607" s="9">
        <f>124560-(124560/5.85)</f>
        <v/>
      </c>
      <c r="N2607" s="9">
        <f>7327*2</f>
        <v/>
      </c>
      <c r="O2607" s="9" t="inlineStr">
        <is>
          <t>카페24샴푸[타임특가] 리 : 커버리 3개월 패키지 (샴푸 2+ 트리트먼트 택 1)샴푸2 + 트리트먼트 택 1=샴푸2 + 헤어팩 트리트먼트1210201</t>
        </is>
      </c>
    </row>
    <row r="2608">
      <c r="B2608" s="10" t="n">
        <v>44302</v>
      </c>
      <c r="C2608" s="9" t="inlineStr">
        <is>
          <t>금</t>
        </is>
      </c>
      <c r="E2608" s="9" t="inlineStr">
        <is>
          <t>샴푸</t>
        </is>
      </c>
      <c r="F2608" s="9" t="inlineStr">
        <is>
          <t>카페24</t>
        </is>
      </c>
      <c r="G2608" s="9" t="inlineStr">
        <is>
          <t>[타임특가] 리 : 커버리 6개월 패키지 (샴푸 5+ 트리트먼트 택 1)샴푸 5 + 트리트먼트 택 1=샴푸 5 + 뉴트리셔스 밤 1</t>
        </is>
      </c>
      <c r="H2608" s="9" t="n">
        <v>3</v>
      </c>
      <c r="I2608" s="9" t="inlineStr">
        <is>
          <t>리바이탈 샴푸5+뉴트리셔스밤1</t>
        </is>
      </c>
      <c r="J2608" s="9" t="inlineStr">
        <is>
          <t>210201</t>
        </is>
      </c>
      <c r="L2608" s="9">
        <f>114840*3</f>
        <v/>
      </c>
      <c r="M2608" s="9">
        <f>344520-(344520/5.85)</f>
        <v/>
      </c>
      <c r="N2608" s="9">
        <f>15905*3</f>
        <v/>
      </c>
      <c r="O2608" s="9" t="inlineStr">
        <is>
          <t>카페24샴푸[타임특가] 리 : 커버리 6개월 패키지 (샴푸 5+ 트리트먼트 택 1)샴푸 5 + 트리트먼트 택 1=샴푸 5 + 뉴트리셔스 밤 1210201</t>
        </is>
      </c>
    </row>
    <row r="2609">
      <c r="B2609" s="10" t="n">
        <v>44302</v>
      </c>
      <c r="C2609" s="9" t="inlineStr">
        <is>
          <t>금</t>
        </is>
      </c>
      <c r="E2609" s="9" t="inlineStr">
        <is>
          <t>샴푸</t>
        </is>
      </c>
      <c r="F2609" s="9" t="inlineStr">
        <is>
          <t>카페24</t>
        </is>
      </c>
      <c r="G2609" s="9" t="inlineStr">
        <is>
          <t>[타임특가] 리 : 커버리 6개월 패키지 (샴푸 5+ 트리트먼트 택 1)샴푸 5 + 트리트먼트 택 1=샴푸 5 + 헤어팩 트리트먼트 1</t>
        </is>
      </c>
      <c r="H2609" s="9" t="n">
        <v>1</v>
      </c>
      <c r="I2609" s="9" t="inlineStr">
        <is>
          <t>리바이탈 샴푸5+트리트먼트1</t>
        </is>
      </c>
      <c r="J2609" s="9" t="inlineStr">
        <is>
          <t>210201</t>
        </is>
      </c>
      <c r="L2609" s="9">
        <f>114840</f>
        <v/>
      </c>
      <c r="M2609" s="9">
        <f>114840-(114840/5.85)</f>
        <v/>
      </c>
      <c r="N2609" s="9">
        <f>15922</f>
        <v/>
      </c>
      <c r="O2609" s="9" t="inlineStr">
        <is>
          <t>카페24샴푸[타임특가] 리 : 커버리 6개월 패키지 (샴푸 5+ 트리트먼트 택 1)샴푸 5 + 트리트먼트 택 1=샴푸 5 + 헤어팩 트리트먼트 1210201</t>
        </is>
      </c>
    </row>
    <row r="2610">
      <c r="B2610" s="10" t="n">
        <v>44302</v>
      </c>
      <c r="C2610" s="9" t="inlineStr">
        <is>
          <t>금</t>
        </is>
      </c>
      <c r="E2610" s="9" t="inlineStr">
        <is>
          <t>샴푸</t>
        </is>
      </c>
      <c r="F2610" s="9" t="inlineStr">
        <is>
          <t>카페24</t>
        </is>
      </c>
      <c r="G2610" s="9" t="inlineStr">
        <is>
          <t>[타임특가] 리:커버리 스타터 패키지 (샴푸 1+헤어팩 트리트먼트 1+ 뉴트리셔스 밤 1)</t>
        </is>
      </c>
      <c r="H2610" s="9" t="n">
        <v>20</v>
      </c>
      <c r="I2610" s="9" t="inlineStr">
        <is>
          <t>리바이탈 샴푸1+트리트먼트1+뉴트리셔스밤1</t>
        </is>
      </c>
      <c r="J2610" s="9" t="inlineStr">
        <is>
          <t>210201</t>
        </is>
      </c>
      <c r="L2610" s="9">
        <f>39897*20</f>
        <v/>
      </c>
      <c r="M2610" s="9">
        <f>797940-(797940/5.85)</f>
        <v/>
      </c>
      <c r="N2610" s="9">
        <f>(2865+1580+1597)*20</f>
        <v/>
      </c>
      <c r="O2610" s="9" t="inlineStr">
        <is>
          <t>카페24샴푸[타임특가] 리:커버리 스타터 패키지 (샴푸 1+헤어팩 트리트먼트 1+ 뉴트리셔스 밤 1)210201</t>
        </is>
      </c>
    </row>
    <row r="2611">
      <c r="B2611" s="10" t="n">
        <v>44302</v>
      </c>
      <c r="C2611" s="9" t="inlineStr">
        <is>
          <t>금</t>
        </is>
      </c>
      <c r="E2611" s="9" t="inlineStr">
        <is>
          <t>뉴트리셔스밤</t>
        </is>
      </c>
      <c r="F2611" s="9" t="inlineStr">
        <is>
          <t>카페24</t>
        </is>
      </c>
      <c r="G2611" s="9" t="inlineStr">
        <is>
          <t>라베나 리커버리 15 뉴트리셔스 밤 [HAIR RÉ:COVERY 15 Nutritious Balm]제품선택=헤어 리커버리 15 뉴트리셔스 밤</t>
        </is>
      </c>
      <c r="H2611" s="9" t="n">
        <v>1</v>
      </c>
      <c r="I2611" s="9" t="inlineStr">
        <is>
          <t>뉴트리셔스밤</t>
        </is>
      </c>
      <c r="J2611" s="9" t="inlineStr">
        <is>
          <t>210201</t>
        </is>
      </c>
      <c r="L2611" s="9" t="n">
        <v>24900</v>
      </c>
      <c r="M2611" s="9" t="n">
        <v>23443.35</v>
      </c>
      <c r="N2611" s="9" t="n">
        <v>1580</v>
      </c>
      <c r="O2611" s="9" t="inlineStr">
        <is>
          <t>카페24뉴트리셔스밤라베나 리커버리 15 뉴트리셔스 밤 [HAIR RÉ:COVERY 15 Nutritious Balm]제품선택=헤어 리커버리 15 뉴트리셔스 밤210201</t>
        </is>
      </c>
    </row>
    <row r="2612">
      <c r="B2612" s="10" t="n">
        <v>44302</v>
      </c>
      <c r="C2612" s="9" t="inlineStr">
        <is>
          <t>금</t>
        </is>
      </c>
      <c r="E2612" s="9" t="inlineStr">
        <is>
          <t>샴푸</t>
        </is>
      </c>
      <c r="F2612" s="9" t="inlineStr">
        <is>
          <t>카페24</t>
        </is>
      </c>
      <c r="G2612" s="9" t="inlineStr">
        <is>
          <t>라베나 리커버리 15 리바이탈 바이오플라보노이드샴푸 [HAIR RÉ:COVERY 15 Revital Shampoo]제품선택=헤어 리커버리 15 리바이탈 샴푸 - 500ml</t>
        </is>
      </c>
      <c r="H2612" s="9" t="n">
        <v>111</v>
      </c>
      <c r="I2612" s="9" t="inlineStr">
        <is>
          <t>리바이탈 샴푸</t>
        </is>
      </c>
      <c r="J2612" s="9" t="inlineStr">
        <is>
          <t>210201</t>
        </is>
      </c>
      <c r="L2612" s="9" t="n">
        <v>2985900</v>
      </c>
      <c r="M2612" s="9" t="n">
        <v>2811224.85</v>
      </c>
      <c r="N2612" s="9" t="n">
        <v>318015</v>
      </c>
      <c r="O261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613">
      <c r="B2613" s="10" t="n">
        <v>44302</v>
      </c>
      <c r="C2613" s="9" t="inlineStr">
        <is>
          <t>금</t>
        </is>
      </c>
      <c r="E2613" s="9" t="inlineStr">
        <is>
          <t>샴푸</t>
        </is>
      </c>
      <c r="F2613" s="9" t="inlineStr">
        <is>
          <t>카페24</t>
        </is>
      </c>
      <c r="G2613" s="9" t="inlineStr">
        <is>
          <t>라베나 리커버리 15 리바이탈 바이오플라보노이드샴푸 [HAIR RÉ:COVERY 15 Revital Shampoo]제품선택=리바이탈 샴푸 2개 세트 5%추가할인</t>
        </is>
      </c>
      <c r="H2613" s="9" t="n">
        <v>31</v>
      </c>
      <c r="I2613" s="9" t="inlineStr">
        <is>
          <t>리바이탈 샴푸 2set</t>
        </is>
      </c>
      <c r="J2613" s="9" t="inlineStr">
        <is>
          <t>210201</t>
        </is>
      </c>
      <c r="L2613" s="9" t="n">
        <v>1584410</v>
      </c>
      <c r="M2613" s="9" t="n">
        <v>1491722.015</v>
      </c>
      <c r="N2613" s="9" t="n">
        <v>177630</v>
      </c>
      <c r="O261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614">
      <c r="B2614" s="10" t="n">
        <v>44302</v>
      </c>
      <c r="C2614" s="9" t="inlineStr">
        <is>
          <t>금</t>
        </is>
      </c>
      <c r="E2614" s="9" t="inlineStr">
        <is>
          <t>샴푸</t>
        </is>
      </c>
      <c r="F2614" s="9" t="inlineStr">
        <is>
          <t>카페24</t>
        </is>
      </c>
      <c r="G2614" s="9" t="inlineStr">
        <is>
          <t>라베나 리커버리 15 리바이탈 바이오플라보노이드샴푸 [HAIR RÉ:COVERY 15 Revital Shampoo]제품선택=리바이탈 샴푸 3개 세트 10% 추가할인</t>
        </is>
      </c>
      <c r="H2614" s="9" t="n">
        <v>9</v>
      </c>
      <c r="I2614" s="9" t="inlineStr">
        <is>
          <t>리바이탈 샴푸 3set</t>
        </is>
      </c>
      <c r="J2614" s="9" t="inlineStr">
        <is>
          <t>210201</t>
        </is>
      </c>
      <c r="L2614" s="9" t="n">
        <v>653670</v>
      </c>
      <c r="M2614" s="9" t="n">
        <v>615430.3050000001</v>
      </c>
      <c r="N2614" s="9" t="n">
        <v>77355</v>
      </c>
      <c r="O261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615">
      <c r="B2615" s="10" t="n">
        <v>44302</v>
      </c>
      <c r="C2615" s="9" t="inlineStr">
        <is>
          <t>금</t>
        </is>
      </c>
      <c r="E2615" s="9" t="inlineStr">
        <is>
          <t>트리트먼트</t>
        </is>
      </c>
      <c r="F2615" s="9" t="inlineStr">
        <is>
          <t>카페24</t>
        </is>
      </c>
      <c r="G2615" s="9" t="inlineStr">
        <is>
          <t>라베나 리커버리 15 헤어팩 트리트먼트 [HAIR RÉ:COVERY 15 Hairpack Treatment]제품선택=헤어 리커버리 15 헤어팩 트리트먼트</t>
        </is>
      </c>
      <c r="H2615" s="9" t="n">
        <v>1</v>
      </c>
      <c r="I2615" s="9" t="inlineStr">
        <is>
          <t>트리트먼트</t>
        </is>
      </c>
      <c r="J2615" s="9" t="inlineStr">
        <is>
          <t>210201</t>
        </is>
      </c>
      <c r="L2615" s="9" t="n">
        <v>26000</v>
      </c>
      <c r="M2615" s="9" t="n">
        <v>24479</v>
      </c>
      <c r="N2615" s="9" t="n">
        <v>1597</v>
      </c>
      <c r="O261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616">
      <c r="B2616" s="10" t="n">
        <v>44302</v>
      </c>
      <c r="C2616" s="9" t="inlineStr">
        <is>
          <t>금</t>
        </is>
      </c>
      <c r="E2616" s="9" t="inlineStr">
        <is>
          <t>트리트먼트</t>
        </is>
      </c>
      <c r="F2616" s="9" t="inlineStr">
        <is>
          <t>카페24</t>
        </is>
      </c>
      <c r="G2616" s="9" t="inlineStr">
        <is>
          <t>라베나 리커버리 15 헤어팩 트리트먼트 [HAIR RÉ:COVERY 15 Hairpack Treatment]제품선택=헤어팩 트리트먼트 1개 + 뉴트리셔스밤 1개 세트 5% 추가할인</t>
        </is>
      </c>
      <c r="H2616" s="9" t="n">
        <v>1</v>
      </c>
      <c r="I2616" s="9" t="inlineStr">
        <is>
          <t>트리트먼트+뉴트리셔스밤</t>
        </is>
      </c>
      <c r="J2616" s="9" t="inlineStr">
        <is>
          <t>210201</t>
        </is>
      </c>
      <c r="L2616" s="9" t="n">
        <v>48355</v>
      </c>
      <c r="M2616" s="9" t="n">
        <v>45526.2325</v>
      </c>
      <c r="N2616" s="9" t="n">
        <v>3177</v>
      </c>
      <c r="O2616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617">
      <c r="B2617" s="10" t="n">
        <v>44303</v>
      </c>
      <c r="C2617" s="9" t="inlineStr">
        <is>
          <t>토</t>
        </is>
      </c>
      <c r="E2617" s="9" t="inlineStr">
        <is>
          <t>샴푸</t>
        </is>
      </c>
      <c r="F2617" s="9" t="inlineStr">
        <is>
          <t>카페24</t>
        </is>
      </c>
      <c r="G2617" s="9" t="inlineStr">
        <is>
          <t>[타임특가] 리 : 커버리 3개월 패키지 (샴푸 2+ 트리트먼트 택 1)샴푸2 + 트리트먼트 택 1=샴푸2 + 뉴트리셔스 밤1</t>
        </is>
      </c>
      <c r="H2617" s="9" t="n">
        <v>2</v>
      </c>
      <c r="I2617" s="9" t="inlineStr">
        <is>
          <t>리바이탈 샴푸2+뉴트리셔스밤1</t>
        </is>
      </c>
      <c r="J2617" s="9" t="inlineStr">
        <is>
          <t>210201</t>
        </is>
      </c>
      <c r="L2617" s="9">
        <f>62280*2</f>
        <v/>
      </c>
      <c r="M2617" s="9">
        <f>124560-(124560/5.85)</f>
        <v/>
      </c>
      <c r="N2617" s="9">
        <f>7310*2</f>
        <v/>
      </c>
      <c r="O2617" s="9" t="inlineStr">
        <is>
          <t>카페24샴푸[타임특가] 리 : 커버리 3개월 패키지 (샴푸 2+ 트리트먼트 택 1)샴푸2 + 트리트먼트 택 1=샴푸2 + 뉴트리셔스 밤1210201</t>
        </is>
      </c>
    </row>
    <row r="2618">
      <c r="B2618" s="10" t="n">
        <v>44303</v>
      </c>
      <c r="C2618" s="9" t="inlineStr">
        <is>
          <t>토</t>
        </is>
      </c>
      <c r="E2618" s="9" t="inlineStr">
        <is>
          <t>샴푸</t>
        </is>
      </c>
      <c r="F2618" s="9" t="inlineStr">
        <is>
          <t>카페24</t>
        </is>
      </c>
      <c r="G2618" s="9" t="inlineStr">
        <is>
          <t>[타임특가] 리 : 커버리 3개월 패키지 (샴푸 2+ 트리트먼트 택 1)샴푸2 + 트리트먼트 택 1=샴푸2 + 헤어팩 트리트먼트1</t>
        </is>
      </c>
      <c r="H2618" s="9" t="n">
        <v>3</v>
      </c>
      <c r="I2618" s="9" t="inlineStr">
        <is>
          <t>리바이탈 샴푸2+트리트먼트1</t>
        </is>
      </c>
      <c r="J2618" s="9" t="inlineStr">
        <is>
          <t>210201</t>
        </is>
      </c>
      <c r="L2618" s="9">
        <f>62280*3</f>
        <v/>
      </c>
      <c r="M2618" s="9">
        <f>186840-(186840/5.85)</f>
        <v/>
      </c>
      <c r="N2618" s="9">
        <f>7327*3</f>
        <v/>
      </c>
      <c r="O2618" s="9" t="inlineStr">
        <is>
          <t>카페24샴푸[타임특가] 리 : 커버리 3개월 패키지 (샴푸 2+ 트리트먼트 택 1)샴푸2 + 트리트먼트 택 1=샴푸2 + 헤어팩 트리트먼트1210201</t>
        </is>
      </c>
    </row>
    <row r="2619">
      <c r="B2619" s="10" t="n">
        <v>44303</v>
      </c>
      <c r="C2619" s="9" t="inlineStr">
        <is>
          <t>토</t>
        </is>
      </c>
      <c r="E2619" s="9" t="inlineStr">
        <is>
          <t>샴푸</t>
        </is>
      </c>
      <c r="F2619" s="9" t="inlineStr">
        <is>
          <t>카페24</t>
        </is>
      </c>
      <c r="G2619" s="9" t="inlineStr">
        <is>
          <t>[타임특가] 리 : 커버리 6개월 패키지 (샴푸 5+ 트리트먼트 택 1)샴푸 5 + 트리트먼트 택 1=샴푸 5 + 뉴트리셔스 밤 1</t>
        </is>
      </c>
      <c r="H2619" s="9" t="n">
        <v>2</v>
      </c>
      <c r="I2619" s="9" t="inlineStr">
        <is>
          <t>리바이탈 샴푸5+뉴트리셔스밤1</t>
        </is>
      </c>
      <c r="J2619" s="9" t="inlineStr">
        <is>
          <t>210201</t>
        </is>
      </c>
      <c r="L2619" s="9">
        <f>114840*2</f>
        <v/>
      </c>
      <c r="M2619" s="9">
        <f>229680-(229680/5.85)</f>
        <v/>
      </c>
      <c r="N2619" s="9">
        <f>15905*2</f>
        <v/>
      </c>
      <c r="O2619" s="9" t="inlineStr">
        <is>
          <t>카페24샴푸[타임특가] 리 : 커버리 6개월 패키지 (샴푸 5+ 트리트먼트 택 1)샴푸 5 + 트리트먼트 택 1=샴푸 5 + 뉴트리셔스 밤 1210201</t>
        </is>
      </c>
    </row>
    <row r="2620">
      <c r="B2620" s="10" t="n">
        <v>44303</v>
      </c>
      <c r="C2620" s="9" t="inlineStr">
        <is>
          <t>토</t>
        </is>
      </c>
      <c r="E2620" s="9" t="inlineStr">
        <is>
          <t>샴푸</t>
        </is>
      </c>
      <c r="F2620" s="9" t="inlineStr">
        <is>
          <t>카페24</t>
        </is>
      </c>
      <c r="G2620" s="9" t="inlineStr">
        <is>
          <t>[타임특가] 리 : 커버리 6개월 패키지 (샴푸 5+ 트리트먼트 택 1)샴푸 5 + 트리트먼트 택 1=샴푸 5 + 헤어팩 트리트먼트 1</t>
        </is>
      </c>
      <c r="H2620" s="9" t="n">
        <v>1</v>
      </c>
      <c r="I2620" s="9" t="inlineStr">
        <is>
          <t>리바이탈 샴푸5+트리트먼트1</t>
        </is>
      </c>
      <c r="J2620" s="9" t="inlineStr">
        <is>
          <t>210201</t>
        </is>
      </c>
      <c r="L2620" s="9">
        <f>114840</f>
        <v/>
      </c>
      <c r="M2620" s="9">
        <f>114840-(114840/5.85)</f>
        <v/>
      </c>
      <c r="N2620" s="9">
        <f>15922</f>
        <v/>
      </c>
      <c r="O2620" s="9" t="inlineStr">
        <is>
          <t>카페24샴푸[타임특가] 리 : 커버리 6개월 패키지 (샴푸 5+ 트리트먼트 택 1)샴푸 5 + 트리트먼트 택 1=샴푸 5 + 헤어팩 트리트먼트 1210201</t>
        </is>
      </c>
    </row>
    <row r="2621">
      <c r="B2621" s="10" t="n">
        <v>44303</v>
      </c>
      <c r="C2621" s="9" t="inlineStr">
        <is>
          <t>토</t>
        </is>
      </c>
      <c r="E2621" s="9" t="inlineStr">
        <is>
          <t>샴푸</t>
        </is>
      </c>
      <c r="F2621" s="9" t="inlineStr">
        <is>
          <t>카페24</t>
        </is>
      </c>
      <c r="G2621" s="9" t="inlineStr">
        <is>
          <t>[타임특가] 리 : 커버리 온가족 패키지 (샴푸 3+ 헤어팩 트리트먼트 1+뉴트리셔스 밤 1)</t>
        </is>
      </c>
      <c r="H2621" s="9" t="n">
        <v>2</v>
      </c>
      <c r="I2621" s="9" t="inlineStr">
        <is>
          <t>리바이탈 샴푸3+트리트먼트1+뉴트리셔스밤1</t>
        </is>
      </c>
      <c r="J2621" s="9" t="inlineStr">
        <is>
          <t>210201</t>
        </is>
      </c>
      <c r="L2621" s="9">
        <f>94765*2</f>
        <v/>
      </c>
      <c r="M2621" s="9">
        <f>189530-(189530/5.85)</f>
        <v/>
      </c>
      <c r="N2621" s="9">
        <f>11772*2</f>
        <v/>
      </c>
      <c r="O2621" s="9" t="inlineStr">
        <is>
          <t>카페24샴푸[타임특가] 리 : 커버리 온가족 패키지 (샴푸 3+ 헤어팩 트리트먼트 1+뉴트리셔스 밤 1)210201</t>
        </is>
      </c>
    </row>
    <row r="2622">
      <c r="B2622" s="10" t="n">
        <v>44303</v>
      </c>
      <c r="C2622" s="9" t="inlineStr">
        <is>
          <t>토</t>
        </is>
      </c>
      <c r="E2622" s="9" t="inlineStr">
        <is>
          <t>샴푸</t>
        </is>
      </c>
      <c r="F2622" s="9" t="inlineStr">
        <is>
          <t>카페24</t>
        </is>
      </c>
      <c r="G2622" s="9" t="inlineStr">
        <is>
          <t>[타임특가] 리:커버리 스타터 패키지 (샴푸 1+헤어팩 트리트먼트 1+ 뉴트리셔스 밤 1)</t>
        </is>
      </c>
      <c r="H2622" s="9" t="n">
        <v>29</v>
      </c>
      <c r="I2622" s="9" t="inlineStr">
        <is>
          <t>리바이탈 샴푸1+트리트먼트1+뉴트리셔스밤1</t>
        </is>
      </c>
      <c r="J2622" s="9" t="inlineStr">
        <is>
          <t>210201</t>
        </is>
      </c>
      <c r="L2622" s="9">
        <f>39897*29</f>
        <v/>
      </c>
      <c r="M2622" s="9">
        <f>1157013-(1157013/5.85)</f>
        <v/>
      </c>
      <c r="N2622" s="9">
        <f>(2865+1580+1597)*29</f>
        <v/>
      </c>
      <c r="O2622" s="9" t="inlineStr">
        <is>
          <t>카페24샴푸[타임특가] 리:커버리 스타터 패키지 (샴푸 1+헤어팩 트리트먼트 1+ 뉴트리셔스 밤 1)210201</t>
        </is>
      </c>
    </row>
    <row r="2623">
      <c r="B2623" s="10" t="n">
        <v>44303</v>
      </c>
      <c r="C2623" s="9" t="inlineStr">
        <is>
          <t>토</t>
        </is>
      </c>
      <c r="E2623" s="9" t="inlineStr">
        <is>
          <t>샴푸</t>
        </is>
      </c>
      <c r="F2623" s="9" t="inlineStr">
        <is>
          <t>카페24</t>
        </is>
      </c>
      <c r="G2623" s="9" t="inlineStr">
        <is>
          <t>[탈모케어] 라베나 리커버리 15 리바이탈 샴푸 [HAIR RÉ:COVERY 15 Revital Shampoo]제품선택=헤어 리커버리 15 리바이탈 샴푸 - 500ml</t>
        </is>
      </c>
      <c r="H2623" s="9" t="n">
        <v>1</v>
      </c>
      <c r="I2623" s="9" t="inlineStr">
        <is>
          <t>리바이탈 샴푸</t>
        </is>
      </c>
      <c r="J2623" s="9" t="inlineStr">
        <is>
          <t>210201</t>
        </is>
      </c>
      <c r="L2623" s="9" t="n">
        <v>26900</v>
      </c>
      <c r="M2623" s="9">
        <f>26900-(26900/5.85)</f>
        <v/>
      </c>
      <c r="N2623" s="9" t="n">
        <v>2865</v>
      </c>
      <c r="O2623" s="9" t="inlineStr">
        <is>
          <t>카페24샴푸[탈모케어] 라베나 리커버리 15 리바이탈 샴푸 [HAIR RÉ:COVERY 15 Revital Shampoo]제품선택=헤어 리커버리 15 리바이탈 샴푸 - 500ml210201</t>
        </is>
      </c>
    </row>
    <row r="2624">
      <c r="B2624" s="10" t="n">
        <v>44303</v>
      </c>
      <c r="C2624" s="9" t="inlineStr">
        <is>
          <t>토</t>
        </is>
      </c>
      <c r="E2624" s="9" t="inlineStr">
        <is>
          <t>샴푸</t>
        </is>
      </c>
      <c r="F2624" s="9" t="inlineStr">
        <is>
          <t>카페24</t>
        </is>
      </c>
      <c r="G2624" s="9" t="inlineStr">
        <is>
          <t>[탈모케어] 라베나 리커버리 15 리바이탈 샴푸 [HAIR RÉ:COVERY 15 Revital Shampoo]제품선택=리바이탈 샴푸 2개 세트 5%추가할인</t>
        </is>
      </c>
      <c r="H2624" s="9" t="n">
        <v>1</v>
      </c>
      <c r="I2624" s="9" t="inlineStr">
        <is>
          <t>리바이탈 샴푸 2set</t>
        </is>
      </c>
      <c r="J2624" s="9" t="inlineStr">
        <is>
          <t>210201</t>
        </is>
      </c>
      <c r="L2624" s="9" t="n">
        <v>51110</v>
      </c>
      <c r="M2624" s="9">
        <f>51110-(51110/5.85)</f>
        <v/>
      </c>
      <c r="N2624" s="9">
        <f>2865*2</f>
        <v/>
      </c>
      <c r="O2624" s="9" t="inlineStr">
        <is>
          <t>카페24샴푸[탈모케어] 라베나 리커버리 15 리바이탈 샴푸 [HAIR RÉ:COVERY 15 Revital Shampoo]제품선택=리바이탈 샴푸 2개 세트 5%추가할인210201</t>
        </is>
      </c>
    </row>
    <row r="2625">
      <c r="B2625" s="10" t="n">
        <v>44303</v>
      </c>
      <c r="C2625" s="9" t="inlineStr">
        <is>
          <t>토</t>
        </is>
      </c>
      <c r="E2625" s="9" t="inlineStr">
        <is>
          <t>뉴트리셔스밤</t>
        </is>
      </c>
      <c r="F2625" s="9" t="inlineStr">
        <is>
          <t>카페24</t>
        </is>
      </c>
      <c r="G2625" s="9" t="inlineStr">
        <is>
          <t>라베나 리커버리 15 뉴트리셔스 밤 [HAIR RÉ:COVERY 15 Nutritious Balm]제품선택=헤어 리커버리 15 뉴트리셔스 밤</t>
        </is>
      </c>
      <c r="H2625" s="9" t="n">
        <v>1</v>
      </c>
      <c r="I2625" s="9" t="inlineStr">
        <is>
          <t>뉴트리셔스밤</t>
        </is>
      </c>
      <c r="J2625" s="9" t="inlineStr">
        <is>
          <t>210201</t>
        </is>
      </c>
      <c r="L2625" s="9" t="n">
        <v>24900</v>
      </c>
      <c r="M2625" s="9" t="n">
        <v>23443.35</v>
      </c>
      <c r="N2625" s="9" t="n">
        <v>1580</v>
      </c>
      <c r="O2625" s="9" t="inlineStr">
        <is>
          <t>카페24뉴트리셔스밤라베나 리커버리 15 뉴트리셔스 밤 [HAIR RÉ:COVERY 15 Nutritious Balm]제품선택=헤어 리커버리 15 뉴트리셔스 밤210201</t>
        </is>
      </c>
    </row>
    <row r="2626">
      <c r="B2626" s="10" t="n">
        <v>44303</v>
      </c>
      <c r="C2626" s="9" t="inlineStr">
        <is>
          <t>토</t>
        </is>
      </c>
      <c r="E2626" s="9" t="inlineStr">
        <is>
          <t>뉴트리셔스밤</t>
        </is>
      </c>
      <c r="F2626" s="9" t="inlineStr">
        <is>
          <t>카페24</t>
        </is>
      </c>
      <c r="G2626" s="9" t="inlineStr">
        <is>
          <t>라베나 리커버리 15 뉴트리셔스 밤 [HAIR RÉ:COVERY 15 Nutritious Balm]제품선택=뉴트리셔스 밤 2개 세트 5% 추가할인</t>
        </is>
      </c>
      <c r="H2626" s="9" t="n">
        <v>2</v>
      </c>
      <c r="I2626" s="9" t="inlineStr">
        <is>
          <t>뉴트리셔스밤 2set</t>
        </is>
      </c>
      <c r="J2626" s="9" t="inlineStr">
        <is>
          <t>210201</t>
        </is>
      </c>
      <c r="L2626" s="9" t="n">
        <v>94620</v>
      </c>
      <c r="M2626" s="9" t="n">
        <v>89084.73</v>
      </c>
      <c r="N2626" s="9" t="n">
        <v>6320</v>
      </c>
      <c r="O2626" s="9" t="inlineStr">
        <is>
          <t>카페24뉴트리셔스밤라베나 리커버리 15 뉴트리셔스 밤 [HAIR RÉ:COVERY 15 Nutritious Balm]제품선택=뉴트리셔스 밤 2개 세트 5% 추가할인210201</t>
        </is>
      </c>
    </row>
    <row r="2627">
      <c r="B2627" s="10" t="n">
        <v>44303</v>
      </c>
      <c r="C2627" s="9" t="inlineStr">
        <is>
          <t>토</t>
        </is>
      </c>
      <c r="E2627" s="9" t="inlineStr">
        <is>
          <t>뉴트리셔스밤</t>
        </is>
      </c>
      <c r="F2627" s="9" t="inlineStr">
        <is>
          <t>카페24</t>
        </is>
      </c>
      <c r="G2627" s="9" t="inlineStr">
        <is>
          <t>라베나 리커버리 15 뉴트리셔스 밤 [HAIR RÉ:COVERY 15 Nutritious Balm]제품선택=뉴트리셔스 밤 3개 세트 10% 추가할인</t>
        </is>
      </c>
      <c r="H2627" s="9" t="n">
        <v>1</v>
      </c>
      <c r="I2627" s="9" t="inlineStr">
        <is>
          <t>뉴트리셔스밤 3set</t>
        </is>
      </c>
      <c r="J2627" s="9" t="inlineStr">
        <is>
          <t>210201</t>
        </is>
      </c>
      <c r="L2627" s="9" t="n">
        <v>67230</v>
      </c>
      <c r="M2627" s="9" t="n">
        <v>63297.045</v>
      </c>
      <c r="N2627" s="9" t="n">
        <v>4740</v>
      </c>
      <c r="O2627" s="9" t="inlineStr">
        <is>
          <t>카페24뉴트리셔스밤라베나 리커버리 15 뉴트리셔스 밤 [HAIR RÉ:COVERY 15 Nutritious Balm]제품선택=뉴트리셔스 밤 3개 세트 10% 추가할인210201</t>
        </is>
      </c>
    </row>
    <row r="2628">
      <c r="B2628" s="10" t="n">
        <v>44303</v>
      </c>
      <c r="C2628" s="9" t="inlineStr">
        <is>
          <t>토</t>
        </is>
      </c>
      <c r="E2628" s="9" t="inlineStr">
        <is>
          <t>샴푸</t>
        </is>
      </c>
      <c r="F2628" s="9" t="inlineStr">
        <is>
          <t>카페24</t>
        </is>
      </c>
      <c r="G2628" s="9" t="inlineStr">
        <is>
          <t>라베나 리커버리 15 리바이탈 바이오플라보노이드샴푸 [HAIR RÉ:COVERY 15 Revital Shampoo]제품선택=헤어 리커버리 15 리바이탈 샴푸 - 500ml</t>
        </is>
      </c>
      <c r="H2628" s="9" t="n">
        <v>132</v>
      </c>
      <c r="I2628" s="9" t="inlineStr">
        <is>
          <t>리바이탈 샴푸</t>
        </is>
      </c>
      <c r="J2628" s="9" t="inlineStr">
        <is>
          <t>210201</t>
        </is>
      </c>
      <c r="L2628" s="9" t="n">
        <v>3550800</v>
      </c>
      <c r="M2628" s="9" t="n">
        <v>3343078.2</v>
      </c>
      <c r="N2628" s="9" t="n">
        <v>378180</v>
      </c>
      <c r="O2628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629">
      <c r="B2629" s="10" t="n">
        <v>44303</v>
      </c>
      <c r="C2629" s="9" t="inlineStr">
        <is>
          <t>토</t>
        </is>
      </c>
      <c r="E2629" s="9" t="inlineStr">
        <is>
          <t>샴푸</t>
        </is>
      </c>
      <c r="F2629" s="9" t="inlineStr">
        <is>
          <t>카페24</t>
        </is>
      </c>
      <c r="G2629" s="9" t="inlineStr">
        <is>
          <t>라베나 리커버리 15 리바이탈 바이오플라보노이드샴푸 [HAIR RÉ:COVERY 15 Revital Shampoo]제품선택=리바이탈 샴푸 2개 세트 5%추가할인</t>
        </is>
      </c>
      <c r="H2629" s="9" t="n">
        <v>22</v>
      </c>
      <c r="I2629" s="9" t="inlineStr">
        <is>
          <t>리바이탈 샴푸 2set</t>
        </is>
      </c>
      <c r="J2629" s="9" t="inlineStr">
        <is>
          <t>210201</t>
        </is>
      </c>
      <c r="L2629" s="9" t="n">
        <v>1124420</v>
      </c>
      <c r="M2629" s="9" t="n">
        <v>1058641.43</v>
      </c>
      <c r="N2629" s="9" t="n">
        <v>126060</v>
      </c>
      <c r="O2629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630">
      <c r="B2630" s="10" t="n">
        <v>44303</v>
      </c>
      <c r="C2630" s="9" t="inlineStr">
        <is>
          <t>토</t>
        </is>
      </c>
      <c r="E2630" s="9" t="inlineStr">
        <is>
          <t>샴푸</t>
        </is>
      </c>
      <c r="F2630" s="9" t="inlineStr">
        <is>
          <t>카페24</t>
        </is>
      </c>
      <c r="G2630" s="9" t="inlineStr">
        <is>
          <t>라베나 리커버리 15 리바이탈 바이오플라보노이드샴푸 [HAIR RÉ:COVERY 15 Revital Shampoo]제품선택=리바이탈 샴푸 3개 세트 10% 추가할인</t>
        </is>
      </c>
      <c r="H2630" s="9" t="n">
        <v>12</v>
      </c>
      <c r="I2630" s="9" t="inlineStr">
        <is>
          <t>리바이탈 샴푸 3set</t>
        </is>
      </c>
      <c r="J2630" s="9" t="inlineStr">
        <is>
          <t>210201</t>
        </is>
      </c>
      <c r="L2630" s="9" t="n">
        <v>871560</v>
      </c>
      <c r="M2630" s="9" t="n">
        <v>820573.74</v>
      </c>
      <c r="N2630" s="9" t="n">
        <v>103140</v>
      </c>
      <c r="O2630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631">
      <c r="B2631" s="10" t="n">
        <v>44303</v>
      </c>
      <c r="C2631" s="9" t="inlineStr">
        <is>
          <t>토</t>
        </is>
      </c>
      <c r="E2631" s="9" t="inlineStr">
        <is>
          <t>트리트먼트</t>
        </is>
      </c>
      <c r="F2631" s="9" t="inlineStr">
        <is>
          <t>카페24</t>
        </is>
      </c>
      <c r="G2631" s="9" t="inlineStr">
        <is>
          <t>라베나 리커버리 15 헤어팩 트리트먼트 [HAIR RÉ:COVERY 15 Hairpack Treatment]제품선택=헤어 리커버리 15 헤어팩 트리트먼트</t>
        </is>
      </c>
      <c r="H2631" s="9" t="n">
        <v>1</v>
      </c>
      <c r="I2631" s="9" t="inlineStr">
        <is>
          <t>트리트먼트</t>
        </is>
      </c>
      <c r="J2631" s="9" t="inlineStr">
        <is>
          <t>210201</t>
        </is>
      </c>
      <c r="L2631" s="9" t="n">
        <v>26000</v>
      </c>
      <c r="M2631" s="9" t="n">
        <v>24479</v>
      </c>
      <c r="N2631" s="9" t="n">
        <v>1597</v>
      </c>
      <c r="O2631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632">
      <c r="B2632" s="10" t="n">
        <v>44303</v>
      </c>
      <c r="C2632" s="9" t="inlineStr">
        <is>
          <t>토</t>
        </is>
      </c>
      <c r="E2632" s="9" t="inlineStr">
        <is>
          <t>트리트먼트</t>
        </is>
      </c>
      <c r="F2632" s="9" t="inlineStr">
        <is>
          <t>카페24</t>
        </is>
      </c>
      <c r="G2632" s="9" t="inlineStr">
        <is>
          <t>라베나 리커버리 15 헤어팩 트리트먼트 [HAIR RÉ:COVERY 15 Hairpack Treatment]제품선택=헤어팩 트리트먼트 2개 세트 5% 추가할인</t>
        </is>
      </c>
      <c r="H2632" s="9" t="n">
        <v>1</v>
      </c>
      <c r="I2632" s="9" t="inlineStr">
        <is>
          <t>트리트먼트 2set</t>
        </is>
      </c>
      <c r="J2632" s="9" t="inlineStr">
        <is>
          <t>210201</t>
        </is>
      </c>
      <c r="L2632" s="9" t="n">
        <v>49400</v>
      </c>
      <c r="M2632" s="9" t="n">
        <v>46510.1</v>
      </c>
      <c r="N2632" s="9" t="n">
        <v>3194</v>
      </c>
      <c r="O2632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633">
      <c r="B2633" s="10" t="n">
        <v>44303</v>
      </c>
      <c r="C2633" s="9" t="inlineStr">
        <is>
          <t>토</t>
        </is>
      </c>
      <c r="E2633" s="9" t="inlineStr">
        <is>
          <t>트리트먼트</t>
        </is>
      </c>
      <c r="F2633" s="9" t="inlineStr">
        <is>
          <t>카페24</t>
        </is>
      </c>
      <c r="G2633" s="9" t="inlineStr">
        <is>
          <t>라베나 리커버리 15 헤어팩 트리트먼트 [HAIR RÉ:COVERY 15 Hairpack Treatment]제품선택=헤어팩 트리트먼트 1개 + 뉴트리셔스밤 1개 세트 5% 추가할인</t>
        </is>
      </c>
      <c r="H2633" s="9" t="n">
        <v>1</v>
      </c>
      <c r="I2633" s="9" t="inlineStr">
        <is>
          <t>트리트먼트+뉴트리셔스밤</t>
        </is>
      </c>
      <c r="J2633" s="9" t="inlineStr">
        <is>
          <t>210201</t>
        </is>
      </c>
      <c r="L2633" s="9" t="n">
        <v>48355</v>
      </c>
      <c r="M2633" s="9" t="n">
        <v>45526.2325</v>
      </c>
      <c r="N2633" s="9" t="n">
        <v>3177</v>
      </c>
      <c r="O2633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634">
      <c r="B2634" s="10" t="n">
        <v>44304</v>
      </c>
      <c r="C2634" s="9" t="inlineStr">
        <is>
          <t>일</t>
        </is>
      </c>
      <c r="E2634" s="9" t="inlineStr">
        <is>
          <t>샴푸</t>
        </is>
      </c>
      <c r="F2634" s="9" t="inlineStr">
        <is>
          <t>카페24</t>
        </is>
      </c>
      <c r="G2634" s="9" t="inlineStr">
        <is>
          <t>[타임특가] 리 : 커버리 3개월 패키지 (샴푸 2+ 트리트먼트 택 1)샴푸2 + 트리트먼트 택 1=샴푸2 + 뉴트리셔스 밤1</t>
        </is>
      </c>
      <c r="H2634" s="9" t="n">
        <v>1</v>
      </c>
      <c r="I2634" s="9" t="inlineStr">
        <is>
          <t>리바이탈 샴푸2+뉴트리셔스밤1</t>
        </is>
      </c>
      <c r="J2634" s="9" t="inlineStr">
        <is>
          <t>210201</t>
        </is>
      </c>
      <c r="L2634" s="9">
        <f>62280</f>
        <v/>
      </c>
      <c r="M2634" s="9">
        <f>62280-(62280/5.85)</f>
        <v/>
      </c>
      <c r="N2634" s="9">
        <f>7310</f>
        <v/>
      </c>
      <c r="O2634" s="9" t="inlineStr">
        <is>
          <t>카페24샴푸[타임특가] 리 : 커버리 3개월 패키지 (샴푸 2+ 트리트먼트 택 1)샴푸2 + 트리트먼트 택 1=샴푸2 + 뉴트리셔스 밤1210201</t>
        </is>
      </c>
    </row>
    <row r="2635">
      <c r="B2635" s="10" t="n">
        <v>44304</v>
      </c>
      <c r="C2635" s="9" t="inlineStr">
        <is>
          <t>일</t>
        </is>
      </c>
      <c r="E2635" s="9" t="inlineStr">
        <is>
          <t>샴푸</t>
        </is>
      </c>
      <c r="F2635" s="9" t="inlineStr">
        <is>
          <t>카페24</t>
        </is>
      </c>
      <c r="G2635" s="9" t="inlineStr">
        <is>
          <t>[타임특가] 리 : 커버리 3개월 패키지 (샴푸 2+ 트리트먼트 택 1)샴푸2 + 트리트먼트 택 1=샴푸2 + 헤어팩 트리트먼트1</t>
        </is>
      </c>
      <c r="H2635" s="9" t="n">
        <v>7</v>
      </c>
      <c r="I2635" s="9" t="inlineStr">
        <is>
          <t>리바이탈 샴푸2+트리트먼트1</t>
        </is>
      </c>
      <c r="J2635" s="9" t="inlineStr">
        <is>
          <t>210201</t>
        </is>
      </c>
      <c r="L2635" s="9">
        <f>62280*7</f>
        <v/>
      </c>
      <c r="M2635" s="9">
        <f>435960-(435960/5.85)</f>
        <v/>
      </c>
      <c r="N2635" s="9">
        <f>7327*7</f>
        <v/>
      </c>
      <c r="O2635" s="9" t="inlineStr">
        <is>
          <t>카페24샴푸[타임특가] 리 : 커버리 3개월 패키지 (샴푸 2+ 트리트먼트 택 1)샴푸2 + 트리트먼트 택 1=샴푸2 + 헤어팩 트리트먼트1210201</t>
        </is>
      </c>
    </row>
    <row r="2636">
      <c r="B2636" s="10" t="n">
        <v>44304</v>
      </c>
      <c r="C2636" s="9" t="inlineStr">
        <is>
          <t>일</t>
        </is>
      </c>
      <c r="E2636" s="9" t="inlineStr">
        <is>
          <t>샴푸</t>
        </is>
      </c>
      <c r="F2636" s="9" t="inlineStr">
        <is>
          <t>카페24</t>
        </is>
      </c>
      <c r="G2636" s="9" t="inlineStr">
        <is>
          <t>[타임특가] 리 : 커버리 6개월 패키지 (샴푸 5+ 트리트먼트 택 1)샴푸 5 + 트리트먼트 택 1=샴푸 5 + 헤어팩 트리트먼트 1</t>
        </is>
      </c>
      <c r="H2636" s="9" t="n">
        <v>1</v>
      </c>
      <c r="I2636" s="9" t="inlineStr">
        <is>
          <t>리바이탈 샴푸5+트리트먼트1</t>
        </is>
      </c>
      <c r="J2636" s="9" t="inlineStr">
        <is>
          <t>210201</t>
        </is>
      </c>
      <c r="L2636" s="9">
        <f>114840</f>
        <v/>
      </c>
      <c r="M2636" s="9">
        <f>114840-(114840/5.85)</f>
        <v/>
      </c>
      <c r="N2636" s="9">
        <f>15922</f>
        <v/>
      </c>
      <c r="O2636" s="9" t="inlineStr">
        <is>
          <t>카페24샴푸[타임특가] 리 : 커버리 6개월 패키지 (샴푸 5+ 트리트먼트 택 1)샴푸 5 + 트리트먼트 택 1=샴푸 5 + 헤어팩 트리트먼트 1210201</t>
        </is>
      </c>
    </row>
    <row r="2637">
      <c r="B2637" s="10" t="n">
        <v>44304</v>
      </c>
      <c r="C2637" s="9" t="inlineStr">
        <is>
          <t>일</t>
        </is>
      </c>
      <c r="E2637" s="9" t="inlineStr">
        <is>
          <t>샴푸</t>
        </is>
      </c>
      <c r="F2637" s="9" t="inlineStr">
        <is>
          <t>카페24</t>
        </is>
      </c>
      <c r="G2637" s="9" t="inlineStr">
        <is>
          <t>[타임특가] 리:커버리 스타터 패키지 (샴푸 1+헤어팩 트리트먼트 1+ 뉴트리셔스 밤 1)</t>
        </is>
      </c>
      <c r="H2637" s="9" t="n">
        <v>29</v>
      </c>
      <c r="I2637" s="9" t="inlineStr">
        <is>
          <t>리바이탈 샴푸1+트리트먼트1+뉴트리셔스밤1</t>
        </is>
      </c>
      <c r="J2637" s="9" t="inlineStr">
        <is>
          <t>210201</t>
        </is>
      </c>
      <c r="L2637" s="9">
        <f>39897*29</f>
        <v/>
      </c>
      <c r="M2637" s="9">
        <f>1157013-(1157013/5.85)</f>
        <v/>
      </c>
      <c r="N2637" s="9">
        <f>(2865+1580+1597)*29</f>
        <v/>
      </c>
      <c r="O2637" s="9" t="inlineStr">
        <is>
          <t>카페24샴푸[타임특가] 리:커버리 스타터 패키지 (샴푸 1+헤어팩 트리트먼트 1+ 뉴트리셔스 밤 1)210201</t>
        </is>
      </c>
    </row>
    <row r="2638">
      <c r="B2638" s="10" t="n">
        <v>44304</v>
      </c>
      <c r="C2638" s="9" t="inlineStr">
        <is>
          <t>일</t>
        </is>
      </c>
      <c r="E2638" s="9" t="inlineStr">
        <is>
          <t>샴푸</t>
        </is>
      </c>
      <c r="F2638" s="9" t="inlineStr">
        <is>
          <t>카페24</t>
        </is>
      </c>
      <c r="G2638" s="9" t="inlineStr">
        <is>
          <t>[탈모케어] 라베나 리커버리 15 리바이탈 샴푸 [HAIR RÉ:COVERY 15 Revital Shampoo]제품선택=헤어 리커버리 15 리바이탈 샴푸 - 500ml</t>
        </is>
      </c>
      <c r="H2638" s="9" t="n">
        <v>1</v>
      </c>
      <c r="I2638" s="9" t="inlineStr">
        <is>
          <t>리바이탈 샴푸</t>
        </is>
      </c>
      <c r="J2638" s="9" t="inlineStr">
        <is>
          <t>210201</t>
        </is>
      </c>
      <c r="L2638" s="9" t="n">
        <v>26900</v>
      </c>
      <c r="M2638" s="9">
        <f>26900-(26900/5.85)</f>
        <v/>
      </c>
      <c r="N2638" s="9" t="n">
        <v>2865</v>
      </c>
      <c r="O2638" s="9" t="inlineStr">
        <is>
          <t>카페24샴푸[탈모케어] 라베나 리커버리 15 리바이탈 샴푸 [HAIR RÉ:COVERY 15 Revital Shampoo]제품선택=헤어 리커버리 15 리바이탈 샴푸 - 500ml210201</t>
        </is>
      </c>
    </row>
    <row r="2639">
      <c r="B2639" s="10" t="n">
        <v>44304</v>
      </c>
      <c r="C2639" s="9" t="inlineStr">
        <is>
          <t>일</t>
        </is>
      </c>
      <c r="E2639" s="9" t="inlineStr">
        <is>
          <t>샴푸</t>
        </is>
      </c>
      <c r="F2639" s="9" t="inlineStr">
        <is>
          <t>카페24</t>
        </is>
      </c>
      <c r="G2639" s="9" t="inlineStr">
        <is>
          <t>[탈모케어] 라베나 리커버리 15 리바이탈 샴푸 [HAIR RÉ:COVERY 15 Revital Shampoo]제품선택=리바이탈 샴푸 2개 세트 5%추가할인</t>
        </is>
      </c>
      <c r="H2639" s="9" t="n">
        <v>1</v>
      </c>
      <c r="I2639" s="9" t="inlineStr">
        <is>
          <t>리바이탈 샴푸 2set</t>
        </is>
      </c>
      <c r="J2639" s="9" t="inlineStr">
        <is>
          <t>210201</t>
        </is>
      </c>
      <c r="L2639" s="9" t="n">
        <v>51110</v>
      </c>
      <c r="M2639" s="9">
        <f>51110-(51110/5.85)</f>
        <v/>
      </c>
      <c r="N2639" s="9">
        <f>2865*2</f>
        <v/>
      </c>
      <c r="O2639" s="9" t="inlineStr">
        <is>
          <t>카페24샴푸[탈모케어] 라베나 리커버리 15 리바이탈 샴푸 [HAIR RÉ:COVERY 15 Revital Shampoo]제품선택=리바이탈 샴푸 2개 세트 5%추가할인210201</t>
        </is>
      </c>
    </row>
    <row r="2640">
      <c r="B2640" s="10" t="n">
        <v>44304</v>
      </c>
      <c r="C2640" s="9" t="inlineStr">
        <is>
          <t>일</t>
        </is>
      </c>
      <c r="E2640" s="9" t="inlineStr">
        <is>
          <t>뉴트리셔스밤</t>
        </is>
      </c>
      <c r="F2640" s="9" t="inlineStr">
        <is>
          <t>카페24</t>
        </is>
      </c>
      <c r="G2640" s="9" t="inlineStr">
        <is>
          <t>라베나 리커버리 15 뉴트리셔스 밤 [HAIR RÉ:COVERY 15 Nutritious Balm]제품선택=헤어 리커버리 15 뉴트리셔스 밤</t>
        </is>
      </c>
      <c r="H2640" s="9" t="n">
        <v>2</v>
      </c>
      <c r="I2640" s="9" t="inlineStr">
        <is>
          <t>뉴트리셔스밤</t>
        </is>
      </c>
      <c r="J2640" s="9" t="inlineStr">
        <is>
          <t>210201</t>
        </is>
      </c>
      <c r="L2640" s="9" t="n">
        <v>49800</v>
      </c>
      <c r="M2640" s="9" t="n">
        <v>46886.7</v>
      </c>
      <c r="N2640" s="9" t="n">
        <v>3160</v>
      </c>
      <c r="O2640" s="9" t="inlineStr">
        <is>
          <t>카페24뉴트리셔스밤라베나 리커버리 15 뉴트리셔스 밤 [HAIR RÉ:COVERY 15 Nutritious Balm]제품선택=헤어 리커버리 15 뉴트리셔스 밤210201</t>
        </is>
      </c>
    </row>
    <row r="2641">
      <c r="B2641" s="10" t="n">
        <v>44304</v>
      </c>
      <c r="C2641" s="9" t="inlineStr">
        <is>
          <t>일</t>
        </is>
      </c>
      <c r="E2641" s="9" t="inlineStr">
        <is>
          <t>뉴트리셔스밤</t>
        </is>
      </c>
      <c r="F2641" s="9" t="inlineStr">
        <is>
          <t>카페24</t>
        </is>
      </c>
      <c r="G2641" s="9" t="inlineStr">
        <is>
          <t>라베나 리커버리 15 뉴트리셔스 밤 [HAIR RÉ:COVERY 15 Nutritious Balm]제품선택=뉴트리셔스 밤 2개 세트 5% 추가할인</t>
        </is>
      </c>
      <c r="H2641" s="9" t="n">
        <v>2</v>
      </c>
      <c r="I2641" s="9" t="inlineStr">
        <is>
          <t>뉴트리셔스밤 2set</t>
        </is>
      </c>
      <c r="J2641" s="9" t="inlineStr">
        <is>
          <t>210201</t>
        </is>
      </c>
      <c r="L2641" s="9" t="n">
        <v>94620</v>
      </c>
      <c r="M2641" s="9" t="n">
        <v>89084.73</v>
      </c>
      <c r="N2641" s="9" t="n">
        <v>6320</v>
      </c>
      <c r="O2641" s="9" t="inlineStr">
        <is>
          <t>카페24뉴트리셔스밤라베나 리커버리 15 뉴트리셔스 밤 [HAIR RÉ:COVERY 15 Nutritious Balm]제품선택=뉴트리셔스 밤 2개 세트 5% 추가할인210201</t>
        </is>
      </c>
    </row>
    <row r="2642">
      <c r="B2642" s="10" t="n">
        <v>44304</v>
      </c>
      <c r="C2642" s="9" t="inlineStr">
        <is>
          <t>일</t>
        </is>
      </c>
      <c r="E2642" s="9" t="inlineStr">
        <is>
          <t>뉴트리셔스밤</t>
        </is>
      </c>
      <c r="F2642" s="9" t="inlineStr">
        <is>
          <t>카페24</t>
        </is>
      </c>
      <c r="G2642" s="9" t="inlineStr">
        <is>
          <t>라베나 리커버리 15 뉴트리셔스 밤 [HAIR RÉ:COVERY 15 Nutritious Balm]제품선택=뉴트리셔스밤 1개 + 헤어팩 트리트먼트 1개 세트 5%추가할인</t>
        </is>
      </c>
      <c r="H2642" s="9" t="n">
        <v>4</v>
      </c>
      <c r="I2642" s="9" t="inlineStr">
        <is>
          <t>트리트먼트+뉴트리셔스밤</t>
        </is>
      </c>
      <c r="J2642" s="9" t="inlineStr">
        <is>
          <t>210201</t>
        </is>
      </c>
      <c r="L2642" s="9" t="n">
        <v>193420</v>
      </c>
      <c r="M2642" s="9" t="n">
        <v>182104.93</v>
      </c>
      <c r="N2642" s="9" t="n">
        <v>12708</v>
      </c>
      <c r="O2642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643">
      <c r="B2643" s="10" t="n">
        <v>44304</v>
      </c>
      <c r="C2643" s="9" t="inlineStr">
        <is>
          <t>일</t>
        </is>
      </c>
      <c r="E2643" s="9" t="inlineStr">
        <is>
          <t>샴푸</t>
        </is>
      </c>
      <c r="F2643" s="9" t="inlineStr">
        <is>
          <t>카페24</t>
        </is>
      </c>
      <c r="G2643" s="9" t="inlineStr">
        <is>
          <t>라베나 리커버리 15 리바이탈 바이오플라보노이드샴푸 [HAIR RÉ:COVERY 15 Revital Shampoo]제품선택=헤어 리커버리 15 리바이탈 샴푸 - 500ml</t>
        </is>
      </c>
      <c r="H2643" s="9" t="n">
        <v>114</v>
      </c>
      <c r="I2643" s="9" t="inlineStr">
        <is>
          <t>리바이탈 샴푸</t>
        </is>
      </c>
      <c r="J2643" s="9" t="inlineStr">
        <is>
          <t>210201</t>
        </is>
      </c>
      <c r="L2643" s="9" t="n">
        <v>3066600</v>
      </c>
      <c r="M2643" s="9" t="n">
        <v>2887203.9</v>
      </c>
      <c r="N2643" s="9" t="n">
        <v>326610</v>
      </c>
      <c r="O264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644">
      <c r="B2644" s="10" t="n">
        <v>44304</v>
      </c>
      <c r="C2644" s="9" t="inlineStr">
        <is>
          <t>일</t>
        </is>
      </c>
      <c r="E2644" s="9" t="inlineStr">
        <is>
          <t>샴푸</t>
        </is>
      </c>
      <c r="F2644" s="9" t="inlineStr">
        <is>
          <t>카페24</t>
        </is>
      </c>
      <c r="G2644" s="9" t="inlineStr">
        <is>
          <t>라베나 리커버리 15 리바이탈 바이오플라보노이드샴푸 [HAIR RÉ:COVERY 15 Revital Shampoo]제품선택=리바이탈 샴푸 2개 세트 5%추가할인</t>
        </is>
      </c>
      <c r="H2644" s="9" t="n">
        <v>34</v>
      </c>
      <c r="I2644" s="9" t="inlineStr">
        <is>
          <t>리바이탈 샴푸 2set</t>
        </is>
      </c>
      <c r="J2644" s="9" t="inlineStr">
        <is>
          <t>210201</t>
        </is>
      </c>
      <c r="L2644" s="9" t="n">
        <v>1737740</v>
      </c>
      <c r="M2644" s="9" t="n">
        <v>1636082.21</v>
      </c>
      <c r="N2644" s="9" t="n">
        <v>194820</v>
      </c>
      <c r="O264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645">
      <c r="B2645" s="10" t="n">
        <v>44304</v>
      </c>
      <c r="C2645" s="9" t="inlineStr">
        <is>
          <t>일</t>
        </is>
      </c>
      <c r="E2645" s="9" t="inlineStr">
        <is>
          <t>샴푸</t>
        </is>
      </c>
      <c r="F2645" s="9" t="inlineStr">
        <is>
          <t>카페24</t>
        </is>
      </c>
      <c r="G2645" s="9" t="inlineStr">
        <is>
          <t>라베나 리커버리 15 리바이탈 바이오플라보노이드샴푸 [HAIR RÉ:COVERY 15 Revital Shampoo]제품선택=리바이탈 샴푸 3개 세트 10% 추가할인</t>
        </is>
      </c>
      <c r="H2645" s="9" t="n">
        <v>16</v>
      </c>
      <c r="I2645" s="9" t="inlineStr">
        <is>
          <t>리바이탈 샴푸 3set</t>
        </is>
      </c>
      <c r="J2645" s="9" t="inlineStr">
        <is>
          <t>210201</t>
        </is>
      </c>
      <c r="L2645" s="9" t="n">
        <v>1162080</v>
      </c>
      <c r="M2645" s="9" t="n">
        <v>1094098.32</v>
      </c>
      <c r="N2645" s="9" t="n">
        <v>137520</v>
      </c>
      <c r="O264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646">
      <c r="B2646" s="10" t="n">
        <v>44304</v>
      </c>
      <c r="C2646" s="9" t="inlineStr">
        <is>
          <t>일</t>
        </is>
      </c>
      <c r="E2646" s="9" t="inlineStr">
        <is>
          <t>트리트먼트</t>
        </is>
      </c>
      <c r="F2646" s="9" t="inlineStr">
        <is>
          <t>카페24</t>
        </is>
      </c>
      <c r="G2646" s="9" t="inlineStr">
        <is>
          <t>라베나 리커버리 15 헤어팩 트리트먼트 [HAIR RÉ:COVERY 15 Hairpack Treatment]제품선택=헤어 리커버리 15 헤어팩 트리트먼트</t>
        </is>
      </c>
      <c r="H2646" s="9" t="n">
        <v>1</v>
      </c>
      <c r="I2646" s="9" t="inlineStr">
        <is>
          <t>트리트먼트</t>
        </is>
      </c>
      <c r="J2646" s="9" t="inlineStr">
        <is>
          <t>210201</t>
        </is>
      </c>
      <c r="L2646" s="9" t="n">
        <v>26000</v>
      </c>
      <c r="M2646" s="9" t="n">
        <v>24479</v>
      </c>
      <c r="N2646" s="9" t="n">
        <v>1597</v>
      </c>
      <c r="O264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647">
      <c r="A2647" s="9" t="inlineStr">
        <is>
          <t>0419_윤민_샴푸_단장_탈모</t>
        </is>
      </c>
      <c r="B2647" s="10" t="n">
        <v>44305</v>
      </c>
      <c r="C2647" s="9" t="inlineStr">
        <is>
          <t>월</t>
        </is>
      </c>
      <c r="D2647" s="9" t="inlineStr">
        <is>
          <t>페이스북</t>
        </is>
      </c>
      <c r="E2647" s="9" t="inlineStr">
        <is>
          <t>샴푸</t>
        </is>
      </c>
      <c r="K2647" s="9" t="n">
        <v>18844</v>
      </c>
    </row>
    <row r="2648">
      <c r="A2648" s="9" t="inlineStr">
        <is>
          <t>0416_이현_샴푸_단장</t>
        </is>
      </c>
      <c r="B2648" s="10" t="n">
        <v>44305</v>
      </c>
      <c r="C2648" s="9" t="inlineStr">
        <is>
          <t>월</t>
        </is>
      </c>
      <c r="D2648" s="9" t="inlineStr">
        <is>
          <t>페이스북</t>
        </is>
      </c>
      <c r="E2648" s="9" t="inlineStr">
        <is>
          <t>샴푸</t>
        </is>
      </c>
      <c r="K2648" s="9" t="n">
        <v>26898</v>
      </c>
    </row>
    <row r="2649">
      <c r="A2649" s="9" t="inlineStr">
        <is>
          <t>0416_이현_샴푸패키지_단장</t>
        </is>
      </c>
      <c r="B2649" s="10" t="n">
        <v>44305</v>
      </c>
      <c r="C2649" s="9" t="inlineStr">
        <is>
          <t>월</t>
        </is>
      </c>
      <c r="D2649" s="9" t="inlineStr">
        <is>
          <t>페이스북</t>
        </is>
      </c>
      <c r="E2649" s="9" t="inlineStr">
        <is>
          <t>샴푸</t>
        </is>
      </c>
      <c r="K2649" s="9" t="n">
        <v>51562</v>
      </c>
    </row>
    <row r="2650">
      <c r="A2650" s="9" t="inlineStr">
        <is>
          <t>0412_인서_샴푸_단장</t>
        </is>
      </c>
      <c r="B2650" s="10" t="n">
        <v>44305</v>
      </c>
      <c r="C2650" s="9" t="inlineStr">
        <is>
          <t>월</t>
        </is>
      </c>
      <c r="D2650" s="9" t="inlineStr">
        <is>
          <t>페이스북</t>
        </is>
      </c>
      <c r="E2650" s="9" t="inlineStr">
        <is>
          <t>샴푸</t>
        </is>
      </c>
      <c r="K2650" s="9" t="n">
        <v>52385</v>
      </c>
    </row>
    <row r="2651">
      <c r="A2651" s="9" t="inlineStr">
        <is>
          <t>0408~_윤민_샴푸_배너_올인원</t>
        </is>
      </c>
      <c r="B2651" s="10" t="n">
        <v>44305</v>
      </c>
      <c r="C2651" s="9" t="inlineStr">
        <is>
          <t>월</t>
        </is>
      </c>
      <c r="D2651" s="9" t="inlineStr">
        <is>
          <t>페이스북</t>
        </is>
      </c>
      <c r="E2651" s="9" t="inlineStr">
        <is>
          <t>샴푸</t>
        </is>
      </c>
      <c r="K2651" s="9" t="n">
        <v>53650</v>
      </c>
    </row>
    <row r="2652">
      <c r="A2652" s="9" t="inlineStr">
        <is>
          <t>0407_성화_스타터패키지_단장이벤트배너_a/b</t>
        </is>
      </c>
      <c r="B2652" s="10" t="n">
        <v>44305</v>
      </c>
      <c r="C2652" s="9" t="inlineStr">
        <is>
          <t>월</t>
        </is>
      </c>
      <c r="D2652" s="9" t="inlineStr">
        <is>
          <t>페이스북</t>
        </is>
      </c>
      <c r="E2652" s="9" t="inlineStr">
        <is>
          <t>샴푸</t>
        </is>
      </c>
      <c r="K2652" s="9" t="n">
        <v>496300</v>
      </c>
    </row>
    <row r="2653">
      <c r="A2653" s="9" t="inlineStr">
        <is>
          <t>0318~영상기반 단장</t>
        </is>
      </c>
      <c r="B2653" s="10" t="n">
        <v>44305</v>
      </c>
      <c r="C2653" s="9" t="inlineStr">
        <is>
          <t>월</t>
        </is>
      </c>
      <c r="D2653" s="9" t="inlineStr">
        <is>
          <t>페이스북</t>
        </is>
      </c>
      <c r="E2653" s="9" t="inlineStr">
        <is>
          <t>샴푸</t>
        </is>
      </c>
      <c r="K2653" s="9" t="n">
        <v>101206</v>
      </c>
    </row>
    <row r="2654">
      <c r="A2654" s="9" t="inlineStr">
        <is>
          <t>0316~영상베리</t>
        </is>
      </c>
      <c r="B2654" s="10" t="n">
        <v>44305</v>
      </c>
      <c r="C2654" s="9" t="inlineStr">
        <is>
          <t>월</t>
        </is>
      </c>
      <c r="D2654" s="9" t="inlineStr">
        <is>
          <t>페이스북</t>
        </is>
      </c>
      <c r="E2654" s="9" t="inlineStr">
        <is>
          <t>샴푸</t>
        </is>
      </c>
      <c r="K2654" s="9" t="n">
        <v>100743</v>
      </c>
    </row>
    <row r="2655">
      <c r="A2655" s="9" t="inlineStr">
        <is>
          <t>0322_샴푸_GDN_이현1차</t>
        </is>
      </c>
      <c r="B2655" s="10" t="n">
        <v>44305</v>
      </c>
      <c r="C2655" s="9" t="inlineStr">
        <is>
          <t>월</t>
        </is>
      </c>
      <c r="D2655" s="9" t="inlineStr">
        <is>
          <t>GDN</t>
        </is>
      </c>
      <c r="E2655" s="9" t="inlineStr">
        <is>
          <t>샴푸</t>
        </is>
      </c>
      <c r="K2655" s="9" t="n">
        <v>109566</v>
      </c>
    </row>
    <row r="2656">
      <c r="A2656" s="9" t="inlineStr">
        <is>
          <t>0324_샴푸_SDC_CPA</t>
        </is>
      </c>
      <c r="B2656" s="10" t="n">
        <v>44305</v>
      </c>
      <c r="C2656" s="9" t="inlineStr">
        <is>
          <t>월</t>
        </is>
      </c>
      <c r="D2656" s="9" t="inlineStr">
        <is>
          <t>유튜브</t>
        </is>
      </c>
      <c r="E2656" s="9" t="inlineStr">
        <is>
          <t>샴푸</t>
        </is>
      </c>
      <c r="K2656" s="9" t="n">
        <v>1818</v>
      </c>
    </row>
    <row r="2657">
      <c r="A2657" s="9" t="inlineStr">
        <is>
          <t>0324_샴푸_VAC_CPA</t>
        </is>
      </c>
      <c r="B2657" s="10" t="n">
        <v>44305</v>
      </c>
      <c r="C2657" s="9" t="inlineStr">
        <is>
          <t>월</t>
        </is>
      </c>
      <c r="D2657" s="9" t="inlineStr">
        <is>
          <t>유튜브</t>
        </is>
      </c>
      <c r="E2657" s="9" t="inlineStr">
        <is>
          <t>샴푸</t>
        </is>
      </c>
      <c r="K2657" s="9" t="n">
        <v>2567198</v>
      </c>
    </row>
    <row r="2658">
      <c r="A2658" s="9" t="inlineStr">
        <is>
          <t>0329_샴푸_GDN_키워드</t>
        </is>
      </c>
      <c r="B2658" s="10" t="n">
        <v>44305</v>
      </c>
      <c r="C2658" s="9" t="inlineStr">
        <is>
          <t>월</t>
        </is>
      </c>
      <c r="D2658" s="9" t="inlineStr">
        <is>
          <t>GDN</t>
        </is>
      </c>
      <c r="E2658" s="9" t="inlineStr">
        <is>
          <t>샴푸</t>
        </is>
      </c>
      <c r="K2658" s="9" t="n">
        <v>3839</v>
      </c>
    </row>
    <row r="2659">
      <c r="A2659" s="9" t="inlineStr">
        <is>
          <t>0330_샴푸_cpv_200만뷰</t>
        </is>
      </c>
      <c r="B2659" s="10" t="n">
        <v>44305</v>
      </c>
      <c r="C2659" s="9" t="inlineStr">
        <is>
          <t>월</t>
        </is>
      </c>
      <c r="D2659" s="9" t="inlineStr">
        <is>
          <t>유튜브</t>
        </is>
      </c>
      <c r="E2659" s="9" t="inlineStr">
        <is>
          <t>샴푸</t>
        </is>
      </c>
      <c r="K2659" s="9" t="n">
        <v>127438</v>
      </c>
    </row>
    <row r="2660">
      <c r="A2660" s="9" t="inlineStr">
        <is>
          <t>라베나 파워링크_샴푸_광고그룹#1</t>
        </is>
      </c>
      <c r="B2660" s="10" t="n">
        <v>44305</v>
      </c>
      <c r="C2660" s="9" t="inlineStr">
        <is>
          <t>월</t>
        </is>
      </c>
      <c r="D2660" s="9" t="inlineStr">
        <is>
          <t>네이버 검색</t>
        </is>
      </c>
      <c r="E2660" s="9" t="inlineStr">
        <is>
          <t>샴푸</t>
        </is>
      </c>
      <c r="K2660" s="9" t="n">
        <v>1940</v>
      </c>
    </row>
    <row r="2661">
      <c r="A2661" s="9" t="inlineStr">
        <is>
          <t>라베나 파워링크_샴푸#1_유튜브키워드기반</t>
        </is>
      </c>
      <c r="B2661" s="10" t="n">
        <v>44305</v>
      </c>
      <c r="C2661" s="9" t="inlineStr">
        <is>
          <t>월</t>
        </is>
      </c>
      <c r="D2661" s="9" t="inlineStr">
        <is>
          <t>네이버 검색</t>
        </is>
      </c>
      <c r="E2661" s="9" t="inlineStr">
        <is>
          <t>샴푸</t>
        </is>
      </c>
      <c r="K2661" s="9" t="n">
        <v>8270</v>
      </c>
    </row>
    <row r="2662">
      <c r="A2662" s="9" t="inlineStr">
        <is>
          <t>샴푸_쇼핑검색#1_광고그룹#1</t>
        </is>
      </c>
      <c r="B2662" s="10" t="n">
        <v>44305</v>
      </c>
      <c r="C2662" s="9" t="inlineStr">
        <is>
          <t>월</t>
        </is>
      </c>
      <c r="D2662" s="9" t="inlineStr">
        <is>
          <t>네이버 검색</t>
        </is>
      </c>
      <c r="E2662" s="9" t="inlineStr">
        <is>
          <t>샴푸</t>
        </is>
      </c>
      <c r="K2662" s="9" t="n">
        <v>3270</v>
      </c>
    </row>
    <row r="2663">
      <c r="A2663" s="9" t="inlineStr">
        <is>
          <t>파워컨텐츠#1_비듬샴푸</t>
        </is>
      </c>
      <c r="B2663" s="10" t="n">
        <v>44305</v>
      </c>
      <c r="C2663" s="9" t="inlineStr">
        <is>
          <t>월</t>
        </is>
      </c>
      <c r="D2663" s="9" t="inlineStr">
        <is>
          <t>네이버 검색</t>
        </is>
      </c>
      <c r="E2663" s="9" t="inlineStr">
        <is>
          <t>샴푸</t>
        </is>
      </c>
      <c r="K2663" s="9" t="n">
        <v>210</v>
      </c>
    </row>
    <row r="2664">
      <c r="B2664" s="10" t="n">
        <v>44305</v>
      </c>
      <c r="C2664" s="9" t="inlineStr">
        <is>
          <t>월</t>
        </is>
      </c>
      <c r="E2664" s="9" t="inlineStr">
        <is>
          <t>샴푸</t>
        </is>
      </c>
      <c r="F2664" s="9" t="inlineStr">
        <is>
          <t>카페24</t>
        </is>
      </c>
      <c r="G2664" s="9" t="inlineStr">
        <is>
          <t>[타임특가] 리 : 커버리 3개월 패키지 (샴푸 2+ 트리트먼트 택 1)샴푸2 + 트리트먼트 택 1=샴푸2 + 뉴트리셔스 밤1</t>
        </is>
      </c>
      <c r="H2664" s="9" t="n">
        <v>2</v>
      </c>
      <c r="I2664" s="9" t="inlineStr">
        <is>
          <t>리바이탈 샴푸2+뉴트리셔스밤1</t>
        </is>
      </c>
      <c r="J2664" s="9" t="inlineStr">
        <is>
          <t>210201</t>
        </is>
      </c>
      <c r="L2664" s="9">
        <f>62280*2</f>
        <v/>
      </c>
      <c r="M2664" s="9">
        <f>124560-(124560/5.85)</f>
        <v/>
      </c>
      <c r="N2664" s="9">
        <f>7310*2</f>
        <v/>
      </c>
      <c r="O2664" s="9" t="inlineStr">
        <is>
          <t>카페240[타임특가] 리 : 커버리 3개월 패키지 (샴푸 2+ 트리트먼트 택 1)샴푸2 + 트리트먼트 택 1=샴푸2 + 뉴트리셔스 밤1210201</t>
        </is>
      </c>
    </row>
    <row r="2665">
      <c r="B2665" s="10" t="n">
        <v>44305</v>
      </c>
      <c r="C2665" s="9" t="inlineStr">
        <is>
          <t>월</t>
        </is>
      </c>
      <c r="E2665" s="9" t="inlineStr">
        <is>
          <t>샴푸</t>
        </is>
      </c>
      <c r="F2665" s="9" t="inlineStr">
        <is>
          <t>카페24</t>
        </is>
      </c>
      <c r="G2665" s="9" t="inlineStr">
        <is>
          <t>[타임특가] 리 : 커버리 3개월 패키지 (샴푸 2+ 트리트먼트 택 1)샴푸2 + 트리트먼트 택 1=샴푸2 + 헤어팩 트리트먼트1</t>
        </is>
      </c>
      <c r="H2665" s="9" t="n">
        <v>7</v>
      </c>
      <c r="I2665" s="9" t="inlineStr">
        <is>
          <t>리바이탈 샴푸2+트리트먼트1</t>
        </is>
      </c>
      <c r="J2665" s="9" t="inlineStr">
        <is>
          <t>210201</t>
        </is>
      </c>
      <c r="L2665" s="9">
        <f>62280*7</f>
        <v/>
      </c>
      <c r="M2665" s="9">
        <f>435960-(435960/5.85)</f>
        <v/>
      </c>
      <c r="N2665" s="9">
        <f>7327*7</f>
        <v/>
      </c>
      <c r="O2665" s="9" t="inlineStr">
        <is>
          <t>카페240[타임특가] 리 : 커버리 3개월 패키지 (샴푸 2+ 트리트먼트 택 1)샴푸2 + 트리트먼트 택 1=샴푸2 + 헤어팩 트리트먼트1210201</t>
        </is>
      </c>
    </row>
    <row r="2666">
      <c r="B2666" s="10" t="n">
        <v>44305</v>
      </c>
      <c r="C2666" s="9" t="inlineStr">
        <is>
          <t>월</t>
        </is>
      </c>
      <c r="E2666" s="9" t="inlineStr">
        <is>
          <t>샴푸</t>
        </is>
      </c>
      <c r="F2666" s="9" t="inlineStr">
        <is>
          <t>카페24</t>
        </is>
      </c>
      <c r="G2666" s="9" t="inlineStr">
        <is>
          <t>[타임특가] 리 : 커버리 6개월 패키지 (샴푸 5+ 트리트먼트 택 1)샴푸 5 + 트리트먼트 택 1=샴푸 5 + 뉴트리셔스 밤 1</t>
        </is>
      </c>
      <c r="H2666" s="9" t="n">
        <v>2</v>
      </c>
      <c r="I2666" s="9" t="inlineStr">
        <is>
          <t>리바이탈 샴푸5+뉴트리셔스밤1</t>
        </is>
      </c>
      <c r="J2666" s="9" t="inlineStr">
        <is>
          <t>210201</t>
        </is>
      </c>
      <c r="L2666" s="9">
        <f>114840*2</f>
        <v/>
      </c>
      <c r="M2666" s="9">
        <f>229680-(229680/5.85)</f>
        <v/>
      </c>
      <c r="N2666" s="9">
        <f>15905*2</f>
        <v/>
      </c>
      <c r="O2666" s="9" t="inlineStr">
        <is>
          <t>카페240[타임특가] 리 : 커버리 6개월 패키지 (샴푸 5+ 트리트먼트 택 1)샴푸 5 + 트리트먼트 택 1=샴푸 5 + 뉴트리셔스 밤 1210201</t>
        </is>
      </c>
    </row>
    <row r="2667">
      <c r="B2667" s="10" t="n">
        <v>44305</v>
      </c>
      <c r="C2667" s="9" t="inlineStr">
        <is>
          <t>월</t>
        </is>
      </c>
      <c r="E2667" s="9" t="inlineStr">
        <is>
          <t>샴푸</t>
        </is>
      </c>
      <c r="F2667" s="9" t="inlineStr">
        <is>
          <t>카페24</t>
        </is>
      </c>
      <c r="G2667" s="9" t="inlineStr">
        <is>
          <t>[타임특가] 리 : 커버리 6개월 패키지 (샴푸 5+ 트리트먼트 택 1)샴푸 5 + 트리트먼트 택 1=샴푸 5 + 헤어팩 트리트먼트 1</t>
        </is>
      </c>
      <c r="H2667" s="9" t="n">
        <v>1</v>
      </c>
      <c r="I2667" s="9" t="inlineStr">
        <is>
          <t>리바이탈 샴푸5+트리트먼트1</t>
        </is>
      </c>
      <c r="J2667" s="9" t="inlineStr">
        <is>
          <t>210201</t>
        </is>
      </c>
      <c r="L2667" s="9">
        <f>114840</f>
        <v/>
      </c>
      <c r="M2667" s="9">
        <f>114840-(114840/5.85)</f>
        <v/>
      </c>
      <c r="N2667" s="9">
        <f>15922</f>
        <v/>
      </c>
      <c r="O2667" s="9" t="inlineStr">
        <is>
          <t>카페240[타임특가] 리 : 커버리 6개월 패키지 (샴푸 5+ 트리트먼트 택 1)샴푸 5 + 트리트먼트 택 1=샴푸 5 + 헤어팩 트리트먼트 1210201</t>
        </is>
      </c>
    </row>
    <row r="2668">
      <c r="B2668" s="10" t="n">
        <v>44305</v>
      </c>
      <c r="C2668" s="9" t="inlineStr">
        <is>
          <t>월</t>
        </is>
      </c>
      <c r="E2668" s="9" t="inlineStr">
        <is>
          <t>샴푸</t>
        </is>
      </c>
      <c r="F2668" s="9" t="inlineStr">
        <is>
          <t>카페24</t>
        </is>
      </c>
      <c r="G2668" s="9" t="inlineStr">
        <is>
          <t>[타임특가] 리 : 커버리 온가족 패키지 (샴푸 3+ 헤어팩 트리트먼트 1+뉴트리셔스 밤 1)</t>
        </is>
      </c>
      <c r="H2668" s="9" t="n">
        <v>1</v>
      </c>
      <c r="I2668" s="9" t="inlineStr">
        <is>
          <t>리바이탈 샴푸3+트리트먼트1+뉴트리셔스밤1</t>
        </is>
      </c>
      <c r="J2668" s="9" t="inlineStr">
        <is>
          <t>210201</t>
        </is>
      </c>
      <c r="L2668" s="9">
        <f>94765</f>
        <v/>
      </c>
      <c r="M2668" s="9">
        <f>94765-(94765/5.85)</f>
        <v/>
      </c>
      <c r="N2668" s="9">
        <f>11772</f>
        <v/>
      </c>
      <c r="O2668" s="9" t="inlineStr">
        <is>
          <t>카페240[타임특가] 리 : 커버리 온가족 패키지 (샴푸 3+ 헤어팩 트리트먼트 1+뉴트리셔스 밤 1)210201</t>
        </is>
      </c>
    </row>
    <row r="2669">
      <c r="B2669" s="10" t="n">
        <v>44305</v>
      </c>
      <c r="C2669" s="9" t="inlineStr">
        <is>
          <t>월</t>
        </is>
      </c>
      <c r="E2669" s="9" t="inlineStr">
        <is>
          <t>샴푸</t>
        </is>
      </c>
      <c r="F2669" s="9" t="inlineStr">
        <is>
          <t>카페24</t>
        </is>
      </c>
      <c r="G2669" s="9" t="inlineStr">
        <is>
          <t>[타임특가] 리:커버리 스타터 패키지 (샴푸 1+헤어팩 트리트먼트 1+ 뉴트리셔스 밤 1)</t>
        </is>
      </c>
      <c r="H2669" s="9" t="n">
        <v>13</v>
      </c>
      <c r="I2669" s="9" t="inlineStr">
        <is>
          <t>리바이탈 샴푸1+트리트먼트1+뉴트리셔스밤1</t>
        </is>
      </c>
      <c r="J2669" s="9" t="inlineStr">
        <is>
          <t>210201</t>
        </is>
      </c>
      <c r="L2669" s="9">
        <f>39897*13</f>
        <v/>
      </c>
      <c r="M2669" s="9">
        <f>518661-(518661/5.85)</f>
        <v/>
      </c>
      <c r="N2669" s="9">
        <f>(2865+1580+1597)*13</f>
        <v/>
      </c>
      <c r="O2669" s="9" t="inlineStr">
        <is>
          <t>카페240[타임특가] 리:커버리 스타터 패키지 (샴푸 1+헤어팩 트리트먼트 1+ 뉴트리셔스 밤 1)210201</t>
        </is>
      </c>
    </row>
    <row r="2670">
      <c r="B2670" s="10" t="n">
        <v>44305</v>
      </c>
      <c r="C2670" s="9" t="inlineStr">
        <is>
          <t>월</t>
        </is>
      </c>
      <c r="E2670" s="9" t="inlineStr">
        <is>
          <t>샴푸</t>
        </is>
      </c>
      <c r="F2670" s="9" t="inlineStr">
        <is>
          <t>카페24</t>
        </is>
      </c>
      <c r="G2670" s="9" t="inlineStr">
        <is>
          <t>[탈모케어] 라베나 리커버리 15 리바이탈 샴푸 [HAIR RÉ:COVERY 15 Revital Shampoo]제품선택=헤어 리커버리 15 리바이탈 샴푸 - 500ml</t>
        </is>
      </c>
      <c r="H2670" s="9" t="n">
        <v>1</v>
      </c>
      <c r="I2670" s="9" t="inlineStr">
        <is>
          <t>리바이탈 샴푸</t>
        </is>
      </c>
      <c r="J2670" s="9" t="inlineStr">
        <is>
          <t>210201</t>
        </is>
      </c>
      <c r="L2670" s="9" t="n">
        <v>26900</v>
      </c>
      <c r="M2670" s="9">
        <f>26900-(26900/5.85)</f>
        <v/>
      </c>
      <c r="N2670" s="9" t="n">
        <v>2865</v>
      </c>
      <c r="O2670" s="9" t="inlineStr">
        <is>
          <t>카페240[탈모케어] 라베나 리커버리 15 리바이탈 샴푸 [HAIR RÉ:COVERY 15 Revital Shampoo]제품선택=헤어 리커버리 15 리바이탈 샴푸 - 500ml210201</t>
        </is>
      </c>
    </row>
    <row r="2671">
      <c r="B2671" s="10" t="n">
        <v>44305</v>
      </c>
      <c r="C2671" s="9" t="inlineStr">
        <is>
          <t>월</t>
        </is>
      </c>
      <c r="E2671" s="9" t="inlineStr">
        <is>
          <t>뉴트리셔스밤</t>
        </is>
      </c>
      <c r="F2671" s="9" t="inlineStr">
        <is>
          <t>카페24</t>
        </is>
      </c>
      <c r="G2671" s="9" t="inlineStr">
        <is>
          <t>라베나 리커버리 15 뉴트리셔스 밤 [HAIR RÉ:COVERY 15 Nutritious Balm]제품선택=헤어 리커버리 15 뉴트리셔스 밤</t>
        </is>
      </c>
      <c r="H2671" s="9" t="n">
        <v>3</v>
      </c>
      <c r="I2671" s="9" t="inlineStr">
        <is>
          <t>뉴트리셔스밤</t>
        </is>
      </c>
      <c r="J2671" s="9" t="inlineStr">
        <is>
          <t>210201</t>
        </is>
      </c>
      <c r="L2671" s="9" t="n">
        <v>74700</v>
      </c>
      <c r="M2671" s="9" t="n">
        <v>70330.04999999999</v>
      </c>
      <c r="N2671" s="9" t="n">
        <v>4740</v>
      </c>
      <c r="O2671" s="9" t="inlineStr">
        <is>
          <t>카페24뉴트리셔스밤라베나 리커버리 15 뉴트리셔스 밤 [HAIR RÉ:COVERY 15 Nutritious Balm]제품선택=헤어 리커버리 15 뉴트리셔스 밤210201</t>
        </is>
      </c>
    </row>
    <row r="2672">
      <c r="B2672" s="10" t="n">
        <v>44305</v>
      </c>
      <c r="C2672" s="9" t="inlineStr">
        <is>
          <t>월</t>
        </is>
      </c>
      <c r="E2672" s="9" t="inlineStr">
        <is>
          <t>샴푸</t>
        </is>
      </c>
      <c r="F2672" s="9" t="inlineStr">
        <is>
          <t>카페24</t>
        </is>
      </c>
      <c r="G2672" s="9" t="inlineStr">
        <is>
          <t>라베나 리커버리 15 리바이탈 바이오플라보노이드샴푸 [HAIR RÉ:COVERY 15 Revital Shampoo]제품선택=헤어 리커버리 15 리바이탈 샴푸 - 500ml</t>
        </is>
      </c>
      <c r="H2672" s="9" t="n">
        <v>107</v>
      </c>
      <c r="I2672" s="9" t="inlineStr">
        <is>
          <t>리바이탈 샴푸</t>
        </is>
      </c>
      <c r="J2672" s="9" t="inlineStr">
        <is>
          <t>210201</t>
        </is>
      </c>
      <c r="L2672" s="9" t="n">
        <v>2878300</v>
      </c>
      <c r="M2672" s="9" t="n">
        <v>2709919.45</v>
      </c>
      <c r="N2672" s="9" t="n">
        <v>306555</v>
      </c>
      <c r="O267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673">
      <c r="B2673" s="10" t="n">
        <v>44305</v>
      </c>
      <c r="C2673" s="9" t="inlineStr">
        <is>
          <t>월</t>
        </is>
      </c>
      <c r="E2673" s="9" t="inlineStr">
        <is>
          <t>샴푸</t>
        </is>
      </c>
      <c r="F2673" s="9" t="inlineStr">
        <is>
          <t>카페24</t>
        </is>
      </c>
      <c r="G2673" s="9" t="inlineStr">
        <is>
          <t>라베나 리커버리 15 리바이탈 바이오플라보노이드샴푸 [HAIR RÉ:COVERY 15 Revital Shampoo]제품선택=리바이탈 샴푸 2개 세트 5%추가할인</t>
        </is>
      </c>
      <c r="H2673" s="9" t="n">
        <v>33</v>
      </c>
      <c r="I2673" s="9" t="inlineStr">
        <is>
          <t>리바이탈 샴푸 2set</t>
        </is>
      </c>
      <c r="J2673" s="9" t="inlineStr">
        <is>
          <t>210201</t>
        </is>
      </c>
      <c r="L2673" s="9" t="n">
        <v>1686630</v>
      </c>
      <c r="M2673" s="9" t="n">
        <v>1587962.145</v>
      </c>
      <c r="N2673" s="9" t="n">
        <v>189090</v>
      </c>
      <c r="O267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674">
      <c r="B2674" s="10" t="n">
        <v>44305</v>
      </c>
      <c r="C2674" s="9" t="inlineStr">
        <is>
          <t>월</t>
        </is>
      </c>
      <c r="E2674" s="9" t="inlineStr">
        <is>
          <t>샴푸</t>
        </is>
      </c>
      <c r="F2674" s="9" t="inlineStr">
        <is>
          <t>카페24</t>
        </is>
      </c>
      <c r="G2674" s="9" t="inlineStr">
        <is>
          <t>라베나 리커버리 15 리바이탈 바이오플라보노이드샴푸 [HAIR RÉ:COVERY 15 Revital Shampoo]제품선택=리바이탈 샴푸 3개 세트 10% 추가할인</t>
        </is>
      </c>
      <c r="H2674" s="9" t="n">
        <v>10</v>
      </c>
      <c r="I2674" s="9" t="inlineStr">
        <is>
          <t>리바이탈 샴푸 3set</t>
        </is>
      </c>
      <c r="J2674" s="9" t="inlineStr">
        <is>
          <t>210201</t>
        </is>
      </c>
      <c r="L2674" s="9" t="n">
        <v>726300</v>
      </c>
      <c r="M2674" s="9" t="n">
        <v>683811.4500000001</v>
      </c>
      <c r="N2674" s="9" t="n">
        <v>85950</v>
      </c>
      <c r="O267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675">
      <c r="B2675" s="10" t="n">
        <v>44305</v>
      </c>
      <c r="C2675" s="9" t="inlineStr">
        <is>
          <t>월</t>
        </is>
      </c>
      <c r="E2675" s="9" t="inlineStr">
        <is>
          <t>트리트먼트</t>
        </is>
      </c>
      <c r="F2675" s="9" t="inlineStr">
        <is>
          <t>카페24</t>
        </is>
      </c>
      <c r="G2675" s="9" t="inlineStr">
        <is>
          <t>라베나 리커버리 15 헤어팩 트리트먼트 [HAIR RÉ:COVERY 15 Hairpack Treatment]제품선택=헤어 리커버리 15 헤어팩 트리트먼트</t>
        </is>
      </c>
      <c r="H2675" s="9" t="n">
        <v>2</v>
      </c>
      <c r="I2675" s="9" t="inlineStr">
        <is>
          <t>트리트먼트</t>
        </is>
      </c>
      <c r="J2675" s="9" t="inlineStr">
        <is>
          <t>210201</t>
        </is>
      </c>
      <c r="L2675" s="9" t="n">
        <v>52000</v>
      </c>
      <c r="M2675" s="9" t="n">
        <v>48958</v>
      </c>
      <c r="N2675" s="9" t="n">
        <v>3194</v>
      </c>
      <c r="O267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676">
      <c r="B2676" s="10" t="n">
        <v>44305</v>
      </c>
      <c r="C2676" s="9" t="inlineStr">
        <is>
          <t>월</t>
        </is>
      </c>
      <c r="E2676" s="9" t="inlineStr">
        <is>
          <t>트리트먼트</t>
        </is>
      </c>
      <c r="F2676" s="9" t="inlineStr">
        <is>
          <t>카페24</t>
        </is>
      </c>
      <c r="G2676" s="9" t="inlineStr">
        <is>
          <t>라베나 리커버리 15 헤어팩 트리트먼트 [HAIR RÉ:COVERY 15 Hairpack Treatment]제품선택=헤어팩 트리트먼트 2개 세트 5% 추가할인</t>
        </is>
      </c>
      <c r="H2676" s="9" t="n">
        <v>1</v>
      </c>
      <c r="I2676" s="9" t="inlineStr">
        <is>
          <t>트리트먼트 2set</t>
        </is>
      </c>
      <c r="J2676" s="9" t="inlineStr">
        <is>
          <t>210201</t>
        </is>
      </c>
      <c r="L2676" s="9" t="n">
        <v>49400</v>
      </c>
      <c r="M2676" s="9" t="n">
        <v>46510.1</v>
      </c>
      <c r="N2676" s="9" t="n">
        <v>3194</v>
      </c>
      <c r="O2676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677">
      <c r="A2677" s="9" t="inlineStr">
        <is>
          <t>0420_이현_샴푸_단장</t>
        </is>
      </c>
      <c r="B2677" s="10" t="n">
        <v>44306</v>
      </c>
      <c r="C2677" s="9" t="inlineStr">
        <is>
          <t>화</t>
        </is>
      </c>
      <c r="D2677" s="9" t="inlineStr">
        <is>
          <t>페이스북</t>
        </is>
      </c>
      <c r="E2677" s="9" t="inlineStr">
        <is>
          <t>샴푸</t>
        </is>
      </c>
      <c r="K2677" s="9" t="n">
        <v>34315</v>
      </c>
    </row>
    <row r="2678">
      <c r="A2678" s="9" t="inlineStr">
        <is>
          <t>0419_윤민_샴푸_단장_탈모</t>
        </is>
      </c>
      <c r="B2678" s="10" t="n">
        <v>44306</v>
      </c>
      <c r="C2678" s="9" t="inlineStr">
        <is>
          <t>화</t>
        </is>
      </c>
      <c r="D2678" s="9" t="inlineStr">
        <is>
          <t>페이스북</t>
        </is>
      </c>
      <c r="E2678" s="9" t="inlineStr">
        <is>
          <t>샴푸</t>
        </is>
      </c>
      <c r="K2678" s="9" t="n">
        <v>5035</v>
      </c>
    </row>
    <row r="2679">
      <c r="A2679" s="9" t="inlineStr">
        <is>
          <t>0416_이현_샴푸패키지_단장</t>
        </is>
      </c>
      <c r="B2679" s="10" t="n">
        <v>44306</v>
      </c>
      <c r="C2679" s="9" t="inlineStr">
        <is>
          <t>화</t>
        </is>
      </c>
      <c r="D2679" s="9" t="inlineStr">
        <is>
          <t>페이스북</t>
        </is>
      </c>
      <c r="E2679" s="9" t="inlineStr">
        <is>
          <t>샴푸</t>
        </is>
      </c>
      <c r="K2679" s="9" t="n">
        <v>23526</v>
      </c>
    </row>
    <row r="2680">
      <c r="A2680" s="9" t="inlineStr">
        <is>
          <t>0412_인서_샴푸_단장</t>
        </is>
      </c>
      <c r="B2680" s="10" t="n">
        <v>44306</v>
      </c>
      <c r="C2680" s="9" t="inlineStr">
        <is>
          <t>화</t>
        </is>
      </c>
      <c r="D2680" s="9" t="inlineStr">
        <is>
          <t>페이스북</t>
        </is>
      </c>
      <c r="E2680" s="9" t="inlineStr">
        <is>
          <t>샴푸</t>
        </is>
      </c>
      <c r="K2680" s="9" t="n">
        <v>47704</v>
      </c>
    </row>
    <row r="2681">
      <c r="A2681" s="9" t="inlineStr">
        <is>
          <t>0408~_윤민_샴푸_배너_올인원</t>
        </is>
      </c>
      <c r="B2681" s="10" t="n">
        <v>44306</v>
      </c>
      <c r="C2681" s="9" t="inlineStr">
        <is>
          <t>화</t>
        </is>
      </c>
      <c r="D2681" s="9" t="inlineStr">
        <is>
          <t>페이스북</t>
        </is>
      </c>
      <c r="E2681" s="9" t="inlineStr">
        <is>
          <t>샴푸</t>
        </is>
      </c>
      <c r="K2681" s="9" t="n">
        <v>86904</v>
      </c>
    </row>
    <row r="2682">
      <c r="A2682" s="9" t="inlineStr">
        <is>
          <t>0407_성화_스타터패키지_단장이벤트배너_a/b</t>
        </is>
      </c>
      <c r="B2682" s="10" t="n">
        <v>44306</v>
      </c>
      <c r="C2682" s="9" t="inlineStr">
        <is>
          <t>화</t>
        </is>
      </c>
      <c r="D2682" s="9" t="inlineStr">
        <is>
          <t>페이스북</t>
        </is>
      </c>
      <c r="E2682" s="9" t="inlineStr">
        <is>
          <t>샴푸</t>
        </is>
      </c>
      <c r="K2682" s="9" t="n">
        <v>398006</v>
      </c>
    </row>
    <row r="2683">
      <c r="A2683" s="9" t="inlineStr">
        <is>
          <t>0318~영상기반 단장</t>
        </is>
      </c>
      <c r="B2683" s="10" t="n">
        <v>44306</v>
      </c>
      <c r="C2683" s="9" t="inlineStr">
        <is>
          <t>화</t>
        </is>
      </c>
      <c r="D2683" s="9" t="inlineStr">
        <is>
          <t>페이스북</t>
        </is>
      </c>
      <c r="E2683" s="9" t="inlineStr">
        <is>
          <t>샴푸</t>
        </is>
      </c>
      <c r="K2683" s="9" t="n">
        <v>96775</v>
      </c>
    </row>
    <row r="2684">
      <c r="A2684" s="9" t="inlineStr">
        <is>
          <t>0316~영상베리</t>
        </is>
      </c>
      <c r="B2684" s="10" t="n">
        <v>44306</v>
      </c>
      <c r="C2684" s="9" t="inlineStr">
        <is>
          <t>화</t>
        </is>
      </c>
      <c r="D2684" s="9" t="inlineStr">
        <is>
          <t>페이스북</t>
        </is>
      </c>
      <c r="E2684" s="9" t="inlineStr">
        <is>
          <t>샴푸</t>
        </is>
      </c>
      <c r="K2684" s="9" t="n">
        <v>98429</v>
      </c>
    </row>
    <row r="2685">
      <c r="A2685" s="9" t="inlineStr">
        <is>
          <t>0322_샴푸_GDN_이현1차</t>
        </is>
      </c>
      <c r="B2685" s="10" t="n">
        <v>44306</v>
      </c>
      <c r="C2685" s="9" t="inlineStr">
        <is>
          <t>화</t>
        </is>
      </c>
      <c r="D2685" s="9" t="inlineStr">
        <is>
          <t>GDN</t>
        </is>
      </c>
      <c r="E2685" s="9" t="inlineStr">
        <is>
          <t>샴푸</t>
        </is>
      </c>
      <c r="K2685" s="9" t="n">
        <v>106793</v>
      </c>
    </row>
    <row r="2686">
      <c r="A2686" s="9" t="inlineStr">
        <is>
          <t>0324_샴푸_SDC_CPA</t>
        </is>
      </c>
      <c r="B2686" s="10" t="n">
        <v>44306</v>
      </c>
      <c r="C2686" s="9" t="inlineStr">
        <is>
          <t>화</t>
        </is>
      </c>
      <c r="D2686" s="9" t="inlineStr">
        <is>
          <t>유튜브</t>
        </is>
      </c>
      <c r="E2686" s="9" t="inlineStr">
        <is>
          <t>샴푸</t>
        </is>
      </c>
      <c r="K2686" s="9" t="n">
        <v>893</v>
      </c>
    </row>
    <row r="2687">
      <c r="A2687" s="9" t="inlineStr">
        <is>
          <t>0324_샴푸_VAC_CPA</t>
        </is>
      </c>
      <c r="B2687" s="10" t="n">
        <v>44306</v>
      </c>
      <c r="C2687" s="9" t="inlineStr">
        <is>
          <t>화</t>
        </is>
      </c>
      <c r="D2687" s="9" t="inlineStr">
        <is>
          <t>유튜브</t>
        </is>
      </c>
      <c r="E2687" s="9" t="inlineStr">
        <is>
          <t>샴푸</t>
        </is>
      </c>
      <c r="K2687" s="9" t="n">
        <v>1614299</v>
      </c>
    </row>
    <row r="2688">
      <c r="A2688" s="9" t="inlineStr">
        <is>
          <t>0329_샴푸_GDN_키워드</t>
        </is>
      </c>
      <c r="B2688" s="10" t="n">
        <v>44306</v>
      </c>
      <c r="C2688" s="9" t="inlineStr">
        <is>
          <t>화</t>
        </is>
      </c>
      <c r="D2688" s="9" t="inlineStr">
        <is>
          <t>GDN</t>
        </is>
      </c>
      <c r="E2688" s="9" t="inlineStr">
        <is>
          <t>샴푸</t>
        </is>
      </c>
      <c r="K2688" s="9" t="n">
        <v>22107</v>
      </c>
    </row>
    <row r="2689">
      <c r="A2689" s="9" t="inlineStr">
        <is>
          <t>0330_샴푸_cpv_200만뷰</t>
        </is>
      </c>
      <c r="B2689" s="10" t="n">
        <v>44306</v>
      </c>
      <c r="C2689" s="9" t="inlineStr">
        <is>
          <t>화</t>
        </is>
      </c>
      <c r="D2689" s="9" t="inlineStr">
        <is>
          <t>유튜브</t>
        </is>
      </c>
      <c r="E2689" s="9" t="inlineStr">
        <is>
          <t>샴푸</t>
        </is>
      </c>
      <c r="K2689" s="9" t="n">
        <v>43228</v>
      </c>
    </row>
    <row r="2690">
      <c r="A2690" s="9" t="inlineStr">
        <is>
          <t>라베나 파워링크_샴푸_광고그룹#1</t>
        </is>
      </c>
      <c r="B2690" s="10" t="n">
        <v>44306</v>
      </c>
      <c r="C2690" s="9" t="inlineStr">
        <is>
          <t>화</t>
        </is>
      </c>
      <c r="D2690" s="9" t="inlineStr">
        <is>
          <t>네이버 검색</t>
        </is>
      </c>
      <c r="E2690" s="9" t="inlineStr">
        <is>
          <t>샴푸</t>
        </is>
      </c>
      <c r="K2690" s="9" t="n">
        <v>1920</v>
      </c>
    </row>
    <row r="2691">
      <c r="A2691" s="9" t="inlineStr">
        <is>
          <t>라베나 파워링크_샴푸#1_유튜브키워드기반</t>
        </is>
      </c>
      <c r="B2691" s="10" t="n">
        <v>44306</v>
      </c>
      <c r="C2691" s="9" t="inlineStr">
        <is>
          <t>화</t>
        </is>
      </c>
      <c r="D2691" s="9" t="inlineStr">
        <is>
          <t>네이버 검색</t>
        </is>
      </c>
      <c r="E2691" s="9" t="inlineStr">
        <is>
          <t>샴푸</t>
        </is>
      </c>
      <c r="K2691" s="9" t="n">
        <v>7639.999999999999</v>
      </c>
    </row>
    <row r="2692">
      <c r="A2692" s="9" t="inlineStr">
        <is>
          <t>샴푸_쇼핑검색#1_광고그룹#1</t>
        </is>
      </c>
      <c r="B2692" s="10" t="n">
        <v>44306</v>
      </c>
      <c r="C2692" s="9" t="inlineStr">
        <is>
          <t>화</t>
        </is>
      </c>
      <c r="D2692" s="9" t="inlineStr">
        <is>
          <t>네이버 검색</t>
        </is>
      </c>
      <c r="E2692" s="9" t="inlineStr">
        <is>
          <t>샴푸</t>
        </is>
      </c>
      <c r="K2692" s="9" t="n">
        <v>2320</v>
      </c>
    </row>
    <row r="2693">
      <c r="A2693" s="9" t="inlineStr">
        <is>
          <t>파워컨텐츠#1_비듬샴푸</t>
        </is>
      </c>
      <c r="B2693" s="10" t="n">
        <v>44306</v>
      </c>
      <c r="C2693" s="9" t="inlineStr">
        <is>
          <t>화</t>
        </is>
      </c>
      <c r="D2693" s="9" t="inlineStr">
        <is>
          <t>네이버 검색</t>
        </is>
      </c>
      <c r="E2693" s="9" t="inlineStr">
        <is>
          <t>샴푸</t>
        </is>
      </c>
      <c r="K2693" s="9" t="n">
        <v>59.99999999999999</v>
      </c>
    </row>
    <row r="2694">
      <c r="B2694" s="10" t="n">
        <v>44306</v>
      </c>
      <c r="C2694" s="9" t="inlineStr">
        <is>
          <t>화</t>
        </is>
      </c>
      <c r="E2694" s="9" t="inlineStr">
        <is>
          <t>샴푸</t>
        </is>
      </c>
      <c r="F2694" s="9" t="inlineStr">
        <is>
          <t>카페24</t>
        </is>
      </c>
      <c r="G2694" s="9" t="inlineStr">
        <is>
          <t>[손상모 케어] 라베나 리커버리 15 리바이탈 샴푸 [HAIR RÉ:COVERY 15 Revital Shampoo]제품선택=헤어 리커버리 15 리바이탈 샴푸 - 500ml</t>
        </is>
      </c>
      <c r="H2694" s="9" t="n">
        <v>1</v>
      </c>
      <c r="I2694" s="9" t="inlineStr">
        <is>
          <t>리바이탈 샴푸</t>
        </is>
      </c>
      <c r="J2694" s="9" t="inlineStr">
        <is>
          <t>210201</t>
        </is>
      </c>
      <c r="L2694" s="9" t="n">
        <v>26900</v>
      </c>
      <c r="M2694" s="9">
        <f>26900-(26900/5.85)</f>
        <v/>
      </c>
      <c r="N2694" s="9" t="n">
        <v>2865</v>
      </c>
      <c r="O2694" s="9" t="inlineStr">
        <is>
          <t>카페240[손상모 케어] 라베나 리커버리 15 리바이탈 샴푸 [HAIR RÉ:COVERY 15 Revital Shampoo]제품선택=헤어 리커버리 15 리바이탈 샴푸 - 500ml210201</t>
        </is>
      </c>
    </row>
    <row r="2695">
      <c r="B2695" s="10" t="n">
        <v>44306</v>
      </c>
      <c r="C2695" s="9" t="inlineStr">
        <is>
          <t>화</t>
        </is>
      </c>
      <c r="E2695" s="9" t="inlineStr">
        <is>
          <t>샴푸</t>
        </is>
      </c>
      <c r="F2695" s="9" t="inlineStr">
        <is>
          <t>카페24</t>
        </is>
      </c>
      <c r="G2695" s="9" t="inlineStr">
        <is>
          <t>[타임특가] 리 : 커버리 3개월 패키지 (샴푸 2+ 트리트먼트 택 1)샴푸2 + 트리트먼트 택 1=샴푸2 + 뉴트리셔스 밤1</t>
        </is>
      </c>
      <c r="H2695" s="9" t="n">
        <v>2</v>
      </c>
      <c r="I2695" s="9" t="inlineStr">
        <is>
          <t>리바이탈 샴푸2+뉴트리셔스밤1</t>
        </is>
      </c>
      <c r="J2695" s="9" t="inlineStr">
        <is>
          <t>210201</t>
        </is>
      </c>
      <c r="L2695" s="9">
        <f>62280*2</f>
        <v/>
      </c>
      <c r="M2695" s="9">
        <f>124560-(124560/5.85)</f>
        <v/>
      </c>
      <c r="N2695" s="9">
        <f>7310*2</f>
        <v/>
      </c>
      <c r="O2695" s="9" t="inlineStr">
        <is>
          <t>카페240[타임특가] 리 : 커버리 3개월 패키지 (샴푸 2+ 트리트먼트 택 1)샴푸2 + 트리트먼트 택 1=샴푸2 + 뉴트리셔스 밤1210201</t>
        </is>
      </c>
    </row>
    <row r="2696">
      <c r="B2696" s="10" t="n">
        <v>44306</v>
      </c>
      <c r="C2696" s="9" t="inlineStr">
        <is>
          <t>화</t>
        </is>
      </c>
      <c r="E2696" s="9" t="inlineStr">
        <is>
          <t>샴푸</t>
        </is>
      </c>
      <c r="F2696" s="9" t="inlineStr">
        <is>
          <t>카페24</t>
        </is>
      </c>
      <c r="G2696" s="9" t="inlineStr">
        <is>
          <t>[타임특가] 리 : 커버리 3개월 패키지 (샴푸 2+ 트리트먼트 택 1)샴푸2 + 트리트먼트 택 1=샴푸2 + 헤어팩 트리트먼트1</t>
        </is>
      </c>
      <c r="H2696" s="9" t="n">
        <v>4</v>
      </c>
      <c r="I2696" s="9" t="inlineStr">
        <is>
          <t>리바이탈 샴푸2+트리트먼트1</t>
        </is>
      </c>
      <c r="J2696" s="9" t="inlineStr">
        <is>
          <t>210201</t>
        </is>
      </c>
      <c r="L2696" s="9">
        <f>62280*4</f>
        <v/>
      </c>
      <c r="M2696" s="9">
        <f>249120-(249120/5.85)</f>
        <v/>
      </c>
      <c r="N2696" s="9">
        <f>7327*4</f>
        <v/>
      </c>
      <c r="O2696" s="9" t="inlineStr">
        <is>
          <t>카페240[타임특가] 리 : 커버리 3개월 패키지 (샴푸 2+ 트리트먼트 택 1)샴푸2 + 트리트먼트 택 1=샴푸2 + 헤어팩 트리트먼트1210201</t>
        </is>
      </c>
    </row>
    <row r="2697">
      <c r="B2697" s="10" t="n">
        <v>44306</v>
      </c>
      <c r="C2697" s="9" t="inlineStr">
        <is>
          <t>화</t>
        </is>
      </c>
      <c r="E2697" s="9" t="inlineStr">
        <is>
          <t>샴푸</t>
        </is>
      </c>
      <c r="F2697" s="9" t="inlineStr">
        <is>
          <t>카페24</t>
        </is>
      </c>
      <c r="G2697" s="9" t="inlineStr">
        <is>
          <t>[타임특가] 리 : 커버리 6개월 패키지 (샴푸 5+ 트리트먼트 택 1)샴푸 5 + 트리트먼트 택 1=샴푸 5 + 뉴트리셔스 밤 1</t>
        </is>
      </c>
      <c r="H2697" s="9" t="n">
        <v>3</v>
      </c>
      <c r="I2697" s="9" t="inlineStr">
        <is>
          <t>리바이탈 샴푸5+뉴트리셔스밤1</t>
        </is>
      </c>
      <c r="J2697" s="9" t="inlineStr">
        <is>
          <t>210201</t>
        </is>
      </c>
      <c r="L2697" s="9">
        <f>114840*3</f>
        <v/>
      </c>
      <c r="M2697" s="9">
        <f>344520-(344520/5.85)</f>
        <v/>
      </c>
      <c r="N2697" s="9">
        <f>15905*3</f>
        <v/>
      </c>
      <c r="O2697" s="9" t="inlineStr">
        <is>
          <t>카페240[타임특가] 리 : 커버리 6개월 패키지 (샴푸 5+ 트리트먼트 택 1)샴푸 5 + 트리트먼트 택 1=샴푸 5 + 뉴트리셔스 밤 1210201</t>
        </is>
      </c>
    </row>
    <row r="2698">
      <c r="B2698" s="10" t="n">
        <v>44306</v>
      </c>
      <c r="C2698" s="9" t="inlineStr">
        <is>
          <t>화</t>
        </is>
      </c>
      <c r="E2698" s="9" t="inlineStr">
        <is>
          <t>샴푸</t>
        </is>
      </c>
      <c r="F2698" s="9" t="inlineStr">
        <is>
          <t>카페24</t>
        </is>
      </c>
      <c r="G2698" s="9" t="inlineStr">
        <is>
          <t>[타임특가] 리 : 커버리 6개월 패키지 (샴푸 5+ 트리트먼트 택 1)샴푸 5 + 트리트먼트 택 1=샴푸 5 + 헤어팩 트리트먼트 1</t>
        </is>
      </c>
      <c r="H2698" s="9" t="n">
        <v>21</v>
      </c>
      <c r="I2698" s="9" t="inlineStr">
        <is>
          <t>리바이탈 샴푸5+트리트먼트1</t>
        </is>
      </c>
      <c r="J2698" s="9" t="inlineStr">
        <is>
          <t>210201</t>
        </is>
      </c>
      <c r="L2698" s="9">
        <f>114840*21</f>
        <v/>
      </c>
      <c r="M2698" s="9">
        <f>2411640-(2411640/5.85)</f>
        <v/>
      </c>
      <c r="N2698" s="9">
        <f>15922*21</f>
        <v/>
      </c>
      <c r="O2698" s="9" t="inlineStr">
        <is>
          <t>카페240[타임특가] 리 : 커버리 6개월 패키지 (샴푸 5+ 트리트먼트 택 1)샴푸 5 + 트리트먼트 택 1=샴푸 5 + 헤어팩 트리트먼트 1210201</t>
        </is>
      </c>
    </row>
    <row r="2699">
      <c r="B2699" s="10" t="n">
        <v>44306</v>
      </c>
      <c r="C2699" s="9" t="inlineStr">
        <is>
          <t>화</t>
        </is>
      </c>
      <c r="E2699" s="9" t="inlineStr">
        <is>
          <t>샴푸</t>
        </is>
      </c>
      <c r="F2699" s="9" t="inlineStr">
        <is>
          <t>카페24</t>
        </is>
      </c>
      <c r="G2699" s="9" t="inlineStr">
        <is>
          <t>[타임특가] 리 : 커버리 온가족 패키지 (샴푸 3+ 헤어팩 트리트먼트 1+뉴트리셔스 밤 1)</t>
        </is>
      </c>
      <c r="H2699" s="9" t="n">
        <v>3</v>
      </c>
      <c r="I2699" s="9" t="inlineStr">
        <is>
          <t>리바이탈 샴푸3+트리트먼트1+뉴트리셔스밤1</t>
        </is>
      </c>
      <c r="J2699" s="9" t="inlineStr">
        <is>
          <t>210201</t>
        </is>
      </c>
      <c r="L2699" s="9">
        <f>94765*3</f>
        <v/>
      </c>
      <c r="M2699" s="9">
        <f>284295-(284295/5.85)</f>
        <v/>
      </c>
      <c r="N2699" s="9">
        <f>11772*3</f>
        <v/>
      </c>
      <c r="O2699" s="9" t="inlineStr">
        <is>
          <t>카페240[타임특가] 리 : 커버리 온가족 패키지 (샴푸 3+ 헤어팩 트리트먼트 1+뉴트리셔스 밤 1)210201</t>
        </is>
      </c>
    </row>
    <row r="2700">
      <c r="B2700" s="10" t="n">
        <v>44306</v>
      </c>
      <c r="C2700" s="9" t="inlineStr">
        <is>
          <t>화</t>
        </is>
      </c>
      <c r="E2700" s="9" t="inlineStr">
        <is>
          <t>샴푸</t>
        </is>
      </c>
      <c r="F2700" s="9" t="inlineStr">
        <is>
          <t>카페24</t>
        </is>
      </c>
      <c r="G2700" s="9" t="inlineStr">
        <is>
          <t>[타임특가] 리:커버리 스타터 패키지 (샴푸 1+헤어팩 트리트먼트 1+ 뉴트리셔스 밤 1)</t>
        </is>
      </c>
      <c r="H2700" s="9" t="n">
        <v>9</v>
      </c>
      <c r="I2700" s="9" t="inlineStr">
        <is>
          <t>리바이탈 샴푸1+트리트먼트1+뉴트리셔스밤1</t>
        </is>
      </c>
      <c r="J2700" s="9" t="inlineStr">
        <is>
          <t>210201</t>
        </is>
      </c>
      <c r="L2700" s="9">
        <f>39897*9</f>
        <v/>
      </c>
      <c r="M2700" s="9">
        <f>359073-(359073/5.85)</f>
        <v/>
      </c>
      <c r="N2700" s="9">
        <f>(2865+1580+1597)*9</f>
        <v/>
      </c>
      <c r="O2700" s="9" t="inlineStr">
        <is>
          <t>카페240[타임특가] 리:커버리 스타터 패키지 (샴푸 1+헤어팩 트리트먼트 1+ 뉴트리셔스 밤 1)210201</t>
        </is>
      </c>
    </row>
    <row r="2701">
      <c r="B2701" s="10" t="n">
        <v>44306</v>
      </c>
      <c r="C2701" s="9" t="inlineStr">
        <is>
          <t>화</t>
        </is>
      </c>
      <c r="E2701" s="9" t="inlineStr">
        <is>
          <t>샴푸</t>
        </is>
      </c>
      <c r="F2701" s="9" t="inlineStr">
        <is>
          <t>카페24</t>
        </is>
      </c>
      <c r="G2701" s="9" t="inlineStr">
        <is>
          <t>[탈모케어] 라베나 리커버리 15 리바이탈 샴푸 [HAIR RÉ:COVERY 15 Revital Shampoo]제품선택=리바이탈 샴푸 3개 세트 10% 추가할인</t>
        </is>
      </c>
      <c r="H2701" s="9" t="n">
        <v>1</v>
      </c>
      <c r="I2701" s="9" t="inlineStr">
        <is>
          <t>리바이탈 샴푸 3set</t>
        </is>
      </c>
      <c r="J2701" s="9" t="inlineStr">
        <is>
          <t>210201</t>
        </is>
      </c>
      <c r="L2701" s="9" t="n">
        <v>72630</v>
      </c>
      <c r="M2701" s="9">
        <f>72630-(72630/5.85)</f>
        <v/>
      </c>
      <c r="N2701" s="9">
        <f>2865*3</f>
        <v/>
      </c>
      <c r="O2701" s="9" t="inlineStr">
        <is>
          <t>카페240[탈모케어] 라베나 리커버리 15 리바이탈 샴푸 [HAIR RÉ:COVERY 15 Revital Shampoo]제품선택=리바이탈 샴푸 3개 세트 10% 추가할인210201</t>
        </is>
      </c>
    </row>
    <row r="2702">
      <c r="B2702" s="10" t="n">
        <v>44306</v>
      </c>
      <c r="C2702" s="9" t="inlineStr">
        <is>
          <t>화</t>
        </is>
      </c>
      <c r="E2702" s="9" t="inlineStr">
        <is>
          <t>뉴트리셔스밤</t>
        </is>
      </c>
      <c r="F2702" s="9" t="inlineStr">
        <is>
          <t>카페24</t>
        </is>
      </c>
      <c r="G2702" s="9" t="inlineStr">
        <is>
          <t>라베나 리커버리 15 뉴트리셔스 밤 [HAIR RÉ:COVERY 15 Nutritious Balm]제품선택=헤어 리커버리 15 뉴트리셔스 밤</t>
        </is>
      </c>
      <c r="H2702" s="9" t="n">
        <v>2</v>
      </c>
      <c r="I2702" s="9" t="inlineStr">
        <is>
          <t>뉴트리셔스밤</t>
        </is>
      </c>
      <c r="J2702" s="9" t="inlineStr">
        <is>
          <t>210201</t>
        </is>
      </c>
      <c r="L2702" s="9" t="n">
        <v>49800</v>
      </c>
      <c r="M2702" s="9" t="n">
        <v>46886.7</v>
      </c>
      <c r="N2702" s="9" t="n">
        <v>3160</v>
      </c>
      <c r="O2702" s="9" t="inlineStr">
        <is>
          <t>카페24뉴트리셔스밤라베나 리커버리 15 뉴트리셔스 밤 [HAIR RÉ:COVERY 15 Nutritious Balm]제품선택=헤어 리커버리 15 뉴트리셔스 밤210201</t>
        </is>
      </c>
    </row>
    <row r="2703">
      <c r="B2703" s="10" t="n">
        <v>44306</v>
      </c>
      <c r="C2703" s="9" t="inlineStr">
        <is>
          <t>화</t>
        </is>
      </c>
      <c r="E2703" s="9" t="inlineStr">
        <is>
          <t>뉴트리셔스밤</t>
        </is>
      </c>
      <c r="F2703" s="9" t="inlineStr">
        <is>
          <t>카페24</t>
        </is>
      </c>
      <c r="G2703" s="9" t="inlineStr">
        <is>
          <t>라베나 리커버리 15 뉴트리셔스 밤 [HAIR RÉ:COVERY 15 Nutritious Balm]제품선택=뉴트리셔스밤 1개 + 헤어팩 트리트먼트 1개 세트 5%추가할인</t>
        </is>
      </c>
      <c r="H2703" s="9" t="n">
        <v>1</v>
      </c>
      <c r="I2703" s="9" t="inlineStr">
        <is>
          <t>트리트먼트+뉴트리셔스밤</t>
        </is>
      </c>
      <c r="J2703" s="9" t="inlineStr">
        <is>
          <t>210201</t>
        </is>
      </c>
      <c r="L2703" s="9" t="n">
        <v>48355</v>
      </c>
      <c r="M2703" s="9" t="n">
        <v>45526.2325</v>
      </c>
      <c r="N2703" s="9" t="n">
        <v>3177</v>
      </c>
      <c r="O2703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704">
      <c r="B2704" s="10" t="n">
        <v>44306</v>
      </c>
      <c r="C2704" s="9" t="inlineStr">
        <is>
          <t>화</t>
        </is>
      </c>
      <c r="E2704" s="9" t="inlineStr">
        <is>
          <t>샴푸</t>
        </is>
      </c>
      <c r="F2704" s="9" t="inlineStr">
        <is>
          <t>카페24</t>
        </is>
      </c>
      <c r="G2704" s="9" t="inlineStr">
        <is>
          <t>라베나 리커버리 15 리바이탈 바이오플라보노이드샴푸 [HAIR RÉ:COVERY 15 Revital Shampoo]제품선택=헤어 리커버리 15 리바이탈 샴푸 - 500ml</t>
        </is>
      </c>
      <c r="H2704" s="9" t="n">
        <v>73</v>
      </c>
      <c r="I2704" s="9" t="inlineStr">
        <is>
          <t>리바이탈 샴푸</t>
        </is>
      </c>
      <c r="J2704" s="9" t="inlineStr">
        <is>
          <t>210201</t>
        </is>
      </c>
      <c r="L2704" s="9" t="n">
        <v>1963700</v>
      </c>
      <c r="M2704" s="9" t="n">
        <v>1848823.55</v>
      </c>
      <c r="N2704" s="9" t="n">
        <v>209145</v>
      </c>
      <c r="O2704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705">
      <c r="B2705" s="10" t="n">
        <v>44306</v>
      </c>
      <c r="C2705" s="9" t="inlineStr">
        <is>
          <t>화</t>
        </is>
      </c>
      <c r="E2705" s="9" t="inlineStr">
        <is>
          <t>샴푸</t>
        </is>
      </c>
      <c r="F2705" s="9" t="inlineStr">
        <is>
          <t>카페24</t>
        </is>
      </c>
      <c r="G2705" s="9" t="inlineStr">
        <is>
          <t>라베나 리커버리 15 리바이탈 바이오플라보노이드샴푸 [HAIR RÉ:COVERY 15 Revital Shampoo]제품선택=리바이탈 샴푸 2개 세트 5%추가할인</t>
        </is>
      </c>
      <c r="H2705" s="9" t="n">
        <v>25</v>
      </c>
      <c r="I2705" s="9" t="inlineStr">
        <is>
          <t>리바이탈 샴푸 2set</t>
        </is>
      </c>
      <c r="J2705" s="9" t="inlineStr">
        <is>
          <t>210201</t>
        </is>
      </c>
      <c r="L2705" s="9" t="n">
        <v>1277750</v>
      </c>
      <c r="M2705" s="9" t="n">
        <v>1203001.625</v>
      </c>
      <c r="N2705" s="9" t="n">
        <v>143250</v>
      </c>
      <c r="O2705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706">
      <c r="B2706" s="10" t="n">
        <v>44306</v>
      </c>
      <c r="C2706" s="9" t="inlineStr">
        <is>
          <t>화</t>
        </is>
      </c>
      <c r="E2706" s="9" t="inlineStr">
        <is>
          <t>샴푸</t>
        </is>
      </c>
      <c r="F2706" s="9" t="inlineStr">
        <is>
          <t>카페24</t>
        </is>
      </c>
      <c r="G2706" s="9" t="inlineStr">
        <is>
          <t>라베나 리커버리 15 리바이탈 바이오플라보노이드샴푸 [HAIR RÉ:COVERY 15 Revital Shampoo]제품선택=리바이탈 샴푸 3개 세트 10% 추가할인</t>
        </is>
      </c>
      <c r="H2706" s="9" t="n">
        <v>6</v>
      </c>
      <c r="I2706" s="9" t="inlineStr">
        <is>
          <t>리바이탈 샴푸 3set</t>
        </is>
      </c>
      <c r="J2706" s="9" t="inlineStr">
        <is>
          <t>210201</t>
        </is>
      </c>
      <c r="L2706" s="9" t="n">
        <v>435780</v>
      </c>
      <c r="M2706" s="9" t="n">
        <v>410286.87</v>
      </c>
      <c r="N2706" s="9" t="n">
        <v>51570</v>
      </c>
      <c r="O2706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707">
      <c r="B2707" s="10" t="n">
        <v>44306</v>
      </c>
      <c r="C2707" s="9" t="inlineStr">
        <is>
          <t>화</t>
        </is>
      </c>
      <c r="E2707" s="9" t="inlineStr">
        <is>
          <t>트리트먼트</t>
        </is>
      </c>
      <c r="F2707" s="9" t="inlineStr">
        <is>
          <t>카페24</t>
        </is>
      </c>
      <c r="G2707" s="9" t="inlineStr">
        <is>
          <t>라베나 리커버리 15 헤어팩 트리트먼트 [HAIR RÉ:COVERY 15 Hairpack Treatment]제품선택=헤어 리커버리 15 헤어팩 트리트먼트</t>
        </is>
      </c>
      <c r="H2707" s="9" t="n">
        <v>1</v>
      </c>
      <c r="I2707" s="9" t="inlineStr">
        <is>
          <t>트리트먼트</t>
        </is>
      </c>
      <c r="J2707" s="9" t="inlineStr">
        <is>
          <t>210201</t>
        </is>
      </c>
      <c r="L2707" s="9" t="n">
        <v>26000</v>
      </c>
      <c r="M2707" s="9" t="n">
        <v>24479</v>
      </c>
      <c r="N2707" s="9" t="n">
        <v>1597</v>
      </c>
      <c r="O2707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708">
      <c r="B2708" s="10" t="n">
        <v>44306</v>
      </c>
      <c r="C2708" s="9" t="inlineStr">
        <is>
          <t>화</t>
        </is>
      </c>
      <c r="E2708" s="9" t="inlineStr">
        <is>
          <t>트리트먼트</t>
        </is>
      </c>
      <c r="F2708" s="9" t="inlineStr">
        <is>
          <t>카페24</t>
        </is>
      </c>
      <c r="G2708" s="9" t="inlineStr">
        <is>
          <t>라베나 리커버리 15 헤어팩 트리트먼트 [HAIR RÉ:COVERY 15 Hairpack Treatment]제품선택=헤어팩 트리트먼트 3개 세트 10% 추가할인</t>
        </is>
      </c>
      <c r="H2708" s="9" t="n">
        <v>1</v>
      </c>
      <c r="I2708" s="9" t="inlineStr">
        <is>
          <t>트리트먼트 3set</t>
        </is>
      </c>
      <c r="J2708" s="9" t="inlineStr">
        <is>
          <t>210201</t>
        </is>
      </c>
      <c r="L2708" s="9" t="n">
        <v>70200</v>
      </c>
      <c r="M2708" s="9" t="n">
        <v>66093.3</v>
      </c>
      <c r="N2708" s="9" t="n">
        <v>4791</v>
      </c>
      <c r="O270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709">
      <c r="A2709" s="9" t="inlineStr">
        <is>
          <t>0421_윤민_샴푸_테스트</t>
        </is>
      </c>
      <c r="B2709" s="10" t="n">
        <v>44307</v>
      </c>
      <c r="C2709" s="9" t="inlineStr">
        <is>
          <t>수</t>
        </is>
      </c>
      <c r="D2709" s="9" t="inlineStr">
        <is>
          <t>페이스북</t>
        </is>
      </c>
      <c r="E2709" s="9" t="inlineStr">
        <is>
          <t>샴푸</t>
        </is>
      </c>
      <c r="K2709" s="9" t="n">
        <v>14095</v>
      </c>
    </row>
    <row r="2710">
      <c r="A2710" s="9" t="inlineStr">
        <is>
          <t>0421_윤민_3개월패키지_단장_온누리</t>
        </is>
      </c>
      <c r="B2710" s="10" t="n">
        <v>44307</v>
      </c>
      <c r="C2710" s="9" t="inlineStr">
        <is>
          <t>수</t>
        </is>
      </c>
      <c r="D2710" s="9" t="inlineStr">
        <is>
          <t>페이스북</t>
        </is>
      </c>
      <c r="E2710" s="9" t="inlineStr">
        <is>
          <t>샴푸</t>
        </is>
      </c>
      <c r="K2710" s="9" t="n">
        <v>24456</v>
      </c>
    </row>
    <row r="2711">
      <c r="A2711" s="9" t="inlineStr">
        <is>
          <t>0421_온누리_단장</t>
        </is>
      </c>
      <c r="B2711" s="10" t="n">
        <v>44307</v>
      </c>
      <c r="C2711" s="9" t="inlineStr">
        <is>
          <t>수</t>
        </is>
      </c>
      <c r="D2711" s="9" t="inlineStr">
        <is>
          <t>페이스북</t>
        </is>
      </c>
      <c r="E2711" s="9" t="inlineStr">
        <is>
          <t>샴푸</t>
        </is>
      </c>
      <c r="K2711" s="9" t="n">
        <v>34090</v>
      </c>
    </row>
    <row r="2712">
      <c r="A2712" s="9" t="inlineStr">
        <is>
          <t>0420_이현_샴푸_단장</t>
        </is>
      </c>
      <c r="B2712" s="10" t="n">
        <v>44307</v>
      </c>
      <c r="C2712" s="9" t="inlineStr">
        <is>
          <t>수</t>
        </is>
      </c>
      <c r="D2712" s="9" t="inlineStr">
        <is>
          <t>페이스북</t>
        </is>
      </c>
      <c r="E2712" s="9" t="inlineStr">
        <is>
          <t>샴푸</t>
        </is>
      </c>
      <c r="K2712" s="9" t="n">
        <v>48359</v>
      </c>
    </row>
    <row r="2713">
      <c r="A2713" s="9" t="inlineStr">
        <is>
          <t>0412_인서_샴푸_단장</t>
        </is>
      </c>
      <c r="B2713" s="10" t="n">
        <v>44307</v>
      </c>
      <c r="C2713" s="9" t="inlineStr">
        <is>
          <t>수</t>
        </is>
      </c>
      <c r="D2713" s="9" t="inlineStr">
        <is>
          <t>페이스북</t>
        </is>
      </c>
      <c r="E2713" s="9" t="inlineStr">
        <is>
          <t>샴푸</t>
        </is>
      </c>
      <c r="K2713" s="9" t="n">
        <v>43683</v>
      </c>
    </row>
    <row r="2714">
      <c r="A2714" s="9" t="inlineStr">
        <is>
          <t>0408~_윤민_샴푸_배너_올인원</t>
        </is>
      </c>
      <c r="B2714" s="10" t="n">
        <v>44307</v>
      </c>
      <c r="C2714" s="9" t="inlineStr">
        <is>
          <t>수</t>
        </is>
      </c>
      <c r="D2714" s="9" t="inlineStr">
        <is>
          <t>페이스북</t>
        </is>
      </c>
      <c r="E2714" s="9" t="inlineStr">
        <is>
          <t>샴푸</t>
        </is>
      </c>
      <c r="K2714" s="9" t="n">
        <v>91076</v>
      </c>
    </row>
    <row r="2715">
      <c r="A2715" s="9" t="inlineStr">
        <is>
          <t>0407_성화_스타터패키지_단장이벤트배너_a/b</t>
        </is>
      </c>
      <c r="B2715" s="10" t="n">
        <v>44307</v>
      </c>
      <c r="C2715" s="9" t="inlineStr">
        <is>
          <t>수</t>
        </is>
      </c>
      <c r="D2715" s="9" t="inlineStr">
        <is>
          <t>페이스북</t>
        </is>
      </c>
      <c r="E2715" s="9" t="inlineStr">
        <is>
          <t>샴푸</t>
        </is>
      </c>
      <c r="K2715" s="9" t="n">
        <v>394600</v>
      </c>
    </row>
    <row r="2716">
      <c r="A2716" s="9" t="inlineStr">
        <is>
          <t>0318~영상기반 단장</t>
        </is>
      </c>
      <c r="B2716" s="10" t="n">
        <v>44307</v>
      </c>
      <c r="C2716" s="9" t="inlineStr">
        <is>
          <t>수</t>
        </is>
      </c>
      <c r="D2716" s="9" t="inlineStr">
        <is>
          <t>페이스북</t>
        </is>
      </c>
      <c r="E2716" s="9" t="inlineStr">
        <is>
          <t>샴푸</t>
        </is>
      </c>
      <c r="K2716" s="9" t="n">
        <v>99001</v>
      </c>
    </row>
    <row r="2717">
      <c r="A2717" s="9" t="inlineStr">
        <is>
          <t>0316~영상베리</t>
        </is>
      </c>
      <c r="B2717" s="10" t="n">
        <v>44307</v>
      </c>
      <c r="C2717" s="9" t="inlineStr">
        <is>
          <t>수</t>
        </is>
      </c>
      <c r="D2717" s="9" t="inlineStr">
        <is>
          <t>페이스북</t>
        </is>
      </c>
      <c r="E2717" s="9" t="inlineStr">
        <is>
          <t>샴푸</t>
        </is>
      </c>
      <c r="K2717" s="9" t="n">
        <v>98875</v>
      </c>
    </row>
    <row r="2718">
      <c r="A2718" s="9" t="inlineStr">
        <is>
          <t>0322_샴푸_GDN_이현1차</t>
        </is>
      </c>
      <c r="B2718" s="10" t="n">
        <v>44307</v>
      </c>
      <c r="C2718" s="9" t="inlineStr">
        <is>
          <t>수</t>
        </is>
      </c>
      <c r="D2718" s="9" t="inlineStr">
        <is>
          <t>GDN</t>
        </is>
      </c>
      <c r="E2718" s="9" t="inlineStr">
        <is>
          <t>샴푸</t>
        </is>
      </c>
      <c r="K2718" s="9" t="n">
        <v>105516</v>
      </c>
    </row>
    <row r="2719">
      <c r="A2719" s="9" t="inlineStr">
        <is>
          <t>0324_샴푸_SDC_CPA</t>
        </is>
      </c>
      <c r="B2719" s="10" t="n">
        <v>44307</v>
      </c>
      <c r="C2719" s="9" t="inlineStr">
        <is>
          <t>수</t>
        </is>
      </c>
      <c r="D2719" s="9" t="inlineStr">
        <is>
          <t>유튜브</t>
        </is>
      </c>
      <c r="E2719" s="9" t="inlineStr">
        <is>
          <t>샴푸</t>
        </is>
      </c>
      <c r="K2719" s="9" t="n">
        <v>328</v>
      </c>
    </row>
    <row r="2720">
      <c r="A2720" s="9" t="inlineStr">
        <is>
          <t>0324_샴푸_VAC_CPA</t>
        </is>
      </c>
      <c r="B2720" s="10" t="n">
        <v>44307</v>
      </c>
      <c r="C2720" s="9" t="inlineStr">
        <is>
          <t>수</t>
        </is>
      </c>
      <c r="D2720" s="9" t="inlineStr">
        <is>
          <t>유튜브</t>
        </is>
      </c>
      <c r="E2720" s="9" t="inlineStr">
        <is>
          <t>샴푸</t>
        </is>
      </c>
      <c r="K2720" s="9" t="n">
        <v>1953379</v>
      </c>
    </row>
    <row r="2721">
      <c r="A2721" s="9" t="inlineStr">
        <is>
          <t>0330_샴푸_cpv_200만뷰</t>
        </is>
      </c>
      <c r="B2721" s="10" t="n">
        <v>44307</v>
      </c>
      <c r="C2721" s="9" t="inlineStr">
        <is>
          <t>수</t>
        </is>
      </c>
      <c r="D2721" s="9" t="inlineStr">
        <is>
          <t>유튜브</t>
        </is>
      </c>
      <c r="E2721" s="9" t="inlineStr">
        <is>
          <t>샴푸</t>
        </is>
      </c>
      <c r="K2721" s="9" t="n">
        <v>39086</v>
      </c>
    </row>
    <row r="2722">
      <c r="A2722" s="9" t="inlineStr">
        <is>
          <t>라베나 파워링크_샴푸_광고그룹#1</t>
        </is>
      </c>
      <c r="B2722" s="10" t="n">
        <v>44307</v>
      </c>
      <c r="C2722" s="9" t="inlineStr">
        <is>
          <t>수</t>
        </is>
      </c>
      <c r="D2722" s="9" t="inlineStr">
        <is>
          <t>네이버 검색</t>
        </is>
      </c>
      <c r="E2722" s="9" t="inlineStr">
        <is>
          <t>샴푸</t>
        </is>
      </c>
      <c r="K2722" s="9" t="n">
        <v>1190</v>
      </c>
    </row>
    <row r="2723">
      <c r="A2723" s="9" t="inlineStr">
        <is>
          <t>라베나 파워링크_샴푸#1_유튜브키워드기반</t>
        </is>
      </c>
      <c r="B2723" s="10" t="n">
        <v>44307</v>
      </c>
      <c r="C2723" s="9" t="inlineStr">
        <is>
          <t>수</t>
        </is>
      </c>
      <c r="D2723" s="9" t="inlineStr">
        <is>
          <t>네이버 검색</t>
        </is>
      </c>
      <c r="E2723" s="9" t="inlineStr">
        <is>
          <t>샴푸</t>
        </is>
      </c>
      <c r="K2723" s="9" t="n">
        <v>8200</v>
      </c>
    </row>
    <row r="2724">
      <c r="A2724" s="9" t="inlineStr">
        <is>
          <t>샴푸_쇼핑검색#1_광고그룹#1</t>
        </is>
      </c>
      <c r="B2724" s="10" t="n">
        <v>44307</v>
      </c>
      <c r="C2724" s="9" t="inlineStr">
        <is>
          <t>수</t>
        </is>
      </c>
      <c r="D2724" s="9" t="inlineStr">
        <is>
          <t>네이버 검색</t>
        </is>
      </c>
      <c r="E2724" s="9" t="inlineStr">
        <is>
          <t>샴푸</t>
        </is>
      </c>
      <c r="K2724" s="9" t="n">
        <v>1040</v>
      </c>
    </row>
    <row r="2725">
      <c r="A2725" s="9" t="inlineStr">
        <is>
          <t>파워컨텐츠#1_비듬샴푸</t>
        </is>
      </c>
      <c r="B2725" s="10" t="n">
        <v>44307</v>
      </c>
      <c r="C2725" s="9" t="inlineStr">
        <is>
          <t>수</t>
        </is>
      </c>
      <c r="D2725" s="9" t="inlineStr">
        <is>
          <t>네이버 검색</t>
        </is>
      </c>
      <c r="E2725" s="9" t="inlineStr">
        <is>
          <t>샴푸</t>
        </is>
      </c>
      <c r="K2725" s="9" t="n">
        <v>0</v>
      </c>
    </row>
    <row r="2726" ht="16.5" customHeight="1" s="12">
      <c r="B2726" s="10" t="n">
        <v>44307</v>
      </c>
      <c r="C2726" s="9" t="inlineStr">
        <is>
          <t>수</t>
        </is>
      </c>
      <c r="E2726" s="9" t="inlineStr">
        <is>
          <t>샴푸</t>
        </is>
      </c>
      <c r="F2726" s="9" t="inlineStr">
        <is>
          <t>카페24</t>
        </is>
      </c>
      <c r="G2726" s="9" t="inlineStr">
        <is>
          <t>[손상모 케어] 라베나 리커버리 15 리바이탈 샴푸 [HAIR RÉ:COVERY 15 Revital Shampoo]제품선택=헤어 리커버리 15 리바이탈 샴푸 - 500ml</t>
        </is>
      </c>
      <c r="H2726" s="9" t="n">
        <v>1</v>
      </c>
      <c r="I2726" s="9" t="inlineStr">
        <is>
          <t>리바이탈 샴푸</t>
        </is>
      </c>
      <c r="J2726" s="9" t="inlineStr">
        <is>
          <t>210201</t>
        </is>
      </c>
      <c r="L2726" s="9" t="n">
        <v>26900</v>
      </c>
      <c r="M2726" s="9">
        <f>26900-(26900/5.85)</f>
        <v/>
      </c>
      <c r="N2726" s="9" t="n">
        <v>2865</v>
      </c>
      <c r="O2726" s="9" t="inlineStr">
        <is>
          <t>카페240[손상모 케어] 라베나 리커버리 15 리바이탈 샴푸 [HAIR RÉ:COVERY 15 Revital Shampoo]제품선택=헤어 리커버리 15 리바이탈 샴푸 - 500ml210201</t>
        </is>
      </c>
    </row>
    <row r="2727">
      <c r="B2727" s="10" t="n">
        <v>44307</v>
      </c>
      <c r="C2727" s="9" t="inlineStr">
        <is>
          <t>수</t>
        </is>
      </c>
      <c r="E2727" s="9" t="inlineStr">
        <is>
          <t>샴푸</t>
        </is>
      </c>
      <c r="F2727" s="9" t="inlineStr">
        <is>
          <t>카페24</t>
        </is>
      </c>
      <c r="G2727" s="9" t="inlineStr">
        <is>
          <t>[타임특가] 리 : 커버리 3개월 패키지 (샴푸 2+ 트리트먼트 택 1)샴푸2 + 트리트먼트 택 1=샴푸2 + 뉴트리셔스 밤1</t>
        </is>
      </c>
      <c r="H2727" s="9" t="n">
        <v>5</v>
      </c>
      <c r="I2727" s="9" t="inlineStr">
        <is>
          <t>리바이탈 샴푸2+뉴트리셔스밤1</t>
        </is>
      </c>
      <c r="J2727" s="9" t="inlineStr">
        <is>
          <t>210201</t>
        </is>
      </c>
      <c r="L2727" s="9">
        <f>62280*5</f>
        <v/>
      </c>
      <c r="M2727" s="9">
        <f>311400-(311400/5.85)</f>
        <v/>
      </c>
      <c r="N2727" s="9">
        <f>7310*5</f>
        <v/>
      </c>
      <c r="O2727" s="9" t="inlineStr">
        <is>
          <t>카페240[타임특가] 리 : 커버리 3개월 패키지 (샴푸 2+ 트리트먼트 택 1)샴푸2 + 트리트먼트 택 1=샴푸2 + 뉴트리셔스 밤1210201</t>
        </is>
      </c>
    </row>
    <row r="2728">
      <c r="B2728" s="10" t="n">
        <v>44307</v>
      </c>
      <c r="C2728" s="9" t="inlineStr">
        <is>
          <t>수</t>
        </is>
      </c>
      <c r="E2728" s="9" t="inlineStr">
        <is>
          <t>샴푸</t>
        </is>
      </c>
      <c r="F2728" s="9" t="inlineStr">
        <is>
          <t>카페24</t>
        </is>
      </c>
      <c r="G2728" s="9" t="inlineStr">
        <is>
          <t>[타임특가] 리 : 커버리 3개월 패키지 (샴푸 2+ 트리트먼트 택 1)샴푸2 + 트리트먼트 택 1=샴푸2 + 헤어팩 트리트먼트1</t>
        </is>
      </c>
      <c r="H2728" s="9" t="n">
        <v>5</v>
      </c>
      <c r="I2728" s="9" t="inlineStr">
        <is>
          <t>리바이탈 샴푸2+트리트먼트1</t>
        </is>
      </c>
      <c r="J2728" s="9" t="inlineStr">
        <is>
          <t>210201</t>
        </is>
      </c>
      <c r="L2728" s="9">
        <f>62280*5</f>
        <v/>
      </c>
      <c r="M2728" s="9">
        <f>311400-(311400/5.85)</f>
        <v/>
      </c>
      <c r="N2728" s="9">
        <f>7327*5</f>
        <v/>
      </c>
      <c r="O2728" s="9" t="inlineStr">
        <is>
          <t>카페240[타임특가] 리 : 커버리 3개월 패키지 (샴푸 2+ 트리트먼트 택 1)샴푸2 + 트리트먼트 택 1=샴푸2 + 헤어팩 트리트먼트1210201</t>
        </is>
      </c>
    </row>
    <row r="2729">
      <c r="B2729" s="10" t="n">
        <v>44307</v>
      </c>
      <c r="C2729" s="9" t="inlineStr">
        <is>
          <t>수</t>
        </is>
      </c>
      <c r="E2729" s="9" t="inlineStr">
        <is>
          <t>샴푸</t>
        </is>
      </c>
      <c r="F2729" s="9" t="inlineStr">
        <is>
          <t>카페24</t>
        </is>
      </c>
      <c r="G2729" s="9" t="inlineStr">
        <is>
          <t>[타임특가] 리 : 커버리 6개월 패키지 (샴푸 5+ 트리트먼트 택 1)샴푸 5 + 트리트먼트 택 1=샴푸 5 + 뉴트리셔스 밤 1</t>
        </is>
      </c>
      <c r="H2729" s="9" t="n">
        <v>2</v>
      </c>
      <c r="I2729" s="9" t="inlineStr">
        <is>
          <t>리바이탈 샴푸5+뉴트리셔스밤1</t>
        </is>
      </c>
      <c r="J2729" s="9" t="inlineStr">
        <is>
          <t>210201</t>
        </is>
      </c>
      <c r="L2729" s="9">
        <f>114840*2</f>
        <v/>
      </c>
      <c r="M2729" s="9">
        <f>229680-(229680/5.85)</f>
        <v/>
      </c>
      <c r="N2729" s="9">
        <f>15905*2</f>
        <v/>
      </c>
      <c r="O2729" s="9" t="inlineStr">
        <is>
          <t>카페240[타임특가] 리 : 커버리 6개월 패키지 (샴푸 5+ 트리트먼트 택 1)샴푸 5 + 트리트먼트 택 1=샴푸 5 + 뉴트리셔스 밤 1210201</t>
        </is>
      </c>
    </row>
    <row r="2730">
      <c r="B2730" s="10" t="n">
        <v>44307</v>
      </c>
      <c r="C2730" s="9" t="inlineStr">
        <is>
          <t>수</t>
        </is>
      </c>
      <c r="E2730" s="9" t="inlineStr">
        <is>
          <t>샴푸</t>
        </is>
      </c>
      <c r="F2730" s="9" t="inlineStr">
        <is>
          <t>카페24</t>
        </is>
      </c>
      <c r="G2730" s="9" t="inlineStr">
        <is>
          <t>[타임특가] 리 : 커버리 온가족 패키지 (샴푸 3+ 헤어팩 트리트먼트 1+뉴트리셔스 밤 1)</t>
        </is>
      </c>
      <c r="H2730" s="9" t="n">
        <v>2</v>
      </c>
      <c r="I2730" s="9" t="inlineStr">
        <is>
          <t>리바이탈 샴푸3+트리트먼트1+뉴트리셔스밤1</t>
        </is>
      </c>
      <c r="J2730" s="9" t="inlineStr">
        <is>
          <t>210201</t>
        </is>
      </c>
      <c r="L2730" s="9">
        <f>94765*2</f>
        <v/>
      </c>
      <c r="M2730" s="9">
        <f>189530-(189530/5.85)</f>
        <v/>
      </c>
      <c r="N2730" s="9">
        <f>11772*2</f>
        <v/>
      </c>
      <c r="O2730" s="9" t="inlineStr">
        <is>
          <t>카페240[타임특가] 리 : 커버리 온가족 패키지 (샴푸 3+ 헤어팩 트리트먼트 1+뉴트리셔스 밤 1)210201</t>
        </is>
      </c>
    </row>
    <row r="2731">
      <c r="B2731" s="10" t="n">
        <v>44307</v>
      </c>
      <c r="C2731" s="9" t="inlineStr">
        <is>
          <t>수</t>
        </is>
      </c>
      <c r="E2731" s="9" t="inlineStr">
        <is>
          <t>샴푸</t>
        </is>
      </c>
      <c r="F2731" s="9" t="inlineStr">
        <is>
          <t>카페24</t>
        </is>
      </c>
      <c r="G2731" s="9" t="inlineStr">
        <is>
          <t>[타임특가] 리:커버리 스타터 패키지 (샴푸 1+헤어팩 트리트먼트 1+ 뉴트리셔스 밤 1)</t>
        </is>
      </c>
      <c r="H2731" s="9" t="n">
        <v>19</v>
      </c>
      <c r="I2731" s="9" t="inlineStr">
        <is>
          <t>리바이탈 샴푸1+트리트먼트1+뉴트리셔스밤1</t>
        </is>
      </c>
      <c r="J2731" s="9" t="inlineStr">
        <is>
          <t>210201</t>
        </is>
      </c>
      <c r="L2731" s="9">
        <f>39897*19</f>
        <v/>
      </c>
      <c r="M2731" s="9">
        <f>758043-(758043/5.85)</f>
        <v/>
      </c>
      <c r="N2731" s="9">
        <f>(2865+1580+1597)*19</f>
        <v/>
      </c>
      <c r="O2731" s="9" t="inlineStr">
        <is>
          <t>카페240[타임특가] 리:커버리 스타터 패키지 (샴푸 1+헤어팩 트리트먼트 1+ 뉴트리셔스 밤 1)210201</t>
        </is>
      </c>
    </row>
    <row r="2732">
      <c r="B2732" s="10" t="n">
        <v>44307</v>
      </c>
      <c r="C2732" s="9" t="inlineStr">
        <is>
          <t>수</t>
        </is>
      </c>
      <c r="E2732" s="9" t="inlineStr">
        <is>
          <t>샴푸</t>
        </is>
      </c>
      <c r="F2732" s="9" t="inlineStr">
        <is>
          <t>카페24</t>
        </is>
      </c>
      <c r="G2732" s="9" t="inlineStr">
        <is>
          <t>[탈모케어] 라베나 리커버리 15 리바이탈 샴푸 [HAIR RÉ:COVERY 15 Revital Shampoo]제품선택=헤어 리커버리 15 리바이탈 샴푸 - 500ml</t>
        </is>
      </c>
      <c r="H2732" s="9" t="n">
        <v>1</v>
      </c>
      <c r="I2732" s="9" t="inlineStr">
        <is>
          <t>리바이탈 샴푸</t>
        </is>
      </c>
      <c r="J2732" s="9" t="inlineStr">
        <is>
          <t>210201</t>
        </is>
      </c>
      <c r="L2732" s="9" t="n">
        <v>26900</v>
      </c>
      <c r="M2732" s="9">
        <f>26900-(26900/5.85)</f>
        <v/>
      </c>
      <c r="N2732" s="9" t="n">
        <v>2865</v>
      </c>
      <c r="O2732" s="9" t="inlineStr">
        <is>
          <t>카페240[탈모케어] 라베나 리커버리 15 리바이탈 샴푸 [HAIR RÉ:COVERY 15 Revital Shampoo]제품선택=헤어 리커버리 15 리바이탈 샴푸 - 500ml210201</t>
        </is>
      </c>
    </row>
    <row r="2733">
      <c r="B2733" s="10" t="n">
        <v>44307</v>
      </c>
      <c r="C2733" s="9" t="inlineStr">
        <is>
          <t>수</t>
        </is>
      </c>
      <c r="E2733" s="9" t="inlineStr">
        <is>
          <t>샴푸</t>
        </is>
      </c>
      <c r="F2733" s="9" t="inlineStr">
        <is>
          <t>카페24</t>
        </is>
      </c>
      <c r="G2733" s="9" t="inlineStr">
        <is>
          <t>라베나 리커버리 15 리바이탈 바이오플라보노이드샴푸 [HAIR RÉ:COVERY 15 Revital Shampoo]제품선택=헤어 리커버리 15 리바이탈 샴푸 - 500ml</t>
        </is>
      </c>
      <c r="H2733" s="9" t="n">
        <v>88</v>
      </c>
      <c r="I2733" s="9" t="inlineStr">
        <is>
          <t>리바이탈 샴푸</t>
        </is>
      </c>
      <c r="J2733" s="9" t="inlineStr">
        <is>
          <t>210201</t>
        </is>
      </c>
      <c r="L2733" s="9" t="n">
        <v>2367200</v>
      </c>
      <c r="M2733" s="9" t="n">
        <v>2228718.8</v>
      </c>
      <c r="N2733" s="9" t="n">
        <v>252120</v>
      </c>
      <c r="O273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734">
      <c r="B2734" s="10" t="n">
        <v>44307</v>
      </c>
      <c r="C2734" s="9" t="inlineStr">
        <is>
          <t>수</t>
        </is>
      </c>
      <c r="E2734" s="9" t="inlineStr">
        <is>
          <t>샴푸</t>
        </is>
      </c>
      <c r="F2734" s="9" t="inlineStr">
        <is>
          <t>카페24</t>
        </is>
      </c>
      <c r="G2734" s="9" t="inlineStr">
        <is>
          <t>라베나 리커버리 15 리바이탈 바이오플라보노이드샴푸 [HAIR RÉ:COVERY 15 Revital Shampoo]제품선택=리바이탈 샴푸 2개 세트 5%추가할인</t>
        </is>
      </c>
      <c r="H2734" s="9" t="n">
        <v>22</v>
      </c>
      <c r="I2734" s="9" t="inlineStr">
        <is>
          <t>리바이탈 샴푸 2set</t>
        </is>
      </c>
      <c r="J2734" s="9" t="inlineStr">
        <is>
          <t>210201</t>
        </is>
      </c>
      <c r="L2734" s="9" t="n">
        <v>1124420</v>
      </c>
      <c r="M2734" s="9" t="n">
        <v>1058641.43</v>
      </c>
      <c r="N2734" s="9" t="n">
        <v>126060</v>
      </c>
      <c r="O273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735">
      <c r="B2735" s="10" t="n">
        <v>44307</v>
      </c>
      <c r="C2735" s="9" t="inlineStr">
        <is>
          <t>수</t>
        </is>
      </c>
      <c r="E2735" s="9" t="inlineStr">
        <is>
          <t>샴푸</t>
        </is>
      </c>
      <c r="F2735" s="9" t="inlineStr">
        <is>
          <t>카페24</t>
        </is>
      </c>
      <c r="G2735" s="9" t="inlineStr">
        <is>
          <t>라베나 리커버리 15 리바이탈 바이오플라보노이드샴푸 [HAIR RÉ:COVERY 15 Revital Shampoo]제품선택=리바이탈 샴푸 3개 세트 10% 추가할인</t>
        </is>
      </c>
      <c r="H2735" s="9" t="n">
        <v>11</v>
      </c>
      <c r="I2735" s="9" t="inlineStr">
        <is>
          <t>리바이탈 샴푸 3set</t>
        </is>
      </c>
      <c r="J2735" s="9" t="inlineStr">
        <is>
          <t>210201</t>
        </is>
      </c>
      <c r="L2735" s="9" t="n">
        <v>798930</v>
      </c>
      <c r="M2735" s="9" t="n">
        <v>752192.5950000001</v>
      </c>
      <c r="N2735" s="9" t="n">
        <v>94545</v>
      </c>
      <c r="O273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736">
      <c r="B2736" s="10" t="n">
        <v>44307</v>
      </c>
      <c r="C2736" s="9" t="inlineStr">
        <is>
          <t>수</t>
        </is>
      </c>
      <c r="E2736" s="9" t="inlineStr">
        <is>
          <t>트리트먼트</t>
        </is>
      </c>
      <c r="F2736" s="9" t="inlineStr">
        <is>
          <t>카페24</t>
        </is>
      </c>
      <c r="G2736" s="9" t="inlineStr">
        <is>
          <t>라베나 리커버리 15 헤어팩 트리트먼트 [HAIR RÉ:COVERY 15 Hairpack Treatment]제품선택=헤어 리커버리 15 헤어팩 트리트먼트</t>
        </is>
      </c>
      <c r="H2736" s="9" t="n">
        <v>3</v>
      </c>
      <c r="I2736" s="9" t="inlineStr">
        <is>
          <t>트리트먼트</t>
        </is>
      </c>
      <c r="J2736" s="9" t="inlineStr">
        <is>
          <t>210201</t>
        </is>
      </c>
      <c r="L2736" s="9" t="n">
        <v>78000</v>
      </c>
      <c r="M2736" s="9" t="n">
        <v>73437</v>
      </c>
      <c r="N2736" s="9" t="n">
        <v>4791</v>
      </c>
      <c r="O273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737">
      <c r="B2737" s="10" t="n">
        <v>44307</v>
      </c>
      <c r="C2737" s="9" t="inlineStr">
        <is>
          <t>수</t>
        </is>
      </c>
      <c r="E2737" s="9" t="inlineStr">
        <is>
          <t>트리트먼트</t>
        </is>
      </c>
      <c r="F2737" s="9" t="inlineStr">
        <is>
          <t>카페24</t>
        </is>
      </c>
      <c r="G2737" s="9" t="inlineStr">
        <is>
          <t>라베나 리커버리 15 헤어팩 트리트먼트 [HAIR RÉ:COVERY 15 Hairpack Treatment]제품선택=헤어팩 트리트먼트 2개 세트 5% 추가할인</t>
        </is>
      </c>
      <c r="H2737" s="9" t="n">
        <v>1</v>
      </c>
      <c r="I2737" s="9" t="inlineStr">
        <is>
          <t>트리트먼트 2set</t>
        </is>
      </c>
      <c r="J2737" s="9" t="inlineStr">
        <is>
          <t>210201</t>
        </is>
      </c>
      <c r="L2737" s="9" t="n">
        <v>49400</v>
      </c>
      <c r="M2737" s="9" t="n">
        <v>46510.1</v>
      </c>
      <c r="N2737" s="9" t="n">
        <v>3194</v>
      </c>
      <c r="O273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738">
      <c r="B2738" s="10" t="n">
        <v>44307</v>
      </c>
      <c r="C2738" s="9" t="inlineStr">
        <is>
          <t>수</t>
        </is>
      </c>
      <c r="E2738" s="9" t="inlineStr">
        <is>
          <t>트리트먼트</t>
        </is>
      </c>
      <c r="F2738" s="9" t="inlineStr">
        <is>
          <t>카페24</t>
        </is>
      </c>
      <c r="G2738" s="9" t="inlineStr">
        <is>
          <t>라베나 리커버리 15 헤어팩 트리트먼트 [HAIR RÉ:COVERY 15 Hairpack Treatment]제품선택=헤어팩 트리트먼트 3개 세트 10% 추가할인</t>
        </is>
      </c>
      <c r="H2738" s="9" t="n">
        <v>1</v>
      </c>
      <c r="I2738" s="9" t="inlineStr">
        <is>
          <t>트리트먼트 3set</t>
        </is>
      </c>
      <c r="J2738" s="9" t="inlineStr">
        <is>
          <t>210201</t>
        </is>
      </c>
      <c r="L2738" s="9" t="n">
        <v>70200</v>
      </c>
      <c r="M2738" s="9" t="n">
        <v>66093.3</v>
      </c>
      <c r="N2738" s="9" t="n">
        <v>4791</v>
      </c>
      <c r="O273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739">
      <c r="A2739" s="9" t="inlineStr">
        <is>
          <t>0422_인서_노워시_카드뉴스_묶은자국</t>
        </is>
      </c>
      <c r="B2739" s="10" t="n">
        <v>44308</v>
      </c>
      <c r="C2739" s="9" t="inlineStr">
        <is>
          <t>목</t>
        </is>
      </c>
      <c r="D2739" s="9" t="inlineStr">
        <is>
          <t>페이스북</t>
        </is>
      </c>
      <c r="E2739" s="9" t="inlineStr">
        <is>
          <t>뉴트리셔스밤</t>
        </is>
      </c>
      <c r="K2739" s="9" t="n">
        <v>27680</v>
      </c>
    </row>
    <row r="2740">
      <c r="A2740" s="9" t="inlineStr">
        <is>
          <t>0421_윤민_샴푸_테스트</t>
        </is>
      </c>
      <c r="B2740" s="10" t="n">
        <v>44308</v>
      </c>
      <c r="C2740" s="9" t="inlineStr">
        <is>
          <t>목</t>
        </is>
      </c>
      <c r="D2740" s="9" t="inlineStr">
        <is>
          <t>페이스북</t>
        </is>
      </c>
      <c r="E2740" s="9" t="inlineStr">
        <is>
          <t>샴푸</t>
        </is>
      </c>
      <c r="K2740" s="9" t="n">
        <v>21927</v>
      </c>
    </row>
    <row r="2741">
      <c r="A2741" s="9" t="inlineStr">
        <is>
          <t>0421_윤민_3개월패키지_단장_온누리</t>
        </is>
      </c>
      <c r="B2741" s="10" t="n">
        <v>44308</v>
      </c>
      <c r="C2741" s="9" t="inlineStr">
        <is>
          <t>목</t>
        </is>
      </c>
      <c r="D2741" s="9" t="inlineStr">
        <is>
          <t>페이스북</t>
        </is>
      </c>
      <c r="E2741" s="9" t="inlineStr">
        <is>
          <t>샴푸</t>
        </is>
      </c>
      <c r="K2741" s="9" t="n">
        <v>31490</v>
      </c>
    </row>
    <row r="2742">
      <c r="A2742" s="9" t="inlineStr">
        <is>
          <t>0421_온누리_단장</t>
        </is>
      </c>
      <c r="B2742" s="10" t="n">
        <v>44308</v>
      </c>
      <c r="C2742" s="9" t="inlineStr">
        <is>
          <t>목</t>
        </is>
      </c>
      <c r="D2742" s="9" t="inlineStr">
        <is>
          <t>페이스북</t>
        </is>
      </c>
      <c r="E2742" s="9" t="inlineStr">
        <is>
          <t>샴푸</t>
        </is>
      </c>
      <c r="K2742" s="9" t="n">
        <v>62311</v>
      </c>
    </row>
    <row r="2743">
      <c r="A2743" s="9" t="inlineStr">
        <is>
          <t>0412_인서_샴푸_단장</t>
        </is>
      </c>
      <c r="B2743" s="10" t="n">
        <v>44308</v>
      </c>
      <c r="C2743" s="9" t="inlineStr">
        <is>
          <t>목</t>
        </is>
      </c>
      <c r="D2743" s="9" t="inlineStr">
        <is>
          <t>페이스북</t>
        </is>
      </c>
      <c r="E2743" s="9" t="inlineStr">
        <is>
          <t>샴푸</t>
        </is>
      </c>
      <c r="K2743" s="9" t="n">
        <v>49991</v>
      </c>
    </row>
    <row r="2744">
      <c r="A2744" s="9" t="inlineStr">
        <is>
          <t>0408~_윤민_샴푸_배너_올인원</t>
        </is>
      </c>
      <c r="B2744" s="10" t="n">
        <v>44308</v>
      </c>
      <c r="C2744" s="9" t="inlineStr">
        <is>
          <t>목</t>
        </is>
      </c>
      <c r="D2744" s="9" t="inlineStr">
        <is>
          <t>페이스북</t>
        </is>
      </c>
      <c r="E2744" s="9" t="inlineStr">
        <is>
          <t>샴푸</t>
        </is>
      </c>
      <c r="K2744" s="9" t="n">
        <v>95145</v>
      </c>
    </row>
    <row r="2745">
      <c r="A2745" s="9" t="inlineStr">
        <is>
          <t>0407_성화_스타터패키지_단장이벤트배너_a/b</t>
        </is>
      </c>
      <c r="B2745" s="10" t="n">
        <v>44308</v>
      </c>
      <c r="C2745" s="9" t="inlineStr">
        <is>
          <t>목</t>
        </is>
      </c>
      <c r="D2745" s="9" t="inlineStr">
        <is>
          <t>페이스북</t>
        </is>
      </c>
      <c r="E2745" s="9" t="inlineStr">
        <is>
          <t>샴푸</t>
        </is>
      </c>
      <c r="K2745" s="9" t="n">
        <v>388184</v>
      </c>
    </row>
    <row r="2746">
      <c r="A2746" s="9" t="inlineStr">
        <is>
          <t>0318~영상기반 단장</t>
        </is>
      </c>
      <c r="B2746" s="10" t="n">
        <v>44308</v>
      </c>
      <c r="C2746" s="9" t="inlineStr">
        <is>
          <t>목</t>
        </is>
      </c>
      <c r="D2746" s="9" t="inlineStr">
        <is>
          <t>페이스북</t>
        </is>
      </c>
      <c r="E2746" s="9" t="inlineStr">
        <is>
          <t>샴푸</t>
        </is>
      </c>
      <c r="K2746" s="9" t="n">
        <v>99651</v>
      </c>
    </row>
    <row r="2747">
      <c r="A2747" s="9" t="inlineStr">
        <is>
          <t>0316~영상베리</t>
        </is>
      </c>
      <c r="B2747" s="10" t="n">
        <v>44308</v>
      </c>
      <c r="C2747" s="9" t="inlineStr">
        <is>
          <t>목</t>
        </is>
      </c>
      <c r="D2747" s="9" t="inlineStr">
        <is>
          <t>페이스북</t>
        </is>
      </c>
      <c r="E2747" s="9" t="inlineStr">
        <is>
          <t>샴푸</t>
        </is>
      </c>
      <c r="K2747" s="9" t="n">
        <v>101442</v>
      </c>
    </row>
    <row r="2748">
      <c r="A2748" s="9" t="inlineStr">
        <is>
          <t>0322_샴푸_GDN_이현1차</t>
        </is>
      </c>
      <c r="B2748" s="10" t="n">
        <v>44308</v>
      </c>
      <c r="C2748" s="9" t="inlineStr">
        <is>
          <t>목</t>
        </is>
      </c>
      <c r="D2748" s="9" t="inlineStr">
        <is>
          <t>GDN</t>
        </is>
      </c>
      <c r="E2748" s="9" t="inlineStr">
        <is>
          <t>샴푸</t>
        </is>
      </c>
      <c r="K2748" s="9" t="n">
        <v>65506</v>
      </c>
    </row>
    <row r="2749">
      <c r="A2749" s="9" t="inlineStr">
        <is>
          <t>0324_샴푸_SDC_CPA</t>
        </is>
      </c>
      <c r="B2749" s="10" t="n">
        <v>44308</v>
      </c>
      <c r="C2749" s="9" t="inlineStr">
        <is>
          <t>목</t>
        </is>
      </c>
      <c r="D2749" s="9" t="inlineStr">
        <is>
          <t>유튜브</t>
        </is>
      </c>
      <c r="E2749" s="9" t="inlineStr">
        <is>
          <t>샴푸</t>
        </is>
      </c>
      <c r="K2749" s="9" t="n">
        <v>89</v>
      </c>
    </row>
    <row r="2750">
      <c r="A2750" s="9" t="inlineStr">
        <is>
          <t>0324_샴푸_VAC_CPA</t>
        </is>
      </c>
      <c r="B2750" s="10" t="n">
        <v>44308</v>
      </c>
      <c r="C2750" s="9" t="inlineStr">
        <is>
          <t>목</t>
        </is>
      </c>
      <c r="D2750" s="9" t="inlineStr">
        <is>
          <t>유튜브</t>
        </is>
      </c>
      <c r="E2750" s="9" t="inlineStr">
        <is>
          <t>샴푸</t>
        </is>
      </c>
      <c r="K2750" s="9" t="n">
        <v>2167499</v>
      </c>
    </row>
    <row r="2751">
      <c r="A2751" s="9" t="inlineStr">
        <is>
          <t>0330_샴푸_cpv_200만뷰</t>
        </is>
      </c>
      <c r="B2751" s="10" t="n">
        <v>44308</v>
      </c>
      <c r="C2751" s="9" t="inlineStr">
        <is>
          <t>목</t>
        </is>
      </c>
      <c r="D2751" s="9" t="inlineStr">
        <is>
          <t>유튜브</t>
        </is>
      </c>
      <c r="E2751" s="9" t="inlineStr">
        <is>
          <t>샴푸</t>
        </is>
      </c>
      <c r="K2751" s="9" t="n">
        <v>35040</v>
      </c>
    </row>
    <row r="2752">
      <c r="A2752" s="9" t="inlineStr">
        <is>
          <t>라베나 파워링크_샴푸_광고그룹#1</t>
        </is>
      </c>
      <c r="B2752" s="10" t="n">
        <v>44308</v>
      </c>
      <c r="C2752" s="9" t="inlineStr">
        <is>
          <t>목</t>
        </is>
      </c>
      <c r="D2752" s="9" t="inlineStr">
        <is>
          <t>네이버 검색</t>
        </is>
      </c>
      <c r="E2752" s="9" t="inlineStr">
        <is>
          <t>샴푸</t>
        </is>
      </c>
      <c r="K2752" s="9" t="n">
        <v>1820</v>
      </c>
    </row>
    <row r="2753">
      <c r="A2753" s="9" t="inlineStr">
        <is>
          <t>라베나 파워링크_샴푸#1_유튜브키워드기반</t>
        </is>
      </c>
      <c r="B2753" s="10" t="n">
        <v>44308</v>
      </c>
      <c r="C2753" s="9" t="inlineStr">
        <is>
          <t>목</t>
        </is>
      </c>
      <c r="D2753" s="9" t="inlineStr">
        <is>
          <t>네이버 검색</t>
        </is>
      </c>
      <c r="E2753" s="9" t="inlineStr">
        <is>
          <t>샴푸</t>
        </is>
      </c>
      <c r="K2753" s="9" t="n">
        <v>5440</v>
      </c>
    </row>
    <row r="2754">
      <c r="A2754" s="9" t="inlineStr">
        <is>
          <t>샴푸_쇼핑검색#1_광고그룹#1</t>
        </is>
      </c>
      <c r="B2754" s="10" t="n">
        <v>44308</v>
      </c>
      <c r="C2754" s="9" t="inlineStr">
        <is>
          <t>목</t>
        </is>
      </c>
      <c r="D2754" s="9" t="inlineStr">
        <is>
          <t>네이버 검색</t>
        </is>
      </c>
      <c r="E2754" s="9" t="inlineStr">
        <is>
          <t>샴푸</t>
        </is>
      </c>
      <c r="K2754" s="9" t="n">
        <v>2660</v>
      </c>
    </row>
    <row r="2755">
      <c r="A2755" s="9" t="inlineStr">
        <is>
          <t>파워컨텐츠#1_비듬샴푸</t>
        </is>
      </c>
      <c r="B2755" s="10" t="n">
        <v>44308</v>
      </c>
      <c r="C2755" s="9" t="inlineStr">
        <is>
          <t>목</t>
        </is>
      </c>
      <c r="D2755" s="9" t="inlineStr">
        <is>
          <t>네이버 검색</t>
        </is>
      </c>
      <c r="E2755" s="9" t="inlineStr">
        <is>
          <t>샴푸</t>
        </is>
      </c>
      <c r="K2755" s="9" t="n">
        <v>70</v>
      </c>
    </row>
    <row r="2756">
      <c r="B2756" s="10" t="n">
        <v>44308</v>
      </c>
      <c r="C2756" s="9" t="inlineStr">
        <is>
          <t>목</t>
        </is>
      </c>
      <c r="E2756" s="9" t="inlineStr">
        <is>
          <t>샴푸</t>
        </is>
      </c>
      <c r="F2756" s="9" t="inlineStr">
        <is>
          <t>카페24</t>
        </is>
      </c>
      <c r="G2756" s="9" t="inlineStr">
        <is>
          <t>[타임특가] 리 : 커버리 3개월 패키지 (샴푸 2+ 트리트먼트 택 1)샴푸2 + 트리트먼트 택 1=샴푸2 + 뉴트리셔스 밤1</t>
        </is>
      </c>
      <c r="H2756" s="9" t="n">
        <v>4</v>
      </c>
      <c r="I2756" s="9" t="inlineStr">
        <is>
          <t>리바이탈 샴푸2+뉴트리셔스밤1</t>
        </is>
      </c>
      <c r="J2756" s="9" t="inlineStr">
        <is>
          <t>210201</t>
        </is>
      </c>
      <c r="L2756" s="9">
        <f>62280*4</f>
        <v/>
      </c>
      <c r="M2756" s="9">
        <f>249120-(249120/5.85)</f>
        <v/>
      </c>
      <c r="N2756" s="9">
        <f>7310*4</f>
        <v/>
      </c>
      <c r="O2756" s="9" t="inlineStr">
        <is>
          <t>카페240[타임특가] 리 : 커버리 3개월 패키지 (샴푸 2+ 트리트먼트 택 1)샴푸2 + 트리트먼트 택 1=샴푸2 + 뉴트리셔스 밤1210201</t>
        </is>
      </c>
    </row>
    <row r="2757">
      <c r="B2757" s="10" t="n">
        <v>44308</v>
      </c>
      <c r="C2757" s="9" t="inlineStr">
        <is>
          <t>목</t>
        </is>
      </c>
      <c r="E2757" s="9" t="inlineStr">
        <is>
          <t>샴푸</t>
        </is>
      </c>
      <c r="F2757" s="9" t="inlineStr">
        <is>
          <t>카페24</t>
        </is>
      </c>
      <c r="G2757" s="9" t="inlineStr">
        <is>
          <t>[타임특가] 리 : 커버리 3개월 패키지 (샴푸 2+ 트리트먼트 택 1)샴푸2 + 트리트먼트 택 1=샴푸2 + 헤어팩 트리트먼트1</t>
        </is>
      </c>
      <c r="H2757" s="9" t="n">
        <v>2</v>
      </c>
      <c r="I2757" s="9" t="inlineStr">
        <is>
          <t>리바이탈 샴푸2+트리트먼트1</t>
        </is>
      </c>
      <c r="J2757" s="9" t="inlineStr">
        <is>
          <t>210201</t>
        </is>
      </c>
      <c r="L2757" s="9">
        <f>62280*2</f>
        <v/>
      </c>
      <c r="M2757" s="9">
        <f>124560-(124560/5.85)</f>
        <v/>
      </c>
      <c r="N2757" s="9">
        <f>7327*2</f>
        <v/>
      </c>
      <c r="O2757" s="9" t="inlineStr">
        <is>
          <t>카페240[타임특가] 리 : 커버리 3개월 패키지 (샴푸 2+ 트리트먼트 택 1)샴푸2 + 트리트먼트 택 1=샴푸2 + 헤어팩 트리트먼트1210201</t>
        </is>
      </c>
    </row>
    <row r="2758">
      <c r="B2758" s="10" t="n">
        <v>44308</v>
      </c>
      <c r="C2758" s="9" t="inlineStr">
        <is>
          <t>목</t>
        </is>
      </c>
      <c r="E2758" s="9" t="inlineStr">
        <is>
          <t>샴푸</t>
        </is>
      </c>
      <c r="F2758" s="9" t="inlineStr">
        <is>
          <t>카페24</t>
        </is>
      </c>
      <c r="G2758" s="9" t="inlineStr">
        <is>
          <t>[타임특가] 리 : 커버리 6개월 패키지 (샴푸 5+ 트리트먼트 택 1)샴푸 5 + 트리트먼트 택 1=샴푸 5 + 뉴트리셔스 밤 1</t>
        </is>
      </c>
      <c r="H2758" s="9" t="n">
        <v>2</v>
      </c>
      <c r="I2758" s="9" t="inlineStr">
        <is>
          <t>리바이탈 샴푸5+뉴트리셔스밤1</t>
        </is>
      </c>
      <c r="J2758" s="9" t="inlineStr">
        <is>
          <t>210201</t>
        </is>
      </c>
      <c r="L2758" s="9">
        <f>114840*2</f>
        <v/>
      </c>
      <c r="M2758" s="9">
        <f>229680-(229680/5.85)</f>
        <v/>
      </c>
      <c r="N2758" s="9">
        <f>15905*2</f>
        <v/>
      </c>
      <c r="O2758" s="9" t="inlineStr">
        <is>
          <t>카페240[타임특가] 리 : 커버리 6개월 패키지 (샴푸 5+ 트리트먼트 택 1)샴푸 5 + 트리트먼트 택 1=샴푸 5 + 뉴트리셔스 밤 1210201</t>
        </is>
      </c>
    </row>
    <row r="2759">
      <c r="B2759" s="10" t="n">
        <v>44308</v>
      </c>
      <c r="C2759" s="9" t="inlineStr">
        <is>
          <t>목</t>
        </is>
      </c>
      <c r="E2759" s="9" t="inlineStr">
        <is>
          <t>샴푸</t>
        </is>
      </c>
      <c r="F2759" s="9" t="inlineStr">
        <is>
          <t>카페24</t>
        </is>
      </c>
      <c r="G2759" s="9" t="inlineStr">
        <is>
          <t>[타임특가] 리 : 커버리 6개월 패키지 (샴푸 5+ 트리트먼트 택 1)샴푸 5 + 트리트먼트 택 1=샴푸 5 + 헤어팩 트리트먼트 1</t>
        </is>
      </c>
      <c r="H2759" s="9" t="n">
        <v>2</v>
      </c>
      <c r="I2759" s="9" t="inlineStr">
        <is>
          <t>리바이탈 샴푸5+트리트먼트1</t>
        </is>
      </c>
      <c r="J2759" s="9" t="inlineStr">
        <is>
          <t>210201</t>
        </is>
      </c>
      <c r="L2759" s="9">
        <f>114840*2</f>
        <v/>
      </c>
      <c r="M2759" s="9">
        <f>229680-(229680/5.85)</f>
        <v/>
      </c>
      <c r="N2759" s="9">
        <f>15922*2</f>
        <v/>
      </c>
      <c r="O2759" s="9" t="inlineStr">
        <is>
          <t>카페240[타임특가] 리 : 커버리 6개월 패키지 (샴푸 5+ 트리트먼트 택 1)샴푸 5 + 트리트먼트 택 1=샴푸 5 + 헤어팩 트리트먼트 1210201</t>
        </is>
      </c>
    </row>
    <row r="2760">
      <c r="B2760" s="10" t="n">
        <v>44308</v>
      </c>
      <c r="C2760" s="9" t="inlineStr">
        <is>
          <t>목</t>
        </is>
      </c>
      <c r="E2760" s="9" t="inlineStr">
        <is>
          <t>샴푸</t>
        </is>
      </c>
      <c r="F2760" s="9" t="inlineStr">
        <is>
          <t>카페24</t>
        </is>
      </c>
      <c r="G2760" s="9" t="inlineStr">
        <is>
          <t>[타임특가] 리 : 커버리 온가족 패키지 (샴푸 3+ 헤어팩 트리트먼트 1+뉴트리셔스 밤 1)</t>
        </is>
      </c>
      <c r="H2760" s="9" t="n">
        <v>2</v>
      </c>
      <c r="I2760" s="9" t="inlineStr">
        <is>
          <t>리바이탈 샴푸3+트리트먼트1+뉴트리셔스밤1</t>
        </is>
      </c>
      <c r="J2760" s="9" t="inlineStr">
        <is>
          <t>210201</t>
        </is>
      </c>
      <c r="L2760" s="9">
        <f>94765*2</f>
        <v/>
      </c>
      <c r="M2760" s="9">
        <f>189530-(189530/5.85)</f>
        <v/>
      </c>
      <c r="N2760" s="9">
        <f>11772*2</f>
        <v/>
      </c>
      <c r="O2760" s="9" t="inlineStr">
        <is>
          <t>카페240[타임특가] 리 : 커버리 온가족 패키지 (샴푸 3+ 헤어팩 트리트먼트 1+뉴트리셔스 밤 1)210201</t>
        </is>
      </c>
    </row>
    <row r="2761">
      <c r="B2761" s="10" t="n">
        <v>44308</v>
      </c>
      <c r="C2761" s="9" t="inlineStr">
        <is>
          <t>목</t>
        </is>
      </c>
      <c r="E2761" s="9" t="inlineStr">
        <is>
          <t>샴푸</t>
        </is>
      </c>
      <c r="F2761" s="9" t="inlineStr">
        <is>
          <t>카페24</t>
        </is>
      </c>
      <c r="G2761" s="9" t="inlineStr">
        <is>
          <t>[타임특가] 리:커버리 스타터 패키지 (샴푸 1+헤어팩 트리트먼트 1+ 뉴트리셔스 밤 1)</t>
        </is>
      </c>
      <c r="H2761" s="9" t="n">
        <v>14</v>
      </c>
      <c r="I2761" s="9" t="inlineStr">
        <is>
          <t>리바이탈 샴푸1+트리트먼트1+뉴트리셔스밤1</t>
        </is>
      </c>
      <c r="J2761" s="9" t="inlineStr">
        <is>
          <t>210201</t>
        </is>
      </c>
      <c r="L2761" s="9">
        <f>39897*14</f>
        <v/>
      </c>
      <c r="M2761" s="9">
        <f>558558-(558558/5.85)</f>
        <v/>
      </c>
      <c r="N2761" s="9">
        <f>(2865+1580+1597)*14</f>
        <v/>
      </c>
      <c r="O2761" s="9" t="inlineStr">
        <is>
          <t>카페240[타임특가] 리:커버리 스타터 패키지 (샴푸 1+헤어팩 트리트먼트 1+ 뉴트리셔스 밤 1)210201</t>
        </is>
      </c>
    </row>
    <row r="2762">
      <c r="B2762" s="10" t="n">
        <v>44308</v>
      </c>
      <c r="C2762" s="9" t="inlineStr">
        <is>
          <t>목</t>
        </is>
      </c>
      <c r="E2762" s="9" t="inlineStr">
        <is>
          <t>뉴트리셔스밤</t>
        </is>
      </c>
      <c r="F2762" s="9" t="inlineStr">
        <is>
          <t>카페24</t>
        </is>
      </c>
      <c r="G2762" s="9" t="inlineStr">
        <is>
          <t>라베나 리커버리 15 뉴트리셔스 밤 [HAIR RÉ:COVERY 15 Nutritious Balm]제품선택=뉴트리셔스밤 1개 + 헤어팩 트리트먼트 1개 세트 5%추가할인</t>
        </is>
      </c>
      <c r="H2762" s="9" t="n">
        <v>1</v>
      </c>
      <c r="I2762" s="9" t="inlineStr">
        <is>
          <t>트리트먼트+뉴트리셔스밤</t>
        </is>
      </c>
      <c r="J2762" s="9" t="inlineStr">
        <is>
          <t>210201</t>
        </is>
      </c>
      <c r="L2762" s="9" t="n">
        <v>48355</v>
      </c>
      <c r="M2762" s="9" t="n">
        <v>45526.2325</v>
      </c>
      <c r="N2762" s="9" t="n">
        <v>3177</v>
      </c>
      <c r="O2762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763">
      <c r="B2763" s="10" t="n">
        <v>44308</v>
      </c>
      <c r="C2763" s="9" t="inlineStr">
        <is>
          <t>목</t>
        </is>
      </c>
      <c r="E2763" s="9" t="inlineStr">
        <is>
          <t>샴푸</t>
        </is>
      </c>
      <c r="F2763" s="9" t="inlineStr">
        <is>
          <t>카페24</t>
        </is>
      </c>
      <c r="G2763" s="9" t="inlineStr">
        <is>
          <t>라베나 리커버리 15 리바이탈 바이오플라보노이드샴푸 [HAIR RÉ:COVERY 15 Revital Shampoo]제품선택=헤어 리커버리 15 리바이탈 샴푸 - 500ml</t>
        </is>
      </c>
      <c r="H2763" s="9" t="n">
        <v>63</v>
      </c>
      <c r="I2763" s="9" t="inlineStr">
        <is>
          <t>리바이탈 샴푸</t>
        </is>
      </c>
      <c r="J2763" s="9" t="inlineStr">
        <is>
          <t>210201</t>
        </is>
      </c>
      <c r="L2763" s="9" t="n">
        <v>1694700</v>
      </c>
      <c r="M2763" s="9" t="n">
        <v>1595560.05</v>
      </c>
      <c r="N2763" s="9" t="n">
        <v>180495</v>
      </c>
      <c r="O276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764">
      <c r="B2764" s="10" t="n">
        <v>44308</v>
      </c>
      <c r="C2764" s="9" t="inlineStr">
        <is>
          <t>목</t>
        </is>
      </c>
      <c r="E2764" s="9" t="inlineStr">
        <is>
          <t>샴푸</t>
        </is>
      </c>
      <c r="F2764" s="9" t="inlineStr">
        <is>
          <t>카페24</t>
        </is>
      </c>
      <c r="G2764" s="9" t="inlineStr">
        <is>
          <t>라베나 리커버리 15 리바이탈 바이오플라보노이드샴푸 [HAIR RÉ:COVERY 15 Revital Shampoo]제품선택=리바이탈 샴푸 2개 세트 5%추가할인</t>
        </is>
      </c>
      <c r="H2764" s="9" t="n">
        <v>23</v>
      </c>
      <c r="I2764" s="9" t="inlineStr">
        <is>
          <t>리바이탈 샴푸 2set</t>
        </is>
      </c>
      <c r="J2764" s="9" t="inlineStr">
        <is>
          <t>210201</t>
        </is>
      </c>
      <c r="L2764" s="9" t="n">
        <v>1175530</v>
      </c>
      <c r="M2764" s="9" t="n">
        <v>1106761.495</v>
      </c>
      <c r="N2764" s="9" t="n">
        <v>131790</v>
      </c>
      <c r="O276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765">
      <c r="B2765" s="10" t="n">
        <v>44308</v>
      </c>
      <c r="C2765" s="9" t="inlineStr">
        <is>
          <t>목</t>
        </is>
      </c>
      <c r="E2765" s="9" t="inlineStr">
        <is>
          <t>샴푸</t>
        </is>
      </c>
      <c r="F2765" s="9" t="inlineStr">
        <is>
          <t>카페24</t>
        </is>
      </c>
      <c r="G2765" s="9" t="inlineStr">
        <is>
          <t>라베나 리커버리 15 리바이탈 바이오플라보노이드샴푸 [HAIR RÉ:COVERY 15 Revital Shampoo]제품선택=리바이탈 샴푸 3개 세트 10% 추가할인</t>
        </is>
      </c>
      <c r="H2765" s="9" t="n">
        <v>10</v>
      </c>
      <c r="I2765" s="9" t="inlineStr">
        <is>
          <t>리바이탈 샴푸 3set</t>
        </is>
      </c>
      <c r="J2765" s="9" t="inlineStr">
        <is>
          <t>210201</t>
        </is>
      </c>
      <c r="L2765" s="9" t="n">
        <v>726300</v>
      </c>
      <c r="M2765" s="9" t="n">
        <v>683811.4500000001</v>
      </c>
      <c r="N2765" s="9" t="n">
        <v>85950</v>
      </c>
      <c r="O276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766">
      <c r="B2766" s="10" t="n">
        <v>44308</v>
      </c>
      <c r="C2766" s="9" t="inlineStr">
        <is>
          <t>목</t>
        </is>
      </c>
      <c r="E2766" s="9" t="inlineStr">
        <is>
          <t>트리트먼트</t>
        </is>
      </c>
      <c r="F2766" s="9" t="inlineStr">
        <is>
          <t>카페24</t>
        </is>
      </c>
      <c r="G2766" s="9" t="inlineStr">
        <is>
          <t>라베나 리커버리 15 헤어팩 트리트먼트 [HAIR RÉ:COVERY 15 Hairpack Treatment]제품선택=헤어 리커버리 15 헤어팩 트리트먼트</t>
        </is>
      </c>
      <c r="H2766" s="9" t="n">
        <v>2</v>
      </c>
      <c r="I2766" s="9" t="inlineStr">
        <is>
          <t>트리트먼트</t>
        </is>
      </c>
      <c r="J2766" s="9" t="inlineStr">
        <is>
          <t>210201</t>
        </is>
      </c>
      <c r="L2766" s="9" t="n">
        <v>52000</v>
      </c>
      <c r="M2766" s="9" t="n">
        <v>48958</v>
      </c>
      <c r="N2766" s="9" t="n">
        <v>3194</v>
      </c>
      <c r="O276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767">
      <c r="B2767" s="10" t="n">
        <v>44308</v>
      </c>
      <c r="C2767" s="9" t="inlineStr">
        <is>
          <t>목</t>
        </is>
      </c>
      <c r="E2767" s="9" t="inlineStr">
        <is>
          <t>트리트먼트</t>
        </is>
      </c>
      <c r="F2767" s="9" t="inlineStr">
        <is>
          <t>카페24</t>
        </is>
      </c>
      <c r="G2767" s="9" t="inlineStr">
        <is>
          <t>라베나 리커버리 15 헤어팩 트리트먼트 [HAIR RÉ:COVERY 15 Hairpack Treatment]제품선택=헤어팩 트리트먼트 2개 세트 5% 추가할인</t>
        </is>
      </c>
      <c r="H2767" s="9" t="n">
        <v>3</v>
      </c>
      <c r="I2767" s="9" t="inlineStr">
        <is>
          <t>트리트먼트 2set</t>
        </is>
      </c>
      <c r="J2767" s="9" t="inlineStr">
        <is>
          <t>210201</t>
        </is>
      </c>
      <c r="L2767" s="9" t="n">
        <v>148200</v>
      </c>
      <c r="M2767" s="9" t="n">
        <v>139530.3</v>
      </c>
      <c r="N2767" s="9" t="n">
        <v>9582</v>
      </c>
      <c r="O2767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768">
      <c r="B2768" s="10" t="n">
        <v>44308</v>
      </c>
      <c r="C2768" s="9" t="inlineStr">
        <is>
          <t>목</t>
        </is>
      </c>
      <c r="E2768" s="9" t="inlineStr">
        <is>
          <t>트리트먼트</t>
        </is>
      </c>
      <c r="F2768" s="9" t="inlineStr">
        <is>
          <t>카페24</t>
        </is>
      </c>
      <c r="G2768" s="9" t="inlineStr">
        <is>
          <t>라베나 리커버리 15 헤어팩 트리트먼트 [HAIR RÉ:COVERY 15 Hairpack Treatment]제품선택=헤어팩 트리트먼트 3개 세트 10% 추가할인</t>
        </is>
      </c>
      <c r="H2768" s="9" t="n">
        <v>1</v>
      </c>
      <c r="I2768" s="9" t="inlineStr">
        <is>
          <t>트리트먼트 3set</t>
        </is>
      </c>
      <c r="J2768" s="9" t="inlineStr">
        <is>
          <t>210201</t>
        </is>
      </c>
      <c r="L2768" s="9" t="n">
        <v>70200</v>
      </c>
      <c r="M2768" s="9" t="n">
        <v>66093.3</v>
      </c>
      <c r="N2768" s="9" t="n">
        <v>4791</v>
      </c>
      <c r="O2768" s="9" t="inlineStr">
        <is>
          <t>카페24트리트먼트라베나 리커버리 15 헤어팩 트리트먼트 [HAIR RÉ:COVERY 15 Hairpack Treatment]제품선택=헤어팩 트리트먼트 3개 세트 10% 추가할인210201</t>
        </is>
      </c>
    </row>
    <row r="2769">
      <c r="A2769" s="9" t="inlineStr">
        <is>
          <t>0422_인서_노워시_카드뉴스_묶은자국</t>
        </is>
      </c>
      <c r="B2769" s="10" t="n">
        <v>44309</v>
      </c>
      <c r="C2769" s="9" t="inlineStr">
        <is>
          <t>금</t>
        </is>
      </c>
      <c r="D2769" s="9" t="inlineStr">
        <is>
          <t>페이스북</t>
        </is>
      </c>
      <c r="E2769" s="9" t="inlineStr">
        <is>
          <t>뉴트리셔스밤</t>
        </is>
      </c>
      <c r="K2769" s="9" t="n">
        <v>24019</v>
      </c>
    </row>
    <row r="2770">
      <c r="A2770" s="9" t="inlineStr">
        <is>
          <t>0421_온누리_단장</t>
        </is>
      </c>
      <c r="B2770" s="10" t="n">
        <v>44309</v>
      </c>
      <c r="C2770" s="9" t="inlineStr">
        <is>
          <t>금</t>
        </is>
      </c>
      <c r="D2770" s="9" t="inlineStr">
        <is>
          <t>페이스북</t>
        </is>
      </c>
      <c r="E2770" s="9" t="inlineStr">
        <is>
          <t>샴푸</t>
        </is>
      </c>
      <c r="K2770" s="9" t="n">
        <v>12315</v>
      </c>
    </row>
    <row r="2771">
      <c r="A2771" s="9" t="inlineStr">
        <is>
          <t>0412_인서_샴푸_단장</t>
        </is>
      </c>
      <c r="B2771" s="10" t="n">
        <v>44309</v>
      </c>
      <c r="C2771" s="9" t="inlineStr">
        <is>
          <t>금</t>
        </is>
      </c>
      <c r="D2771" s="9" t="inlineStr">
        <is>
          <t>페이스북</t>
        </is>
      </c>
      <c r="E2771" s="9" t="inlineStr">
        <is>
          <t>샴푸</t>
        </is>
      </c>
      <c r="K2771" s="9" t="n">
        <v>9331</v>
      </c>
    </row>
    <row r="2772">
      <c r="A2772" s="9" t="inlineStr">
        <is>
          <t>0408~_윤민_샴푸_배너_올인원</t>
        </is>
      </c>
      <c r="B2772" s="10" t="n">
        <v>44309</v>
      </c>
      <c r="C2772" s="9" t="inlineStr">
        <is>
          <t>금</t>
        </is>
      </c>
      <c r="D2772" s="9" t="inlineStr">
        <is>
          <t>페이스북</t>
        </is>
      </c>
      <c r="E2772" s="9" t="inlineStr">
        <is>
          <t>샴푸</t>
        </is>
      </c>
      <c r="K2772" s="9" t="n">
        <v>93189</v>
      </c>
    </row>
    <row r="2773">
      <c r="A2773" s="9" t="inlineStr">
        <is>
          <t>0407_성화_스타터패키지_단장이벤트배너_a/b</t>
        </is>
      </c>
      <c r="B2773" s="10" t="n">
        <v>44309</v>
      </c>
      <c r="C2773" s="9" t="inlineStr">
        <is>
          <t>금</t>
        </is>
      </c>
      <c r="D2773" s="9" t="inlineStr">
        <is>
          <t>페이스북</t>
        </is>
      </c>
      <c r="E2773" s="9" t="inlineStr">
        <is>
          <t>샴푸</t>
        </is>
      </c>
      <c r="K2773" s="9" t="n">
        <v>389880</v>
      </c>
    </row>
    <row r="2774">
      <c r="A2774" s="9" t="inlineStr">
        <is>
          <t>0318~영상기반 단장</t>
        </is>
      </c>
      <c r="B2774" s="10" t="n">
        <v>44309</v>
      </c>
      <c r="C2774" s="9" t="inlineStr">
        <is>
          <t>금</t>
        </is>
      </c>
      <c r="D2774" s="9" t="inlineStr">
        <is>
          <t>페이스북</t>
        </is>
      </c>
      <c r="E2774" s="9" t="inlineStr">
        <is>
          <t>샴푸</t>
        </is>
      </c>
      <c r="K2774" s="9" t="n">
        <v>98771</v>
      </c>
    </row>
    <row r="2775">
      <c r="A2775" s="9" t="inlineStr">
        <is>
          <t>0316~영상베리</t>
        </is>
      </c>
      <c r="B2775" s="10" t="n">
        <v>44309</v>
      </c>
      <c r="C2775" s="9" t="inlineStr">
        <is>
          <t>금</t>
        </is>
      </c>
      <c r="D2775" s="9" t="inlineStr">
        <is>
          <t>페이스북</t>
        </is>
      </c>
      <c r="E2775" s="9" t="inlineStr">
        <is>
          <t>샴푸</t>
        </is>
      </c>
      <c r="K2775" s="9" t="n">
        <v>98144</v>
      </c>
    </row>
    <row r="2776">
      <c r="A2776" s="9" t="inlineStr">
        <is>
          <t>0408~_윤민_샴푸_배너_올인원</t>
        </is>
      </c>
      <c r="B2776" s="10" t="n">
        <v>44310</v>
      </c>
      <c r="C2776" s="9" t="inlineStr">
        <is>
          <t>토</t>
        </is>
      </c>
      <c r="D2776" s="9" t="inlineStr">
        <is>
          <t>페이스북</t>
        </is>
      </c>
      <c r="E2776" s="9" t="inlineStr">
        <is>
          <t>샴푸</t>
        </is>
      </c>
      <c r="K2776" s="9" t="n">
        <v>97515</v>
      </c>
    </row>
    <row r="2777">
      <c r="A2777" s="9" t="inlineStr">
        <is>
          <t>0407_성화_스타터패키지_단장이벤트배너_a/b</t>
        </is>
      </c>
      <c r="B2777" s="10" t="n">
        <v>44310</v>
      </c>
      <c r="C2777" s="9" t="inlineStr">
        <is>
          <t>토</t>
        </is>
      </c>
      <c r="D2777" s="9" t="inlineStr">
        <is>
          <t>페이스북</t>
        </is>
      </c>
      <c r="E2777" s="9" t="inlineStr">
        <is>
          <t>샴푸</t>
        </is>
      </c>
      <c r="K2777" s="9" t="n">
        <v>417311</v>
      </c>
    </row>
    <row r="2778">
      <c r="A2778" s="9" t="inlineStr">
        <is>
          <t>0318~영상기반 단장</t>
        </is>
      </c>
      <c r="B2778" s="10" t="n">
        <v>44310</v>
      </c>
      <c r="C2778" s="9" t="inlineStr">
        <is>
          <t>토</t>
        </is>
      </c>
      <c r="D2778" s="9" t="inlineStr">
        <is>
          <t>페이스북</t>
        </is>
      </c>
      <c r="E2778" s="9" t="inlineStr">
        <is>
          <t>샴푸</t>
        </is>
      </c>
      <c r="K2778" s="9" t="n">
        <v>103763</v>
      </c>
    </row>
    <row r="2779">
      <c r="A2779" s="9" t="inlineStr">
        <is>
          <t>0316~영상베리</t>
        </is>
      </c>
      <c r="B2779" s="10" t="n">
        <v>44310</v>
      </c>
      <c r="C2779" s="9" t="inlineStr">
        <is>
          <t>토</t>
        </is>
      </c>
      <c r="D2779" s="9" t="inlineStr">
        <is>
          <t>페이스북</t>
        </is>
      </c>
      <c r="E2779" s="9" t="inlineStr">
        <is>
          <t>샴푸</t>
        </is>
      </c>
      <c r="K2779" s="9" t="n">
        <v>105530</v>
      </c>
    </row>
    <row r="2780">
      <c r="A2780" s="9" t="inlineStr">
        <is>
          <t>0408~_윤민_샴푸_배너_올인원</t>
        </is>
      </c>
      <c r="B2780" s="10" t="n">
        <v>44311</v>
      </c>
      <c r="C2780" s="9" t="inlineStr">
        <is>
          <t>일</t>
        </is>
      </c>
      <c r="D2780" s="9" t="inlineStr">
        <is>
          <t>페이스북</t>
        </is>
      </c>
      <c r="E2780" s="9" t="inlineStr">
        <is>
          <t>샴푸</t>
        </is>
      </c>
      <c r="K2780" s="9" t="n">
        <v>93768</v>
      </c>
    </row>
    <row r="2781">
      <c r="A2781" s="9" t="inlineStr">
        <is>
          <t>0407_성화_스타터패키지_단장이벤트배너_a/b</t>
        </is>
      </c>
      <c r="B2781" s="10" t="n">
        <v>44311</v>
      </c>
      <c r="C2781" s="9" t="inlineStr">
        <is>
          <t>일</t>
        </is>
      </c>
      <c r="D2781" s="9" t="inlineStr">
        <is>
          <t>페이스북</t>
        </is>
      </c>
      <c r="E2781" s="9" t="inlineStr">
        <is>
          <t>샴푸</t>
        </is>
      </c>
      <c r="K2781" s="9" t="n">
        <v>395838</v>
      </c>
    </row>
    <row r="2782">
      <c r="A2782" s="9" t="inlineStr">
        <is>
          <t>0318~영상기반 단장</t>
        </is>
      </c>
      <c r="B2782" s="10" t="n">
        <v>44311</v>
      </c>
      <c r="C2782" s="9" t="inlineStr">
        <is>
          <t>일</t>
        </is>
      </c>
      <c r="D2782" s="9" t="inlineStr">
        <is>
          <t>페이스북</t>
        </is>
      </c>
      <c r="E2782" s="9" t="inlineStr">
        <is>
          <t>샴푸</t>
        </is>
      </c>
      <c r="K2782" s="9" t="n">
        <v>68832</v>
      </c>
    </row>
    <row r="2783">
      <c r="A2783" s="9" t="inlineStr">
        <is>
          <t>0316~영상베리</t>
        </is>
      </c>
      <c r="B2783" s="10" t="n">
        <v>44311</v>
      </c>
      <c r="C2783" s="9" t="inlineStr">
        <is>
          <t>일</t>
        </is>
      </c>
      <c r="D2783" s="9" t="inlineStr">
        <is>
          <t>페이스북</t>
        </is>
      </c>
      <c r="E2783" s="9" t="inlineStr">
        <is>
          <t>샴푸</t>
        </is>
      </c>
      <c r="K2783" s="9" t="n">
        <v>100245</v>
      </c>
    </row>
    <row r="2784">
      <c r="A2784" s="9" t="inlineStr">
        <is>
          <t>0322_샴푸_GDN_이현1차</t>
        </is>
      </c>
      <c r="B2784" s="10" t="n">
        <v>44309</v>
      </c>
      <c r="C2784" s="9" t="inlineStr">
        <is>
          <t>금</t>
        </is>
      </c>
      <c r="D2784" s="9" t="inlineStr">
        <is>
          <t>GDN</t>
        </is>
      </c>
      <c r="E2784" s="9" t="inlineStr">
        <is>
          <t>샴푸</t>
        </is>
      </c>
      <c r="K2784" s="9" t="n">
        <v>25000</v>
      </c>
    </row>
    <row r="2785">
      <c r="A2785" s="9" t="inlineStr">
        <is>
          <t>0324_샴푸_VAC_CPA</t>
        </is>
      </c>
      <c r="B2785" s="10" t="n">
        <v>44309</v>
      </c>
      <c r="C2785" s="9" t="inlineStr">
        <is>
          <t>금</t>
        </is>
      </c>
      <c r="D2785" s="9" t="inlineStr">
        <is>
          <t>유튜브</t>
        </is>
      </c>
      <c r="E2785" s="9" t="inlineStr">
        <is>
          <t>샴푸</t>
        </is>
      </c>
      <c r="K2785" s="9" t="n">
        <v>2340397</v>
      </c>
    </row>
    <row r="2786">
      <c r="A2786" s="9" t="inlineStr">
        <is>
          <t>0330_샴푸_cpv_200만뷰</t>
        </is>
      </c>
      <c r="B2786" s="10" t="n">
        <v>44309</v>
      </c>
      <c r="C2786" s="9" t="inlineStr">
        <is>
          <t>금</t>
        </is>
      </c>
      <c r="D2786" s="9" t="inlineStr">
        <is>
          <t>유튜브</t>
        </is>
      </c>
      <c r="E2786" s="9" t="inlineStr">
        <is>
          <t>샴푸</t>
        </is>
      </c>
      <c r="K2786" s="9" t="n">
        <v>75156</v>
      </c>
    </row>
    <row r="2787">
      <c r="A2787" s="9" t="inlineStr">
        <is>
          <t>0322_샴푸_GDN_이현1차</t>
        </is>
      </c>
      <c r="B2787" s="10" t="n">
        <v>44310</v>
      </c>
      <c r="C2787" s="9" t="inlineStr">
        <is>
          <t>토</t>
        </is>
      </c>
      <c r="D2787" s="9" t="inlineStr">
        <is>
          <t>GDN</t>
        </is>
      </c>
      <c r="E2787" s="9" t="inlineStr">
        <is>
          <t>샴푸</t>
        </is>
      </c>
      <c r="K2787" s="9" t="n">
        <v>125000</v>
      </c>
    </row>
    <row r="2788">
      <c r="A2788" s="9" t="inlineStr">
        <is>
          <t>0324_샴푸_VAC_CPA</t>
        </is>
      </c>
      <c r="B2788" s="10" t="n">
        <v>44310</v>
      </c>
      <c r="C2788" s="9" t="inlineStr">
        <is>
          <t>토</t>
        </is>
      </c>
      <c r="D2788" s="9" t="inlineStr">
        <is>
          <t>유튜브</t>
        </is>
      </c>
      <c r="E2788" s="9" t="inlineStr">
        <is>
          <t>샴푸</t>
        </is>
      </c>
      <c r="K2788" s="9" t="n">
        <v>1243263</v>
      </c>
    </row>
    <row r="2789">
      <c r="A2789" s="9" t="inlineStr">
        <is>
          <t>0330_샴푸_cpv_200만뷰</t>
        </is>
      </c>
      <c r="B2789" s="10" t="n">
        <v>44310</v>
      </c>
      <c r="C2789" s="9" t="inlineStr">
        <is>
          <t>토</t>
        </is>
      </c>
      <c r="D2789" s="9" t="inlineStr">
        <is>
          <t>유튜브</t>
        </is>
      </c>
      <c r="E2789" s="9" t="inlineStr">
        <is>
          <t>샴푸</t>
        </is>
      </c>
      <c r="K2789" s="9" t="n">
        <v>177489</v>
      </c>
    </row>
    <row r="2790">
      <c r="A2790" s="9" t="inlineStr">
        <is>
          <t>0322_샴푸_GDN_이현1차</t>
        </is>
      </c>
      <c r="B2790" s="10" t="n">
        <v>44311</v>
      </c>
      <c r="C2790" s="9" t="inlineStr">
        <is>
          <t>일</t>
        </is>
      </c>
      <c r="D2790" s="9" t="inlineStr">
        <is>
          <t>GDN</t>
        </is>
      </c>
      <c r="E2790" s="9" t="inlineStr">
        <is>
          <t>샴푸</t>
        </is>
      </c>
      <c r="K2790" s="9" t="n">
        <v>50000</v>
      </c>
    </row>
    <row r="2791">
      <c r="A2791" s="9" t="inlineStr">
        <is>
          <t>0324_샴푸_VAC_CPA</t>
        </is>
      </c>
      <c r="B2791" s="10" t="n">
        <v>44311</v>
      </c>
      <c r="C2791" s="9" t="inlineStr">
        <is>
          <t>일</t>
        </is>
      </c>
      <c r="D2791" s="9" t="inlineStr">
        <is>
          <t>유튜브</t>
        </is>
      </c>
      <c r="E2791" s="9" t="inlineStr">
        <is>
          <t>샴푸</t>
        </is>
      </c>
      <c r="K2791" s="9" t="n">
        <v>1158060</v>
      </c>
    </row>
    <row r="2792">
      <c r="A2792" s="9" t="inlineStr">
        <is>
          <t>0330_샴푸_cpv_200만뷰</t>
        </is>
      </c>
      <c r="B2792" s="10" t="n">
        <v>44311</v>
      </c>
      <c r="C2792" s="9" t="inlineStr">
        <is>
          <t>일</t>
        </is>
      </c>
      <c r="D2792" s="9" t="inlineStr">
        <is>
          <t>유튜브</t>
        </is>
      </c>
      <c r="E2792" s="9" t="inlineStr">
        <is>
          <t>샴푸</t>
        </is>
      </c>
      <c r="K2792" s="9" t="n">
        <v>341179</v>
      </c>
    </row>
    <row r="2793">
      <c r="A2793" s="9" t="inlineStr">
        <is>
          <t>라베나 파워링크_샴푸_광고그룹#1</t>
        </is>
      </c>
      <c r="B2793" s="10" t="n">
        <v>44311</v>
      </c>
      <c r="C2793" s="9" t="inlineStr">
        <is>
          <t>일</t>
        </is>
      </c>
      <c r="D2793" s="9" t="inlineStr">
        <is>
          <t>네이버 검색</t>
        </is>
      </c>
      <c r="E2793" s="9" t="inlineStr">
        <is>
          <t>샴푸</t>
        </is>
      </c>
      <c r="K2793" s="9" t="n">
        <v>1060</v>
      </c>
    </row>
    <row r="2794">
      <c r="A2794" s="9" t="inlineStr">
        <is>
          <t>라베나 파워링크_샴푸#1_유튜브키워드기반</t>
        </is>
      </c>
      <c r="B2794" s="10" t="n">
        <v>44311</v>
      </c>
      <c r="C2794" s="9" t="inlineStr">
        <is>
          <t>일</t>
        </is>
      </c>
      <c r="D2794" s="9" t="inlineStr">
        <is>
          <t>네이버 검색</t>
        </is>
      </c>
      <c r="E2794" s="9" t="inlineStr">
        <is>
          <t>샴푸</t>
        </is>
      </c>
      <c r="K2794" s="9" t="n">
        <v>12950</v>
      </c>
    </row>
    <row r="2795">
      <c r="A2795" s="9" t="inlineStr">
        <is>
          <t>샴푸_쇼핑검색#1_광고그룹#1</t>
        </is>
      </c>
      <c r="B2795" s="10" t="n">
        <v>44311</v>
      </c>
      <c r="C2795" s="9" t="inlineStr">
        <is>
          <t>일</t>
        </is>
      </c>
      <c r="D2795" s="9" t="inlineStr">
        <is>
          <t>네이버 검색</t>
        </is>
      </c>
      <c r="E2795" s="9" t="inlineStr">
        <is>
          <t>샴푸</t>
        </is>
      </c>
      <c r="K2795" s="9" t="n">
        <v>1040</v>
      </c>
    </row>
    <row r="2796">
      <c r="A2796" s="9" t="inlineStr">
        <is>
          <t>파워컨텐츠#1_비듬샴푸</t>
        </is>
      </c>
      <c r="B2796" s="10" t="n">
        <v>44311</v>
      </c>
      <c r="C2796" s="9" t="inlineStr">
        <is>
          <t>일</t>
        </is>
      </c>
      <c r="D2796" s="9" t="inlineStr">
        <is>
          <t>네이버 검색</t>
        </is>
      </c>
      <c r="E2796" s="9" t="inlineStr">
        <is>
          <t>샴푸</t>
        </is>
      </c>
      <c r="K2796" s="9" t="n">
        <v>70</v>
      </c>
    </row>
    <row r="2797">
      <c r="A2797" s="9" t="inlineStr">
        <is>
          <t>라베나 파워링크_샴푸_광고그룹#1</t>
        </is>
      </c>
      <c r="B2797" s="10" t="n">
        <v>44310</v>
      </c>
      <c r="C2797" s="9" t="inlineStr">
        <is>
          <t>토</t>
        </is>
      </c>
      <c r="D2797" s="9" t="inlineStr">
        <is>
          <t>네이버 검색</t>
        </is>
      </c>
      <c r="E2797" s="9" t="inlineStr">
        <is>
          <t>샴푸</t>
        </is>
      </c>
      <c r="K2797" s="9" t="n">
        <v>1140</v>
      </c>
    </row>
    <row r="2798">
      <c r="A2798" s="9" t="inlineStr">
        <is>
          <t>라베나 파워링크_샴푸#1_유튜브키워드기반</t>
        </is>
      </c>
      <c r="B2798" s="10" t="n">
        <v>44310</v>
      </c>
      <c r="C2798" s="9" t="inlineStr">
        <is>
          <t>토</t>
        </is>
      </c>
      <c r="D2798" s="9" t="inlineStr">
        <is>
          <t>네이버 검색</t>
        </is>
      </c>
      <c r="E2798" s="9" t="inlineStr">
        <is>
          <t>샴푸</t>
        </is>
      </c>
      <c r="K2798" s="9" t="n">
        <v>10530</v>
      </c>
    </row>
    <row r="2799">
      <c r="A2799" s="9" t="inlineStr">
        <is>
          <t>샴푸_쇼핑검색#1_광고그룹#1</t>
        </is>
      </c>
      <c r="B2799" s="10" t="n">
        <v>44310</v>
      </c>
      <c r="C2799" s="9" t="inlineStr">
        <is>
          <t>토</t>
        </is>
      </c>
      <c r="D2799" s="9" t="inlineStr">
        <is>
          <t>네이버 검색</t>
        </is>
      </c>
      <c r="E2799" s="9" t="inlineStr">
        <is>
          <t>샴푸</t>
        </is>
      </c>
      <c r="K2799" s="9" t="n">
        <v>3120</v>
      </c>
    </row>
    <row r="2800">
      <c r="A2800" s="9" t="inlineStr">
        <is>
          <t>파워컨텐츠#1_비듬샴푸</t>
        </is>
      </c>
      <c r="B2800" s="10" t="n">
        <v>44310</v>
      </c>
      <c r="C2800" s="9" t="inlineStr">
        <is>
          <t>토</t>
        </is>
      </c>
      <c r="D2800" s="9" t="inlineStr">
        <is>
          <t>네이버 검색</t>
        </is>
      </c>
      <c r="E2800" s="9" t="inlineStr">
        <is>
          <t>샴푸</t>
        </is>
      </c>
      <c r="K2800" s="9" t="n">
        <v>70</v>
      </c>
    </row>
    <row r="2801">
      <c r="A2801" s="9" t="inlineStr">
        <is>
          <t>라베나 파워링크_샴푸_광고그룹#1</t>
        </is>
      </c>
      <c r="B2801" s="10" t="n">
        <v>44309</v>
      </c>
      <c r="C2801" s="9" t="inlineStr">
        <is>
          <t>금</t>
        </is>
      </c>
      <c r="D2801" s="9" t="inlineStr">
        <is>
          <t>네이버 검색</t>
        </is>
      </c>
      <c r="E2801" s="9" t="inlineStr">
        <is>
          <t>샴푸</t>
        </is>
      </c>
      <c r="K2801" s="9" t="n">
        <v>929.9999999999999</v>
      </c>
    </row>
    <row r="2802">
      <c r="A2802" s="9" t="inlineStr">
        <is>
          <t>라베나 파워링크_샴푸#1_유튜브키워드기반</t>
        </is>
      </c>
      <c r="B2802" s="10" t="n">
        <v>44309</v>
      </c>
      <c r="C2802" s="9" t="inlineStr">
        <is>
          <t>금</t>
        </is>
      </c>
      <c r="D2802" s="9" t="inlineStr">
        <is>
          <t>네이버 검색</t>
        </is>
      </c>
      <c r="E2802" s="9" t="inlineStr">
        <is>
          <t>샴푸</t>
        </is>
      </c>
      <c r="K2802" s="9" t="n">
        <v>10370</v>
      </c>
    </row>
    <row r="2803">
      <c r="A2803" s="9" t="inlineStr">
        <is>
          <t>샴푸_쇼핑검색#1_광고그룹#1</t>
        </is>
      </c>
      <c r="B2803" s="10" t="n">
        <v>44309</v>
      </c>
      <c r="C2803" s="9" t="inlineStr">
        <is>
          <t>금</t>
        </is>
      </c>
      <c r="D2803" s="9" t="inlineStr">
        <is>
          <t>네이버 검색</t>
        </is>
      </c>
      <c r="E2803" s="9" t="inlineStr">
        <is>
          <t>샴푸</t>
        </is>
      </c>
      <c r="K2803" s="9" t="n">
        <v>1530</v>
      </c>
    </row>
    <row r="2804">
      <c r="A2804" s="9" t="inlineStr">
        <is>
          <t>파워컨텐츠#1_비듬샴푸</t>
        </is>
      </c>
      <c r="B2804" s="10" t="n">
        <v>44309</v>
      </c>
      <c r="C2804" s="9" t="inlineStr">
        <is>
          <t>금</t>
        </is>
      </c>
      <c r="D2804" s="9" t="inlineStr">
        <is>
          <t>네이버 검색</t>
        </is>
      </c>
      <c r="E2804" s="9" t="inlineStr">
        <is>
          <t>샴푸</t>
        </is>
      </c>
      <c r="K2804" s="9" t="n">
        <v>0</v>
      </c>
    </row>
    <row r="2805">
      <c r="B2805" s="10" t="n">
        <v>44309</v>
      </c>
      <c r="C2805" s="9" t="inlineStr">
        <is>
          <t>금</t>
        </is>
      </c>
      <c r="E2805" s="9" t="inlineStr">
        <is>
          <t>샴푸</t>
        </is>
      </c>
      <c r="F2805" s="9" t="inlineStr">
        <is>
          <t>카페24</t>
        </is>
      </c>
      <c r="G2805" s="9" t="inlineStr">
        <is>
          <t>[타임특가] 리 : 커버리 3개월 패키지 (샴푸 2+ 트리트먼트 택 1)샴푸2 + 트리트먼트 택 1=샴푸2 + 뉴트리셔스 밤1</t>
        </is>
      </c>
      <c r="H2805" s="9" t="n">
        <v>1</v>
      </c>
      <c r="I2805" s="9" t="inlineStr">
        <is>
          <t>리바이탈 샴푸2+뉴트리셔스밤1</t>
        </is>
      </c>
      <c r="J2805" s="9" t="inlineStr">
        <is>
          <t>210201</t>
        </is>
      </c>
      <c r="L2805" s="9">
        <f>62280</f>
        <v/>
      </c>
      <c r="M2805" s="9">
        <f>62280-(62280/5.85)</f>
        <v/>
      </c>
      <c r="N2805" s="9">
        <f>7310</f>
        <v/>
      </c>
      <c r="O2805" s="9" t="inlineStr">
        <is>
          <t>카페240[타임특가] 리 : 커버리 3개월 패키지 (샴푸 2+ 트리트먼트 택 1)샴푸2 + 트리트먼트 택 1=샴푸2 + 뉴트리셔스 밤1210201</t>
        </is>
      </c>
    </row>
    <row r="2806">
      <c r="B2806" s="10" t="n">
        <v>44309</v>
      </c>
      <c r="C2806" s="9" t="inlineStr">
        <is>
          <t>금</t>
        </is>
      </c>
      <c r="E2806" s="9" t="inlineStr">
        <is>
          <t>샴푸</t>
        </is>
      </c>
      <c r="F2806" s="9" t="inlineStr">
        <is>
          <t>카페24</t>
        </is>
      </c>
      <c r="G2806" s="9" t="inlineStr">
        <is>
          <t>[타임특가] 리 : 커버리 3개월 패키지 (샴푸 2+ 트리트먼트 택 1)샴푸2 + 트리트먼트 택 1=샴푸2 + 헤어팩 트리트먼트1</t>
        </is>
      </c>
      <c r="H2806" s="9" t="n">
        <v>2</v>
      </c>
      <c r="I2806" s="9" t="inlineStr">
        <is>
          <t>리바이탈 샴푸2+트리트먼트1</t>
        </is>
      </c>
      <c r="J2806" s="9" t="inlineStr">
        <is>
          <t>210201</t>
        </is>
      </c>
      <c r="L2806" s="9">
        <f>62280*2</f>
        <v/>
      </c>
      <c r="M2806" s="9">
        <f>124560-(124560/5.85)</f>
        <v/>
      </c>
      <c r="N2806" s="9">
        <f>7327*2</f>
        <v/>
      </c>
      <c r="O2806" s="9" t="inlineStr">
        <is>
          <t>카페240[타임특가] 리 : 커버리 3개월 패키지 (샴푸 2+ 트리트먼트 택 1)샴푸2 + 트리트먼트 택 1=샴푸2 + 헤어팩 트리트먼트1210201</t>
        </is>
      </c>
    </row>
    <row r="2807">
      <c r="B2807" s="10" t="n">
        <v>44309</v>
      </c>
      <c r="C2807" s="9" t="inlineStr">
        <is>
          <t>금</t>
        </is>
      </c>
      <c r="E2807" s="9" t="inlineStr">
        <is>
          <t>샴푸</t>
        </is>
      </c>
      <c r="F2807" s="9" t="inlineStr">
        <is>
          <t>카페24</t>
        </is>
      </c>
      <c r="G2807" s="9" t="inlineStr">
        <is>
          <t>[타임특가] 리 : 커버리 6개월 패키지 (샴푸 5+ 트리트먼트 택 1)샴푸 5 + 트리트먼트 택 1=샴푸 5 + 헤어팩 트리트먼트 1</t>
        </is>
      </c>
      <c r="H2807" s="9" t="n">
        <v>2</v>
      </c>
      <c r="I2807" s="9" t="inlineStr">
        <is>
          <t>리바이탈 샴푸5+트리트먼트1</t>
        </is>
      </c>
      <c r="J2807" s="9" t="inlineStr">
        <is>
          <t>210201</t>
        </is>
      </c>
      <c r="L2807" s="9">
        <f>114840*2</f>
        <v/>
      </c>
      <c r="M2807" s="9">
        <f>229680-(229680/5.85)</f>
        <v/>
      </c>
      <c r="N2807" s="9">
        <f>15922*2</f>
        <v/>
      </c>
      <c r="O2807" s="9" t="inlineStr">
        <is>
          <t>카페240[타임특가] 리 : 커버리 6개월 패키지 (샴푸 5+ 트리트먼트 택 1)샴푸 5 + 트리트먼트 택 1=샴푸 5 + 헤어팩 트리트먼트 1210201</t>
        </is>
      </c>
    </row>
    <row r="2808">
      <c r="B2808" s="10" t="n">
        <v>44309</v>
      </c>
      <c r="C2808" s="9" t="inlineStr">
        <is>
          <t>금</t>
        </is>
      </c>
      <c r="E2808" s="9" t="inlineStr">
        <is>
          <t>샴푸</t>
        </is>
      </c>
      <c r="F2808" s="9" t="inlineStr">
        <is>
          <t>카페24</t>
        </is>
      </c>
      <c r="G2808" s="9" t="inlineStr">
        <is>
          <t>[타임특가] 리 : 커버리 온가족 패키지 (샴푸 3+ 헤어팩 트리트먼트 1+뉴트리셔스 밤 1)</t>
        </is>
      </c>
      <c r="H2808" s="9" t="n">
        <v>2</v>
      </c>
      <c r="I2808" s="9" t="inlineStr">
        <is>
          <t>리바이탈 샴푸3+트리트먼트1+뉴트리셔스밤1</t>
        </is>
      </c>
      <c r="J2808" s="9" t="inlineStr">
        <is>
          <t>210201</t>
        </is>
      </c>
      <c r="L2808" s="9">
        <f>94765*2</f>
        <v/>
      </c>
      <c r="M2808" s="9">
        <f>189530-(189530/5.85)</f>
        <v/>
      </c>
      <c r="N2808" s="9">
        <f>11772*2</f>
        <v/>
      </c>
      <c r="O2808" s="9" t="inlineStr">
        <is>
          <t>카페240[타임특가] 리 : 커버리 온가족 패키지 (샴푸 3+ 헤어팩 트리트먼트 1+뉴트리셔스 밤 1)210201</t>
        </is>
      </c>
    </row>
    <row r="2809">
      <c r="B2809" s="10" t="n">
        <v>44309</v>
      </c>
      <c r="C2809" s="9" t="inlineStr">
        <is>
          <t>금</t>
        </is>
      </c>
      <c r="E2809" s="9" t="inlineStr">
        <is>
          <t>샴푸</t>
        </is>
      </c>
      <c r="F2809" s="9" t="inlineStr">
        <is>
          <t>카페24</t>
        </is>
      </c>
      <c r="G2809" s="9" t="inlineStr">
        <is>
          <t>[타임특가] 리:커버리 스타터 패키지 (샴푸 1+헤어팩 트리트먼트 1+ 뉴트리셔스 밤 1)</t>
        </is>
      </c>
      <c r="H2809" s="9" t="n">
        <v>9</v>
      </c>
      <c r="I2809" s="9" t="inlineStr">
        <is>
          <t>리바이탈 샴푸1+트리트먼트1+뉴트리셔스밤1</t>
        </is>
      </c>
      <c r="J2809" s="9" t="inlineStr">
        <is>
          <t>210201</t>
        </is>
      </c>
      <c r="L2809" s="9">
        <f>39897*9</f>
        <v/>
      </c>
      <c r="M2809" s="9">
        <f>359073-(359073/5.85)</f>
        <v/>
      </c>
      <c r="N2809" s="9">
        <f>(2865+1580+1597)*9</f>
        <v/>
      </c>
      <c r="O2809" s="9" t="inlineStr">
        <is>
          <t>카페240[타임특가] 리:커버리 스타터 패키지 (샴푸 1+헤어팩 트리트먼트 1+ 뉴트리셔스 밤 1)210201</t>
        </is>
      </c>
    </row>
    <row r="2810">
      <c r="B2810" s="10" t="n">
        <v>44309</v>
      </c>
      <c r="C2810" s="9" t="inlineStr">
        <is>
          <t>금</t>
        </is>
      </c>
      <c r="E2810" s="9" t="inlineStr">
        <is>
          <t>뉴트리셔스밤</t>
        </is>
      </c>
      <c r="F2810" s="9" t="inlineStr">
        <is>
          <t>카페24</t>
        </is>
      </c>
      <c r="G2810" s="9" t="inlineStr">
        <is>
          <t>라베나 리커버리 15 뉴트리셔스 밤 [HAIR RÉ:COVERY 15 Nutritious Balm]제품선택=헤어 리커버리 15 뉴트리셔스 밤</t>
        </is>
      </c>
      <c r="H2810" s="9" t="n">
        <v>1</v>
      </c>
      <c r="I2810" s="9" t="inlineStr">
        <is>
          <t>뉴트리셔스밤</t>
        </is>
      </c>
      <c r="J2810" s="9" t="inlineStr">
        <is>
          <t>210201</t>
        </is>
      </c>
      <c r="L2810" s="9" t="n">
        <v>24900</v>
      </c>
      <c r="M2810" s="9" t="n">
        <v>23443.35</v>
      </c>
      <c r="N2810" s="9" t="n">
        <v>1580</v>
      </c>
      <c r="O2810" s="9" t="inlineStr">
        <is>
          <t>카페24뉴트리셔스밤라베나 리커버리 15 뉴트리셔스 밤 [HAIR RÉ:COVERY 15 Nutritious Balm]제품선택=헤어 리커버리 15 뉴트리셔스 밤210201</t>
        </is>
      </c>
    </row>
    <row r="2811">
      <c r="B2811" s="10" t="n">
        <v>44309</v>
      </c>
      <c r="C2811" s="9" t="inlineStr">
        <is>
          <t>금</t>
        </is>
      </c>
      <c r="E2811" s="9" t="inlineStr">
        <is>
          <t>샴푸</t>
        </is>
      </c>
      <c r="F2811" s="9" t="inlineStr">
        <is>
          <t>카페24</t>
        </is>
      </c>
      <c r="G2811" s="9" t="inlineStr">
        <is>
          <t>라베나 리커버리 15 리바이탈 바이오플라보노이드샴푸 [HAIR RÉ:COVERY 15 Revital Shampoo]제품선택=헤어 리커버리 15 리바이탈 샴푸 - 500ml</t>
        </is>
      </c>
      <c r="H2811" s="9" t="n">
        <v>69</v>
      </c>
      <c r="I2811" s="9" t="inlineStr">
        <is>
          <t>리바이탈 샴푸</t>
        </is>
      </c>
      <c r="J2811" s="9" t="inlineStr">
        <is>
          <t>210201</t>
        </is>
      </c>
      <c r="L2811" s="9" t="n">
        <v>1856100</v>
      </c>
      <c r="M2811" s="9" t="n">
        <v>1747518.15</v>
      </c>
      <c r="N2811" s="9" t="n">
        <v>197685</v>
      </c>
      <c r="O281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12">
      <c r="B2812" s="10" t="n">
        <v>44309</v>
      </c>
      <c r="C2812" s="9" t="inlineStr">
        <is>
          <t>금</t>
        </is>
      </c>
      <c r="E2812" s="9" t="inlineStr">
        <is>
          <t>샴푸</t>
        </is>
      </c>
      <c r="F2812" s="9" t="inlineStr">
        <is>
          <t>카페24</t>
        </is>
      </c>
      <c r="G2812" s="9" t="inlineStr">
        <is>
          <t>라베나 리커버리 15 리바이탈 바이오플라보노이드샴푸 [HAIR RÉ:COVERY 15 Revital Shampoo]제품선택=리바이탈 샴푸 2개 세트 5%추가할인</t>
        </is>
      </c>
      <c r="H2812" s="9" t="n">
        <v>36</v>
      </c>
      <c r="I2812" s="9" t="inlineStr">
        <is>
          <t>리바이탈 샴푸 2set</t>
        </is>
      </c>
      <c r="J2812" s="9" t="inlineStr">
        <is>
          <t>210201</t>
        </is>
      </c>
      <c r="L2812" s="9" t="n">
        <v>1839960</v>
      </c>
      <c r="M2812" s="9" t="n">
        <v>1732322.34</v>
      </c>
      <c r="N2812" s="9" t="n">
        <v>206280</v>
      </c>
      <c r="O281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13">
      <c r="B2813" s="10" t="n">
        <v>44309</v>
      </c>
      <c r="C2813" s="9" t="inlineStr">
        <is>
          <t>금</t>
        </is>
      </c>
      <c r="E2813" s="9" t="inlineStr">
        <is>
          <t>샴푸</t>
        </is>
      </c>
      <c r="F2813" s="9" t="inlineStr">
        <is>
          <t>카페24</t>
        </is>
      </c>
      <c r="G2813" s="9" t="inlineStr">
        <is>
          <t>라베나 리커버리 15 리바이탈 바이오플라보노이드샴푸 [HAIR RÉ:COVERY 15 Revital Shampoo]제품선택=리바이탈 샴푸 3개 세트 10% 추가할인</t>
        </is>
      </c>
      <c r="H2813" s="9" t="n">
        <v>8</v>
      </c>
      <c r="I2813" s="9" t="inlineStr">
        <is>
          <t>리바이탈 샴푸 3set</t>
        </is>
      </c>
      <c r="J2813" s="9" t="inlineStr">
        <is>
          <t>210201</t>
        </is>
      </c>
      <c r="L2813" s="9" t="n">
        <v>581040</v>
      </c>
      <c r="M2813" s="9" t="n">
        <v>547049.16</v>
      </c>
      <c r="N2813" s="9" t="n">
        <v>68760</v>
      </c>
      <c r="O281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14">
      <c r="B2814" s="10" t="n">
        <v>44309</v>
      </c>
      <c r="C2814" s="9" t="inlineStr">
        <is>
          <t>금</t>
        </is>
      </c>
      <c r="E2814" s="9" t="inlineStr">
        <is>
          <t>트리트먼트</t>
        </is>
      </c>
      <c r="F2814" s="9" t="inlineStr">
        <is>
          <t>카페24</t>
        </is>
      </c>
      <c r="G2814" s="9" t="inlineStr">
        <is>
          <t>라베나 리커버리 15 헤어팩 트리트먼트 [HAIR RÉ:COVERY 15 Hairpack Treatment]제품선택=헤어 리커버리 15 헤어팩 트리트먼트</t>
        </is>
      </c>
      <c r="H2814" s="9" t="n">
        <v>1</v>
      </c>
      <c r="I2814" s="9" t="inlineStr">
        <is>
          <t>트리트먼트</t>
        </is>
      </c>
      <c r="J2814" s="9" t="inlineStr">
        <is>
          <t>210201</t>
        </is>
      </c>
      <c r="L2814" s="9" t="n">
        <v>26000</v>
      </c>
      <c r="M2814" s="9" t="n">
        <v>24479</v>
      </c>
      <c r="N2814" s="9" t="n">
        <v>1597</v>
      </c>
      <c r="O281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815">
      <c r="B2815" s="10" t="n">
        <v>44309</v>
      </c>
      <c r="C2815" s="9" t="inlineStr">
        <is>
          <t>금</t>
        </is>
      </c>
      <c r="E2815" s="9" t="inlineStr">
        <is>
          <t>트리트먼트</t>
        </is>
      </c>
      <c r="F2815" s="9" t="inlineStr">
        <is>
          <t>카페24</t>
        </is>
      </c>
      <c r="G2815" s="9" t="inlineStr">
        <is>
          <t>라베나 리커버리 15 헤어팩 트리트먼트 [HAIR RÉ:COVERY 15 Hairpack Treatment]제품선택=헤어팩 트리트먼트 2개 세트 5% 추가할인</t>
        </is>
      </c>
      <c r="H2815" s="9" t="n">
        <v>1</v>
      </c>
      <c r="I2815" s="9" t="inlineStr">
        <is>
          <t>트리트먼트 2set</t>
        </is>
      </c>
      <c r="J2815" s="9" t="inlineStr">
        <is>
          <t>210201</t>
        </is>
      </c>
      <c r="L2815" s="9" t="n">
        <v>49400</v>
      </c>
      <c r="M2815" s="9" t="n">
        <v>46510.1</v>
      </c>
      <c r="N2815" s="9" t="n">
        <v>3194</v>
      </c>
      <c r="O2815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816">
      <c r="B2816" s="10" t="n">
        <v>44310</v>
      </c>
      <c r="C2816" s="9" t="inlineStr">
        <is>
          <t>토</t>
        </is>
      </c>
      <c r="E2816" s="9" t="inlineStr">
        <is>
          <t>샴푸</t>
        </is>
      </c>
      <c r="F2816" s="9" t="inlineStr">
        <is>
          <t>카페24</t>
        </is>
      </c>
      <c r="G2816" s="9" t="inlineStr">
        <is>
          <t>[타임특가] 리 : 커버리 3개월 패키지 (샴푸 2+ 트리트먼트 택 1)샴푸2 + 트리트먼트 택 1=샴푸2 + 뉴트리셔스 밤1</t>
        </is>
      </c>
      <c r="H2816" s="9" t="n">
        <v>2</v>
      </c>
      <c r="I2816" s="9" t="inlineStr">
        <is>
          <t>리바이탈 샴푸2+뉴트리셔스밤1</t>
        </is>
      </c>
      <c r="J2816" s="9" t="inlineStr">
        <is>
          <t>210201</t>
        </is>
      </c>
      <c r="L2816" s="9">
        <f>62280*2</f>
        <v/>
      </c>
      <c r="M2816" s="9">
        <f>124560-(124560/5.85)</f>
        <v/>
      </c>
      <c r="N2816" s="9">
        <f>7310*2</f>
        <v/>
      </c>
      <c r="O2816" s="9" t="inlineStr">
        <is>
          <t>카페240[타임특가] 리 : 커버리 3개월 패키지 (샴푸 2+ 트리트먼트 택 1)샴푸2 + 트리트먼트 택 1=샴푸2 + 뉴트리셔스 밤1210201</t>
        </is>
      </c>
    </row>
    <row r="2817">
      <c r="B2817" s="10" t="n">
        <v>44310</v>
      </c>
      <c r="C2817" s="9" t="inlineStr">
        <is>
          <t>토</t>
        </is>
      </c>
      <c r="E2817" s="9" t="inlineStr">
        <is>
          <t>샴푸</t>
        </is>
      </c>
      <c r="F2817" s="9" t="inlineStr">
        <is>
          <t>카페24</t>
        </is>
      </c>
      <c r="G2817" s="9" t="inlineStr">
        <is>
          <t>[타임특가] 리 : 커버리 3개월 패키지 (샴푸 2+ 트리트먼트 택 1)샴푸2 + 트리트먼트 택 1=샴푸2 + 헤어팩 트리트먼트1</t>
        </is>
      </c>
      <c r="H2817" s="9" t="n">
        <v>3</v>
      </c>
      <c r="I2817" s="9" t="inlineStr">
        <is>
          <t>리바이탈 샴푸2+트리트먼트1</t>
        </is>
      </c>
      <c r="J2817" s="9" t="inlineStr">
        <is>
          <t>210201</t>
        </is>
      </c>
      <c r="L2817" s="9">
        <f>62280*3</f>
        <v/>
      </c>
      <c r="M2817" s="9">
        <f>186840-(186840/5.85)</f>
        <v/>
      </c>
      <c r="N2817" s="9">
        <f>7327*3</f>
        <v/>
      </c>
      <c r="O2817" s="9" t="inlineStr">
        <is>
          <t>카페240[타임특가] 리 : 커버리 3개월 패키지 (샴푸 2+ 트리트먼트 택 1)샴푸2 + 트리트먼트 택 1=샴푸2 + 헤어팩 트리트먼트1210201</t>
        </is>
      </c>
    </row>
    <row r="2818">
      <c r="B2818" s="10" t="n">
        <v>44310</v>
      </c>
      <c r="C2818" s="9" t="inlineStr">
        <is>
          <t>토</t>
        </is>
      </c>
      <c r="E2818" s="9" t="inlineStr">
        <is>
          <t>샴푸</t>
        </is>
      </c>
      <c r="F2818" s="9" t="inlineStr">
        <is>
          <t>카페24</t>
        </is>
      </c>
      <c r="G2818" s="9" t="inlineStr">
        <is>
          <t>[타임특가] 리 : 커버리 온가족 패키지 (샴푸 3+ 헤어팩 트리트먼트 1+뉴트리셔스 밤 1)</t>
        </is>
      </c>
      <c r="H2818" s="9" t="n">
        <v>1</v>
      </c>
      <c r="I2818" s="9" t="inlineStr">
        <is>
          <t>리바이탈 샴푸3+트리트먼트1+뉴트리셔스밤1</t>
        </is>
      </c>
      <c r="J2818" s="9" t="inlineStr">
        <is>
          <t>210201</t>
        </is>
      </c>
      <c r="L2818" s="9">
        <f>94765</f>
        <v/>
      </c>
      <c r="M2818" s="9">
        <f>94765-(94765/5.85)</f>
        <v/>
      </c>
      <c r="N2818" s="9">
        <f>11772</f>
        <v/>
      </c>
      <c r="O2818" s="9" t="inlineStr">
        <is>
          <t>카페240[타임특가] 리 : 커버리 온가족 패키지 (샴푸 3+ 헤어팩 트리트먼트 1+뉴트리셔스 밤 1)210201</t>
        </is>
      </c>
    </row>
    <row r="2819">
      <c r="B2819" s="10" t="n">
        <v>44310</v>
      </c>
      <c r="C2819" s="9" t="inlineStr">
        <is>
          <t>토</t>
        </is>
      </c>
      <c r="E2819" s="9" t="inlineStr">
        <is>
          <t>샴푸</t>
        </is>
      </c>
      <c r="F2819" s="9" t="inlineStr">
        <is>
          <t>카페24</t>
        </is>
      </c>
      <c r="G2819" s="9" t="inlineStr">
        <is>
          <t>[타임특가] 리:커버리 스타터 패키지 (샴푸 1+헤어팩 트리트먼트 1+ 뉴트리셔스 밤 1)</t>
        </is>
      </c>
      <c r="H2819" s="9" t="n">
        <v>15</v>
      </c>
      <c r="I2819" s="9" t="inlineStr">
        <is>
          <t>리바이탈 샴푸1+트리트먼트1+뉴트리셔스밤1</t>
        </is>
      </c>
      <c r="J2819" s="9" t="inlineStr">
        <is>
          <t>210201</t>
        </is>
      </c>
      <c r="L2819" s="9">
        <f>39897*15</f>
        <v/>
      </c>
      <c r="M2819" s="9">
        <f>598455-(598455/5.85)</f>
        <v/>
      </c>
      <c r="N2819" s="9">
        <f>(2865+1580+1597)*15</f>
        <v/>
      </c>
      <c r="O2819" s="9" t="inlineStr">
        <is>
          <t>카페240[타임특가] 리:커버리 스타터 패키지 (샴푸 1+헤어팩 트리트먼트 1+ 뉴트리셔스 밤 1)210201</t>
        </is>
      </c>
    </row>
    <row r="2820">
      <c r="B2820" s="10" t="n">
        <v>44310</v>
      </c>
      <c r="C2820" s="9" t="inlineStr">
        <is>
          <t>토</t>
        </is>
      </c>
      <c r="E2820" s="9" t="inlineStr">
        <is>
          <t>샴푸</t>
        </is>
      </c>
      <c r="F2820" s="9" t="inlineStr">
        <is>
          <t>카페24</t>
        </is>
      </c>
      <c r="G2820" s="9" t="inlineStr">
        <is>
          <t>라베나 리커버리 15 리바이탈 바이오플라보노이드샴푸 [HAIR RÉ:COVERY 15 Revital Shampoo]제품선택=헤어 리커버리 15 리바이탈 샴푸 - 500ml</t>
        </is>
      </c>
      <c r="H2820" s="9" t="n">
        <v>48</v>
      </c>
      <c r="I2820" s="9" t="inlineStr">
        <is>
          <t>리바이탈 샴푸</t>
        </is>
      </c>
      <c r="J2820" s="9" t="inlineStr">
        <is>
          <t>210201</t>
        </is>
      </c>
      <c r="L2820" s="9" t="n">
        <v>1291200</v>
      </c>
      <c r="M2820" s="9" t="n">
        <v>1215664.8</v>
      </c>
      <c r="N2820" s="9" t="n">
        <v>137520</v>
      </c>
      <c r="O282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21">
      <c r="B2821" s="10" t="n">
        <v>44310</v>
      </c>
      <c r="C2821" s="9" t="inlineStr">
        <is>
          <t>토</t>
        </is>
      </c>
      <c r="E2821" s="9" t="inlineStr">
        <is>
          <t>샴푸</t>
        </is>
      </c>
      <c r="F2821" s="9" t="inlineStr">
        <is>
          <t>카페24</t>
        </is>
      </c>
      <c r="G2821" s="9" t="inlineStr">
        <is>
          <t>라베나 리커버리 15 리바이탈 바이오플라보노이드샴푸 [HAIR RÉ:COVERY 15 Revital Shampoo]제품선택=리바이탈 샴푸 2개 세트 5%추가할인</t>
        </is>
      </c>
      <c r="H2821" s="9" t="n">
        <v>22</v>
      </c>
      <c r="I2821" s="9" t="inlineStr">
        <is>
          <t>리바이탈 샴푸 2set</t>
        </is>
      </c>
      <c r="J2821" s="9" t="inlineStr">
        <is>
          <t>210201</t>
        </is>
      </c>
      <c r="L2821" s="9" t="n">
        <v>1124420</v>
      </c>
      <c r="M2821" s="9" t="n">
        <v>1058641.43</v>
      </c>
      <c r="N2821" s="9" t="n">
        <v>126060</v>
      </c>
      <c r="O282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22">
      <c r="B2822" s="10" t="n">
        <v>44310</v>
      </c>
      <c r="C2822" s="9" t="inlineStr">
        <is>
          <t>토</t>
        </is>
      </c>
      <c r="E2822" s="9" t="inlineStr">
        <is>
          <t>샴푸</t>
        </is>
      </c>
      <c r="F2822" s="9" t="inlineStr">
        <is>
          <t>카페24</t>
        </is>
      </c>
      <c r="G2822" s="9" t="inlineStr">
        <is>
          <t>라베나 리커버리 15 리바이탈 바이오플라보노이드샴푸 [HAIR RÉ:COVERY 15 Revital Shampoo]제품선택=리바이탈 샴푸 3개 세트 10% 추가할인</t>
        </is>
      </c>
      <c r="H2822" s="9" t="n">
        <v>10</v>
      </c>
      <c r="I2822" s="9" t="inlineStr">
        <is>
          <t>리바이탈 샴푸 3set</t>
        </is>
      </c>
      <c r="J2822" s="9" t="inlineStr">
        <is>
          <t>210201</t>
        </is>
      </c>
      <c r="L2822" s="9" t="n">
        <v>726300</v>
      </c>
      <c r="M2822" s="9" t="n">
        <v>683811.4500000001</v>
      </c>
      <c r="N2822" s="9" t="n">
        <v>85950</v>
      </c>
      <c r="O282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23">
      <c r="B2823" s="10" t="n">
        <v>44310</v>
      </c>
      <c r="C2823" s="9" t="inlineStr">
        <is>
          <t>토</t>
        </is>
      </c>
      <c r="E2823" s="9" t="inlineStr">
        <is>
          <t>트리트먼트</t>
        </is>
      </c>
      <c r="F2823" s="9" t="inlineStr">
        <is>
          <t>카페24</t>
        </is>
      </c>
      <c r="G2823" s="9" t="inlineStr">
        <is>
          <t>라베나 리커버리 15 헤어팩 트리트먼트 [HAIR RÉ:COVERY 15 Hairpack Treatment]제품선택=헤어 리커버리 15 헤어팩 트리트먼트</t>
        </is>
      </c>
      <c r="H2823" s="9" t="n">
        <v>2</v>
      </c>
      <c r="I2823" s="9" t="inlineStr">
        <is>
          <t>트리트먼트</t>
        </is>
      </c>
      <c r="J2823" s="9" t="inlineStr">
        <is>
          <t>210201</t>
        </is>
      </c>
      <c r="L2823" s="9" t="n">
        <v>52000</v>
      </c>
      <c r="M2823" s="9" t="n">
        <v>48958</v>
      </c>
      <c r="N2823" s="9" t="n">
        <v>3194</v>
      </c>
      <c r="O2823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824">
      <c r="B2824" s="10" t="n">
        <v>44311</v>
      </c>
      <c r="C2824" s="9" t="inlineStr">
        <is>
          <t>일</t>
        </is>
      </c>
      <c r="E2824" s="9" t="inlineStr">
        <is>
          <t>샴푸</t>
        </is>
      </c>
      <c r="F2824" s="9" t="inlineStr">
        <is>
          <t>카페24</t>
        </is>
      </c>
      <c r="G2824" s="9" t="inlineStr">
        <is>
          <t>[타임특가] 리 : 커버리 3개월 패키지 (샴푸 2+ 트리트먼트 택 1)샴푸2 + 트리트먼트 택 1=샴푸2 + 뉴트리셔스 밤1</t>
        </is>
      </c>
      <c r="H2824" s="9" t="n">
        <v>2</v>
      </c>
      <c r="I2824" s="9" t="inlineStr">
        <is>
          <t>리바이탈 샴푸2+뉴트리셔스밤1</t>
        </is>
      </c>
      <c r="J2824" s="9" t="inlineStr">
        <is>
          <t>210201</t>
        </is>
      </c>
      <c r="L2824" s="9">
        <f>62280*2</f>
        <v/>
      </c>
      <c r="M2824" s="9">
        <f>124560-(124560/5.85)</f>
        <v/>
      </c>
      <c r="N2824" s="9">
        <f>7310*2</f>
        <v/>
      </c>
      <c r="O2824" s="9" t="inlineStr">
        <is>
          <t>카페240[타임특가] 리 : 커버리 3개월 패키지 (샴푸 2+ 트리트먼트 택 1)샴푸2 + 트리트먼트 택 1=샴푸2 + 뉴트리셔스 밤1210201</t>
        </is>
      </c>
    </row>
    <row r="2825">
      <c r="B2825" s="10" t="n">
        <v>44311</v>
      </c>
      <c r="C2825" s="9" t="inlineStr">
        <is>
          <t>일</t>
        </is>
      </c>
      <c r="E2825" s="9" t="inlineStr">
        <is>
          <t>샴푸</t>
        </is>
      </c>
      <c r="F2825" s="9" t="inlineStr">
        <is>
          <t>카페24</t>
        </is>
      </c>
      <c r="G2825" s="9" t="inlineStr">
        <is>
          <t>[타임특가] 리 : 커버리 3개월 패키지 (샴푸 2+ 트리트먼트 택 1)샴푸2 + 트리트먼트 택 1=샴푸2 + 헤어팩 트리트먼트1</t>
        </is>
      </c>
      <c r="H2825" s="9" t="n">
        <v>3</v>
      </c>
      <c r="I2825" s="9" t="inlineStr">
        <is>
          <t>리바이탈 샴푸2+트리트먼트1</t>
        </is>
      </c>
      <c r="J2825" s="9" t="inlineStr">
        <is>
          <t>210201</t>
        </is>
      </c>
      <c r="L2825" s="9">
        <f>62280*3</f>
        <v/>
      </c>
      <c r="M2825" s="9">
        <f>186840-(186840/5.85)</f>
        <v/>
      </c>
      <c r="N2825" s="9">
        <f>7327*3</f>
        <v/>
      </c>
      <c r="O2825" s="9" t="inlineStr">
        <is>
          <t>카페240[타임특가] 리 : 커버리 3개월 패키지 (샴푸 2+ 트리트먼트 택 1)샴푸2 + 트리트먼트 택 1=샴푸2 + 헤어팩 트리트먼트1210201</t>
        </is>
      </c>
    </row>
    <row r="2826">
      <c r="B2826" s="10" t="n">
        <v>44311</v>
      </c>
      <c r="C2826" s="9" t="inlineStr">
        <is>
          <t>일</t>
        </is>
      </c>
      <c r="E2826" s="9" t="inlineStr">
        <is>
          <t>샴푸</t>
        </is>
      </c>
      <c r="F2826" s="9" t="inlineStr">
        <is>
          <t>카페24</t>
        </is>
      </c>
      <c r="G2826" s="9" t="inlineStr">
        <is>
          <t>[타임특가] 리 : 커버리 6개월 패키지 (샴푸 5+ 트리트먼트 택 1)샴푸 5 + 트리트먼트 택 1=샴푸 5 + 뉴트리셔스 밤 1</t>
        </is>
      </c>
      <c r="H2826" s="9" t="n">
        <v>1</v>
      </c>
      <c r="I2826" s="9" t="inlineStr">
        <is>
          <t>리바이탈 샴푸5+트리트먼트1</t>
        </is>
      </c>
      <c r="J2826" s="9" t="inlineStr">
        <is>
          <t>210201</t>
        </is>
      </c>
      <c r="L2826" s="9">
        <f>114840</f>
        <v/>
      </c>
      <c r="M2826" s="9">
        <f>114840-(114840/5.85)</f>
        <v/>
      </c>
      <c r="N2826" s="9">
        <f>15922</f>
        <v/>
      </c>
      <c r="O2826" s="9" t="inlineStr">
        <is>
          <t>카페240[타임특가] 리 : 커버리 6개월 패키지 (샴푸 5+ 트리트먼트 택 1)샴푸 5 + 트리트먼트 택 1=샴푸 5 + 뉴트리셔스 밤 1210201</t>
        </is>
      </c>
    </row>
    <row r="2827">
      <c r="B2827" s="10" t="n">
        <v>44311</v>
      </c>
      <c r="C2827" s="9" t="inlineStr">
        <is>
          <t>일</t>
        </is>
      </c>
      <c r="E2827" s="9" t="inlineStr">
        <is>
          <t>샴푸</t>
        </is>
      </c>
      <c r="F2827" s="9" t="inlineStr">
        <is>
          <t>카페24</t>
        </is>
      </c>
      <c r="G2827" s="9" t="inlineStr">
        <is>
          <t>[타임특가] 리 : 커버리 온가족 패키지 (샴푸 3+ 헤어팩 트리트먼트 1+뉴트리셔스 밤 1)</t>
        </is>
      </c>
      <c r="H2827" s="9" t="n">
        <v>2</v>
      </c>
      <c r="I2827" s="9" t="inlineStr">
        <is>
          <t>리바이탈 샴푸3+트리트먼트1+뉴트리셔스밤1</t>
        </is>
      </c>
      <c r="J2827" s="9" t="inlineStr">
        <is>
          <t>210201</t>
        </is>
      </c>
      <c r="L2827" s="9">
        <f>94765*2</f>
        <v/>
      </c>
      <c r="M2827" s="9">
        <f>189530-(189530/5.85)</f>
        <v/>
      </c>
      <c r="N2827" s="9">
        <f>11772*2</f>
        <v/>
      </c>
      <c r="O2827" s="9" t="inlineStr">
        <is>
          <t>카페240[타임특가] 리 : 커버리 온가족 패키지 (샴푸 3+ 헤어팩 트리트먼트 1+뉴트리셔스 밤 1)210201</t>
        </is>
      </c>
    </row>
    <row r="2828">
      <c r="B2828" s="10" t="n">
        <v>44311</v>
      </c>
      <c r="C2828" s="9" t="inlineStr">
        <is>
          <t>일</t>
        </is>
      </c>
      <c r="E2828" s="9" t="inlineStr">
        <is>
          <t>샴푸</t>
        </is>
      </c>
      <c r="F2828" s="9" t="inlineStr">
        <is>
          <t>카페24</t>
        </is>
      </c>
      <c r="G2828" s="9" t="inlineStr">
        <is>
          <t>[타임특가] 리:커버리 스타터 패키지 (샴푸 1+헤어팩 트리트먼트 1+ 뉴트리셔스 밤 1)</t>
        </is>
      </c>
      <c r="H2828" s="9" t="n">
        <v>10</v>
      </c>
      <c r="I2828" s="9" t="inlineStr">
        <is>
          <t>리바이탈 샴푸1+트리트먼트1+뉴트리셔스밤1</t>
        </is>
      </c>
      <c r="J2828" s="9" t="inlineStr">
        <is>
          <t>210201</t>
        </is>
      </c>
      <c r="L2828" s="9">
        <f>39897*10</f>
        <v/>
      </c>
      <c r="M2828" s="9">
        <f>398970-(398970/5.85)</f>
        <v/>
      </c>
      <c r="N2828" s="9">
        <f>(2865+1580+1597)*10</f>
        <v/>
      </c>
      <c r="O2828" s="9" t="inlineStr">
        <is>
          <t>카페240[타임특가] 리:커버리 스타터 패키지 (샴푸 1+헤어팩 트리트먼트 1+ 뉴트리셔스 밤 1)210201</t>
        </is>
      </c>
    </row>
    <row r="2829">
      <c r="B2829" s="10" t="n">
        <v>44311</v>
      </c>
      <c r="C2829" s="9" t="inlineStr">
        <is>
          <t>일</t>
        </is>
      </c>
      <c r="E2829" s="9" t="inlineStr">
        <is>
          <t>뉴트리셔스밤</t>
        </is>
      </c>
      <c r="F2829" s="9" t="inlineStr">
        <is>
          <t>카페24</t>
        </is>
      </c>
      <c r="G2829" s="9" t="inlineStr">
        <is>
          <t>라베나 리커버리 15 뉴트리셔스 밤 [HAIR RÉ:COVERY 15 Nutritious Balm]제품선택=헤어 리커버리 15 뉴트리셔스 밤</t>
        </is>
      </c>
      <c r="H2829" s="9" t="n">
        <v>2</v>
      </c>
      <c r="I2829" s="9" t="inlineStr">
        <is>
          <t>뉴트리셔스밤</t>
        </is>
      </c>
      <c r="J2829" s="9" t="inlineStr">
        <is>
          <t>210201</t>
        </is>
      </c>
      <c r="L2829" s="9" t="n">
        <v>49800</v>
      </c>
      <c r="M2829" s="9" t="n">
        <v>46886.7</v>
      </c>
      <c r="N2829" s="9" t="n">
        <v>3160</v>
      </c>
      <c r="O2829" s="9" t="inlineStr">
        <is>
          <t>카페24뉴트리셔스밤라베나 리커버리 15 뉴트리셔스 밤 [HAIR RÉ:COVERY 15 Nutritious Balm]제품선택=헤어 리커버리 15 뉴트리셔스 밤210201</t>
        </is>
      </c>
    </row>
    <row r="2830">
      <c r="B2830" s="10" t="n">
        <v>44311</v>
      </c>
      <c r="C2830" s="9" t="inlineStr">
        <is>
          <t>일</t>
        </is>
      </c>
      <c r="E2830" s="9" t="inlineStr">
        <is>
          <t>뉴트리셔스밤</t>
        </is>
      </c>
      <c r="F2830" s="9" t="inlineStr">
        <is>
          <t>카페24</t>
        </is>
      </c>
      <c r="G2830" s="9" t="inlineStr">
        <is>
          <t>라베나 리커버리 15 뉴트리셔스 밤 [HAIR RÉ:COVERY 15 Nutritious Balm]제품선택=뉴트리셔스밤 1개 + 헤어팩 트리트먼트 1개 세트 5%추가할인</t>
        </is>
      </c>
      <c r="H2830" s="9" t="n">
        <v>1</v>
      </c>
      <c r="I2830" s="9" t="inlineStr">
        <is>
          <t>트리트먼트+뉴트리셔스밤</t>
        </is>
      </c>
      <c r="J2830" s="9" t="inlineStr">
        <is>
          <t>210201</t>
        </is>
      </c>
      <c r="L2830" s="9" t="n">
        <v>48355</v>
      </c>
      <c r="M2830" s="9" t="n">
        <v>45526.2325</v>
      </c>
      <c r="N2830" s="9" t="n">
        <v>3177</v>
      </c>
      <c r="O2830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831">
      <c r="B2831" s="10" t="n">
        <v>44311</v>
      </c>
      <c r="C2831" s="9" t="inlineStr">
        <is>
          <t>일</t>
        </is>
      </c>
      <c r="E2831" s="9" t="inlineStr">
        <is>
          <t>샴푸</t>
        </is>
      </c>
      <c r="F2831" s="9" t="inlineStr">
        <is>
          <t>카페24</t>
        </is>
      </c>
      <c r="G2831" s="9" t="inlineStr">
        <is>
          <t>라베나 리커버리 15 리바이탈 바이오플라보노이드샴푸 [HAIR RÉ:COVERY 15 Revital Shampoo]제품선택=헤어 리커버리 15 리바이탈 샴푸 - 500ml</t>
        </is>
      </c>
      <c r="H2831" s="9" t="n">
        <v>65</v>
      </c>
      <c r="I2831" s="9" t="inlineStr">
        <is>
          <t>리바이탈 샴푸</t>
        </is>
      </c>
      <c r="J2831" s="9" t="inlineStr">
        <is>
          <t>210201</t>
        </is>
      </c>
      <c r="L2831" s="9" t="n">
        <v>1748500</v>
      </c>
      <c r="M2831" s="9" t="n">
        <v>1646212.75</v>
      </c>
      <c r="N2831" s="9" t="n">
        <v>186225</v>
      </c>
      <c r="O283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32">
      <c r="B2832" s="10" t="n">
        <v>44311</v>
      </c>
      <c r="C2832" s="9" t="inlineStr">
        <is>
          <t>일</t>
        </is>
      </c>
      <c r="E2832" s="9" t="inlineStr">
        <is>
          <t>샴푸</t>
        </is>
      </c>
      <c r="F2832" s="9" t="inlineStr">
        <is>
          <t>카페24</t>
        </is>
      </c>
      <c r="G2832" s="9" t="inlineStr">
        <is>
          <t>라베나 리커버리 15 리바이탈 바이오플라보노이드샴푸 [HAIR RÉ:COVERY 15 Revital Shampoo]제품선택=리바이탈 샴푸 2개 세트 5%추가할인</t>
        </is>
      </c>
      <c r="H2832" s="9" t="n">
        <v>19</v>
      </c>
      <c r="I2832" s="9" t="inlineStr">
        <is>
          <t>리바이탈 샴푸 2set</t>
        </is>
      </c>
      <c r="J2832" s="9" t="inlineStr">
        <is>
          <t>210201</t>
        </is>
      </c>
      <c r="L2832" s="9" t="n">
        <v>971090</v>
      </c>
      <c r="M2832" s="9" t="n">
        <v>914281.2350000001</v>
      </c>
      <c r="N2832" s="9" t="n">
        <v>108870</v>
      </c>
      <c r="O283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33">
      <c r="B2833" s="10" t="n">
        <v>44311</v>
      </c>
      <c r="C2833" s="9" t="inlineStr">
        <is>
          <t>일</t>
        </is>
      </c>
      <c r="E2833" s="9" t="inlineStr">
        <is>
          <t>샴푸</t>
        </is>
      </c>
      <c r="F2833" s="9" t="inlineStr">
        <is>
          <t>카페24</t>
        </is>
      </c>
      <c r="G2833" s="9" t="inlineStr">
        <is>
          <t>라베나 리커버리 15 리바이탈 바이오플라보노이드샴푸 [HAIR RÉ:COVERY 15 Revital Shampoo]제품선택=리바이탈 샴푸 3개 세트 10% 추가할인</t>
        </is>
      </c>
      <c r="H2833" s="9" t="n">
        <v>6</v>
      </c>
      <c r="I2833" s="9" t="inlineStr">
        <is>
          <t>리바이탈 샴푸 3set</t>
        </is>
      </c>
      <c r="J2833" s="9" t="inlineStr">
        <is>
          <t>210201</t>
        </is>
      </c>
      <c r="L2833" s="9" t="n">
        <v>435780</v>
      </c>
      <c r="M2833" s="9" t="n">
        <v>410286.87</v>
      </c>
      <c r="N2833" s="9" t="n">
        <v>51570</v>
      </c>
      <c r="O283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34">
      <c r="B2834" s="10" t="n">
        <v>44311</v>
      </c>
      <c r="C2834" s="9" t="inlineStr">
        <is>
          <t>일</t>
        </is>
      </c>
      <c r="E2834" s="9" t="inlineStr">
        <is>
          <t>트리트먼트</t>
        </is>
      </c>
      <c r="F2834" s="9" t="inlineStr">
        <is>
          <t>카페24</t>
        </is>
      </c>
      <c r="G2834" s="9" t="inlineStr">
        <is>
          <t>라베나 리커버리 15 헤어팩 트리트먼트 [HAIR RÉ:COVERY 15 Hairpack Treatment]제품선택=헤어 리커버리 15 헤어팩 트리트먼트</t>
        </is>
      </c>
      <c r="H2834" s="9" t="n">
        <v>5</v>
      </c>
      <c r="I2834" s="9" t="inlineStr">
        <is>
          <t>트리트먼트</t>
        </is>
      </c>
      <c r="J2834" s="9" t="inlineStr">
        <is>
          <t>210201</t>
        </is>
      </c>
      <c r="L2834" s="9" t="n">
        <v>130000</v>
      </c>
      <c r="M2834" s="9" t="n">
        <v>122395</v>
      </c>
      <c r="N2834" s="9" t="n">
        <v>7985</v>
      </c>
      <c r="O283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835">
      <c r="B2835" s="10" t="n">
        <v>44311</v>
      </c>
      <c r="C2835" s="9" t="inlineStr">
        <is>
          <t>일</t>
        </is>
      </c>
      <c r="E2835" s="9" t="inlineStr">
        <is>
          <t>트리트먼트</t>
        </is>
      </c>
      <c r="F2835" s="9" t="inlineStr">
        <is>
          <t>카페24</t>
        </is>
      </c>
      <c r="G2835" s="9" t="inlineStr">
        <is>
          <t>라베나 리커버리 15 헤어팩 트리트먼트 [HAIR RÉ:COVERY 15 Hairpack Treatment]제품선택=헤어팩 트리트먼트 1개 + 뉴트리셔스밤 1개 세트 5% 추가할인</t>
        </is>
      </c>
      <c r="H2835" s="9" t="n">
        <v>1</v>
      </c>
      <c r="I2835" s="9" t="inlineStr">
        <is>
          <t>트리트먼트+뉴트리셔스밤</t>
        </is>
      </c>
      <c r="J2835" s="9" t="inlineStr">
        <is>
          <t>210201</t>
        </is>
      </c>
      <c r="L2835" s="9" t="n">
        <v>48355</v>
      </c>
      <c r="M2835" s="9" t="n">
        <v>45526.2325</v>
      </c>
      <c r="N2835" s="9" t="n">
        <v>3177</v>
      </c>
      <c r="O2835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836">
      <c r="A2836" s="9" t="inlineStr">
        <is>
          <t>0408~_윤민_샴푸_배너_올인원</t>
        </is>
      </c>
      <c r="B2836" s="10" t="n">
        <v>44312</v>
      </c>
      <c r="C2836" s="9" t="inlineStr">
        <is>
          <t>월</t>
        </is>
      </c>
      <c r="D2836" s="9" t="inlineStr">
        <is>
          <t>페이스북</t>
        </is>
      </c>
      <c r="E2836" s="9" t="inlineStr">
        <is>
          <t>샴푸</t>
        </is>
      </c>
      <c r="K2836" s="9" t="n">
        <v>60777</v>
      </c>
    </row>
    <row r="2837">
      <c r="A2837" s="9" t="inlineStr">
        <is>
          <t>0407_성화_스타터패키지_단장이벤트배너_a/b</t>
        </is>
      </c>
      <c r="B2837" s="10" t="n">
        <v>44312</v>
      </c>
      <c r="C2837" s="9" t="inlineStr">
        <is>
          <t>월</t>
        </is>
      </c>
      <c r="D2837" s="9" t="inlineStr">
        <is>
          <t>페이스북</t>
        </is>
      </c>
      <c r="E2837" s="9" t="inlineStr">
        <is>
          <t>샴푸</t>
        </is>
      </c>
      <c r="K2837" s="9" t="n">
        <v>395256</v>
      </c>
    </row>
    <row r="2838">
      <c r="A2838" s="9" t="inlineStr">
        <is>
          <t>0316~영상베리</t>
        </is>
      </c>
      <c r="B2838" s="10" t="n">
        <v>44312</v>
      </c>
      <c r="C2838" s="9" t="inlineStr">
        <is>
          <t>월</t>
        </is>
      </c>
      <c r="D2838" s="9" t="inlineStr">
        <is>
          <t>페이스북</t>
        </is>
      </c>
      <c r="E2838" s="9" t="inlineStr">
        <is>
          <t>샴푸</t>
        </is>
      </c>
      <c r="K2838" s="9" t="n">
        <v>97336</v>
      </c>
    </row>
    <row r="2839">
      <c r="A2839" s="9" t="inlineStr">
        <is>
          <t>0322_샴푸_GDN_이현1차</t>
        </is>
      </c>
      <c r="B2839" s="10" t="n">
        <v>44312</v>
      </c>
      <c r="C2839" s="9" t="inlineStr">
        <is>
          <t>월</t>
        </is>
      </c>
      <c r="D2839" s="9" t="inlineStr">
        <is>
          <t>GDN</t>
        </is>
      </c>
      <c r="E2839" s="9" t="inlineStr">
        <is>
          <t>샴푸</t>
        </is>
      </c>
      <c r="K2839" s="9" t="n">
        <v>25000</v>
      </c>
    </row>
    <row r="2840">
      <c r="A2840" s="9" t="inlineStr">
        <is>
          <t>0324_샴푸_VAC_CPA</t>
        </is>
      </c>
      <c r="B2840" s="10" t="n">
        <v>44312</v>
      </c>
      <c r="C2840" s="9" t="inlineStr">
        <is>
          <t>월</t>
        </is>
      </c>
      <c r="D2840" s="9" t="inlineStr">
        <is>
          <t>유튜브</t>
        </is>
      </c>
      <c r="E2840" s="9" t="inlineStr">
        <is>
          <t>샴푸</t>
        </is>
      </c>
      <c r="K2840" s="9" t="n">
        <v>632925</v>
      </c>
    </row>
    <row r="2841">
      <c r="A2841" s="9" t="inlineStr">
        <is>
          <t>0330_샴푸_cpv_200만뷰</t>
        </is>
      </c>
      <c r="B2841" s="10" t="n">
        <v>44312</v>
      </c>
      <c r="C2841" s="9" t="inlineStr">
        <is>
          <t>월</t>
        </is>
      </c>
      <c r="D2841" s="9" t="inlineStr">
        <is>
          <t>유튜브</t>
        </is>
      </c>
      <c r="E2841" s="9" t="inlineStr">
        <is>
          <t>샴푸</t>
        </is>
      </c>
      <c r="K2841" s="9" t="n">
        <v>212433</v>
      </c>
    </row>
    <row r="2842">
      <c r="A2842" s="9" t="inlineStr">
        <is>
          <t>라베나 파워링크_샴푸_광고그룹#1</t>
        </is>
      </c>
      <c r="B2842" s="10" t="n">
        <v>44312</v>
      </c>
      <c r="C2842" s="9" t="inlineStr">
        <is>
          <t>월</t>
        </is>
      </c>
      <c r="D2842" s="9" t="inlineStr">
        <is>
          <t>네이버 검색</t>
        </is>
      </c>
      <c r="E2842" s="9" t="inlineStr">
        <is>
          <t>샴푸</t>
        </is>
      </c>
      <c r="K2842" s="9" t="n">
        <v>1250</v>
      </c>
    </row>
    <row r="2843">
      <c r="A2843" s="9" t="inlineStr">
        <is>
          <t>라베나 파워링크_샴푸#1_유튜브키워드기반</t>
        </is>
      </c>
      <c r="B2843" s="10" t="n">
        <v>44312</v>
      </c>
      <c r="C2843" s="9" t="inlineStr">
        <is>
          <t>월</t>
        </is>
      </c>
      <c r="D2843" s="9" t="inlineStr">
        <is>
          <t>네이버 검색</t>
        </is>
      </c>
      <c r="E2843" s="9" t="inlineStr">
        <is>
          <t>샴푸</t>
        </is>
      </c>
      <c r="K2843" s="9" t="n">
        <v>11740</v>
      </c>
    </row>
    <row r="2844">
      <c r="A2844" s="9" t="inlineStr">
        <is>
          <t>샴푸_쇼핑검색#1_광고그룹#1</t>
        </is>
      </c>
      <c r="B2844" s="10" t="n">
        <v>44312</v>
      </c>
      <c r="C2844" s="9" t="inlineStr">
        <is>
          <t>월</t>
        </is>
      </c>
      <c r="D2844" s="9" t="inlineStr">
        <is>
          <t>네이버 검색</t>
        </is>
      </c>
      <c r="E2844" s="9" t="inlineStr">
        <is>
          <t>샴푸</t>
        </is>
      </c>
      <c r="K2844" s="9" t="n">
        <v>0</v>
      </c>
    </row>
    <row r="2845">
      <c r="A2845" s="9" t="inlineStr">
        <is>
          <t>파워컨텐츠#1_비듬샴푸</t>
        </is>
      </c>
      <c r="B2845" s="10" t="n">
        <v>44312</v>
      </c>
      <c r="C2845" s="9" t="inlineStr">
        <is>
          <t>월</t>
        </is>
      </c>
      <c r="D2845" s="9" t="inlineStr">
        <is>
          <t>네이버 검색</t>
        </is>
      </c>
      <c r="E2845" s="9" t="inlineStr">
        <is>
          <t>샴푸</t>
        </is>
      </c>
      <c r="K2845" s="9" t="n">
        <v>280</v>
      </c>
    </row>
    <row r="2846">
      <c r="B2846" s="10" t="n">
        <v>44312</v>
      </c>
      <c r="C2846" s="9" t="inlineStr">
        <is>
          <t>월</t>
        </is>
      </c>
      <c r="E2846" s="9" t="inlineStr">
        <is>
          <t>트리트먼트</t>
        </is>
      </c>
      <c r="F2846" s="9" t="inlineStr">
        <is>
          <t>라베나 CS</t>
        </is>
      </c>
      <c r="G2846" s="9" t="inlineStr">
        <is>
          <t>헤어 리커버리 15 헤어팩 트리트먼트</t>
        </is>
      </c>
      <c r="H2846" s="9" t="n">
        <v>30</v>
      </c>
      <c r="I2846" s="9" t="inlineStr">
        <is>
          <t>트리트먼트</t>
        </is>
      </c>
      <c r="J2846" s="9" t="inlineStr">
        <is>
          <t>210201</t>
        </is>
      </c>
      <c r="L2846" s="9" t="n">
        <v>0</v>
      </c>
      <c r="M2846" s="9" t="n">
        <v>0</v>
      </c>
      <c r="N2846" s="9" t="n">
        <v>0</v>
      </c>
      <c r="O2846" s="9" t="inlineStr">
        <is>
          <t>라베나 CS트리트먼트헤어 리커버리 15 헤어팩 트리트먼트210201</t>
        </is>
      </c>
    </row>
    <row r="2847">
      <c r="B2847" s="10" t="n">
        <v>44312</v>
      </c>
      <c r="C2847" s="9" t="inlineStr">
        <is>
          <t>월</t>
        </is>
      </c>
      <c r="E2847" s="9" t="inlineStr">
        <is>
          <t>샴푸</t>
        </is>
      </c>
      <c r="F2847" s="9" t="inlineStr">
        <is>
          <t>카페24</t>
        </is>
      </c>
      <c r="G2847" s="9" t="inlineStr">
        <is>
          <t>[타임특가] 리 : 커버리 3개월 패키지 (샴푸 2+ 트리트먼트 택 1)샴푸2 + 트리트먼트 택 1=샴푸2 + 뉴트리셔스 밤1</t>
        </is>
      </c>
      <c r="H2847" s="9" t="n">
        <v>1</v>
      </c>
      <c r="I2847" s="9" t="inlineStr">
        <is>
          <t>리바이탈 샴푸2+뉴트리셔스밤1</t>
        </is>
      </c>
      <c r="J2847" s="9" t="inlineStr">
        <is>
          <t>210201</t>
        </is>
      </c>
      <c r="L2847" s="9">
        <f>62280</f>
        <v/>
      </c>
      <c r="M2847" s="9">
        <f>62280-(62280/5.85)</f>
        <v/>
      </c>
      <c r="N2847" s="9">
        <f>7310</f>
        <v/>
      </c>
      <c r="O2847" s="9" t="inlineStr">
        <is>
          <t>카페240[타임특가] 리 : 커버리 3개월 패키지 (샴푸 2+ 트리트먼트 택 1)샴푸2 + 트리트먼트 택 1=샴푸2 + 뉴트리셔스 밤1210201</t>
        </is>
      </c>
    </row>
    <row r="2848">
      <c r="B2848" s="10" t="n">
        <v>44312</v>
      </c>
      <c r="C2848" s="9" t="inlineStr">
        <is>
          <t>월</t>
        </is>
      </c>
      <c r="E2848" s="9" t="inlineStr">
        <is>
          <t>샴푸</t>
        </is>
      </c>
      <c r="F2848" s="9" t="inlineStr">
        <is>
          <t>카페24</t>
        </is>
      </c>
      <c r="G2848" s="9" t="inlineStr">
        <is>
          <t>[타임특가] 리 : 커버리 3개월 패키지 (샴푸 2+ 트리트먼트 택 1)샴푸2 + 트리트먼트 택 1=샴푸2 + 헤어팩 트리트먼트1</t>
        </is>
      </c>
      <c r="H2848" s="9" t="n">
        <v>3</v>
      </c>
      <c r="I2848" s="9" t="inlineStr">
        <is>
          <t>리바이탈 샴푸2+트리트먼트1</t>
        </is>
      </c>
      <c r="J2848" s="9" t="inlineStr">
        <is>
          <t>210201</t>
        </is>
      </c>
      <c r="L2848" s="9">
        <f>62280*3</f>
        <v/>
      </c>
      <c r="M2848" s="9">
        <f>186840-(186840/5.85)</f>
        <v/>
      </c>
      <c r="N2848" s="9">
        <f>7327*3</f>
        <v/>
      </c>
      <c r="O2848" s="9" t="inlineStr">
        <is>
          <t>카페240[타임특가] 리 : 커버리 3개월 패키지 (샴푸 2+ 트리트먼트 택 1)샴푸2 + 트리트먼트 택 1=샴푸2 + 헤어팩 트리트먼트1210201</t>
        </is>
      </c>
    </row>
    <row r="2849">
      <c r="B2849" s="10" t="n">
        <v>44312</v>
      </c>
      <c r="C2849" s="9" t="inlineStr">
        <is>
          <t>월</t>
        </is>
      </c>
      <c r="E2849" s="9" t="inlineStr">
        <is>
          <t>샴푸</t>
        </is>
      </c>
      <c r="F2849" s="9" t="inlineStr">
        <is>
          <t>카페24</t>
        </is>
      </c>
      <c r="G2849" s="9" t="inlineStr">
        <is>
          <t>[타임특가] 리 : 커버리 6개월 패키지 (샴푸 5+ 트리트먼트 택 1)샴푸 5 + 트리트먼트 택 1=샴푸 5 + 뉴트리셔스 밤 1</t>
        </is>
      </c>
      <c r="H2849" s="9" t="n">
        <v>2</v>
      </c>
      <c r="I2849" s="9" t="inlineStr">
        <is>
          <t>리바이탈 샴푸5+뉴트리셔스밤1</t>
        </is>
      </c>
      <c r="J2849" s="9" t="inlineStr">
        <is>
          <t>210201</t>
        </is>
      </c>
      <c r="L2849" s="9">
        <f>114840*2</f>
        <v/>
      </c>
      <c r="M2849" s="9">
        <f>229680-(229680/5.85)</f>
        <v/>
      </c>
      <c r="N2849" s="9">
        <f>15905*2</f>
        <v/>
      </c>
      <c r="O2849" s="9" t="inlineStr">
        <is>
          <t>카페240[타임특가] 리 : 커버리 6개월 패키지 (샴푸 5+ 트리트먼트 택 1)샴푸 5 + 트리트먼트 택 1=샴푸 5 + 뉴트리셔스 밤 1210201</t>
        </is>
      </c>
    </row>
    <row r="2850">
      <c r="B2850" s="10" t="n">
        <v>44312</v>
      </c>
      <c r="C2850" s="9" t="inlineStr">
        <is>
          <t>월</t>
        </is>
      </c>
      <c r="E2850" s="9" t="inlineStr">
        <is>
          <t>샴푸</t>
        </is>
      </c>
      <c r="F2850" s="9" t="inlineStr">
        <is>
          <t>카페24</t>
        </is>
      </c>
      <c r="G2850" s="9" t="inlineStr">
        <is>
          <t>[타임특가] 리 : 커버리 6개월 패키지 (샴푸 5+ 트리트먼트 택 1)샴푸 5 + 트리트먼트 택 1=샴푸 5 + 헤어팩 트리트먼트 1</t>
        </is>
      </c>
      <c r="H2850" s="9" t="n">
        <v>3</v>
      </c>
      <c r="I2850" s="9" t="inlineStr">
        <is>
          <t>리바이탈 샴푸5+트리트먼트1</t>
        </is>
      </c>
      <c r="J2850" s="9" t="inlineStr">
        <is>
          <t>210201</t>
        </is>
      </c>
      <c r="L2850" s="9">
        <f>114840*3</f>
        <v/>
      </c>
      <c r="M2850" s="9">
        <f>344520-(344520/5.85)</f>
        <v/>
      </c>
      <c r="N2850" s="9">
        <f>15922*3</f>
        <v/>
      </c>
      <c r="O2850" s="9" t="inlineStr">
        <is>
          <t>카페240[타임특가] 리 : 커버리 6개월 패키지 (샴푸 5+ 트리트먼트 택 1)샴푸 5 + 트리트먼트 택 1=샴푸 5 + 헤어팩 트리트먼트 1210201</t>
        </is>
      </c>
    </row>
    <row r="2851">
      <c r="B2851" s="10" t="n">
        <v>44312</v>
      </c>
      <c r="C2851" s="9" t="inlineStr">
        <is>
          <t>월</t>
        </is>
      </c>
      <c r="E2851" s="9" t="inlineStr">
        <is>
          <t>샴푸</t>
        </is>
      </c>
      <c r="F2851" s="9" t="inlineStr">
        <is>
          <t>카페24</t>
        </is>
      </c>
      <c r="G2851" s="9" t="inlineStr">
        <is>
          <t>[타임특가] 리:커버리 스타터 패키지 (샴푸 1+헤어팩 트리트먼트 1+ 뉴트리셔스 밤 1)</t>
        </is>
      </c>
      <c r="H2851" s="9" t="n">
        <v>13</v>
      </c>
      <c r="I2851" s="9" t="inlineStr">
        <is>
          <t>리바이탈 샴푸1+트리트먼트1+뉴트리셔스밤1</t>
        </is>
      </c>
      <c r="J2851" s="9" t="inlineStr">
        <is>
          <t>210201</t>
        </is>
      </c>
      <c r="L2851" s="9">
        <f>39897*13</f>
        <v/>
      </c>
      <c r="M2851" s="9">
        <f>518661-(518661/5.85)</f>
        <v/>
      </c>
      <c r="N2851" s="9">
        <f>(2865+1580+1597)*13</f>
        <v/>
      </c>
      <c r="O2851" s="9" t="inlineStr">
        <is>
          <t>카페240[타임특가] 리:커버리 스타터 패키지 (샴푸 1+헤어팩 트리트먼트 1+ 뉴트리셔스 밤 1)210201</t>
        </is>
      </c>
    </row>
    <row r="2852">
      <c r="B2852" s="10" t="n">
        <v>44312</v>
      </c>
      <c r="C2852" s="9" t="inlineStr">
        <is>
          <t>월</t>
        </is>
      </c>
      <c r="E2852" s="9" t="inlineStr">
        <is>
          <t>뉴트리셔스밤</t>
        </is>
      </c>
      <c r="F2852" s="9" t="inlineStr">
        <is>
          <t>카페24</t>
        </is>
      </c>
      <c r="G2852" s="9" t="inlineStr">
        <is>
          <t>라베나 리커버리 15 뉴트리셔스 밤 [HAIR RÉ:COVERY 15 Nutritious Balm]제품선택=헤어 리커버리 15 뉴트리셔스 밤</t>
        </is>
      </c>
      <c r="H2852" s="9" t="n">
        <v>1</v>
      </c>
      <c r="I2852" s="9" t="inlineStr">
        <is>
          <t>뉴트리셔스밤</t>
        </is>
      </c>
      <c r="J2852" s="9" t="inlineStr">
        <is>
          <t>210201</t>
        </is>
      </c>
      <c r="L2852" s="9" t="n">
        <v>24900</v>
      </c>
      <c r="M2852" s="9" t="n">
        <v>23443.35</v>
      </c>
      <c r="N2852" s="9" t="n">
        <v>1580</v>
      </c>
      <c r="O2852" s="9" t="inlineStr">
        <is>
          <t>카페24뉴트리셔스밤라베나 리커버리 15 뉴트리셔스 밤 [HAIR RÉ:COVERY 15 Nutritious Balm]제품선택=헤어 리커버리 15 뉴트리셔스 밤210201</t>
        </is>
      </c>
    </row>
    <row r="2853">
      <c r="B2853" s="10" t="n">
        <v>44312</v>
      </c>
      <c r="C2853" s="9" t="inlineStr">
        <is>
          <t>월</t>
        </is>
      </c>
      <c r="E2853" s="9" t="inlineStr">
        <is>
          <t>샴푸</t>
        </is>
      </c>
      <c r="F2853" s="9" t="inlineStr">
        <is>
          <t>카페24</t>
        </is>
      </c>
      <c r="G2853" s="9" t="inlineStr">
        <is>
          <t>라베나 리커버리 15 리바이탈 바이오플라보노이드샴푸 [HAIR RÉ:COVERY 15 Revital Shampoo]제품선택=헤어 리커버리 15 리바이탈 샴푸 - 500ml</t>
        </is>
      </c>
      <c r="H2853" s="9" t="n">
        <v>53</v>
      </c>
      <c r="I2853" s="9" t="inlineStr">
        <is>
          <t>리바이탈 샴푸</t>
        </is>
      </c>
      <c r="J2853" s="9" t="inlineStr">
        <is>
          <t>210201</t>
        </is>
      </c>
      <c r="L2853" s="9" t="n">
        <v>1425700</v>
      </c>
      <c r="M2853" s="9" t="n">
        <v>1342296.55</v>
      </c>
      <c r="N2853" s="9" t="n">
        <v>151845</v>
      </c>
      <c r="O285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54">
      <c r="B2854" s="10" t="n">
        <v>44312</v>
      </c>
      <c r="C2854" s="9" t="inlineStr">
        <is>
          <t>월</t>
        </is>
      </c>
      <c r="E2854" s="9" t="inlineStr">
        <is>
          <t>샴푸</t>
        </is>
      </c>
      <c r="F2854" s="9" t="inlineStr">
        <is>
          <t>카페24</t>
        </is>
      </c>
      <c r="G2854" s="9" t="inlineStr">
        <is>
          <t>라베나 리커버리 15 리바이탈 바이오플라보노이드샴푸 [HAIR RÉ:COVERY 15 Revital Shampoo]제품선택=리바이탈 샴푸 2개 세트 5%추가할인</t>
        </is>
      </c>
      <c r="H2854" s="9" t="n">
        <v>18</v>
      </c>
      <c r="I2854" s="9" t="inlineStr">
        <is>
          <t>리바이탈 샴푸 2set</t>
        </is>
      </c>
      <c r="J2854" s="9" t="inlineStr">
        <is>
          <t>210201</t>
        </is>
      </c>
      <c r="L2854" s="9" t="n">
        <v>919980</v>
      </c>
      <c r="M2854" s="9" t="n">
        <v>866161.17</v>
      </c>
      <c r="N2854" s="9" t="n">
        <v>103140</v>
      </c>
      <c r="O285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55">
      <c r="B2855" s="10" t="n">
        <v>44312</v>
      </c>
      <c r="C2855" s="9" t="inlineStr">
        <is>
          <t>월</t>
        </is>
      </c>
      <c r="E2855" s="9" t="inlineStr">
        <is>
          <t>샴푸</t>
        </is>
      </c>
      <c r="F2855" s="9" t="inlineStr">
        <is>
          <t>카페24</t>
        </is>
      </c>
      <c r="G2855" s="9" t="inlineStr">
        <is>
          <t>라베나 리커버리 15 리바이탈 바이오플라보노이드샴푸 [HAIR RÉ:COVERY 15 Revital Shampoo]제품선택=리바이탈 샴푸 3개 세트 10% 추가할인</t>
        </is>
      </c>
      <c r="H2855" s="9" t="n">
        <v>5</v>
      </c>
      <c r="I2855" s="9" t="inlineStr">
        <is>
          <t>리바이탈 샴푸 3set</t>
        </is>
      </c>
      <c r="J2855" s="9" t="inlineStr">
        <is>
          <t>210201</t>
        </is>
      </c>
      <c r="L2855" s="9" t="n">
        <v>363150</v>
      </c>
      <c r="M2855" s="9" t="n">
        <v>341905.725</v>
      </c>
      <c r="N2855" s="9" t="n">
        <v>42975</v>
      </c>
      <c r="O285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56">
      <c r="B2856" s="10" t="n">
        <v>44312</v>
      </c>
      <c r="C2856" s="9" t="inlineStr">
        <is>
          <t>월</t>
        </is>
      </c>
      <c r="E2856" s="9" t="inlineStr">
        <is>
          <t>트리트먼트</t>
        </is>
      </c>
      <c r="F2856" s="9" t="inlineStr">
        <is>
          <t>카페24</t>
        </is>
      </c>
      <c r="G2856" s="9" t="inlineStr">
        <is>
          <t>라베나 리커버리 15 헤어팩 트리트먼트 [HAIR RÉ:COVERY 15 Hairpack Treatment]제품선택=헤어 리커버리 15 헤어팩 트리트먼트</t>
        </is>
      </c>
      <c r="H2856" s="9" t="n">
        <v>1</v>
      </c>
      <c r="I2856" s="9" t="inlineStr">
        <is>
          <t>트리트먼트</t>
        </is>
      </c>
      <c r="J2856" s="9" t="inlineStr">
        <is>
          <t>210201</t>
        </is>
      </c>
      <c r="L2856" s="9" t="n">
        <v>26000</v>
      </c>
      <c r="M2856" s="9" t="n">
        <v>24479</v>
      </c>
      <c r="N2856" s="9" t="n">
        <v>1597</v>
      </c>
      <c r="O285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857">
      <c r="A2857" s="9" t="inlineStr">
        <is>
          <t>0407_성화_스타터패키지_단장이벤트배너_a/b</t>
        </is>
      </c>
      <c r="B2857" s="10" t="n">
        <v>44313</v>
      </c>
      <c r="C2857" s="9" t="inlineStr">
        <is>
          <t>화</t>
        </is>
      </c>
      <c r="D2857" s="9" t="inlineStr">
        <is>
          <t>페이스북</t>
        </is>
      </c>
      <c r="E2857" s="9" t="inlineStr">
        <is>
          <t>샴푸</t>
        </is>
      </c>
      <c r="K2857" s="9" t="n">
        <v>312086</v>
      </c>
    </row>
    <row r="2858">
      <c r="A2858" s="9" t="inlineStr">
        <is>
          <t>0316~영상베리</t>
        </is>
      </c>
      <c r="B2858" s="10" t="n">
        <v>44313</v>
      </c>
      <c r="C2858" s="9" t="inlineStr">
        <is>
          <t>화</t>
        </is>
      </c>
      <c r="D2858" s="9" t="inlineStr">
        <is>
          <t>페이스북</t>
        </is>
      </c>
      <c r="E2858" s="9" t="inlineStr">
        <is>
          <t>샴푸</t>
        </is>
      </c>
      <c r="K2858" s="9" t="n">
        <v>99756</v>
      </c>
    </row>
    <row r="2859">
      <c r="A2859" s="9" t="inlineStr">
        <is>
          <t>0322_샴푸_GDN_이현1차</t>
        </is>
      </c>
      <c r="B2859" s="10" t="n">
        <v>44313</v>
      </c>
      <c r="C2859" s="9" t="inlineStr">
        <is>
          <t>화</t>
        </is>
      </c>
      <c r="D2859" s="9" t="inlineStr">
        <is>
          <t>GDN</t>
        </is>
      </c>
      <c r="E2859" s="9" t="inlineStr">
        <is>
          <t>샴푸</t>
        </is>
      </c>
      <c r="K2859" s="9" t="n">
        <v>75000</v>
      </c>
    </row>
    <row r="2860">
      <c r="A2860" s="9" t="inlineStr">
        <is>
          <t>0324_샴푸_VAC_CPA</t>
        </is>
      </c>
      <c r="B2860" s="10" t="n">
        <v>44313</v>
      </c>
      <c r="C2860" s="9" t="inlineStr">
        <is>
          <t>화</t>
        </is>
      </c>
      <c r="D2860" s="9" t="inlineStr">
        <is>
          <t>유튜브</t>
        </is>
      </c>
      <c r="E2860" s="9" t="inlineStr">
        <is>
          <t>샴푸</t>
        </is>
      </c>
      <c r="K2860" s="9" t="n">
        <v>948965</v>
      </c>
    </row>
    <row r="2861">
      <c r="A2861" s="9" t="inlineStr">
        <is>
          <t>0330_샴푸_cpv_200만뷰</t>
        </is>
      </c>
      <c r="B2861" s="10" t="n">
        <v>44313</v>
      </c>
      <c r="C2861" s="9" t="inlineStr">
        <is>
          <t>화</t>
        </is>
      </c>
      <c r="D2861" s="9" t="inlineStr">
        <is>
          <t>유튜브</t>
        </is>
      </c>
      <c r="E2861" s="9" t="inlineStr">
        <is>
          <t>샴푸</t>
        </is>
      </c>
      <c r="K2861" s="9" t="n">
        <v>221024</v>
      </c>
    </row>
    <row r="2862">
      <c r="A2862" s="9" t="inlineStr">
        <is>
          <t>라베나 파워링크_샴푸_광고그룹#1</t>
        </is>
      </c>
      <c r="B2862" s="10" t="n">
        <v>44313</v>
      </c>
      <c r="C2862" s="9" t="inlineStr">
        <is>
          <t>화</t>
        </is>
      </c>
      <c r="D2862" s="9" t="inlineStr">
        <is>
          <t>네이버 검색</t>
        </is>
      </c>
      <c r="E2862" s="9" t="inlineStr">
        <is>
          <t>샴푸</t>
        </is>
      </c>
      <c r="K2862" s="9" t="n">
        <v>600</v>
      </c>
    </row>
    <row r="2863">
      <c r="A2863" s="9" t="inlineStr">
        <is>
          <t>라베나 파워링크_샴푸#1_유튜브키워드기반</t>
        </is>
      </c>
      <c r="B2863" s="10" t="n">
        <v>44313</v>
      </c>
      <c r="C2863" s="9" t="inlineStr">
        <is>
          <t>화</t>
        </is>
      </c>
      <c r="D2863" s="9" t="inlineStr">
        <is>
          <t>네이버 검색</t>
        </is>
      </c>
      <c r="E2863" s="9" t="inlineStr">
        <is>
          <t>샴푸</t>
        </is>
      </c>
      <c r="K2863" s="9" t="n">
        <v>7799.999999999999</v>
      </c>
    </row>
    <row r="2864">
      <c r="A2864" s="9" t="inlineStr">
        <is>
          <t>샴푸_쇼핑검색#1_광고그룹#1</t>
        </is>
      </c>
      <c r="B2864" s="10" t="n">
        <v>44313</v>
      </c>
      <c r="C2864" s="9" t="inlineStr">
        <is>
          <t>화</t>
        </is>
      </c>
      <c r="D2864" s="9" t="inlineStr">
        <is>
          <t>네이버 검색</t>
        </is>
      </c>
      <c r="E2864" s="9" t="inlineStr">
        <is>
          <t>샴푸</t>
        </is>
      </c>
      <c r="K2864" s="9" t="n">
        <v>2220</v>
      </c>
    </row>
    <row r="2865">
      <c r="A2865" s="9" t="inlineStr">
        <is>
          <t>파워컨텐츠#1_비듬샴푸</t>
        </is>
      </c>
      <c r="B2865" s="10" t="n">
        <v>44313</v>
      </c>
      <c r="C2865" s="9" t="inlineStr">
        <is>
          <t>화</t>
        </is>
      </c>
      <c r="D2865" s="9" t="inlineStr">
        <is>
          <t>네이버 검색</t>
        </is>
      </c>
      <c r="E2865" s="9" t="inlineStr">
        <is>
          <t>샴푸</t>
        </is>
      </c>
      <c r="K2865" s="9" t="n">
        <v>0</v>
      </c>
    </row>
    <row r="2866">
      <c r="B2866" s="10" t="n">
        <v>44313</v>
      </c>
      <c r="C2866" s="9" t="inlineStr">
        <is>
          <t>화</t>
        </is>
      </c>
      <c r="E2866" s="9" t="inlineStr">
        <is>
          <t>샴푸</t>
        </is>
      </c>
      <c r="F2866" s="9" t="inlineStr">
        <is>
          <t>카페24</t>
        </is>
      </c>
      <c r="G2866" s="9" t="inlineStr">
        <is>
          <t>[타임특가] 리 : 커버리 3개월 패키지 (샴푸 2+ 트리트먼트 택 1)샴푸2 + 트리트먼트 택 1=샴푸2 + 헤어팩 트리트먼트1</t>
        </is>
      </c>
      <c r="H2866" s="9" t="n">
        <v>4</v>
      </c>
      <c r="I2866" s="9" t="inlineStr">
        <is>
          <t>리바이탈 샴푸2+트리트먼트1</t>
        </is>
      </c>
      <c r="J2866" s="9" t="inlineStr">
        <is>
          <t>210201</t>
        </is>
      </c>
      <c r="L2866" s="9">
        <f>62280*4</f>
        <v/>
      </c>
      <c r="M2866" s="9">
        <f>249120-(249120/5.85)</f>
        <v/>
      </c>
      <c r="N2866" s="9">
        <f>7327*4</f>
        <v/>
      </c>
      <c r="O2866" s="9" t="inlineStr">
        <is>
          <t>카페240[타임특가] 리 : 커버리 3개월 패키지 (샴푸 2+ 트리트먼트 택 1)샴푸2 + 트리트먼트 택 1=샴푸2 + 헤어팩 트리트먼트1210201</t>
        </is>
      </c>
    </row>
    <row r="2867">
      <c r="B2867" s="10" t="n">
        <v>44313</v>
      </c>
      <c r="C2867" s="9" t="inlineStr">
        <is>
          <t>화</t>
        </is>
      </c>
      <c r="E2867" s="9" t="inlineStr">
        <is>
          <t>샴푸</t>
        </is>
      </c>
      <c r="F2867" s="9" t="inlineStr">
        <is>
          <t>카페24</t>
        </is>
      </c>
      <c r="G2867" s="9" t="inlineStr">
        <is>
          <t>[타임특가] 리 : 커버리 온가족 패키지 (샴푸 3+ 헤어팩 트리트먼트 1+뉴트리셔스 밤 1)</t>
        </is>
      </c>
      <c r="H2867" s="9" t="n">
        <v>1</v>
      </c>
      <c r="I2867" s="9" t="inlineStr">
        <is>
          <t>리바이탈 샴푸3+트리트먼트1+뉴트리셔스밤1</t>
        </is>
      </c>
      <c r="J2867" s="9" t="inlineStr">
        <is>
          <t>210201</t>
        </is>
      </c>
      <c r="L2867" s="9">
        <f>94765</f>
        <v/>
      </c>
      <c r="M2867" s="9">
        <f>94765-(94765/5.85)</f>
        <v/>
      </c>
      <c r="N2867" s="9">
        <f>11772</f>
        <v/>
      </c>
      <c r="O2867" s="9" t="inlineStr">
        <is>
          <t>카페240[타임특가] 리 : 커버리 온가족 패키지 (샴푸 3+ 헤어팩 트리트먼트 1+뉴트리셔스 밤 1)210201</t>
        </is>
      </c>
    </row>
    <row r="2868">
      <c r="B2868" s="10" t="n">
        <v>44313</v>
      </c>
      <c r="C2868" s="9" t="inlineStr">
        <is>
          <t>화</t>
        </is>
      </c>
      <c r="E2868" s="9" t="inlineStr">
        <is>
          <t>샴푸</t>
        </is>
      </c>
      <c r="F2868" s="9" t="inlineStr">
        <is>
          <t>카페24</t>
        </is>
      </c>
      <c r="G2868" s="9" t="inlineStr">
        <is>
          <t>[타임특가] 리:커버리 스타터 패키지 (샴푸 1+헤어팩 트리트먼트 1+ 뉴트리셔스 밤 1)</t>
        </is>
      </c>
      <c r="H2868" s="9" t="n">
        <v>10</v>
      </c>
      <c r="I2868" s="9" t="inlineStr">
        <is>
          <t>리바이탈 샴푸1+트리트먼트1+뉴트리셔스밤1</t>
        </is>
      </c>
      <c r="J2868" s="9" t="inlineStr">
        <is>
          <t>210201</t>
        </is>
      </c>
      <c r="L2868" s="9">
        <f>39897*10</f>
        <v/>
      </c>
      <c r="M2868" s="9">
        <f>398970-(398970/5.85)</f>
        <v/>
      </c>
      <c r="N2868" s="9">
        <f>(2865+1580+1597)*10</f>
        <v/>
      </c>
      <c r="O2868" s="9" t="inlineStr">
        <is>
          <t>카페240[타임특가] 리:커버리 스타터 패키지 (샴푸 1+헤어팩 트리트먼트 1+ 뉴트리셔스 밤 1)210201</t>
        </is>
      </c>
    </row>
    <row r="2869">
      <c r="B2869" s="10" t="n">
        <v>44313</v>
      </c>
      <c r="C2869" s="9" t="inlineStr">
        <is>
          <t>화</t>
        </is>
      </c>
      <c r="E2869" s="9" t="inlineStr">
        <is>
          <t>뉴트리셔스밤</t>
        </is>
      </c>
      <c r="F2869" s="9" t="inlineStr">
        <is>
          <t>카페24</t>
        </is>
      </c>
      <c r="G2869" s="9" t="inlineStr">
        <is>
          <t>라베나 리커버리 15 뉴트리셔스 밤 [HAIR RÉ:COVERY 15 Nutritious Balm]제품선택=헤어 리커버리 15 뉴트리셔스 밤</t>
        </is>
      </c>
      <c r="H2869" s="9" t="n">
        <v>2</v>
      </c>
      <c r="I2869" s="9" t="inlineStr">
        <is>
          <t>뉴트리셔스밤</t>
        </is>
      </c>
      <c r="J2869" s="9" t="inlineStr">
        <is>
          <t>210201</t>
        </is>
      </c>
      <c r="L2869" s="9" t="n">
        <v>49800</v>
      </c>
      <c r="M2869" s="9" t="n">
        <v>46886.7</v>
      </c>
      <c r="N2869" s="9" t="n">
        <v>3160</v>
      </c>
      <c r="O2869" s="9" t="inlineStr">
        <is>
          <t>카페24뉴트리셔스밤라베나 리커버리 15 뉴트리셔스 밤 [HAIR RÉ:COVERY 15 Nutritious Balm]제품선택=헤어 리커버리 15 뉴트리셔스 밤210201</t>
        </is>
      </c>
    </row>
    <row r="2870">
      <c r="B2870" s="10" t="n">
        <v>44313</v>
      </c>
      <c r="C2870" s="9" t="inlineStr">
        <is>
          <t>화</t>
        </is>
      </c>
      <c r="E2870" s="9" t="inlineStr">
        <is>
          <t>뉴트리셔스밤</t>
        </is>
      </c>
      <c r="F2870" s="9" t="inlineStr">
        <is>
          <t>카페24</t>
        </is>
      </c>
      <c r="G2870" s="9" t="inlineStr">
        <is>
          <t>라베나 리커버리 15 뉴트리셔스 밤 [HAIR RÉ:COVERY 15 Nutritious Balm]제품선택=뉴트리셔스 밤 3개 세트 10% 추가할인</t>
        </is>
      </c>
      <c r="H2870" s="9" t="n">
        <v>1</v>
      </c>
      <c r="I2870" s="9" t="inlineStr">
        <is>
          <t>뉴트리셔스밤 3set</t>
        </is>
      </c>
      <c r="J2870" s="9" t="inlineStr">
        <is>
          <t>210201</t>
        </is>
      </c>
      <c r="L2870" s="9" t="n">
        <v>67230</v>
      </c>
      <c r="M2870" s="9" t="n">
        <v>63297.045</v>
      </c>
      <c r="N2870" s="9" t="n">
        <v>4740</v>
      </c>
      <c r="O2870" s="9" t="inlineStr">
        <is>
          <t>카페24뉴트리셔스밤라베나 리커버리 15 뉴트리셔스 밤 [HAIR RÉ:COVERY 15 Nutritious Balm]제품선택=뉴트리셔스 밤 3개 세트 10% 추가할인210201</t>
        </is>
      </c>
    </row>
    <row r="2871">
      <c r="B2871" s="10" t="n">
        <v>44313</v>
      </c>
      <c r="C2871" s="9" t="inlineStr">
        <is>
          <t>화</t>
        </is>
      </c>
      <c r="E2871" s="9" t="inlineStr">
        <is>
          <t>샴푸</t>
        </is>
      </c>
      <c r="F2871" s="9" t="inlineStr">
        <is>
          <t>카페24</t>
        </is>
      </c>
      <c r="G2871" s="9" t="inlineStr">
        <is>
          <t>라베나 리커버리 15 리바이탈 바이오플라보노이드샴푸 [HAIR RÉ:COVERY 15 Revital Shampoo]제품선택=헤어 리커버리 15 리바이탈 샴푸 - 500ml</t>
        </is>
      </c>
      <c r="H2871" s="9" t="n">
        <v>60</v>
      </c>
      <c r="I2871" s="9" t="inlineStr">
        <is>
          <t>리바이탈 샴푸</t>
        </is>
      </c>
      <c r="J2871" s="9" t="inlineStr">
        <is>
          <t>210201</t>
        </is>
      </c>
      <c r="L2871" s="9" t="n">
        <v>1614000</v>
      </c>
      <c r="M2871" s="9" t="n">
        <v>1519581</v>
      </c>
      <c r="N2871" s="9" t="n">
        <v>171900</v>
      </c>
      <c r="O287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72">
      <c r="B2872" s="10" t="n">
        <v>44313</v>
      </c>
      <c r="C2872" s="9" t="inlineStr">
        <is>
          <t>화</t>
        </is>
      </c>
      <c r="E2872" s="9" t="inlineStr">
        <is>
          <t>샴푸</t>
        </is>
      </c>
      <c r="F2872" s="9" t="inlineStr">
        <is>
          <t>카페24</t>
        </is>
      </c>
      <c r="G2872" s="9" t="inlineStr">
        <is>
          <t>라베나 리커버리 15 리바이탈 바이오플라보노이드샴푸 [HAIR RÉ:COVERY 15 Revital Shampoo]제품선택=리바이탈 샴푸 2개 세트 5%추가할인</t>
        </is>
      </c>
      <c r="H2872" s="9" t="n">
        <v>12</v>
      </c>
      <c r="I2872" s="9" t="inlineStr">
        <is>
          <t>리바이탈 샴푸 2set</t>
        </is>
      </c>
      <c r="J2872" s="9" t="inlineStr">
        <is>
          <t>210201</t>
        </is>
      </c>
      <c r="L2872" s="9" t="n">
        <v>613320</v>
      </c>
      <c r="M2872" s="9" t="n">
        <v>577440.78</v>
      </c>
      <c r="N2872" s="9" t="n">
        <v>68760</v>
      </c>
      <c r="O287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73">
      <c r="B2873" s="10" t="n">
        <v>44313</v>
      </c>
      <c r="C2873" s="9" t="inlineStr">
        <is>
          <t>화</t>
        </is>
      </c>
      <c r="E2873" s="9" t="inlineStr">
        <is>
          <t>샴푸</t>
        </is>
      </c>
      <c r="F2873" s="9" t="inlineStr">
        <is>
          <t>카페24</t>
        </is>
      </c>
      <c r="G2873" s="9" t="inlineStr">
        <is>
          <t>라베나 리커버리 15 리바이탈 바이오플라보노이드샴푸 [HAIR RÉ:COVERY 15 Revital Shampoo]제품선택=리바이탈 샴푸 3개 세트 10% 추가할인</t>
        </is>
      </c>
      <c r="H2873" s="9" t="n">
        <v>10</v>
      </c>
      <c r="I2873" s="9" t="inlineStr">
        <is>
          <t>리바이탈 샴푸 3set</t>
        </is>
      </c>
      <c r="J2873" s="9" t="inlineStr">
        <is>
          <t>210201</t>
        </is>
      </c>
      <c r="L2873" s="9" t="n">
        <v>726300</v>
      </c>
      <c r="M2873" s="9" t="n">
        <v>683811.4500000001</v>
      </c>
      <c r="N2873" s="9" t="n">
        <v>85950</v>
      </c>
      <c r="O287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74">
      <c r="B2874" s="10" t="n">
        <v>44313</v>
      </c>
      <c r="C2874" s="9" t="inlineStr">
        <is>
          <t>화</t>
        </is>
      </c>
      <c r="E2874" s="9" t="inlineStr">
        <is>
          <t>트리트먼트</t>
        </is>
      </c>
      <c r="F2874" s="9" t="inlineStr">
        <is>
          <t>카페24</t>
        </is>
      </c>
      <c r="G2874" s="9" t="inlineStr">
        <is>
          <t>라베나 리커버리 15 헤어팩 트리트먼트 [HAIR RÉ:COVERY 15 Hairpack Treatment]제품선택=헤어팩 트리트먼트 2개 세트 5% 추가할인</t>
        </is>
      </c>
      <c r="H2874" s="9" t="n">
        <v>2</v>
      </c>
      <c r="I2874" s="9" t="inlineStr">
        <is>
          <t>트리트먼트 2set</t>
        </is>
      </c>
      <c r="J2874" s="9" t="inlineStr">
        <is>
          <t>210201</t>
        </is>
      </c>
      <c r="L2874" s="9" t="n">
        <v>98800</v>
      </c>
      <c r="M2874" s="9" t="n">
        <v>93020.2</v>
      </c>
      <c r="N2874" s="9" t="n">
        <v>6388</v>
      </c>
      <c r="O287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875">
      <c r="A2875" s="9" t="inlineStr">
        <is>
          <t>0428_윤민_샴푸_온누리입점</t>
        </is>
      </c>
      <c r="B2875" s="10" t="n">
        <v>44314</v>
      </c>
      <c r="C2875" s="9" t="inlineStr">
        <is>
          <t>수</t>
        </is>
      </c>
      <c r="D2875" s="9" t="inlineStr">
        <is>
          <t>페이스북</t>
        </is>
      </c>
      <c r="E2875" s="9" t="inlineStr">
        <is>
          <t>샴푸</t>
        </is>
      </c>
      <c r="K2875" s="9" t="n">
        <v>57475</v>
      </c>
    </row>
    <row r="2876">
      <c r="A2876" s="9" t="inlineStr">
        <is>
          <t>0407_성화_스타터패키지_단장이벤트배너_a/b</t>
        </is>
      </c>
      <c r="B2876" s="10" t="n">
        <v>44314</v>
      </c>
      <c r="C2876" s="9" t="inlineStr">
        <is>
          <t>수</t>
        </is>
      </c>
      <c r="D2876" s="9" t="inlineStr">
        <is>
          <t>페이스북</t>
        </is>
      </c>
      <c r="E2876" s="9" t="inlineStr">
        <is>
          <t>샴푸</t>
        </is>
      </c>
      <c r="K2876" s="9" t="n">
        <v>290943</v>
      </c>
    </row>
    <row r="2877">
      <c r="A2877" s="9" t="inlineStr">
        <is>
          <t>0316~영상베리</t>
        </is>
      </c>
      <c r="B2877" s="10" t="n">
        <v>44314</v>
      </c>
      <c r="C2877" s="9" t="inlineStr">
        <is>
          <t>수</t>
        </is>
      </c>
      <c r="D2877" s="9" t="inlineStr">
        <is>
          <t>페이스북</t>
        </is>
      </c>
      <c r="E2877" s="9" t="inlineStr">
        <is>
          <t>샴푸</t>
        </is>
      </c>
      <c r="K2877" s="9" t="n">
        <v>100178</v>
      </c>
    </row>
    <row r="2878">
      <c r="A2878" s="9" t="inlineStr">
        <is>
          <t>0322_샴푸_GDN_이현1차</t>
        </is>
      </c>
      <c r="B2878" s="10" t="n">
        <v>44314</v>
      </c>
      <c r="C2878" s="9" t="inlineStr">
        <is>
          <t>수</t>
        </is>
      </c>
      <c r="D2878" s="9" t="inlineStr">
        <is>
          <t>GDN</t>
        </is>
      </c>
      <c r="E2878" s="9" t="inlineStr">
        <is>
          <t>샴푸</t>
        </is>
      </c>
      <c r="K2878" s="9" t="n">
        <v>50000</v>
      </c>
    </row>
    <row r="2879">
      <c r="A2879" s="9" t="inlineStr">
        <is>
          <t>0324_샴푸_VAC_CPA</t>
        </is>
      </c>
      <c r="B2879" s="10" t="n">
        <v>44314</v>
      </c>
      <c r="C2879" s="9" t="inlineStr">
        <is>
          <t>수</t>
        </is>
      </c>
      <c r="D2879" s="9" t="inlineStr">
        <is>
          <t>유튜브</t>
        </is>
      </c>
      <c r="E2879" s="9" t="inlineStr">
        <is>
          <t>샴푸</t>
        </is>
      </c>
      <c r="K2879" s="9" t="n">
        <v>1649228</v>
      </c>
    </row>
    <row r="2880">
      <c r="A2880" s="9" t="inlineStr">
        <is>
          <t>0330_샴푸_cpv_200만뷰</t>
        </is>
      </c>
      <c r="B2880" s="10" t="n">
        <v>44314</v>
      </c>
      <c r="C2880" s="9" t="inlineStr">
        <is>
          <t>수</t>
        </is>
      </c>
      <c r="D2880" s="9" t="inlineStr">
        <is>
          <t>유튜브</t>
        </is>
      </c>
      <c r="E2880" s="9" t="inlineStr">
        <is>
          <t>샴푸</t>
        </is>
      </c>
      <c r="K2880" s="9" t="n">
        <v>206211</v>
      </c>
    </row>
    <row r="2881">
      <c r="A2881" s="9" t="inlineStr">
        <is>
          <t>라베나 파워링크_샴푸_광고그룹#1</t>
        </is>
      </c>
      <c r="B2881" s="10" t="n">
        <v>44314</v>
      </c>
      <c r="C2881" s="9" t="inlineStr">
        <is>
          <t>수</t>
        </is>
      </c>
      <c r="D2881" s="9" t="inlineStr">
        <is>
          <t>네이버 검색</t>
        </is>
      </c>
      <c r="E2881" s="9" t="inlineStr">
        <is>
          <t>샴푸</t>
        </is>
      </c>
      <c r="K2881" s="9" t="n">
        <v>2130</v>
      </c>
    </row>
    <row r="2882">
      <c r="A2882" s="9" t="inlineStr">
        <is>
          <t>라베나 파워링크_샴푸#1_유튜브키워드기반</t>
        </is>
      </c>
      <c r="B2882" s="10" t="n">
        <v>44314</v>
      </c>
      <c r="C2882" s="9" t="inlineStr">
        <is>
          <t>수</t>
        </is>
      </c>
      <c r="D2882" s="9" t="inlineStr">
        <is>
          <t>네이버 검색</t>
        </is>
      </c>
      <c r="E2882" s="9" t="inlineStr">
        <is>
          <t>샴푸</t>
        </is>
      </c>
      <c r="K2882" s="9" t="n">
        <v>9700</v>
      </c>
    </row>
    <row r="2883">
      <c r="A2883" s="9" t="inlineStr">
        <is>
          <t>샴푸_쇼핑검색#1_광고그룹#1</t>
        </is>
      </c>
      <c r="B2883" s="10" t="n">
        <v>44314</v>
      </c>
      <c r="C2883" s="9" t="inlineStr">
        <is>
          <t>수</t>
        </is>
      </c>
      <c r="D2883" s="9" t="inlineStr">
        <is>
          <t>네이버 검색</t>
        </is>
      </c>
      <c r="E2883" s="9" t="inlineStr">
        <is>
          <t>샴푸</t>
        </is>
      </c>
      <c r="K2883" s="9" t="n">
        <v>1780</v>
      </c>
    </row>
    <row r="2884">
      <c r="A2884" s="9" t="inlineStr">
        <is>
          <t>파워컨텐츠#1_비듬샴푸</t>
        </is>
      </c>
      <c r="B2884" s="10" t="n">
        <v>44314</v>
      </c>
      <c r="C2884" s="9" t="inlineStr">
        <is>
          <t>수</t>
        </is>
      </c>
      <c r="D2884" s="9" t="inlineStr">
        <is>
          <t>네이버 검색</t>
        </is>
      </c>
      <c r="E2884" s="9" t="inlineStr">
        <is>
          <t>샴푸</t>
        </is>
      </c>
      <c r="K2884" s="9" t="n">
        <v>70</v>
      </c>
    </row>
    <row r="2885" ht="16.5" customHeight="1" s="12">
      <c r="A2885" s="9" t="inlineStr">
        <is>
          <t>4월 월간 라베나</t>
        </is>
      </c>
      <c r="B2885" s="10" t="n">
        <v>44314</v>
      </c>
      <c r="C2885" s="9" t="inlineStr">
        <is>
          <t>수</t>
        </is>
      </c>
      <c r="D2885" s="9" t="inlineStr">
        <is>
          <t>카카오 플친</t>
        </is>
      </c>
      <c r="E2885" s="9" t="inlineStr">
        <is>
          <t>샴푸</t>
        </is>
      </c>
      <c r="K2885" s="9">
        <f>241379/1.1</f>
        <v/>
      </c>
    </row>
    <row r="2886">
      <c r="B2886" s="10" t="n">
        <v>44314</v>
      </c>
      <c r="C2886" s="9" t="inlineStr">
        <is>
          <t>수</t>
        </is>
      </c>
      <c r="E2886" s="9" t="inlineStr">
        <is>
          <t>샴푸</t>
        </is>
      </c>
      <c r="F2886" s="9" t="inlineStr">
        <is>
          <t>카페24</t>
        </is>
      </c>
      <c r="G2886" s="9" t="inlineStr">
        <is>
          <t>[타임특가] 리 : 커버리 3개월 패키지 (샴푸 2+ 트리트먼트 택 1)샴푸2 + 트리트먼트 택 1=샴푸2 + 헤어팩 트리트먼트1</t>
        </is>
      </c>
      <c r="H2886" s="9" t="n">
        <v>7</v>
      </c>
      <c r="I2886" s="9" t="inlineStr">
        <is>
          <t>리바이탈 샴푸2+트리트먼트1</t>
        </is>
      </c>
      <c r="J2886" s="9" t="inlineStr">
        <is>
          <t>210201</t>
        </is>
      </c>
      <c r="L2886" s="9">
        <f>62280*7</f>
        <v/>
      </c>
      <c r="M2886" s="9">
        <f>435960-(435960/5.85)</f>
        <v/>
      </c>
      <c r="N2886" s="9">
        <f>7327*7</f>
        <v/>
      </c>
      <c r="O2886" s="9" t="inlineStr">
        <is>
          <t>카페240[타임특가] 리 : 커버리 3개월 패키지 (샴푸 2+ 트리트먼트 택 1)샴푸2 + 트리트먼트 택 1=샴푸2 + 헤어팩 트리트먼트1210201</t>
        </is>
      </c>
    </row>
    <row r="2887">
      <c r="B2887" s="10" t="n">
        <v>44314</v>
      </c>
      <c r="C2887" s="9" t="inlineStr">
        <is>
          <t>수</t>
        </is>
      </c>
      <c r="E2887" s="9" t="inlineStr">
        <is>
          <t>샴푸</t>
        </is>
      </c>
      <c r="F2887" s="9" t="inlineStr">
        <is>
          <t>카페24</t>
        </is>
      </c>
      <c r="G2887" s="9" t="inlineStr">
        <is>
          <t>[타임특가] 리 : 커버리 6개월 패키지 (샴푸 5+ 트리트먼트 택 1)샴푸 5 + 트리트먼트 택 1=샴푸 5 + 뉴트리셔스 밤 1</t>
        </is>
      </c>
      <c r="H2887" s="9" t="n">
        <v>1</v>
      </c>
      <c r="I2887" s="9" t="inlineStr">
        <is>
          <t>리바이탈 샴푸5+뉴트리셔스밤1</t>
        </is>
      </c>
      <c r="J2887" s="9" t="inlineStr">
        <is>
          <t>210201</t>
        </is>
      </c>
      <c r="L2887" s="9">
        <f>114840</f>
        <v/>
      </c>
      <c r="M2887" s="9">
        <f>114840-(114840/5.85)</f>
        <v/>
      </c>
      <c r="N2887" s="9">
        <f>15905</f>
        <v/>
      </c>
      <c r="O2887" s="9" t="inlineStr">
        <is>
          <t>카페240[타임특가] 리 : 커버리 6개월 패키지 (샴푸 5+ 트리트먼트 택 1)샴푸 5 + 트리트먼트 택 1=샴푸 5 + 뉴트리셔스 밤 1210201</t>
        </is>
      </c>
    </row>
    <row r="2888">
      <c r="B2888" s="10" t="n">
        <v>44314</v>
      </c>
      <c r="C2888" s="9" t="inlineStr">
        <is>
          <t>수</t>
        </is>
      </c>
      <c r="E2888" s="9" t="inlineStr">
        <is>
          <t>샴푸</t>
        </is>
      </c>
      <c r="F2888" s="9" t="inlineStr">
        <is>
          <t>카페24</t>
        </is>
      </c>
      <c r="G2888" s="9" t="inlineStr">
        <is>
          <t>[타임특가] 리 : 커버리 6개월 패키지 (샴푸 5+ 트리트먼트 택 1)샴푸 5 + 트리트먼트 택 1=샴푸 5 + 헤어팩 트리트먼트 1</t>
        </is>
      </c>
      <c r="H2888" s="9" t="n">
        <v>1</v>
      </c>
      <c r="I2888" s="9" t="inlineStr">
        <is>
          <t>리바이탈 샴푸5+트리트먼트1</t>
        </is>
      </c>
      <c r="J2888" s="9" t="inlineStr">
        <is>
          <t>210201</t>
        </is>
      </c>
      <c r="L2888" s="9">
        <f>114840</f>
        <v/>
      </c>
      <c r="M2888" s="9">
        <f>114840-(114840/5.85)</f>
        <v/>
      </c>
      <c r="N2888" s="9">
        <f>15922</f>
        <v/>
      </c>
      <c r="O2888" s="9" t="inlineStr">
        <is>
          <t>카페240[타임특가] 리 : 커버리 6개월 패키지 (샴푸 5+ 트리트먼트 택 1)샴푸 5 + 트리트먼트 택 1=샴푸 5 + 헤어팩 트리트먼트 1210201</t>
        </is>
      </c>
    </row>
    <row r="2889">
      <c r="B2889" s="10" t="n">
        <v>44314</v>
      </c>
      <c r="C2889" s="9" t="inlineStr">
        <is>
          <t>수</t>
        </is>
      </c>
      <c r="E2889" s="9" t="inlineStr">
        <is>
          <t>샴푸</t>
        </is>
      </c>
      <c r="F2889" s="9" t="inlineStr">
        <is>
          <t>카페24</t>
        </is>
      </c>
      <c r="G2889" s="9" t="inlineStr">
        <is>
          <t>[타임특가] 리:커버리 스타터 패키지 (샴푸 1+헤어팩 트리트먼트 1+ 뉴트리셔스 밤 1)</t>
        </is>
      </c>
      <c r="H2889" s="9" t="n">
        <v>5</v>
      </c>
      <c r="I2889" s="9" t="inlineStr">
        <is>
          <t>리바이탈 샴푸1+트리트먼트1+뉴트리셔스밤1</t>
        </is>
      </c>
      <c r="J2889" s="9" t="inlineStr">
        <is>
          <t>210201</t>
        </is>
      </c>
      <c r="L2889" s="9">
        <f>39897*5</f>
        <v/>
      </c>
      <c r="M2889" s="9">
        <f>199485-(199485/5.85)</f>
        <v/>
      </c>
      <c r="N2889" s="9">
        <f>(2865+1580+1597)*5</f>
        <v/>
      </c>
      <c r="O2889" s="9" t="inlineStr">
        <is>
          <t>카페240[타임특가] 리:커버리 스타터 패키지 (샴푸 1+헤어팩 트리트먼트 1+ 뉴트리셔스 밤 1)210201</t>
        </is>
      </c>
    </row>
    <row r="2890">
      <c r="B2890" s="10" t="n">
        <v>44314</v>
      </c>
      <c r="C2890" s="9" t="inlineStr">
        <is>
          <t>수</t>
        </is>
      </c>
      <c r="E2890" s="9" t="inlineStr">
        <is>
          <t>뉴트리셔스밤</t>
        </is>
      </c>
      <c r="F2890" s="9" t="inlineStr">
        <is>
          <t>카페24</t>
        </is>
      </c>
      <c r="G2890" s="9" t="inlineStr">
        <is>
          <t>라베나 리커버리 15 뉴트리셔스 밤 [HAIR RÉ:COVERY 15 Nutritious Balm]제품선택=헤어 리커버리 15 뉴트리셔스 밤</t>
        </is>
      </c>
      <c r="H2890" s="9" t="n">
        <v>1</v>
      </c>
      <c r="I2890" s="9" t="inlineStr">
        <is>
          <t>뉴트리셔스밤</t>
        </is>
      </c>
      <c r="J2890" s="9" t="inlineStr">
        <is>
          <t>210201</t>
        </is>
      </c>
      <c r="L2890" s="9" t="n">
        <v>24900</v>
      </c>
      <c r="M2890" s="9" t="n">
        <v>23443.35</v>
      </c>
      <c r="N2890" s="9" t="n">
        <v>1580</v>
      </c>
      <c r="O2890" s="9" t="inlineStr">
        <is>
          <t>카페24뉴트리셔스밤라베나 리커버리 15 뉴트리셔스 밤 [HAIR RÉ:COVERY 15 Nutritious Balm]제품선택=헤어 리커버리 15 뉴트리셔스 밤210201</t>
        </is>
      </c>
    </row>
    <row r="2891">
      <c r="B2891" s="10" t="n">
        <v>44314</v>
      </c>
      <c r="C2891" s="9" t="inlineStr">
        <is>
          <t>수</t>
        </is>
      </c>
      <c r="E2891" s="9" t="inlineStr">
        <is>
          <t>샴푸</t>
        </is>
      </c>
      <c r="F2891" s="9" t="inlineStr">
        <is>
          <t>카페24</t>
        </is>
      </c>
      <c r="G2891" s="9" t="inlineStr">
        <is>
          <t>라베나 리커버리 15 리바이탈 바이오플라보노이드샴푸 [HAIR RÉ:COVERY 15 Revital Shampoo]제품선택=헤어 리커버리 15 리바이탈 샴푸 - 500ml</t>
        </is>
      </c>
      <c r="H2891" s="9" t="n">
        <v>67</v>
      </c>
      <c r="I2891" s="9" t="inlineStr">
        <is>
          <t>리바이탈 샴푸</t>
        </is>
      </c>
      <c r="J2891" s="9" t="inlineStr">
        <is>
          <t>210201</t>
        </is>
      </c>
      <c r="L2891" s="9" t="n">
        <v>1802300</v>
      </c>
      <c r="M2891" s="9" t="n">
        <v>1696865.45</v>
      </c>
      <c r="N2891" s="9" t="n">
        <v>191955</v>
      </c>
      <c r="O289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892">
      <c r="B2892" s="10" t="n">
        <v>44314</v>
      </c>
      <c r="C2892" s="9" t="inlineStr">
        <is>
          <t>수</t>
        </is>
      </c>
      <c r="E2892" s="9" t="inlineStr">
        <is>
          <t>샴푸</t>
        </is>
      </c>
      <c r="F2892" s="9" t="inlineStr">
        <is>
          <t>카페24</t>
        </is>
      </c>
      <c r="G2892" s="9" t="inlineStr">
        <is>
          <t>라베나 리커버리 15 리바이탈 바이오플라보노이드샴푸 [HAIR RÉ:COVERY 15 Revital Shampoo]제품선택=리바이탈 샴푸 2개 세트 5%추가할인</t>
        </is>
      </c>
      <c r="H2892" s="9" t="n">
        <v>22</v>
      </c>
      <c r="I2892" s="9" t="inlineStr">
        <is>
          <t>리바이탈 샴푸 2set</t>
        </is>
      </c>
      <c r="J2892" s="9" t="inlineStr">
        <is>
          <t>210201</t>
        </is>
      </c>
      <c r="L2892" s="9" t="n">
        <v>1124420</v>
      </c>
      <c r="M2892" s="9" t="n">
        <v>1058641.43</v>
      </c>
      <c r="N2892" s="9" t="n">
        <v>126060</v>
      </c>
      <c r="O289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893">
      <c r="B2893" s="10" t="n">
        <v>44314</v>
      </c>
      <c r="C2893" s="9" t="inlineStr">
        <is>
          <t>수</t>
        </is>
      </c>
      <c r="E2893" s="9" t="inlineStr">
        <is>
          <t>샴푸</t>
        </is>
      </c>
      <c r="F2893" s="9" t="inlineStr">
        <is>
          <t>카페24</t>
        </is>
      </c>
      <c r="G2893" s="9" t="inlineStr">
        <is>
          <t>라베나 리커버리 15 리바이탈 바이오플라보노이드샴푸 [HAIR RÉ:COVERY 15 Revital Shampoo]제품선택=리바이탈 샴푸 3개 세트 10% 추가할인</t>
        </is>
      </c>
      <c r="H2893" s="9" t="n">
        <v>4</v>
      </c>
      <c r="I2893" s="9" t="inlineStr">
        <is>
          <t>리바이탈 샴푸 3set</t>
        </is>
      </c>
      <c r="J2893" s="9" t="inlineStr">
        <is>
          <t>210201</t>
        </is>
      </c>
      <c r="L2893" s="9" t="n">
        <v>290520</v>
      </c>
      <c r="M2893" s="9" t="n">
        <v>273524.58</v>
      </c>
      <c r="N2893" s="9" t="n">
        <v>34380</v>
      </c>
      <c r="O289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894">
      <c r="B2894" s="10" t="n">
        <v>44314</v>
      </c>
      <c r="C2894" s="9" t="inlineStr">
        <is>
          <t>수</t>
        </is>
      </c>
      <c r="E2894" s="9" t="inlineStr">
        <is>
          <t>트리트먼트</t>
        </is>
      </c>
      <c r="F2894" s="9" t="inlineStr">
        <is>
          <t>카페24</t>
        </is>
      </c>
      <c r="G2894" s="9" t="inlineStr">
        <is>
          <t>라베나 리커버리 15 헤어팩 트리트먼트 [HAIR RÉ:COVERY 15 Hairpack Treatment]제품선택=헤어 리커버리 15 헤어팩 트리트먼트</t>
        </is>
      </c>
      <c r="H2894" s="9" t="n">
        <v>1</v>
      </c>
      <c r="I2894" s="9" t="inlineStr">
        <is>
          <t>트리트먼트</t>
        </is>
      </c>
      <c r="J2894" s="9" t="inlineStr">
        <is>
          <t>210201</t>
        </is>
      </c>
      <c r="L2894" s="9" t="n">
        <v>26000</v>
      </c>
      <c r="M2894" s="9" t="n">
        <v>24479</v>
      </c>
      <c r="N2894" s="9" t="n">
        <v>1597</v>
      </c>
      <c r="O2894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895">
      <c r="A2895" s="9" t="inlineStr">
        <is>
          <t>0428_윤민_샴푸_온누리입점</t>
        </is>
      </c>
      <c r="B2895" s="10" t="n">
        <v>44315</v>
      </c>
      <c r="C2895" s="9" t="inlineStr">
        <is>
          <t>목</t>
        </is>
      </c>
      <c r="D2895" s="9" t="inlineStr">
        <is>
          <t>페이스북</t>
        </is>
      </c>
      <c r="E2895" s="9" t="inlineStr">
        <is>
          <t>트리트먼트</t>
        </is>
      </c>
      <c r="K2895" s="9" t="n">
        <v>95511</v>
      </c>
    </row>
    <row r="2896">
      <c r="A2896" s="9" t="inlineStr">
        <is>
          <t>0407_성화_스타터패키지_단장이벤트배너_a/b</t>
        </is>
      </c>
      <c r="B2896" s="10" t="n">
        <v>44315</v>
      </c>
      <c r="C2896" s="9" t="inlineStr">
        <is>
          <t>목</t>
        </is>
      </c>
      <c r="D2896" s="9" t="inlineStr">
        <is>
          <t>페이스북</t>
        </is>
      </c>
      <c r="E2896" s="9" t="inlineStr">
        <is>
          <t>트리트먼트</t>
        </is>
      </c>
      <c r="K2896" s="9" t="n">
        <v>210003</v>
      </c>
    </row>
    <row r="2897">
      <c r="A2897" s="9" t="inlineStr">
        <is>
          <t>0316~영상베리</t>
        </is>
      </c>
      <c r="B2897" s="10" t="n">
        <v>44315</v>
      </c>
      <c r="C2897" s="9" t="inlineStr">
        <is>
          <t>목</t>
        </is>
      </c>
      <c r="D2897" s="9" t="inlineStr">
        <is>
          <t>페이스북</t>
        </is>
      </c>
      <c r="E2897" s="9" t="inlineStr">
        <is>
          <t>트리트먼트</t>
        </is>
      </c>
      <c r="K2897" s="9" t="n">
        <v>98138</v>
      </c>
    </row>
    <row r="2898">
      <c r="A2898" s="9" t="inlineStr">
        <is>
          <t>0322_샴푸_GDN_이현1차</t>
        </is>
      </c>
      <c r="B2898" s="10" t="n">
        <v>44315</v>
      </c>
      <c r="C2898" s="9" t="inlineStr">
        <is>
          <t>목</t>
        </is>
      </c>
      <c r="D2898" s="9" t="inlineStr">
        <is>
          <t>GDN</t>
        </is>
      </c>
      <c r="E2898" s="9" t="inlineStr">
        <is>
          <t>샴푸</t>
        </is>
      </c>
      <c r="K2898" s="9" t="n">
        <v>25000</v>
      </c>
    </row>
    <row r="2899">
      <c r="A2899" s="9" t="inlineStr">
        <is>
          <t>0324_샴푸_VAC_CPA</t>
        </is>
      </c>
      <c r="B2899" s="10" t="n">
        <v>44315</v>
      </c>
      <c r="C2899" s="9" t="inlineStr">
        <is>
          <t>목</t>
        </is>
      </c>
      <c r="D2899" s="9" t="inlineStr">
        <is>
          <t>유튜브</t>
        </is>
      </c>
      <c r="E2899" s="9" t="inlineStr">
        <is>
          <t>샴푸</t>
        </is>
      </c>
      <c r="K2899" s="9" t="n">
        <v>1338648</v>
      </c>
    </row>
    <row r="2900">
      <c r="A2900" s="9" t="inlineStr">
        <is>
          <t>0330_샴푸_cpv_200만뷰</t>
        </is>
      </c>
      <c r="B2900" s="10" t="n">
        <v>44315</v>
      </c>
      <c r="C2900" s="9" t="inlineStr">
        <is>
          <t>목</t>
        </is>
      </c>
      <c r="D2900" s="9" t="inlineStr">
        <is>
          <t>유튜브</t>
        </is>
      </c>
      <c r="E2900" s="9" t="inlineStr">
        <is>
          <t>샴푸</t>
        </is>
      </c>
      <c r="K2900" s="9" t="n">
        <v>170825</v>
      </c>
    </row>
    <row r="2901">
      <c r="A2901" s="9" t="inlineStr">
        <is>
          <t>라베나 파워링크_샴푸_광고그룹#1</t>
        </is>
      </c>
      <c r="B2901" s="10" t="n">
        <v>44315</v>
      </c>
      <c r="C2901" s="9" t="inlineStr">
        <is>
          <t>목</t>
        </is>
      </c>
      <c r="D2901" s="9" t="inlineStr">
        <is>
          <t>네이버 검색</t>
        </is>
      </c>
      <c r="E2901" s="9" t="inlineStr">
        <is>
          <t>샴푸</t>
        </is>
      </c>
      <c r="K2901" s="9" t="n">
        <v>1050</v>
      </c>
    </row>
    <row r="2902">
      <c r="A2902" s="9" t="inlineStr">
        <is>
          <t>라베나 파워링크_샴푸#1_유튜브키워드기반</t>
        </is>
      </c>
      <c r="B2902" s="10" t="n">
        <v>44315</v>
      </c>
      <c r="C2902" s="9" t="inlineStr">
        <is>
          <t>목</t>
        </is>
      </c>
      <c r="D2902" s="9" t="inlineStr">
        <is>
          <t>네이버 검색</t>
        </is>
      </c>
      <c r="E2902" s="9" t="inlineStr">
        <is>
          <t>샴푸</t>
        </is>
      </c>
      <c r="K2902" s="9" t="n">
        <v>7589.999999999999</v>
      </c>
    </row>
    <row r="2903">
      <c r="A2903" s="9" t="inlineStr">
        <is>
          <t>샴푸_쇼핑검색#1_광고그룹#1</t>
        </is>
      </c>
      <c r="B2903" s="10" t="n">
        <v>44315</v>
      </c>
      <c r="C2903" s="9" t="inlineStr">
        <is>
          <t>목</t>
        </is>
      </c>
      <c r="D2903" s="9" t="inlineStr">
        <is>
          <t>네이버 검색</t>
        </is>
      </c>
      <c r="E2903" s="9" t="inlineStr">
        <is>
          <t>샴푸</t>
        </is>
      </c>
      <c r="K2903" s="9" t="n">
        <v>1340</v>
      </c>
    </row>
    <row r="2904">
      <c r="A2904" s="9" t="inlineStr">
        <is>
          <t>파워컨텐츠#1_비듬샴푸</t>
        </is>
      </c>
      <c r="B2904" s="10" t="n">
        <v>44315</v>
      </c>
      <c r="C2904" s="9" t="inlineStr">
        <is>
          <t>목</t>
        </is>
      </c>
      <c r="D2904" s="9" t="inlineStr">
        <is>
          <t>네이버 검색</t>
        </is>
      </c>
      <c r="E2904" s="9" t="inlineStr">
        <is>
          <t>샴푸</t>
        </is>
      </c>
      <c r="K2904" s="9" t="n">
        <v>140</v>
      </c>
    </row>
    <row r="2905" ht="16.5" customHeight="1" s="12">
      <c r="A2905" s="9" t="inlineStr">
        <is>
          <t>4월 월간 라베나</t>
        </is>
      </c>
      <c r="B2905" s="10" t="n">
        <v>44315</v>
      </c>
      <c r="C2905" s="9" t="inlineStr">
        <is>
          <t>목</t>
        </is>
      </c>
      <c r="D2905" s="9" t="inlineStr">
        <is>
          <t>카카오 플친</t>
        </is>
      </c>
      <c r="E2905" s="9" t="inlineStr">
        <is>
          <t>샴푸</t>
        </is>
      </c>
      <c r="K2905" s="9">
        <f>479/1.1</f>
        <v/>
      </c>
    </row>
    <row r="2906">
      <c r="B2906" s="10" t="n">
        <v>44315</v>
      </c>
      <c r="C2906" s="9" t="inlineStr">
        <is>
          <t>목</t>
        </is>
      </c>
      <c r="E2906" s="9" t="inlineStr">
        <is>
          <t>샴푸</t>
        </is>
      </c>
      <c r="F2906" s="9" t="inlineStr">
        <is>
          <t>카페24</t>
        </is>
      </c>
      <c r="G2906" s="9" t="inlineStr">
        <is>
          <t>[문제성두피 케어] 라베나 리커버리 15 리바이탈 샴푸 [HAIR RÉ:COVERY 15 Revital Shampoo]제품선택=리바이탈 샴푸 2개 세트 5%추가할인</t>
        </is>
      </c>
      <c r="H2906" s="9" t="n">
        <v>1</v>
      </c>
      <c r="I2906" s="9" t="inlineStr">
        <is>
          <t>리바이탈 샴푸 2set</t>
        </is>
      </c>
      <c r="J2906" s="9" t="inlineStr">
        <is>
          <t>210201</t>
        </is>
      </c>
      <c r="L2906" s="9" t="n">
        <v>51110</v>
      </c>
      <c r="M2906" s="9">
        <f>51110-(51110/5.85)</f>
        <v/>
      </c>
      <c r="N2906" s="9">
        <f>2865*2</f>
        <v/>
      </c>
      <c r="O2906" s="9" t="inlineStr">
        <is>
          <t>카페240[문제성두피 케어] 라베나 리커버리 15 리바이탈 샴푸 [HAIR RÉ:COVERY 15 Revital Shampoo]제품선택=리바이탈 샴푸 2개 세트 5%추가할인210201</t>
        </is>
      </c>
    </row>
    <row r="2907">
      <c r="B2907" s="10" t="n">
        <v>44315</v>
      </c>
      <c r="C2907" s="9" t="inlineStr">
        <is>
          <t>목</t>
        </is>
      </c>
      <c r="E2907" s="9" t="inlineStr">
        <is>
          <t>샴푸</t>
        </is>
      </c>
      <c r="F2907" s="9" t="inlineStr">
        <is>
          <t>카페24</t>
        </is>
      </c>
      <c r="G2907" s="9" t="inlineStr">
        <is>
          <t>[타임특가] 리 : 커버리 3개월 패키지 (샴푸 2+ 트리트먼트 택 1)샴푸2 + 트리트먼트 택 1=샴푸2 + 뉴트리셔스 밤1</t>
        </is>
      </c>
      <c r="H2907" s="9" t="n">
        <v>1</v>
      </c>
      <c r="I2907" s="9" t="inlineStr">
        <is>
          <t>리바이탈 샴푸2+뉴트리셔스밤1</t>
        </is>
      </c>
      <c r="J2907" s="9" t="inlineStr">
        <is>
          <t>210201</t>
        </is>
      </c>
      <c r="L2907" s="9">
        <f>62280</f>
        <v/>
      </c>
      <c r="M2907" s="9">
        <f>62280-(62280/5.85)</f>
        <v/>
      </c>
      <c r="N2907" s="9">
        <f>7310</f>
        <v/>
      </c>
      <c r="O2907" s="9" t="inlineStr">
        <is>
          <t>카페240[타임특가] 리 : 커버리 3개월 패키지 (샴푸 2+ 트리트먼트 택 1)샴푸2 + 트리트먼트 택 1=샴푸2 + 뉴트리셔스 밤1210201</t>
        </is>
      </c>
    </row>
    <row r="2908">
      <c r="B2908" s="10" t="n">
        <v>44315</v>
      </c>
      <c r="C2908" s="9" t="inlineStr">
        <is>
          <t>목</t>
        </is>
      </c>
      <c r="E2908" s="9" t="inlineStr">
        <is>
          <t>샴푸</t>
        </is>
      </c>
      <c r="F2908" s="9" t="inlineStr">
        <is>
          <t>카페24</t>
        </is>
      </c>
      <c r="G2908" s="9" t="inlineStr">
        <is>
          <t>[타임특가] 리 : 커버리 3개월 패키지 (샴푸 2+ 트리트먼트 택 1)샴푸2 + 트리트먼트 택 1=샴푸2 + 헤어팩 트리트먼트1</t>
        </is>
      </c>
      <c r="H2908" s="9" t="n">
        <v>4</v>
      </c>
      <c r="I2908" s="9" t="inlineStr">
        <is>
          <t>리바이탈 샴푸2+트리트먼트1</t>
        </is>
      </c>
      <c r="J2908" s="9" t="inlineStr">
        <is>
          <t>210201</t>
        </is>
      </c>
      <c r="L2908" s="9">
        <f>62280*4</f>
        <v/>
      </c>
      <c r="M2908" s="9">
        <f>249120-(249120/5.85)</f>
        <v/>
      </c>
      <c r="N2908" s="9">
        <f>7327*4</f>
        <v/>
      </c>
      <c r="O2908" s="9" t="inlineStr">
        <is>
          <t>카페240[타임특가] 리 : 커버리 3개월 패키지 (샴푸 2+ 트리트먼트 택 1)샴푸2 + 트리트먼트 택 1=샴푸2 + 헤어팩 트리트먼트1210201</t>
        </is>
      </c>
    </row>
    <row r="2909">
      <c r="B2909" s="10" t="n">
        <v>44315</v>
      </c>
      <c r="C2909" s="9" t="inlineStr">
        <is>
          <t>목</t>
        </is>
      </c>
      <c r="E2909" s="9" t="inlineStr">
        <is>
          <t>샴푸</t>
        </is>
      </c>
      <c r="F2909" s="9" t="inlineStr">
        <is>
          <t>카페24</t>
        </is>
      </c>
      <c r="G2909" s="9" t="inlineStr">
        <is>
          <t>[타임특가] 리 : 커버리 6개월 패키지 (샴푸 5+ 트리트먼트 택 1)샴푸 5 + 트리트먼트 택 1=샴푸 5 + 뉴트리셔스 밤 1</t>
        </is>
      </c>
      <c r="H2909" s="9" t="n">
        <v>1</v>
      </c>
      <c r="I2909" s="9" t="inlineStr">
        <is>
          <t>리바이탈 샴푸5+뉴트리셔스밤1</t>
        </is>
      </c>
      <c r="J2909" s="9" t="inlineStr">
        <is>
          <t>210201</t>
        </is>
      </c>
      <c r="L2909" s="9">
        <f>114840</f>
        <v/>
      </c>
      <c r="M2909" s="9">
        <f>114840-(114840/5.85)</f>
        <v/>
      </c>
      <c r="N2909" s="9">
        <f>15905</f>
        <v/>
      </c>
      <c r="O2909" s="9" t="inlineStr">
        <is>
          <t>카페240[타임특가] 리 : 커버리 6개월 패키지 (샴푸 5+ 트리트먼트 택 1)샴푸 5 + 트리트먼트 택 1=샴푸 5 + 뉴트리셔스 밤 1210201</t>
        </is>
      </c>
    </row>
    <row r="2910">
      <c r="B2910" s="10" t="n">
        <v>44315</v>
      </c>
      <c r="C2910" s="9" t="inlineStr">
        <is>
          <t>목</t>
        </is>
      </c>
      <c r="E2910" s="9" t="inlineStr">
        <is>
          <t>샴푸</t>
        </is>
      </c>
      <c r="F2910" s="9" t="inlineStr">
        <is>
          <t>카페24</t>
        </is>
      </c>
      <c r="G2910" s="9" t="inlineStr">
        <is>
          <t>[타임특가] 리 : 커버리 6개월 패키지 (샴푸 5+ 트리트먼트 택 1)샴푸 5 + 트리트먼트 택 1=샴푸 5 + 헤어팩 트리트먼트 1</t>
        </is>
      </c>
      <c r="H2910" s="9" t="n">
        <v>3</v>
      </c>
      <c r="I2910" s="9" t="inlineStr">
        <is>
          <t>리바이탈 샴푸5+트리트먼트1</t>
        </is>
      </c>
      <c r="J2910" s="9" t="inlineStr">
        <is>
          <t>210201</t>
        </is>
      </c>
      <c r="L2910" s="9">
        <f>114840*3</f>
        <v/>
      </c>
      <c r="M2910" s="9">
        <f>344520-(344520/5.85)</f>
        <v/>
      </c>
      <c r="N2910" s="9">
        <f>15922*3</f>
        <v/>
      </c>
      <c r="O2910" s="9" t="inlineStr">
        <is>
          <t>카페240[타임특가] 리 : 커버리 6개월 패키지 (샴푸 5+ 트리트먼트 택 1)샴푸 5 + 트리트먼트 택 1=샴푸 5 + 헤어팩 트리트먼트 1210201</t>
        </is>
      </c>
    </row>
    <row r="2911">
      <c r="B2911" s="10" t="n">
        <v>44315</v>
      </c>
      <c r="C2911" s="9" t="inlineStr">
        <is>
          <t>목</t>
        </is>
      </c>
      <c r="E2911" s="9" t="inlineStr">
        <is>
          <t>샴푸</t>
        </is>
      </c>
      <c r="F2911" s="9" t="inlineStr">
        <is>
          <t>카페24</t>
        </is>
      </c>
      <c r="G2911" s="9" t="inlineStr">
        <is>
          <t>[타임특가] 리:커버리 스타터 패키지 (샴푸 1+헤어팩 트리트먼트 1+ 뉴트리셔스 밤 1)</t>
        </is>
      </c>
      <c r="H2911" s="9" t="n">
        <v>10</v>
      </c>
      <c r="I2911" s="9" t="inlineStr">
        <is>
          <t>리바이탈 샴푸1+트리트먼트1+뉴트리셔스밤1</t>
        </is>
      </c>
      <c r="J2911" s="9" t="inlineStr">
        <is>
          <t>210201</t>
        </is>
      </c>
      <c r="L2911" s="9">
        <f>39897*10</f>
        <v/>
      </c>
      <c r="M2911" s="9">
        <f>398970-(398970/5.85)</f>
        <v/>
      </c>
      <c r="N2911" s="9">
        <f>(2865+1580+1597)*10</f>
        <v/>
      </c>
      <c r="O2911" s="9" t="inlineStr">
        <is>
          <t>카페240[타임특가] 리:커버리 스타터 패키지 (샴푸 1+헤어팩 트리트먼트 1+ 뉴트리셔스 밤 1)210201</t>
        </is>
      </c>
    </row>
    <row r="2912">
      <c r="B2912" s="10" t="n">
        <v>44315</v>
      </c>
      <c r="C2912" s="9" t="inlineStr">
        <is>
          <t>목</t>
        </is>
      </c>
      <c r="E2912" s="9" t="inlineStr">
        <is>
          <t>뉴트리셔스밤</t>
        </is>
      </c>
      <c r="F2912" s="9" t="inlineStr">
        <is>
          <t>카페24</t>
        </is>
      </c>
      <c r="G2912" s="9" t="inlineStr">
        <is>
          <t>라베나 리커버리 15 뉴트리셔스 밤 [HAIR RÉ:COVERY 15 Nutritious Balm]제품선택=헤어 리커버리 15 뉴트리셔스 밤</t>
        </is>
      </c>
      <c r="H2912" s="9" t="n">
        <v>1</v>
      </c>
      <c r="I2912" s="9" t="inlineStr">
        <is>
          <t>뉴트리셔스밤</t>
        </is>
      </c>
      <c r="J2912" s="9" t="inlineStr">
        <is>
          <t>210201</t>
        </is>
      </c>
      <c r="L2912" s="9" t="n">
        <v>24900</v>
      </c>
      <c r="M2912" s="9" t="n">
        <v>23443.35</v>
      </c>
      <c r="N2912" s="9" t="n">
        <v>1580</v>
      </c>
      <c r="O2912" s="9" t="inlineStr">
        <is>
          <t>카페24뉴트리셔스밤라베나 리커버리 15 뉴트리셔스 밤 [HAIR RÉ:COVERY 15 Nutritious Balm]제품선택=헤어 리커버리 15 뉴트리셔스 밤210201</t>
        </is>
      </c>
    </row>
    <row r="2913">
      <c r="B2913" s="10" t="n">
        <v>44315</v>
      </c>
      <c r="C2913" s="9" t="inlineStr">
        <is>
          <t>목</t>
        </is>
      </c>
      <c r="E2913" s="9" t="inlineStr">
        <is>
          <t>샴푸</t>
        </is>
      </c>
      <c r="F2913" s="9" t="inlineStr">
        <is>
          <t>카페24</t>
        </is>
      </c>
      <c r="G2913" s="9" t="inlineStr">
        <is>
          <t>라베나 리커버리 15 리바이탈 바이오플라보노이드샴푸 [HAIR RÉ:COVERY 15 Revital Shampoo]제품선택=헤어 리커버리 15 리바이탈 샴푸 - 500ml</t>
        </is>
      </c>
      <c r="H2913" s="9" t="n">
        <v>44</v>
      </c>
      <c r="I2913" s="9" t="inlineStr">
        <is>
          <t>리바이탈 샴푸</t>
        </is>
      </c>
      <c r="J2913" s="9" t="inlineStr">
        <is>
          <t>210201</t>
        </is>
      </c>
      <c r="L2913" s="9" t="n">
        <v>1183600</v>
      </c>
      <c r="M2913" s="9" t="n">
        <v>1114359.4</v>
      </c>
      <c r="N2913" s="9" t="n">
        <v>126060</v>
      </c>
      <c r="O2913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914">
      <c r="B2914" s="10" t="n">
        <v>44315</v>
      </c>
      <c r="C2914" s="9" t="inlineStr">
        <is>
          <t>목</t>
        </is>
      </c>
      <c r="E2914" s="9" t="inlineStr">
        <is>
          <t>샴푸</t>
        </is>
      </c>
      <c r="F2914" s="9" t="inlineStr">
        <is>
          <t>카페24</t>
        </is>
      </c>
      <c r="G2914" s="9" t="inlineStr">
        <is>
          <t>라베나 리커버리 15 리바이탈 바이오플라보노이드샴푸 [HAIR RÉ:COVERY 15 Revital Shampoo]제품선택=리바이탈 샴푸 2개 세트 5%추가할인</t>
        </is>
      </c>
      <c r="H2914" s="9" t="n">
        <v>15</v>
      </c>
      <c r="I2914" s="9" t="inlineStr">
        <is>
          <t>리바이탈 샴푸 2set</t>
        </is>
      </c>
      <c r="J2914" s="9" t="inlineStr">
        <is>
          <t>210201</t>
        </is>
      </c>
      <c r="L2914" s="9" t="n">
        <v>766650</v>
      </c>
      <c r="M2914" s="9" t="n">
        <v>721800.9750000001</v>
      </c>
      <c r="N2914" s="9" t="n">
        <v>85950</v>
      </c>
      <c r="O2914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915">
      <c r="B2915" s="10" t="n">
        <v>44315</v>
      </c>
      <c r="C2915" s="9" t="inlineStr">
        <is>
          <t>목</t>
        </is>
      </c>
      <c r="E2915" s="9" t="inlineStr">
        <is>
          <t>샴푸</t>
        </is>
      </c>
      <c r="F2915" s="9" t="inlineStr">
        <is>
          <t>카페24</t>
        </is>
      </c>
      <c r="G2915" s="9" t="inlineStr">
        <is>
          <t>라베나 리커버리 15 리바이탈 바이오플라보노이드샴푸 [HAIR RÉ:COVERY 15 Revital Shampoo]제품선택=리바이탈 샴푸 3개 세트 10% 추가할인</t>
        </is>
      </c>
      <c r="H2915" s="9" t="n">
        <v>4</v>
      </c>
      <c r="I2915" s="9" t="inlineStr">
        <is>
          <t>리바이탈 샴푸 3set</t>
        </is>
      </c>
      <c r="J2915" s="9" t="inlineStr">
        <is>
          <t>210201</t>
        </is>
      </c>
      <c r="L2915" s="9" t="n">
        <v>290520</v>
      </c>
      <c r="M2915" s="9" t="n">
        <v>273524.58</v>
      </c>
      <c r="N2915" s="9" t="n">
        <v>34380</v>
      </c>
      <c r="O2915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916">
      <c r="B2916" s="10" t="n">
        <v>44315</v>
      </c>
      <c r="C2916" s="9" t="inlineStr">
        <is>
          <t>목</t>
        </is>
      </c>
      <c r="E2916" s="9" t="inlineStr">
        <is>
          <t>트리트먼트</t>
        </is>
      </c>
      <c r="F2916" s="9" t="inlineStr">
        <is>
          <t>카페24</t>
        </is>
      </c>
      <c r="G2916" s="9" t="inlineStr">
        <is>
          <t>라베나 리커버리 15 헤어팩 트리트먼트 [HAIR RÉ:COVERY 15 Hairpack Treatment]제품선택=헤어 리커버리 15 헤어팩 트리트먼트</t>
        </is>
      </c>
      <c r="H2916" s="9" t="n">
        <v>2</v>
      </c>
      <c r="I2916" s="9" t="inlineStr">
        <is>
          <t>트리트먼트</t>
        </is>
      </c>
      <c r="J2916" s="9" t="inlineStr">
        <is>
          <t>210201</t>
        </is>
      </c>
      <c r="L2916" s="9" t="n">
        <v>52000</v>
      </c>
      <c r="M2916" s="9" t="n">
        <v>48958</v>
      </c>
      <c r="N2916" s="9" t="n">
        <v>3194</v>
      </c>
      <c r="O2916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917">
      <c r="A2917" s="9" t="inlineStr">
        <is>
          <t>0428_윤민_샴푸_온누리입점</t>
        </is>
      </c>
      <c r="B2917" s="10" t="n">
        <v>44316</v>
      </c>
      <c r="C2917" s="9" t="inlineStr">
        <is>
          <t>금</t>
        </is>
      </c>
      <c r="D2917" s="9" t="inlineStr">
        <is>
          <t>페이스북</t>
        </is>
      </c>
      <c r="E2917" s="9" t="inlineStr">
        <is>
          <t>샴푸</t>
        </is>
      </c>
      <c r="K2917" s="9" t="n">
        <v>53397</v>
      </c>
    </row>
    <row r="2918" ht="16.5" customHeight="1" s="12">
      <c r="A2918" s="9" t="inlineStr">
        <is>
          <t>0316~영상베리</t>
        </is>
      </c>
      <c r="B2918" s="10" t="n">
        <v>44316</v>
      </c>
      <c r="C2918" s="9" t="inlineStr">
        <is>
          <t>금</t>
        </is>
      </c>
      <c r="D2918" s="9" t="inlineStr">
        <is>
          <t>페이스북</t>
        </is>
      </c>
      <c r="E2918" s="9" t="inlineStr">
        <is>
          <t>샴푸</t>
        </is>
      </c>
      <c r="K2918" s="9" t="n">
        <v>98417</v>
      </c>
    </row>
    <row r="2919" ht="16.5" customHeight="1" s="12">
      <c r="A2919" s="9" t="inlineStr">
        <is>
          <t>0428_윤민_샴푸_온누리입점</t>
        </is>
      </c>
      <c r="B2919" s="10" t="n">
        <v>44317</v>
      </c>
      <c r="C2919" s="9" t="inlineStr">
        <is>
          <t>토</t>
        </is>
      </c>
      <c r="D2919" s="9" t="inlineStr">
        <is>
          <t>페이스북</t>
        </is>
      </c>
      <c r="E2919" s="9" t="inlineStr">
        <is>
          <t>샴푸</t>
        </is>
      </c>
      <c r="K2919" s="9" t="n">
        <v>57987</v>
      </c>
    </row>
    <row r="2920" ht="16.5" customHeight="1" s="12">
      <c r="A2920" s="9" t="inlineStr">
        <is>
          <t>0316~영상베리</t>
        </is>
      </c>
      <c r="B2920" s="10" t="n">
        <v>44317</v>
      </c>
      <c r="C2920" s="9" t="inlineStr">
        <is>
          <t>토</t>
        </is>
      </c>
      <c r="D2920" s="9" t="inlineStr">
        <is>
          <t>페이스북</t>
        </is>
      </c>
      <c r="E2920" s="9" t="inlineStr">
        <is>
          <t>샴푸</t>
        </is>
      </c>
      <c r="K2920" s="9" t="n">
        <v>105586</v>
      </c>
    </row>
    <row r="2921" ht="16.5" customHeight="1" s="12">
      <c r="A2921" s="9" t="inlineStr">
        <is>
          <t>0428_윤민_샴푸_온누리입점</t>
        </is>
      </c>
      <c r="B2921" s="10" t="n">
        <v>44318</v>
      </c>
      <c r="C2921" s="9" t="inlineStr">
        <is>
          <t>일</t>
        </is>
      </c>
      <c r="D2921" s="9" t="inlineStr">
        <is>
          <t>페이스북</t>
        </is>
      </c>
      <c r="E2921" s="9" t="inlineStr">
        <is>
          <t>샴푸</t>
        </is>
      </c>
      <c r="K2921" s="9" t="n">
        <v>62920</v>
      </c>
    </row>
    <row r="2922" ht="16.5" customHeight="1" s="12">
      <c r="A2922" s="9" t="inlineStr">
        <is>
          <t>0316~영상베리</t>
        </is>
      </c>
      <c r="B2922" s="10" t="n">
        <v>44318</v>
      </c>
      <c r="C2922" s="9" t="inlineStr">
        <is>
          <t>일</t>
        </is>
      </c>
      <c r="D2922" s="9" t="inlineStr">
        <is>
          <t>페이스북</t>
        </is>
      </c>
      <c r="E2922" s="9" t="inlineStr">
        <is>
          <t>샴푸</t>
        </is>
      </c>
      <c r="K2922" s="9" t="n">
        <v>100159</v>
      </c>
    </row>
    <row r="2923">
      <c r="A2923" s="9" t="inlineStr">
        <is>
          <t>0322_샴푸_GDN_이현1차</t>
        </is>
      </c>
      <c r="B2923" s="10" t="n">
        <v>44316</v>
      </c>
      <c r="C2923" s="9" t="inlineStr">
        <is>
          <t>금</t>
        </is>
      </c>
      <c r="D2923" s="9" t="inlineStr">
        <is>
          <t>GDN</t>
        </is>
      </c>
      <c r="E2923" s="9" t="inlineStr">
        <is>
          <t>샴푸</t>
        </is>
      </c>
      <c r="K2923" s="9" t="n">
        <v>25000</v>
      </c>
    </row>
    <row r="2924">
      <c r="A2924" s="9" t="inlineStr">
        <is>
          <t>0324_샴푸_VAC_CPA</t>
        </is>
      </c>
      <c r="B2924" s="10" t="n">
        <v>44316</v>
      </c>
      <c r="C2924" s="9" t="inlineStr">
        <is>
          <t>금</t>
        </is>
      </c>
      <c r="D2924" s="9" t="inlineStr">
        <is>
          <t>유튜브</t>
        </is>
      </c>
      <c r="E2924" s="9" t="inlineStr">
        <is>
          <t>샴푸</t>
        </is>
      </c>
      <c r="K2924" s="9" t="n">
        <v>1229446</v>
      </c>
    </row>
    <row r="2925">
      <c r="A2925" s="9" t="inlineStr">
        <is>
          <t>0330_샴푸_cpv_200만뷰</t>
        </is>
      </c>
      <c r="B2925" s="10" t="n">
        <v>44316</v>
      </c>
      <c r="C2925" s="9" t="inlineStr">
        <is>
          <t>금</t>
        </is>
      </c>
      <c r="D2925" s="9" t="inlineStr">
        <is>
          <t>유튜브</t>
        </is>
      </c>
      <c r="E2925" s="9" t="inlineStr">
        <is>
          <t>샴푸</t>
        </is>
      </c>
      <c r="K2925" s="9" t="n">
        <v>195664</v>
      </c>
    </row>
    <row r="2926">
      <c r="A2926" s="9" t="inlineStr">
        <is>
          <t>0322_샴푸_GDN_이현1차</t>
        </is>
      </c>
      <c r="B2926" s="10" t="n">
        <v>44317</v>
      </c>
      <c r="C2926" s="9" t="inlineStr">
        <is>
          <t>토</t>
        </is>
      </c>
      <c r="D2926" s="9" t="inlineStr">
        <is>
          <t>GDN</t>
        </is>
      </c>
      <c r="E2926" s="9" t="inlineStr">
        <is>
          <t>샴푸</t>
        </is>
      </c>
      <c r="K2926" s="9" t="n">
        <v>125000</v>
      </c>
    </row>
    <row r="2927">
      <c r="A2927" s="9" t="inlineStr">
        <is>
          <t>0324_샴푸_VAC_CPA</t>
        </is>
      </c>
      <c r="B2927" s="10" t="n">
        <v>44317</v>
      </c>
      <c r="C2927" s="9" t="inlineStr">
        <is>
          <t>토</t>
        </is>
      </c>
      <c r="D2927" s="9" t="inlineStr">
        <is>
          <t>유튜브</t>
        </is>
      </c>
      <c r="E2927" s="9" t="inlineStr">
        <is>
          <t>샴푸</t>
        </is>
      </c>
      <c r="K2927" s="9" t="n">
        <v>2630809</v>
      </c>
    </row>
    <row r="2928">
      <c r="A2928" s="9" t="inlineStr">
        <is>
          <t>0330_샴푸_cpv_200만뷰</t>
        </is>
      </c>
      <c r="B2928" s="10" t="n">
        <v>44317</v>
      </c>
      <c r="C2928" s="9" t="inlineStr">
        <is>
          <t>토</t>
        </is>
      </c>
      <c r="D2928" s="9" t="inlineStr">
        <is>
          <t>유튜브</t>
        </is>
      </c>
      <c r="E2928" s="9" t="inlineStr">
        <is>
          <t>샴푸</t>
        </is>
      </c>
      <c r="K2928" s="9" t="n">
        <v>459774</v>
      </c>
    </row>
    <row r="2929">
      <c r="A2929" s="9" t="inlineStr">
        <is>
          <t>0322_샴푸_GDN_이현1차</t>
        </is>
      </c>
      <c r="B2929" s="10" t="n">
        <v>44318</v>
      </c>
      <c r="C2929" s="9" t="inlineStr">
        <is>
          <t>일</t>
        </is>
      </c>
      <c r="D2929" s="9" t="inlineStr">
        <is>
          <t>GDN</t>
        </is>
      </c>
      <c r="E2929" s="9" t="inlineStr">
        <is>
          <t>샴푸</t>
        </is>
      </c>
      <c r="K2929" s="9" t="n">
        <v>75000</v>
      </c>
    </row>
    <row r="2930">
      <c r="A2930" s="9" t="inlineStr">
        <is>
          <t>0324_샴푸_VAC_CPA</t>
        </is>
      </c>
      <c r="B2930" s="10" t="n">
        <v>44318</v>
      </c>
      <c r="C2930" s="9" t="inlineStr">
        <is>
          <t>일</t>
        </is>
      </c>
      <c r="D2930" s="9" t="inlineStr">
        <is>
          <t>유튜브</t>
        </is>
      </c>
      <c r="E2930" s="9" t="inlineStr">
        <is>
          <t>샴푸</t>
        </is>
      </c>
      <c r="K2930" s="9" t="n">
        <v>862693</v>
      </c>
    </row>
    <row r="2931">
      <c r="A2931" s="9" t="inlineStr">
        <is>
          <t>0330_샴푸_cpv_200만뷰</t>
        </is>
      </c>
      <c r="B2931" s="10" t="n">
        <v>44318</v>
      </c>
      <c r="C2931" s="9" t="inlineStr">
        <is>
          <t>일</t>
        </is>
      </c>
      <c r="D2931" s="9" t="inlineStr">
        <is>
          <t>유튜브</t>
        </is>
      </c>
      <c r="E2931" s="9" t="inlineStr">
        <is>
          <t>샴푸</t>
        </is>
      </c>
      <c r="K2931" s="9" t="n">
        <v>408699</v>
      </c>
    </row>
    <row r="2932">
      <c r="A2932" s="9" t="inlineStr">
        <is>
          <t>라베나 파워링크_샴푸_광고그룹#1</t>
        </is>
      </c>
      <c r="B2932" s="10" t="n">
        <v>44318</v>
      </c>
      <c r="C2932" s="9" t="inlineStr">
        <is>
          <t>일</t>
        </is>
      </c>
      <c r="D2932" s="9" t="inlineStr">
        <is>
          <t>네이버 검색</t>
        </is>
      </c>
      <c r="E2932" s="9" t="inlineStr">
        <is>
          <t>샴푸</t>
        </is>
      </c>
      <c r="K2932" s="9" t="n">
        <v>799.9999999999999</v>
      </c>
    </row>
    <row r="2933">
      <c r="A2933" s="9" t="inlineStr">
        <is>
          <t>라베나 파워링크_샴푸#1_유튜브키워드기반</t>
        </is>
      </c>
      <c r="B2933" s="10" t="n">
        <v>44318</v>
      </c>
      <c r="C2933" s="9" t="inlineStr">
        <is>
          <t>일</t>
        </is>
      </c>
      <c r="D2933" s="9" t="inlineStr">
        <is>
          <t>네이버 검색</t>
        </is>
      </c>
      <c r="E2933" s="9" t="inlineStr">
        <is>
          <t>샴푸</t>
        </is>
      </c>
      <c r="K2933" s="9" t="n">
        <v>16220</v>
      </c>
    </row>
    <row r="2934">
      <c r="A2934" s="9" t="inlineStr">
        <is>
          <t>샴푸_쇼핑검색#1_광고그룹#1</t>
        </is>
      </c>
      <c r="B2934" s="10" t="n">
        <v>44318</v>
      </c>
      <c r="C2934" s="9" t="inlineStr">
        <is>
          <t>일</t>
        </is>
      </c>
      <c r="D2934" s="9" t="inlineStr">
        <is>
          <t>네이버 검색</t>
        </is>
      </c>
      <c r="E2934" s="9" t="inlineStr">
        <is>
          <t>샴푸</t>
        </is>
      </c>
      <c r="K2934" s="9" t="n">
        <v>200</v>
      </c>
    </row>
    <row r="2935">
      <c r="A2935" s="9" t="inlineStr">
        <is>
          <t>파워컨텐츠#1_비듬샴푸</t>
        </is>
      </c>
      <c r="B2935" s="10" t="n">
        <v>44318</v>
      </c>
      <c r="C2935" s="9" t="inlineStr">
        <is>
          <t>일</t>
        </is>
      </c>
      <c r="D2935" s="9" t="inlineStr">
        <is>
          <t>네이버 검색</t>
        </is>
      </c>
      <c r="E2935" s="9" t="inlineStr">
        <is>
          <t>샴푸</t>
        </is>
      </c>
      <c r="K2935" s="9" t="n">
        <v>140</v>
      </c>
    </row>
    <row r="2936">
      <c r="A2936" s="9" t="inlineStr">
        <is>
          <t>라베나 파워링크_샴푸_광고그룹#1</t>
        </is>
      </c>
      <c r="B2936" s="10" t="n">
        <v>44317</v>
      </c>
      <c r="C2936" s="9" t="inlineStr">
        <is>
          <t>토</t>
        </is>
      </c>
      <c r="D2936" s="9" t="inlineStr">
        <is>
          <t>네이버 검색</t>
        </is>
      </c>
      <c r="E2936" s="9" t="inlineStr">
        <is>
          <t>샴푸</t>
        </is>
      </c>
      <c r="K2936" s="9" t="n">
        <v>660</v>
      </c>
    </row>
    <row r="2937">
      <c r="A2937" s="9" t="inlineStr">
        <is>
          <t>라베나 파워링크_샴푸#1_유튜브키워드기반</t>
        </is>
      </c>
      <c r="B2937" s="10" t="n">
        <v>44317</v>
      </c>
      <c r="C2937" s="9" t="inlineStr">
        <is>
          <t>토</t>
        </is>
      </c>
      <c r="D2937" s="9" t="inlineStr">
        <is>
          <t>네이버 검색</t>
        </is>
      </c>
      <c r="E2937" s="9" t="inlineStr">
        <is>
          <t>샴푸</t>
        </is>
      </c>
      <c r="K2937" s="9" t="n">
        <v>17930</v>
      </c>
    </row>
    <row r="2938">
      <c r="A2938" s="9" t="inlineStr">
        <is>
          <t>샴푸_쇼핑검색#1_광고그룹#1</t>
        </is>
      </c>
      <c r="B2938" s="10" t="n">
        <v>44317</v>
      </c>
      <c r="C2938" s="9" t="inlineStr">
        <is>
          <t>토</t>
        </is>
      </c>
      <c r="D2938" s="9" t="inlineStr">
        <is>
          <t>네이버 검색</t>
        </is>
      </c>
      <c r="E2938" s="9" t="inlineStr">
        <is>
          <t>샴푸</t>
        </is>
      </c>
      <c r="K2938" s="9" t="n">
        <v>2530</v>
      </c>
    </row>
    <row r="2939">
      <c r="A2939" s="9" t="inlineStr">
        <is>
          <t>파워컨텐츠#1_비듬샴푸</t>
        </is>
      </c>
      <c r="B2939" s="10" t="n">
        <v>44317</v>
      </c>
      <c r="C2939" s="9" t="inlineStr">
        <is>
          <t>토</t>
        </is>
      </c>
      <c r="D2939" s="9" t="inlineStr">
        <is>
          <t>네이버 검색</t>
        </is>
      </c>
      <c r="E2939" s="9" t="inlineStr">
        <is>
          <t>샴푸</t>
        </is>
      </c>
      <c r="K2939" s="9" t="n">
        <v>210</v>
      </c>
    </row>
    <row r="2940">
      <c r="A2940" s="9" t="inlineStr">
        <is>
          <t>라베나 파워링크_샴푸_광고그룹#1</t>
        </is>
      </c>
      <c r="B2940" s="10" t="n">
        <v>44316</v>
      </c>
      <c r="C2940" s="9" t="inlineStr">
        <is>
          <t>금</t>
        </is>
      </c>
      <c r="D2940" s="9" t="inlineStr">
        <is>
          <t>네이버 검색</t>
        </is>
      </c>
      <c r="E2940" s="9" t="inlineStr">
        <is>
          <t>샴푸</t>
        </is>
      </c>
      <c r="K2940" s="9" t="n">
        <v>869.9999999999999</v>
      </c>
    </row>
    <row r="2941">
      <c r="A2941" s="9" t="inlineStr">
        <is>
          <t>라베나 파워링크_샴푸#1_유튜브키워드기반</t>
        </is>
      </c>
      <c r="B2941" s="10" t="n">
        <v>44316</v>
      </c>
      <c r="C2941" s="9" t="inlineStr">
        <is>
          <t>금</t>
        </is>
      </c>
      <c r="D2941" s="9" t="inlineStr">
        <is>
          <t>네이버 검색</t>
        </is>
      </c>
      <c r="E2941" s="9" t="inlineStr">
        <is>
          <t>샴푸</t>
        </is>
      </c>
      <c r="K2941" s="9" t="n">
        <v>7969.999999999999</v>
      </c>
    </row>
    <row r="2942">
      <c r="A2942" s="9" t="inlineStr">
        <is>
          <t>샴푸_쇼핑검색#1_광고그룹#1</t>
        </is>
      </c>
      <c r="B2942" s="10" t="n">
        <v>44316</v>
      </c>
      <c r="C2942" s="9" t="inlineStr">
        <is>
          <t>금</t>
        </is>
      </c>
      <c r="D2942" s="9" t="inlineStr">
        <is>
          <t>네이버 검색</t>
        </is>
      </c>
      <c r="E2942" s="9" t="inlineStr">
        <is>
          <t>샴푸</t>
        </is>
      </c>
      <c r="K2942" s="9" t="n">
        <v>779.9999999999999</v>
      </c>
    </row>
    <row r="2943">
      <c r="A2943" s="9" t="inlineStr">
        <is>
          <t>파워컨텐츠#1_비듬샴푸</t>
        </is>
      </c>
      <c r="B2943" s="10" t="n">
        <v>44316</v>
      </c>
      <c r="C2943" s="9" t="inlineStr">
        <is>
          <t>금</t>
        </is>
      </c>
      <c r="D2943" s="9" t="inlineStr">
        <is>
          <t>네이버 검색</t>
        </is>
      </c>
      <c r="E2943" s="9" t="inlineStr">
        <is>
          <t>샴푸</t>
        </is>
      </c>
      <c r="K2943" s="9" t="n">
        <v>0</v>
      </c>
    </row>
    <row r="2944" ht="16.5" customHeight="1" s="12">
      <c r="A2944" s="9" t="inlineStr">
        <is>
          <t>4월 월간 라베나</t>
        </is>
      </c>
      <c r="B2944" s="10" t="n">
        <v>44316</v>
      </c>
      <c r="C2944" s="9" t="inlineStr">
        <is>
          <t>금</t>
        </is>
      </c>
      <c r="D2944" s="9" t="inlineStr">
        <is>
          <t>카카오 플친</t>
        </is>
      </c>
      <c r="E2944" s="9" t="inlineStr">
        <is>
          <t>샴푸</t>
        </is>
      </c>
      <c r="K2944" s="9">
        <f>240883/1.1</f>
        <v/>
      </c>
    </row>
    <row r="2945">
      <c r="B2945" s="10" t="n">
        <v>44316</v>
      </c>
      <c r="C2945" s="9" t="inlineStr">
        <is>
          <t>금</t>
        </is>
      </c>
      <c r="E2945" s="9" t="inlineStr">
        <is>
          <t>샴푸</t>
        </is>
      </c>
      <c r="F2945" s="9" t="inlineStr">
        <is>
          <t>카페24</t>
        </is>
      </c>
      <c r="G2945" s="9" t="inlineStr">
        <is>
          <t>[타임특가] 리 : 커버리 3개월 패키지 (샴푸 2+ 트리트먼트 택 1)샴푸2 + 트리트먼트 택 1=샴푸2 + 뉴트리셔스 밤1</t>
        </is>
      </c>
      <c r="H2945" s="9" t="n">
        <v>2</v>
      </c>
      <c r="I2945" s="9" t="inlineStr">
        <is>
          <t>리바이탈 샴푸2+뉴트리셔스밤1</t>
        </is>
      </c>
      <c r="J2945" s="9" t="inlineStr">
        <is>
          <t>210201</t>
        </is>
      </c>
      <c r="L2945" s="9">
        <f>62280*2</f>
        <v/>
      </c>
      <c r="M2945" s="9">
        <f>124560-(124560/5.85)</f>
        <v/>
      </c>
      <c r="N2945" s="9">
        <f>7310*2</f>
        <v/>
      </c>
      <c r="O2945" s="9" t="inlineStr">
        <is>
          <t>카페240[타임특가] 리 : 커버리 3개월 패키지 (샴푸 2+ 트리트먼트 택 1)샴푸2 + 트리트먼트 택 1=샴푸2 + 뉴트리셔스 밤1210201</t>
        </is>
      </c>
    </row>
    <row r="2946">
      <c r="B2946" s="10" t="n">
        <v>44316</v>
      </c>
      <c r="C2946" s="9" t="inlineStr">
        <is>
          <t>금</t>
        </is>
      </c>
      <c r="E2946" s="9" t="inlineStr">
        <is>
          <t>샴푸</t>
        </is>
      </c>
      <c r="F2946" s="9" t="inlineStr">
        <is>
          <t>카페24</t>
        </is>
      </c>
      <c r="G2946" s="9" t="inlineStr">
        <is>
          <t>[타임특가] 리 : 커버리 3개월 패키지 (샴푸 2+ 트리트먼트 택 1)샴푸2 + 트리트먼트 택 1=샴푸2 + 헤어팩 트리트먼트1</t>
        </is>
      </c>
      <c r="H2946" s="9" t="n">
        <v>1</v>
      </c>
      <c r="I2946" s="9" t="inlineStr">
        <is>
          <t>리바이탈 샴푸2+트리트먼트1</t>
        </is>
      </c>
      <c r="J2946" s="9" t="inlineStr">
        <is>
          <t>210201</t>
        </is>
      </c>
      <c r="L2946" s="9">
        <f>62280</f>
        <v/>
      </c>
      <c r="M2946" s="9">
        <f>62280-(62280/5.85)</f>
        <v/>
      </c>
      <c r="N2946" s="9">
        <f>7327</f>
        <v/>
      </c>
      <c r="O2946" s="9" t="inlineStr">
        <is>
          <t>카페240[타임특가] 리 : 커버리 3개월 패키지 (샴푸 2+ 트리트먼트 택 1)샴푸2 + 트리트먼트 택 1=샴푸2 + 헤어팩 트리트먼트1210201</t>
        </is>
      </c>
    </row>
    <row r="2947">
      <c r="B2947" s="10" t="n">
        <v>44316</v>
      </c>
      <c r="C2947" s="9" t="inlineStr">
        <is>
          <t>금</t>
        </is>
      </c>
      <c r="E2947" s="9" t="inlineStr">
        <is>
          <t>샴푸</t>
        </is>
      </c>
      <c r="F2947" s="9" t="inlineStr">
        <is>
          <t>카페24</t>
        </is>
      </c>
      <c r="G2947" s="9" t="inlineStr">
        <is>
          <t>[타임특가] 리 : 커버리 6개월 패키지 (샴푸 5+ 트리트먼트 택 1)샴푸 5 + 트리트먼트 택 1=샴푸 5 + 뉴트리셔스 밤 1</t>
        </is>
      </c>
      <c r="H2947" s="9" t="n">
        <v>2</v>
      </c>
      <c r="I2947" s="9" t="inlineStr">
        <is>
          <t>리바이탈 샴푸5+뉴트리셔스밤1</t>
        </is>
      </c>
      <c r="J2947" s="9" t="inlineStr">
        <is>
          <t>210201</t>
        </is>
      </c>
      <c r="L2947" s="9">
        <f>114840*2</f>
        <v/>
      </c>
      <c r="M2947" s="9">
        <f>229680-(229680/5.85)</f>
        <v/>
      </c>
      <c r="N2947" s="9">
        <f>15905*2</f>
        <v/>
      </c>
      <c r="O2947" s="9" t="inlineStr">
        <is>
          <t>카페240[타임특가] 리 : 커버리 6개월 패키지 (샴푸 5+ 트리트먼트 택 1)샴푸 5 + 트리트먼트 택 1=샴푸 5 + 뉴트리셔스 밤 1210201</t>
        </is>
      </c>
    </row>
    <row r="2948">
      <c r="B2948" s="10" t="n">
        <v>44316</v>
      </c>
      <c r="C2948" s="9" t="inlineStr">
        <is>
          <t>금</t>
        </is>
      </c>
      <c r="E2948" s="9" t="inlineStr">
        <is>
          <t>샴푸</t>
        </is>
      </c>
      <c r="F2948" s="9" t="inlineStr">
        <is>
          <t>카페24</t>
        </is>
      </c>
      <c r="G2948" s="9" t="inlineStr">
        <is>
          <t>[타임특가] 리 : 커버리 6개월 패키지 (샴푸 5+ 트리트먼트 택 1)샴푸 5 + 트리트먼트 택 1=샴푸 5 + 헤어팩 트리트먼트 1</t>
        </is>
      </c>
      <c r="H2948" s="9" t="n">
        <v>3</v>
      </c>
      <c r="I2948" s="9" t="inlineStr">
        <is>
          <t>리바이탈 샴푸5+트리트먼트1</t>
        </is>
      </c>
      <c r="J2948" s="9" t="inlineStr">
        <is>
          <t>210201</t>
        </is>
      </c>
      <c r="L2948" s="9">
        <f>114840*3</f>
        <v/>
      </c>
      <c r="M2948" s="9">
        <f>344520-(344520/5.85)</f>
        <v/>
      </c>
      <c r="N2948" s="9">
        <f>15922*3</f>
        <v/>
      </c>
      <c r="O2948" s="9" t="inlineStr">
        <is>
          <t>카페240[타임특가] 리 : 커버리 6개월 패키지 (샴푸 5+ 트리트먼트 택 1)샴푸 5 + 트리트먼트 택 1=샴푸 5 + 헤어팩 트리트먼트 1210201</t>
        </is>
      </c>
    </row>
    <row r="2949">
      <c r="B2949" s="10" t="n">
        <v>44316</v>
      </c>
      <c r="C2949" s="9" t="inlineStr">
        <is>
          <t>금</t>
        </is>
      </c>
      <c r="E2949" s="9" t="inlineStr">
        <is>
          <t>샴푸</t>
        </is>
      </c>
      <c r="F2949" s="9" t="inlineStr">
        <is>
          <t>카페24</t>
        </is>
      </c>
      <c r="G2949" s="9" t="inlineStr">
        <is>
          <t>[타임특가] 리 : 커버리 온가족 패키지 (샴푸 3+ 헤어팩 트리트먼트 1+뉴트리셔스 밤 1)</t>
        </is>
      </c>
      <c r="H2949" s="9" t="n">
        <v>1</v>
      </c>
      <c r="I2949" s="9" t="inlineStr">
        <is>
          <t>리바이탈 샴푸3+트리트먼트1+뉴트리셔스밤1</t>
        </is>
      </c>
      <c r="J2949" s="9" t="inlineStr">
        <is>
          <t>210201</t>
        </is>
      </c>
      <c r="L2949" s="9">
        <f>94765</f>
        <v/>
      </c>
      <c r="M2949" s="9">
        <f>94765-(94765/5.85)</f>
        <v/>
      </c>
      <c r="N2949" s="9">
        <f>11772</f>
        <v/>
      </c>
      <c r="O2949" s="9" t="inlineStr">
        <is>
          <t>카페240[타임특가] 리 : 커버리 온가족 패키지 (샴푸 3+ 헤어팩 트리트먼트 1+뉴트리셔스 밤 1)210201</t>
        </is>
      </c>
    </row>
    <row r="2950">
      <c r="B2950" s="10" t="n">
        <v>44316</v>
      </c>
      <c r="C2950" s="9" t="inlineStr">
        <is>
          <t>금</t>
        </is>
      </c>
      <c r="E2950" s="9" t="inlineStr">
        <is>
          <t>뉴트리셔스밤</t>
        </is>
      </c>
      <c r="F2950" s="9" t="inlineStr">
        <is>
          <t>카페24</t>
        </is>
      </c>
      <c r="G2950" s="9" t="inlineStr">
        <is>
          <t>라베나 리커버리 15 뉴트리셔스 밤 [HAIR RÉ:COVERY 15 Nutritious Balm]제품선택=헤어 리커버리 15 뉴트리셔스 밤</t>
        </is>
      </c>
      <c r="H2950" s="9" t="n">
        <v>1</v>
      </c>
      <c r="I2950" s="9" t="inlineStr">
        <is>
          <t>뉴트리셔스밤</t>
        </is>
      </c>
      <c r="J2950" s="9" t="inlineStr">
        <is>
          <t>210201</t>
        </is>
      </c>
      <c r="L2950" s="9" t="n">
        <v>24900</v>
      </c>
      <c r="M2950" s="9" t="n">
        <v>23443.35</v>
      </c>
      <c r="N2950" s="9" t="n">
        <v>1580</v>
      </c>
      <c r="O2950" s="9" t="inlineStr">
        <is>
          <t>카페24뉴트리셔스밤라베나 리커버리 15 뉴트리셔스 밤 [HAIR RÉ:COVERY 15 Nutritious Balm]제품선택=헤어 리커버리 15 뉴트리셔스 밤210201</t>
        </is>
      </c>
    </row>
    <row r="2951">
      <c r="B2951" s="10" t="n">
        <v>44316</v>
      </c>
      <c r="C2951" s="9" t="inlineStr">
        <is>
          <t>금</t>
        </is>
      </c>
      <c r="E2951" s="9" t="inlineStr">
        <is>
          <t>샴푸</t>
        </is>
      </c>
      <c r="F2951" s="9" t="inlineStr">
        <is>
          <t>카페24</t>
        </is>
      </c>
      <c r="G2951" s="9" t="inlineStr">
        <is>
          <t>라베나 리커버리 15 리바이탈 바이오플라보노이드샴푸 [HAIR RÉ:COVERY 15 Revital Shampoo]제품선택=헤어 리커버리 15 리바이탈 샴푸 - 500ml</t>
        </is>
      </c>
      <c r="H2951" s="9" t="n">
        <v>34</v>
      </c>
      <c r="I2951" s="9" t="inlineStr">
        <is>
          <t>리바이탈 샴푸</t>
        </is>
      </c>
      <c r="J2951" s="9" t="inlineStr">
        <is>
          <t>210201</t>
        </is>
      </c>
      <c r="L2951" s="9" t="n">
        <v>914600</v>
      </c>
      <c r="M2951" s="9" t="n">
        <v>861095.8999999999</v>
      </c>
      <c r="N2951" s="9" t="n">
        <v>97410</v>
      </c>
      <c r="O295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952">
      <c r="B2952" s="10" t="n">
        <v>44316</v>
      </c>
      <c r="C2952" s="9" t="inlineStr">
        <is>
          <t>금</t>
        </is>
      </c>
      <c r="E2952" s="9" t="inlineStr">
        <is>
          <t>샴푸</t>
        </is>
      </c>
      <c r="F2952" s="9" t="inlineStr">
        <is>
          <t>카페24</t>
        </is>
      </c>
      <c r="G2952" s="9" t="inlineStr">
        <is>
          <t>라베나 리커버리 15 리바이탈 바이오플라보노이드샴푸 [HAIR RÉ:COVERY 15 Revital Shampoo]제품선택=리바이탈 샴푸 2개 세트 5%추가할인</t>
        </is>
      </c>
      <c r="H2952" s="9" t="n">
        <v>12</v>
      </c>
      <c r="I2952" s="9" t="inlineStr">
        <is>
          <t>리바이탈 샴푸 2set</t>
        </is>
      </c>
      <c r="J2952" s="9" t="inlineStr">
        <is>
          <t>210201</t>
        </is>
      </c>
      <c r="L2952" s="9" t="n">
        <v>613320</v>
      </c>
      <c r="M2952" s="9" t="n">
        <v>577440.78</v>
      </c>
      <c r="N2952" s="9" t="n">
        <v>68760</v>
      </c>
      <c r="O295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953">
      <c r="B2953" s="10" t="n">
        <v>44316</v>
      </c>
      <c r="C2953" s="9" t="inlineStr">
        <is>
          <t>금</t>
        </is>
      </c>
      <c r="E2953" s="9" t="inlineStr">
        <is>
          <t>샴푸</t>
        </is>
      </c>
      <c r="F2953" s="9" t="inlineStr">
        <is>
          <t>카페24</t>
        </is>
      </c>
      <c r="G2953" s="9" t="inlineStr">
        <is>
          <t>라베나 리커버리 15 리바이탈 바이오플라보노이드샴푸 [HAIR RÉ:COVERY 15 Revital Shampoo]제품선택=리바이탈 샴푸 3개 세트 10% 추가할인</t>
        </is>
      </c>
      <c r="H2953" s="9" t="n">
        <v>8</v>
      </c>
      <c r="I2953" s="9" t="inlineStr">
        <is>
          <t>리바이탈 샴푸 3set</t>
        </is>
      </c>
      <c r="J2953" s="9" t="inlineStr">
        <is>
          <t>210201</t>
        </is>
      </c>
      <c r="L2953" s="9" t="n">
        <v>581040</v>
      </c>
      <c r="M2953" s="9" t="n">
        <v>547049.16</v>
      </c>
      <c r="N2953" s="9" t="n">
        <v>68760</v>
      </c>
      <c r="O295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954">
      <c r="B2954" s="10" t="n">
        <v>44316</v>
      </c>
      <c r="C2954" s="9" t="inlineStr">
        <is>
          <t>금</t>
        </is>
      </c>
      <c r="E2954" s="9" t="inlineStr">
        <is>
          <t>트리트먼트</t>
        </is>
      </c>
      <c r="F2954" s="9" t="inlineStr">
        <is>
          <t>카페24</t>
        </is>
      </c>
      <c r="G2954" s="9" t="inlineStr">
        <is>
          <t>라베나 리커버리 15 헤어팩 트리트먼트 [HAIR RÉ:COVERY 15 Hairpack Treatment]제품선택=헤어팩 트리트먼트 2개 세트 5% 추가할인</t>
        </is>
      </c>
      <c r="H2954" s="9" t="n">
        <v>1</v>
      </c>
      <c r="I2954" s="9" t="inlineStr">
        <is>
          <t>트리트먼트 2set</t>
        </is>
      </c>
      <c r="J2954" s="9" t="inlineStr">
        <is>
          <t>210201</t>
        </is>
      </c>
      <c r="L2954" s="9" t="n">
        <v>49400</v>
      </c>
      <c r="M2954" s="9" t="n">
        <v>46510.1</v>
      </c>
      <c r="N2954" s="9" t="n">
        <v>3194</v>
      </c>
      <c r="O295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2955">
      <c r="B2955" s="10" t="n">
        <v>44317</v>
      </c>
      <c r="C2955" s="9" t="inlineStr">
        <is>
          <t>토</t>
        </is>
      </c>
      <c r="E2955" s="9" t="inlineStr">
        <is>
          <t>샴푸</t>
        </is>
      </c>
      <c r="F2955" s="9" t="inlineStr">
        <is>
          <t>카페24</t>
        </is>
      </c>
      <c r="G2955" s="9" t="inlineStr">
        <is>
          <t>[타임특가] 리 : 커버리 3개월 패키지 (샴푸 2+ 트리트먼트 택 1)샴푸2 + 트리트먼트 택 1=샴푸2 + 뉴트리셔스 밤1</t>
        </is>
      </c>
      <c r="H2955" s="9" t="n">
        <v>3</v>
      </c>
      <c r="I2955" s="9" t="inlineStr">
        <is>
          <t>리바이탈 샴푸2+뉴트리셔스밤1</t>
        </is>
      </c>
      <c r="J2955" s="9" t="inlineStr">
        <is>
          <t>210201</t>
        </is>
      </c>
      <c r="L2955" s="9">
        <f>62280*3</f>
        <v/>
      </c>
      <c r="M2955" s="9">
        <f>186840-(186840/5.85)</f>
        <v/>
      </c>
      <c r="N2955" s="9">
        <f>7310*3</f>
        <v/>
      </c>
      <c r="O2955" s="9" t="inlineStr">
        <is>
          <t>카페240[타임특가] 리 : 커버리 3개월 패키지 (샴푸 2+ 트리트먼트 택 1)샴푸2 + 트리트먼트 택 1=샴푸2 + 뉴트리셔스 밤1210201</t>
        </is>
      </c>
    </row>
    <row r="2956">
      <c r="B2956" s="10" t="n">
        <v>44317</v>
      </c>
      <c r="C2956" s="9" t="inlineStr">
        <is>
          <t>토</t>
        </is>
      </c>
      <c r="E2956" s="9" t="inlineStr">
        <is>
          <t>샴푸</t>
        </is>
      </c>
      <c r="F2956" s="9" t="inlineStr">
        <is>
          <t>카페24</t>
        </is>
      </c>
      <c r="G2956" s="9" t="inlineStr">
        <is>
          <t>[타임특가] 리 : 커버리 3개월 패키지 (샴푸 2+ 트리트먼트 택 1)샴푸2 + 트리트먼트 택 1=샴푸2 + 헤어팩 트리트먼트1</t>
        </is>
      </c>
      <c r="H2956" s="9" t="n">
        <v>4</v>
      </c>
      <c r="I2956" s="9" t="inlineStr">
        <is>
          <t>리바이탈 샴푸2+트리트먼트1</t>
        </is>
      </c>
      <c r="J2956" s="9" t="inlineStr">
        <is>
          <t>210201</t>
        </is>
      </c>
      <c r="L2956" s="9">
        <f>62280*4</f>
        <v/>
      </c>
      <c r="M2956" s="9">
        <f>249120-(249120/5.85)</f>
        <v/>
      </c>
      <c r="N2956" s="9">
        <f>7327*4</f>
        <v/>
      </c>
      <c r="O2956" s="9" t="inlineStr">
        <is>
          <t>카페240[타임특가] 리 : 커버리 3개월 패키지 (샴푸 2+ 트리트먼트 택 1)샴푸2 + 트리트먼트 택 1=샴푸2 + 헤어팩 트리트먼트1210201</t>
        </is>
      </c>
    </row>
    <row r="2957">
      <c r="B2957" s="10" t="n">
        <v>44317</v>
      </c>
      <c r="C2957" s="9" t="inlineStr">
        <is>
          <t>토</t>
        </is>
      </c>
      <c r="E2957" s="9" t="inlineStr">
        <is>
          <t>샴푸</t>
        </is>
      </c>
      <c r="F2957" s="9" t="inlineStr">
        <is>
          <t>카페24</t>
        </is>
      </c>
      <c r="G2957" s="9" t="inlineStr">
        <is>
          <t>[타임특가] 리 : 커버리 6개월 패키지 (샴푸 5+ 트리트먼트 택 1)샴푸 5 + 트리트먼트 택 1=샴푸 5 + 뉴트리셔스 밤 1</t>
        </is>
      </c>
      <c r="H2957" s="9" t="n">
        <v>1</v>
      </c>
      <c r="I2957" s="9" t="inlineStr">
        <is>
          <t>리바이탈 샴푸5+뉴트리셔스밤1</t>
        </is>
      </c>
      <c r="J2957" s="9" t="inlineStr">
        <is>
          <t>210201</t>
        </is>
      </c>
      <c r="L2957" s="9">
        <f>114840</f>
        <v/>
      </c>
      <c r="M2957" s="9">
        <f>114840-(114840/5.85)</f>
        <v/>
      </c>
      <c r="N2957" s="9">
        <f>15905</f>
        <v/>
      </c>
      <c r="O2957" s="9" t="inlineStr">
        <is>
          <t>카페240[타임특가] 리 : 커버리 6개월 패키지 (샴푸 5+ 트리트먼트 택 1)샴푸 5 + 트리트먼트 택 1=샴푸 5 + 뉴트리셔스 밤 1210201</t>
        </is>
      </c>
    </row>
    <row r="2958">
      <c r="B2958" s="10" t="n">
        <v>44317</v>
      </c>
      <c r="C2958" s="9" t="inlineStr">
        <is>
          <t>토</t>
        </is>
      </c>
      <c r="E2958" s="9" t="inlineStr">
        <is>
          <t>샴푸</t>
        </is>
      </c>
      <c r="F2958" s="9" t="inlineStr">
        <is>
          <t>카페24</t>
        </is>
      </c>
      <c r="G2958" s="9" t="inlineStr">
        <is>
          <t>[타임특가] 리:커버리 스타터 패키지 (샴푸 1+헤어팩 트리트먼트 1+ 뉴트리셔스 밤 1)</t>
        </is>
      </c>
      <c r="H2958" s="9" t="n">
        <v>1</v>
      </c>
      <c r="I2958" s="9" t="inlineStr">
        <is>
          <t>리바이탈 샴푸1+트리트먼트1+뉴트리셔스밤1</t>
        </is>
      </c>
      <c r="J2958" s="9" t="inlineStr">
        <is>
          <t>210201</t>
        </is>
      </c>
      <c r="L2958" s="9">
        <f>39897</f>
        <v/>
      </c>
      <c r="M2958" s="9">
        <f>39897-(39897/5.85)</f>
        <v/>
      </c>
      <c r="N2958" s="9">
        <f>(2865+1580+1597)</f>
        <v/>
      </c>
      <c r="O2958" s="9" t="inlineStr">
        <is>
          <t>카페240[타임특가] 리:커버리 스타터 패키지 (샴푸 1+헤어팩 트리트먼트 1+ 뉴트리셔스 밤 1)210201</t>
        </is>
      </c>
    </row>
    <row r="2959">
      <c r="B2959" s="10" t="n">
        <v>44317</v>
      </c>
      <c r="C2959" s="9" t="inlineStr">
        <is>
          <t>토</t>
        </is>
      </c>
      <c r="E2959" s="9" t="inlineStr">
        <is>
          <t>샴푸</t>
        </is>
      </c>
      <c r="F2959" s="9" t="inlineStr">
        <is>
          <t>카페24</t>
        </is>
      </c>
      <c r="G2959" s="9" t="inlineStr">
        <is>
          <t>라베나 리커버리 15 리바이탈 바이오플라보노이드샴푸 [HAIR RÉ:COVERY 15 Revital Shampoo]제품선택=헤어 리커버리 15 리바이탈 샴푸 - 500ml</t>
        </is>
      </c>
      <c r="H2959" s="9" t="n">
        <v>87</v>
      </c>
      <c r="I2959" s="9" t="inlineStr">
        <is>
          <t>리바이탈 샴푸</t>
        </is>
      </c>
      <c r="J2959" s="9" t="inlineStr">
        <is>
          <t>210201</t>
        </is>
      </c>
      <c r="L2959" s="9" t="n">
        <v>2340300</v>
      </c>
      <c r="M2959" s="9" t="n">
        <v>2203392.45</v>
      </c>
      <c r="N2959" s="9" t="n">
        <v>249255</v>
      </c>
      <c r="O2959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960">
      <c r="B2960" s="10" t="n">
        <v>44317</v>
      </c>
      <c r="C2960" s="9" t="inlineStr">
        <is>
          <t>토</t>
        </is>
      </c>
      <c r="E2960" s="9" t="inlineStr">
        <is>
          <t>샴푸</t>
        </is>
      </c>
      <c r="F2960" s="9" t="inlineStr">
        <is>
          <t>카페24</t>
        </is>
      </c>
      <c r="G2960" s="9" t="inlineStr">
        <is>
          <t>라베나 리커버리 15 리바이탈 바이오플라보노이드샴푸 [HAIR RÉ:COVERY 15 Revital Shampoo]제품선택=리바이탈 샴푸 2개 세트 5%추가할인</t>
        </is>
      </c>
      <c r="H2960" s="9" t="n">
        <v>24</v>
      </c>
      <c r="I2960" s="9" t="inlineStr">
        <is>
          <t>리바이탈 샴푸 2set</t>
        </is>
      </c>
      <c r="J2960" s="9" t="inlineStr">
        <is>
          <t>210201</t>
        </is>
      </c>
      <c r="L2960" s="9" t="n">
        <v>1226640</v>
      </c>
      <c r="M2960" s="9" t="n">
        <v>1154881.56</v>
      </c>
      <c r="N2960" s="9" t="n">
        <v>137520</v>
      </c>
      <c r="O2960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961">
      <c r="B2961" s="10" t="n">
        <v>44317</v>
      </c>
      <c r="C2961" s="9" t="inlineStr">
        <is>
          <t>토</t>
        </is>
      </c>
      <c r="E2961" s="9" t="inlineStr">
        <is>
          <t>샴푸</t>
        </is>
      </c>
      <c r="F2961" s="9" t="inlineStr">
        <is>
          <t>카페24</t>
        </is>
      </c>
      <c r="G2961" s="9" t="inlineStr">
        <is>
          <t>라베나 리커버리 15 리바이탈 바이오플라보노이드샴푸 [HAIR RÉ:COVERY 15 Revital Shampoo]제품선택=리바이탈 샴푸 3개 세트 10% 추가할인</t>
        </is>
      </c>
      <c r="H2961" s="9" t="n">
        <v>8</v>
      </c>
      <c r="I2961" s="9" t="inlineStr">
        <is>
          <t>리바이탈 샴푸 3set</t>
        </is>
      </c>
      <c r="J2961" s="9" t="inlineStr">
        <is>
          <t>210201</t>
        </is>
      </c>
      <c r="L2961" s="9" t="n">
        <v>581040</v>
      </c>
      <c r="M2961" s="9" t="n">
        <v>547049.16</v>
      </c>
      <c r="N2961" s="9" t="n">
        <v>68760</v>
      </c>
      <c r="O2961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962">
      <c r="B2962" s="10" t="n">
        <v>44317</v>
      </c>
      <c r="C2962" s="9" t="inlineStr">
        <is>
          <t>토</t>
        </is>
      </c>
      <c r="E2962" s="9" t="inlineStr">
        <is>
          <t>트리트먼트</t>
        </is>
      </c>
      <c r="F2962" s="9" t="inlineStr">
        <is>
          <t>카페24</t>
        </is>
      </c>
      <c r="G2962" s="9" t="inlineStr">
        <is>
          <t>라베나 리커버리 15 헤어팩 트리트먼트 [HAIR RÉ:COVERY 15 Hairpack Treatment]제품선택=헤어팩 트리트먼트 1개 + 뉴트리셔스밤 1개 세트 5% 추가할인</t>
        </is>
      </c>
      <c r="H2962" s="9" t="n">
        <v>2</v>
      </c>
      <c r="I2962" s="9" t="inlineStr">
        <is>
          <t>트리트먼트+뉴트리셔스밤</t>
        </is>
      </c>
      <c r="J2962" s="9" t="inlineStr">
        <is>
          <t>210201</t>
        </is>
      </c>
      <c r="L2962" s="9" t="n">
        <v>96710</v>
      </c>
      <c r="M2962" s="9" t="n">
        <v>91052.465</v>
      </c>
      <c r="N2962" s="9" t="n">
        <v>6354</v>
      </c>
      <c r="O2962" s="9" t="inlineStr">
        <is>
          <t>카페24트리트먼트라베나 리커버리 15 헤어팩 트리트먼트 [HAIR RÉ:COVERY 15 Hairpack Treatment]제품선택=헤어팩 트리트먼트 1개 + 뉴트리셔스밤 1개 세트 5% 추가할인210201</t>
        </is>
      </c>
    </row>
    <row r="2963">
      <c r="B2963" s="10" t="n">
        <v>44318</v>
      </c>
      <c r="C2963" s="9" t="inlineStr">
        <is>
          <t>일</t>
        </is>
      </c>
      <c r="E2963" s="9" t="inlineStr">
        <is>
          <t>샴푸</t>
        </is>
      </c>
      <c r="F2963" s="9" t="inlineStr">
        <is>
          <t>카페24</t>
        </is>
      </c>
      <c r="G2963" s="9" t="inlineStr">
        <is>
          <t>[타임특가] 리 : 커버리 3개월 패키지 (샴푸 2+ 트리트먼트 택 1)샴푸2 + 트리트먼트 택 1=샴푸2 + 뉴트리셔스 밤1</t>
        </is>
      </c>
      <c r="H2963" s="9" t="n">
        <v>2</v>
      </c>
      <c r="I2963" s="9" t="inlineStr">
        <is>
          <t>리바이탈 샴푸2+뉴트리셔스밤1</t>
        </is>
      </c>
      <c r="J2963" s="9" t="inlineStr">
        <is>
          <t>210201</t>
        </is>
      </c>
      <c r="L2963" s="9">
        <f>62280*2</f>
        <v/>
      </c>
      <c r="M2963" s="9">
        <f>124560-(124560/5.85)</f>
        <v/>
      </c>
      <c r="N2963" s="9">
        <f>7310*2</f>
        <v/>
      </c>
      <c r="O2963" s="9" t="inlineStr">
        <is>
          <t>카페240[타임특가] 리 : 커버리 3개월 패키지 (샴푸 2+ 트리트먼트 택 1)샴푸2 + 트리트먼트 택 1=샴푸2 + 뉴트리셔스 밤1210201</t>
        </is>
      </c>
    </row>
    <row r="2964">
      <c r="B2964" s="10" t="n">
        <v>44318</v>
      </c>
      <c r="C2964" s="9" t="inlineStr">
        <is>
          <t>일</t>
        </is>
      </c>
      <c r="E2964" s="9" t="inlineStr">
        <is>
          <t>샴푸</t>
        </is>
      </c>
      <c r="F2964" s="9" t="inlineStr">
        <is>
          <t>카페24</t>
        </is>
      </c>
      <c r="G2964" s="9" t="inlineStr">
        <is>
          <t>[타임특가] 리 : 커버리 3개월 패키지 (샴푸 2+ 트리트먼트 택 1)샴푸2 + 트리트먼트 택 1=샴푸2 + 헤어팩 트리트먼트1</t>
        </is>
      </c>
      <c r="H2964" s="9" t="n">
        <v>2</v>
      </c>
      <c r="I2964" s="9" t="inlineStr">
        <is>
          <t>리바이탈 샴푸2+트리트먼트1</t>
        </is>
      </c>
      <c r="J2964" s="9" t="inlineStr">
        <is>
          <t>210201</t>
        </is>
      </c>
      <c r="L2964" s="9">
        <f>62280*2</f>
        <v/>
      </c>
      <c r="M2964" s="9">
        <f>124560-(124560/5.85)</f>
        <v/>
      </c>
      <c r="N2964" s="9">
        <f>7327*2</f>
        <v/>
      </c>
      <c r="O2964" s="9" t="inlineStr">
        <is>
          <t>카페240[타임특가] 리 : 커버리 3개월 패키지 (샴푸 2+ 트리트먼트 택 1)샴푸2 + 트리트먼트 택 1=샴푸2 + 헤어팩 트리트먼트1210201</t>
        </is>
      </c>
    </row>
    <row r="2965">
      <c r="B2965" s="10" t="n">
        <v>44318</v>
      </c>
      <c r="C2965" s="9" t="inlineStr">
        <is>
          <t>일</t>
        </is>
      </c>
      <c r="E2965" s="9" t="inlineStr">
        <is>
          <t>샴푸</t>
        </is>
      </c>
      <c r="F2965" s="9" t="inlineStr">
        <is>
          <t>카페24</t>
        </is>
      </c>
      <c r="G2965" s="9" t="inlineStr">
        <is>
          <t>[타임특가] 리 : 커버리 6개월 패키지 (샴푸 5+ 트리트먼트 택 1)샴푸 5 + 트리트먼트 택 1=샴푸 5 + 뉴트리셔스 밤 1</t>
        </is>
      </c>
      <c r="H2965" s="9" t="n">
        <v>1</v>
      </c>
      <c r="I2965" s="9" t="inlineStr">
        <is>
          <t>리바이탈 샴푸5+뉴트리셔스밤1</t>
        </is>
      </c>
      <c r="J2965" s="9" t="inlineStr">
        <is>
          <t>210201</t>
        </is>
      </c>
      <c r="L2965" s="9">
        <f>114840</f>
        <v/>
      </c>
      <c r="M2965" s="9">
        <f>114840-(114840/5.85)</f>
        <v/>
      </c>
      <c r="N2965" s="9">
        <f>15905</f>
        <v/>
      </c>
      <c r="O2965" s="9" t="inlineStr">
        <is>
          <t>카페240[타임특가] 리 : 커버리 6개월 패키지 (샴푸 5+ 트리트먼트 택 1)샴푸 5 + 트리트먼트 택 1=샴푸 5 + 뉴트리셔스 밤 1210201</t>
        </is>
      </c>
    </row>
    <row r="2966">
      <c r="B2966" s="10" t="n">
        <v>44318</v>
      </c>
      <c r="C2966" s="9" t="inlineStr">
        <is>
          <t>일</t>
        </is>
      </c>
      <c r="E2966" s="9" t="inlineStr">
        <is>
          <t>샴푸</t>
        </is>
      </c>
      <c r="F2966" s="9" t="inlineStr">
        <is>
          <t>카페24</t>
        </is>
      </c>
      <c r="G2966" s="9" t="inlineStr">
        <is>
          <t>[타임특가] 리 : 커버리 6개월 패키지 (샴푸 5+ 트리트먼트 택 1)샴푸 5 + 트리트먼트 택 1=샴푸 5 + 헤어팩 트리트먼트 1</t>
        </is>
      </c>
      <c r="H2966" s="9" t="n">
        <v>2</v>
      </c>
      <c r="I2966" s="9" t="inlineStr">
        <is>
          <t>리바이탈 샴푸5+트리트먼트1</t>
        </is>
      </c>
      <c r="J2966" s="9" t="inlineStr">
        <is>
          <t>210201</t>
        </is>
      </c>
      <c r="L2966" s="9">
        <f>114840*2</f>
        <v/>
      </c>
      <c r="M2966" s="9">
        <f>229680-(229680/5.85)</f>
        <v/>
      </c>
      <c r="N2966" s="9">
        <f>15922*2</f>
        <v/>
      </c>
      <c r="O2966" s="9" t="inlineStr">
        <is>
          <t>카페240[타임특가] 리 : 커버리 6개월 패키지 (샴푸 5+ 트리트먼트 택 1)샴푸 5 + 트리트먼트 택 1=샴푸 5 + 헤어팩 트리트먼트 1210201</t>
        </is>
      </c>
    </row>
    <row r="2967">
      <c r="B2967" s="10" t="n">
        <v>44318</v>
      </c>
      <c r="C2967" s="9" t="inlineStr">
        <is>
          <t>일</t>
        </is>
      </c>
      <c r="E2967" s="9" t="inlineStr">
        <is>
          <t>샴푸</t>
        </is>
      </c>
      <c r="F2967" s="9" t="inlineStr">
        <is>
          <t>카페24</t>
        </is>
      </c>
      <c r="G2967" s="9" t="inlineStr">
        <is>
          <t>[타임특가] 리 : 커버리 온가족 패키지 (샴푸 3+ 헤어팩 트리트먼트 1+뉴트리셔스 밤 1)</t>
        </is>
      </c>
      <c r="H2967" s="9" t="n">
        <v>3</v>
      </c>
      <c r="I2967" s="9" t="inlineStr">
        <is>
          <t>리바이탈 샴푸3+트리트먼트1+뉴트리셔스밤1</t>
        </is>
      </c>
      <c r="J2967" s="9" t="inlineStr">
        <is>
          <t>210201</t>
        </is>
      </c>
      <c r="L2967" s="9">
        <f>94765*3</f>
        <v/>
      </c>
      <c r="M2967" s="9">
        <f>284295-(284295/5.85)</f>
        <v/>
      </c>
      <c r="N2967" s="9">
        <f>11772*3</f>
        <v/>
      </c>
      <c r="O2967" s="9" t="inlineStr">
        <is>
          <t>카페240[타임특가] 리 : 커버리 온가족 패키지 (샴푸 3+ 헤어팩 트리트먼트 1+뉴트리셔스 밤 1)210201</t>
        </is>
      </c>
    </row>
    <row r="2968">
      <c r="B2968" s="10" t="n">
        <v>44318</v>
      </c>
      <c r="C2968" s="9" t="inlineStr">
        <is>
          <t>일</t>
        </is>
      </c>
      <c r="E2968" s="9" t="inlineStr">
        <is>
          <t>뉴트리셔스밤</t>
        </is>
      </c>
      <c r="F2968" s="9" t="inlineStr">
        <is>
          <t>카페24</t>
        </is>
      </c>
      <c r="G2968" s="9" t="inlineStr">
        <is>
          <t>라베나 리커버리 15 뉴트리셔스 밤 [HAIR RÉ:COVERY 15 Nutritious Balm]제품선택=뉴트리셔스 밤 2개 세트 5% 추가할인</t>
        </is>
      </c>
      <c r="H2968" s="9" t="n">
        <v>1</v>
      </c>
      <c r="I2968" s="9" t="inlineStr">
        <is>
          <t>뉴트리셔스밤 2set</t>
        </is>
      </c>
      <c r="J2968" s="9" t="inlineStr">
        <is>
          <t>210201</t>
        </is>
      </c>
      <c r="L2968" s="9" t="n">
        <v>47310</v>
      </c>
      <c r="M2968" s="9" t="n">
        <v>44542.365</v>
      </c>
      <c r="N2968" s="9" t="n">
        <v>3160</v>
      </c>
      <c r="O2968" s="9" t="inlineStr">
        <is>
          <t>카페24뉴트리셔스밤라베나 리커버리 15 뉴트리셔스 밤 [HAIR RÉ:COVERY 15 Nutritious Balm]제품선택=뉴트리셔스 밤 2개 세트 5% 추가할인210201</t>
        </is>
      </c>
    </row>
    <row r="2969">
      <c r="B2969" s="10" t="n">
        <v>44318</v>
      </c>
      <c r="C2969" s="9" t="inlineStr">
        <is>
          <t>일</t>
        </is>
      </c>
      <c r="E2969" s="9" t="inlineStr">
        <is>
          <t>뉴트리셔스밤</t>
        </is>
      </c>
      <c r="F2969" s="9" t="inlineStr">
        <is>
          <t>카페24</t>
        </is>
      </c>
      <c r="G2969" s="9" t="inlineStr">
        <is>
          <t>라베나 리커버리 15 뉴트리셔스 밤 [HAIR RÉ:COVERY 15 Nutritious Balm]제품선택=뉴트리셔스밤 1개 + 헤어팩 트리트먼트 1개 세트 5%추가할인</t>
        </is>
      </c>
      <c r="H2969" s="9" t="n">
        <v>1</v>
      </c>
      <c r="I2969" s="9" t="inlineStr">
        <is>
          <t>트리트먼트+뉴트리셔스밤</t>
        </is>
      </c>
      <c r="J2969" s="9" t="inlineStr">
        <is>
          <t>210201</t>
        </is>
      </c>
      <c r="L2969" s="9" t="n">
        <v>48355</v>
      </c>
      <c r="M2969" s="9" t="n">
        <v>45526.2325</v>
      </c>
      <c r="N2969" s="9" t="n">
        <v>3177</v>
      </c>
      <c r="O2969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2970">
      <c r="B2970" s="10" t="n">
        <v>44318</v>
      </c>
      <c r="C2970" s="9" t="inlineStr">
        <is>
          <t>일</t>
        </is>
      </c>
      <c r="E2970" s="9" t="inlineStr">
        <is>
          <t>샴푸</t>
        </is>
      </c>
      <c r="F2970" s="9" t="inlineStr">
        <is>
          <t>카페24</t>
        </is>
      </c>
      <c r="G2970" s="9" t="inlineStr">
        <is>
          <t>라베나 리커버리 15 리바이탈 바이오플라보노이드샴푸 [HAIR RÉ:COVERY 15 Revital Shampoo]제품선택=헤어 리커버리 15 리바이탈 샴푸 - 500ml</t>
        </is>
      </c>
      <c r="H2970" s="9" t="n">
        <v>46</v>
      </c>
      <c r="I2970" s="9" t="inlineStr">
        <is>
          <t>리바이탈 샴푸</t>
        </is>
      </c>
      <c r="J2970" s="9" t="inlineStr">
        <is>
          <t>210201</t>
        </is>
      </c>
      <c r="L2970" s="9" t="n">
        <v>1237400</v>
      </c>
      <c r="M2970" s="9" t="n">
        <v>1165012.1</v>
      </c>
      <c r="N2970" s="9" t="n">
        <v>131790</v>
      </c>
      <c r="O297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971">
      <c r="B2971" s="10" t="n">
        <v>44318</v>
      </c>
      <c r="C2971" s="9" t="inlineStr">
        <is>
          <t>일</t>
        </is>
      </c>
      <c r="E2971" s="9" t="inlineStr">
        <is>
          <t>샴푸</t>
        </is>
      </c>
      <c r="F2971" s="9" t="inlineStr">
        <is>
          <t>카페24</t>
        </is>
      </c>
      <c r="G2971" s="9" t="inlineStr">
        <is>
          <t>라베나 리커버리 15 리바이탈 바이오플라보노이드샴푸 [HAIR RÉ:COVERY 15 Revital Shampoo]제품선택=리바이탈 샴푸 2개 세트 5%추가할인</t>
        </is>
      </c>
      <c r="H2971" s="9" t="n">
        <v>18</v>
      </c>
      <c r="I2971" s="9" t="inlineStr">
        <is>
          <t>리바이탈 샴푸 2set</t>
        </is>
      </c>
      <c r="J2971" s="9" t="inlineStr">
        <is>
          <t>210201</t>
        </is>
      </c>
      <c r="L2971" s="9" t="n">
        <v>919980</v>
      </c>
      <c r="M2971" s="9" t="n">
        <v>866161.17</v>
      </c>
      <c r="N2971" s="9" t="n">
        <v>103140</v>
      </c>
      <c r="O297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972">
      <c r="B2972" s="10" t="n">
        <v>44318</v>
      </c>
      <c r="C2972" s="9" t="inlineStr">
        <is>
          <t>일</t>
        </is>
      </c>
      <c r="E2972" s="9" t="inlineStr">
        <is>
          <t>샴푸</t>
        </is>
      </c>
      <c r="F2972" s="9" t="inlineStr">
        <is>
          <t>카페24</t>
        </is>
      </c>
      <c r="G2972" s="9" t="inlineStr">
        <is>
          <t>라베나 리커버리 15 리바이탈 바이오플라보노이드샴푸 [HAIR RÉ:COVERY 15 Revital Shampoo]제품선택=리바이탈 샴푸 3개 세트 10% 추가할인</t>
        </is>
      </c>
      <c r="H2972" s="9" t="n">
        <v>8</v>
      </c>
      <c r="I2972" s="9" t="inlineStr">
        <is>
          <t>리바이탈 샴푸 3set</t>
        </is>
      </c>
      <c r="J2972" s="9" t="inlineStr">
        <is>
          <t>210201</t>
        </is>
      </c>
      <c r="L2972" s="9" t="n">
        <v>581040</v>
      </c>
      <c r="M2972" s="9" t="n">
        <v>547049.16</v>
      </c>
      <c r="N2972" s="9" t="n">
        <v>68760</v>
      </c>
      <c r="O297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973">
      <c r="A2973" s="9" t="inlineStr">
        <is>
          <t>0428_윤민_샴푸_온누리입점</t>
        </is>
      </c>
      <c r="B2973" s="10" t="n">
        <v>44319</v>
      </c>
      <c r="C2973" s="9" t="inlineStr">
        <is>
          <t>월</t>
        </is>
      </c>
      <c r="D2973" s="9" t="inlineStr">
        <is>
          <t>페이스북</t>
        </is>
      </c>
      <c r="E2973" s="9" t="inlineStr">
        <is>
          <t>샴푸</t>
        </is>
      </c>
      <c r="K2973" s="9" t="n">
        <v>57504</v>
      </c>
    </row>
    <row r="2974">
      <c r="A2974" s="9" t="inlineStr">
        <is>
          <t>0316~영상베리</t>
        </is>
      </c>
      <c r="B2974" s="10" t="n">
        <v>44319</v>
      </c>
      <c r="C2974" s="9" t="inlineStr">
        <is>
          <t>월</t>
        </is>
      </c>
      <c r="D2974" s="9" t="inlineStr">
        <is>
          <t>페이스북</t>
        </is>
      </c>
      <c r="E2974" s="9" t="inlineStr">
        <is>
          <t>샴푸</t>
        </is>
      </c>
      <c r="K2974" s="9" t="n">
        <v>97009</v>
      </c>
    </row>
    <row r="2975">
      <c r="A2975" s="9" t="inlineStr">
        <is>
          <t>0322_샴푸_GDN_이현1차</t>
        </is>
      </c>
      <c r="B2975" s="10" t="n">
        <v>44319</v>
      </c>
      <c r="C2975" s="9" t="inlineStr">
        <is>
          <t>월</t>
        </is>
      </c>
      <c r="D2975" s="9" t="inlineStr">
        <is>
          <t>GDN</t>
        </is>
      </c>
      <c r="E2975" s="9" t="inlineStr">
        <is>
          <t>샴푸</t>
        </is>
      </c>
      <c r="K2975" s="9" t="n">
        <v>125000</v>
      </c>
    </row>
    <row r="2976">
      <c r="A2976" s="9" t="inlineStr">
        <is>
          <t>0324_샴푸_VAC_CPA</t>
        </is>
      </c>
      <c r="B2976" s="10" t="n">
        <v>44319</v>
      </c>
      <c r="C2976" s="9" t="inlineStr">
        <is>
          <t>월</t>
        </is>
      </c>
      <c r="D2976" s="9" t="inlineStr">
        <is>
          <t>유튜브</t>
        </is>
      </c>
      <c r="E2976" s="9" t="inlineStr">
        <is>
          <t>샴푸</t>
        </is>
      </c>
      <c r="K2976" s="9" t="n">
        <v>1107387</v>
      </c>
    </row>
    <row r="2977">
      <c r="A2977" s="9" t="inlineStr">
        <is>
          <t>0330_샴푸_cpv_200만뷰</t>
        </is>
      </c>
      <c r="B2977" s="10" t="n">
        <v>44319</v>
      </c>
      <c r="C2977" s="9" t="inlineStr">
        <is>
          <t>월</t>
        </is>
      </c>
      <c r="D2977" s="9" t="inlineStr">
        <is>
          <t>유튜브</t>
        </is>
      </c>
      <c r="E2977" s="9" t="inlineStr">
        <is>
          <t>샴푸</t>
        </is>
      </c>
      <c r="K2977" s="9" t="n">
        <v>217289</v>
      </c>
    </row>
    <row r="2978">
      <c r="A2978" s="9" t="inlineStr">
        <is>
          <t>라베나 파워링크_샴푸_광고그룹#1</t>
        </is>
      </c>
      <c r="B2978" s="10" t="n">
        <v>44319</v>
      </c>
      <c r="C2978" s="9" t="inlineStr">
        <is>
          <t>월</t>
        </is>
      </c>
      <c r="D2978" s="9" t="inlineStr">
        <is>
          <t>네이버 검색</t>
        </is>
      </c>
      <c r="E2978" s="9" t="inlineStr">
        <is>
          <t>샴푸</t>
        </is>
      </c>
      <c r="K2978" s="9" t="n">
        <v>270</v>
      </c>
    </row>
    <row r="2979">
      <c r="A2979" s="9" t="inlineStr">
        <is>
          <t>라베나 파워링크_샴푸#1_유튜브키워드기반</t>
        </is>
      </c>
      <c r="B2979" s="10" t="n">
        <v>44319</v>
      </c>
      <c r="C2979" s="9" t="inlineStr">
        <is>
          <t>월</t>
        </is>
      </c>
      <c r="D2979" s="9" t="inlineStr">
        <is>
          <t>네이버 검색</t>
        </is>
      </c>
      <c r="E2979" s="9" t="inlineStr">
        <is>
          <t>샴푸</t>
        </is>
      </c>
      <c r="K2979" s="9" t="n">
        <v>6459.999999999999</v>
      </c>
    </row>
    <row r="2980">
      <c r="A2980" s="9" t="inlineStr">
        <is>
          <t>샴푸_쇼핑검색#1_광고그룹#1</t>
        </is>
      </c>
      <c r="B2980" s="10" t="n">
        <v>44319</v>
      </c>
      <c r="C2980" s="9" t="inlineStr">
        <is>
          <t>월</t>
        </is>
      </c>
      <c r="D2980" s="9" t="inlineStr">
        <is>
          <t>네이버 검색</t>
        </is>
      </c>
      <c r="E2980" s="9" t="inlineStr">
        <is>
          <t>샴푸</t>
        </is>
      </c>
      <c r="K2980" s="9" t="n">
        <v>749.9999999999999</v>
      </c>
    </row>
    <row r="2981">
      <c r="A2981" s="9" t="inlineStr">
        <is>
          <t>파워컨텐츠#1_비듬샴푸</t>
        </is>
      </c>
      <c r="B2981" s="10" t="n">
        <v>44319</v>
      </c>
      <c r="C2981" s="9" t="inlineStr">
        <is>
          <t>월</t>
        </is>
      </c>
      <c r="D2981" s="9" t="inlineStr">
        <is>
          <t>네이버 검색</t>
        </is>
      </c>
      <c r="E2981" s="9" t="inlineStr">
        <is>
          <t>샴푸</t>
        </is>
      </c>
      <c r="K2981" s="9" t="n">
        <v>419.9999999999999</v>
      </c>
    </row>
    <row r="2982">
      <c r="B2982" s="10" t="n">
        <v>44319</v>
      </c>
      <c r="C2982" s="9" t="inlineStr">
        <is>
          <t>월</t>
        </is>
      </c>
      <c r="E2982" s="9" t="inlineStr">
        <is>
          <t>샴푸</t>
        </is>
      </c>
      <c r="F2982" s="9" t="inlineStr">
        <is>
          <t>카페24</t>
        </is>
      </c>
      <c r="G2982" s="9" t="inlineStr">
        <is>
          <t>[타임특가] 리 : 커버리 3개월 패키지 (샴푸 2+ 트리트먼트 택 1)샴푸2 + 트리트먼트 택 1=샴푸2 + 헤어팩 트리트먼트1</t>
        </is>
      </c>
      <c r="H2982" s="9" t="n">
        <v>4</v>
      </c>
      <c r="I2982" s="9" t="inlineStr">
        <is>
          <t>리바이탈 샴푸2+트리트먼트1</t>
        </is>
      </c>
      <c r="J2982" s="9" t="inlineStr">
        <is>
          <t>210201</t>
        </is>
      </c>
      <c r="L2982" s="9">
        <f>62280*4</f>
        <v/>
      </c>
      <c r="M2982" s="9">
        <f>249120-(249120/5.85)</f>
        <v/>
      </c>
      <c r="N2982" s="9">
        <f>7327*4</f>
        <v/>
      </c>
      <c r="O2982" s="9" t="inlineStr">
        <is>
          <t>카페240[타임특가] 리 : 커버리 3개월 패키지 (샴푸 2+ 트리트먼트 택 1)샴푸2 + 트리트먼트 택 1=샴푸2 + 헤어팩 트리트먼트1210201</t>
        </is>
      </c>
    </row>
    <row r="2983">
      <c r="B2983" s="10" t="n">
        <v>44319</v>
      </c>
      <c r="C2983" s="9" t="inlineStr">
        <is>
          <t>월</t>
        </is>
      </c>
      <c r="E2983" s="9" t="inlineStr">
        <is>
          <t>샴푸</t>
        </is>
      </c>
      <c r="F2983" s="9" t="inlineStr">
        <is>
          <t>카페24</t>
        </is>
      </c>
      <c r="G2983" s="9" t="inlineStr">
        <is>
          <t>[타임특가] 리 : 커버리 6개월 패키지 (샴푸 5+ 트리트먼트 택 1)샴푸 5 + 트리트먼트 택 1=샴푸 5 + 헤어팩 트리트먼트 1</t>
        </is>
      </c>
      <c r="H2983" s="9" t="n">
        <v>3</v>
      </c>
      <c r="I2983" s="9" t="inlineStr">
        <is>
          <t>리바이탈 샴푸5+트리트먼트1</t>
        </is>
      </c>
      <c r="J2983" s="9" t="inlineStr">
        <is>
          <t>210201</t>
        </is>
      </c>
      <c r="L2983" s="9">
        <f>114840*3</f>
        <v/>
      </c>
      <c r="M2983" s="9">
        <f>344520-(344520/5.85)</f>
        <v/>
      </c>
      <c r="N2983" s="9">
        <f>15922*3</f>
        <v/>
      </c>
      <c r="O2983" s="9" t="inlineStr">
        <is>
          <t>카페240[타임특가] 리 : 커버리 6개월 패키지 (샴푸 5+ 트리트먼트 택 1)샴푸 5 + 트리트먼트 택 1=샴푸 5 + 헤어팩 트리트먼트 1210201</t>
        </is>
      </c>
    </row>
    <row r="2984">
      <c r="B2984" s="10" t="n">
        <v>44319</v>
      </c>
      <c r="C2984" s="9" t="inlineStr">
        <is>
          <t>월</t>
        </is>
      </c>
      <c r="E2984" s="9" t="inlineStr">
        <is>
          <t>샴푸</t>
        </is>
      </c>
      <c r="F2984" s="9" t="inlineStr">
        <is>
          <t>카페24</t>
        </is>
      </c>
      <c r="G2984" s="9" t="inlineStr">
        <is>
          <t>[타임특가] 리 : 커버리 온가족 패키지 (샴푸 3+ 헤어팩 트리트먼트 1+뉴트리셔스 밤 1)</t>
        </is>
      </c>
      <c r="H2984" s="9" t="n">
        <v>1</v>
      </c>
      <c r="I2984" s="9" t="inlineStr">
        <is>
          <t>리바이탈 샴푸3+트리트먼트1+뉴트리셔스밤1</t>
        </is>
      </c>
      <c r="J2984" s="9" t="inlineStr">
        <is>
          <t>210201</t>
        </is>
      </c>
      <c r="L2984" s="9">
        <f>94765</f>
        <v/>
      </c>
      <c r="M2984" s="9">
        <f>94765-(94765/5.85)</f>
        <v/>
      </c>
      <c r="N2984" s="9">
        <f>11772</f>
        <v/>
      </c>
      <c r="O2984" s="9" t="inlineStr">
        <is>
          <t>카페240[타임특가] 리 : 커버리 온가족 패키지 (샴푸 3+ 헤어팩 트리트먼트 1+뉴트리셔스 밤 1)210201</t>
        </is>
      </c>
    </row>
    <row r="2985">
      <c r="B2985" s="10" t="n">
        <v>44319</v>
      </c>
      <c r="C2985" s="9" t="inlineStr">
        <is>
          <t>월</t>
        </is>
      </c>
      <c r="E2985" s="9" t="inlineStr">
        <is>
          <t>샴푸</t>
        </is>
      </c>
      <c r="F2985" s="9" t="inlineStr">
        <is>
          <t>카페24</t>
        </is>
      </c>
      <c r="G2985" s="9" t="inlineStr">
        <is>
          <t>라베나 리커버리 15 리바이탈 바이오플라보노이드샴푸 [HAIR RÉ:COVERY 15 Revital Shampoo]제품선택=헤어 리커버리 15 리바이탈 샴푸 - 500ml</t>
        </is>
      </c>
      <c r="H2985" s="9" t="n">
        <v>48</v>
      </c>
      <c r="I2985" s="9" t="inlineStr">
        <is>
          <t>리바이탈 샴푸</t>
        </is>
      </c>
      <c r="J2985" s="9" t="inlineStr">
        <is>
          <t>210201</t>
        </is>
      </c>
      <c r="L2985" s="9" t="n">
        <v>1291200</v>
      </c>
      <c r="M2985" s="9" t="n">
        <v>1215664.8</v>
      </c>
      <c r="N2985" s="9" t="n">
        <v>137520</v>
      </c>
      <c r="O2985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2986">
      <c r="B2986" s="10" t="n">
        <v>44319</v>
      </c>
      <c r="C2986" s="9" t="inlineStr">
        <is>
          <t>월</t>
        </is>
      </c>
      <c r="E2986" s="9" t="inlineStr">
        <is>
          <t>샴푸</t>
        </is>
      </c>
      <c r="F2986" s="9" t="inlineStr">
        <is>
          <t>카페24</t>
        </is>
      </c>
      <c r="G2986" s="9" t="inlineStr">
        <is>
          <t>라베나 리커버리 15 리바이탈 바이오플라보노이드샴푸 [HAIR RÉ:COVERY 15 Revital Shampoo]제품선택=리바이탈 샴푸 2개 세트 5%추가할인</t>
        </is>
      </c>
      <c r="H2986" s="9" t="n">
        <v>12</v>
      </c>
      <c r="I2986" s="9" t="inlineStr">
        <is>
          <t>리바이탈 샴푸 2set</t>
        </is>
      </c>
      <c r="J2986" s="9" t="inlineStr">
        <is>
          <t>210201</t>
        </is>
      </c>
      <c r="L2986" s="9" t="n">
        <v>613320</v>
      </c>
      <c r="M2986" s="9" t="n">
        <v>577440.78</v>
      </c>
      <c r="N2986" s="9" t="n">
        <v>68760</v>
      </c>
      <c r="O2986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2987">
      <c r="B2987" s="10" t="n">
        <v>44319</v>
      </c>
      <c r="C2987" s="9" t="inlineStr">
        <is>
          <t>월</t>
        </is>
      </c>
      <c r="E2987" s="9" t="inlineStr">
        <is>
          <t>샴푸</t>
        </is>
      </c>
      <c r="F2987" s="9" t="inlineStr">
        <is>
          <t>카페24</t>
        </is>
      </c>
      <c r="G2987" s="9" t="inlineStr">
        <is>
          <t>라베나 리커버리 15 리바이탈 바이오플라보노이드샴푸 [HAIR RÉ:COVERY 15 Revital Shampoo]제품선택=리바이탈 샴푸 3개 세트 10% 추가할인</t>
        </is>
      </c>
      <c r="H2987" s="9" t="n">
        <v>5</v>
      </c>
      <c r="I2987" s="9" t="inlineStr">
        <is>
          <t>리바이탈 샴푸 3set</t>
        </is>
      </c>
      <c r="J2987" s="9" t="inlineStr">
        <is>
          <t>210201</t>
        </is>
      </c>
      <c r="L2987" s="9" t="n">
        <v>363150</v>
      </c>
      <c r="M2987" s="9" t="n">
        <v>341905.725</v>
      </c>
      <c r="N2987" s="9" t="n">
        <v>42975</v>
      </c>
      <c r="O2987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2988">
      <c r="B2988" s="10" t="n">
        <v>44319</v>
      </c>
      <c r="C2988" s="9" t="inlineStr">
        <is>
          <t>월</t>
        </is>
      </c>
      <c r="E2988" s="9" t="inlineStr">
        <is>
          <t>트리트먼트</t>
        </is>
      </c>
      <c r="F2988" s="9" t="inlineStr">
        <is>
          <t>카페24</t>
        </is>
      </c>
      <c r="G2988" s="9" t="inlineStr">
        <is>
          <t>라베나 리커버리 15 헤어팩 트리트먼트 [HAIR RÉ:COVERY 15 Hairpack Treatment]제품선택=헤어 리커버리 15 헤어팩 트리트먼트</t>
        </is>
      </c>
      <c r="H2988" s="9" t="n">
        <v>1</v>
      </c>
      <c r="I2988" s="9" t="inlineStr">
        <is>
          <t>트리트먼트</t>
        </is>
      </c>
      <c r="J2988" s="9" t="inlineStr">
        <is>
          <t>210201</t>
        </is>
      </c>
      <c r="L2988" s="9" t="n">
        <v>26000</v>
      </c>
      <c r="M2988" s="9" t="n">
        <v>24479</v>
      </c>
      <c r="N2988" s="9" t="n">
        <v>1597</v>
      </c>
      <c r="O2988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2989">
      <c r="A2989" s="9" t="inlineStr">
        <is>
          <t>0428_윤민_샴푸_온누리입점</t>
        </is>
      </c>
      <c r="B2989" s="10" t="n">
        <v>44320</v>
      </c>
      <c r="C2989" s="9" t="inlineStr">
        <is>
          <t>화</t>
        </is>
      </c>
      <c r="D2989" s="9" t="inlineStr">
        <is>
          <t>페이스북</t>
        </is>
      </c>
      <c r="E2989" s="9" t="inlineStr">
        <is>
          <t>샴푸</t>
        </is>
      </c>
      <c r="K2989" s="9" t="n">
        <v>29176</v>
      </c>
    </row>
    <row r="2990">
      <c r="A2990" s="9" t="inlineStr">
        <is>
          <t>0316~영상베리</t>
        </is>
      </c>
      <c r="B2990" s="10" t="n">
        <v>44320</v>
      </c>
      <c r="C2990" s="9" t="inlineStr">
        <is>
          <t>화</t>
        </is>
      </c>
      <c r="D2990" s="9" t="inlineStr">
        <is>
          <t>페이스북</t>
        </is>
      </c>
      <c r="E2990" s="9" t="inlineStr">
        <is>
          <t>샴푸</t>
        </is>
      </c>
      <c r="K2990" s="9" t="n">
        <v>96934</v>
      </c>
    </row>
    <row r="2991">
      <c r="A2991" s="9" t="inlineStr">
        <is>
          <t>0316~영상베리</t>
        </is>
      </c>
      <c r="B2991" s="10" t="n">
        <v>44321</v>
      </c>
      <c r="C2991" s="9" t="inlineStr">
        <is>
          <t>수</t>
        </is>
      </c>
      <c r="D2991" s="9" t="inlineStr">
        <is>
          <t>페이스북</t>
        </is>
      </c>
      <c r="E2991" s="9" t="inlineStr">
        <is>
          <t>샴푸</t>
        </is>
      </c>
      <c r="K2991" s="9" t="n">
        <v>102042</v>
      </c>
    </row>
    <row r="2992">
      <c r="A2992" s="9" t="inlineStr">
        <is>
          <t>0322_샴푸_GDN_이현1차</t>
        </is>
      </c>
      <c r="B2992" s="10" t="n">
        <v>44320</v>
      </c>
      <c r="C2992" s="9" t="inlineStr">
        <is>
          <t>화</t>
        </is>
      </c>
      <c r="D2992" s="9" t="inlineStr">
        <is>
          <t>GDN</t>
        </is>
      </c>
      <c r="E2992" s="9" t="inlineStr">
        <is>
          <t>샴푸</t>
        </is>
      </c>
      <c r="K2992" s="9" t="n">
        <v>75000</v>
      </c>
    </row>
    <row r="2993">
      <c r="A2993" s="9" t="inlineStr">
        <is>
          <t>0324_샴푸_VAC_CPA</t>
        </is>
      </c>
      <c r="B2993" s="10" t="n">
        <v>44320</v>
      </c>
      <c r="C2993" s="9" t="inlineStr">
        <is>
          <t>화</t>
        </is>
      </c>
      <c r="D2993" s="9" t="inlineStr">
        <is>
          <t>유튜브</t>
        </is>
      </c>
      <c r="E2993" s="9" t="inlineStr">
        <is>
          <t>샴푸</t>
        </is>
      </c>
      <c r="K2993" s="9" t="n">
        <v>491003</v>
      </c>
    </row>
    <row r="2994">
      <c r="A2994" s="9" t="inlineStr">
        <is>
          <t>0330_샴푸_cpv_200만뷰</t>
        </is>
      </c>
      <c r="B2994" s="10" t="n">
        <v>44320</v>
      </c>
      <c r="C2994" s="9" t="inlineStr">
        <is>
          <t>화</t>
        </is>
      </c>
      <c r="D2994" s="9" t="inlineStr">
        <is>
          <t>유튜브</t>
        </is>
      </c>
      <c r="E2994" s="9" t="inlineStr">
        <is>
          <t>샴푸</t>
        </is>
      </c>
      <c r="K2994" s="9" t="n">
        <v>208103</v>
      </c>
    </row>
    <row r="2995">
      <c r="A2995" s="9" t="inlineStr">
        <is>
          <t>0322_샴푸_GDN_이현1차</t>
        </is>
      </c>
      <c r="B2995" s="10" t="n">
        <v>44321</v>
      </c>
      <c r="C2995" s="9" t="inlineStr">
        <is>
          <t>수</t>
        </is>
      </c>
      <c r="D2995" s="9" t="inlineStr">
        <is>
          <t>GDN</t>
        </is>
      </c>
      <c r="E2995" s="9" t="inlineStr">
        <is>
          <t>샴푸</t>
        </is>
      </c>
      <c r="K2995" s="9" t="n">
        <v>125000</v>
      </c>
    </row>
    <row r="2996">
      <c r="A2996" s="9" t="inlineStr">
        <is>
          <t>0324_샴푸_SDC_CPA</t>
        </is>
      </c>
      <c r="B2996" s="10" t="n">
        <v>44321</v>
      </c>
      <c r="C2996" s="9" t="inlineStr">
        <is>
          <t>수</t>
        </is>
      </c>
      <c r="D2996" s="9" t="inlineStr">
        <is>
          <t>유튜브</t>
        </is>
      </c>
      <c r="E2996" s="9" t="inlineStr">
        <is>
          <t>샴푸</t>
        </is>
      </c>
      <c r="K2996" s="9" t="n">
        <v>20000</v>
      </c>
    </row>
    <row r="2997">
      <c r="A2997" s="9" t="inlineStr">
        <is>
          <t>0324_샴푸_VAC_CPA</t>
        </is>
      </c>
      <c r="B2997" s="10" t="n">
        <v>44321</v>
      </c>
      <c r="C2997" s="9" t="inlineStr">
        <is>
          <t>수</t>
        </is>
      </c>
      <c r="D2997" s="9" t="inlineStr">
        <is>
          <t>유튜브</t>
        </is>
      </c>
      <c r="E2997" s="9" t="inlineStr">
        <is>
          <t>샴푸</t>
        </is>
      </c>
      <c r="K2997" s="9" t="n">
        <v>827264</v>
      </c>
    </row>
    <row r="2998" ht="16.5" customHeight="1" s="12">
      <c r="A2998" s="9" t="inlineStr">
        <is>
          <t>0330_샴푸_cpv_200만뷰</t>
        </is>
      </c>
      <c r="B2998" s="10" t="n">
        <v>44321</v>
      </c>
      <c r="C2998" s="9" t="inlineStr">
        <is>
          <t>수</t>
        </is>
      </c>
      <c r="D2998" s="9" t="inlineStr">
        <is>
          <t>유튜브</t>
        </is>
      </c>
      <c r="E2998" s="9" t="inlineStr">
        <is>
          <t>샴푸</t>
        </is>
      </c>
      <c r="K2998" s="9" t="n">
        <v>348524</v>
      </c>
    </row>
    <row r="2999">
      <c r="A2999" s="9" t="inlineStr">
        <is>
          <t>라베나 파워링크_샴푸_광고그룹#1</t>
        </is>
      </c>
      <c r="B2999" s="10" t="n">
        <v>44321</v>
      </c>
      <c r="C2999" s="9" t="inlineStr">
        <is>
          <t>수</t>
        </is>
      </c>
      <c r="D2999" s="9" t="inlineStr">
        <is>
          <t>네이버 검색</t>
        </is>
      </c>
      <c r="E2999" s="9" t="inlineStr">
        <is>
          <t>샴푸</t>
        </is>
      </c>
      <c r="K2999" s="9" t="n">
        <v>969.9999999999999</v>
      </c>
    </row>
    <row r="3000">
      <c r="A3000" s="9" t="inlineStr">
        <is>
          <t>라베나 파워링크_샴푸#1_유튜브키워드기반</t>
        </is>
      </c>
      <c r="B3000" s="10" t="n">
        <v>44321</v>
      </c>
      <c r="C3000" s="9" t="inlineStr">
        <is>
          <t>수</t>
        </is>
      </c>
      <c r="D3000" s="9" t="inlineStr">
        <is>
          <t>네이버 검색</t>
        </is>
      </c>
      <c r="E3000" s="9" t="inlineStr">
        <is>
          <t>샴푸</t>
        </is>
      </c>
      <c r="K3000" s="9" t="n">
        <v>13580</v>
      </c>
    </row>
    <row r="3001">
      <c r="A3001" s="9" t="inlineStr">
        <is>
          <t>샴푸_쇼핑검색#1_광고그룹#1</t>
        </is>
      </c>
      <c r="B3001" s="10" t="n">
        <v>44321</v>
      </c>
      <c r="C3001" s="9" t="inlineStr">
        <is>
          <t>수</t>
        </is>
      </c>
      <c r="D3001" s="9" t="inlineStr">
        <is>
          <t>네이버 검색</t>
        </is>
      </c>
      <c r="E3001" s="9" t="inlineStr">
        <is>
          <t>샴푸</t>
        </is>
      </c>
      <c r="K3001" s="9" t="n">
        <v>4170</v>
      </c>
    </row>
    <row r="3002">
      <c r="A3002" s="9" t="inlineStr">
        <is>
          <t>파워컨텐츠#1_비듬샴푸</t>
        </is>
      </c>
      <c r="B3002" s="10" t="n">
        <v>44321</v>
      </c>
      <c r="C3002" s="9" t="inlineStr">
        <is>
          <t>수</t>
        </is>
      </c>
      <c r="D3002" s="9" t="inlineStr">
        <is>
          <t>네이버 검색</t>
        </is>
      </c>
      <c r="E3002" s="9" t="inlineStr">
        <is>
          <t>샴푸</t>
        </is>
      </c>
      <c r="K3002" s="9" t="n">
        <v>140</v>
      </c>
    </row>
    <row r="3003">
      <c r="A3003" s="9" t="inlineStr">
        <is>
          <t>라베나 파워링크_샴푸_광고그룹#1</t>
        </is>
      </c>
      <c r="B3003" s="10" t="n">
        <v>44320</v>
      </c>
      <c r="C3003" s="9" t="inlineStr">
        <is>
          <t>화</t>
        </is>
      </c>
      <c r="D3003" s="9" t="inlineStr">
        <is>
          <t>네이버 검색</t>
        </is>
      </c>
      <c r="E3003" s="9" t="inlineStr">
        <is>
          <t>샴푸</t>
        </is>
      </c>
      <c r="K3003" s="9" t="n">
        <v>1170</v>
      </c>
    </row>
    <row r="3004">
      <c r="A3004" s="9" t="inlineStr">
        <is>
          <t>라베나 파워링크_샴푸#1_유튜브키워드기반</t>
        </is>
      </c>
      <c r="B3004" s="10" t="n">
        <v>44320</v>
      </c>
      <c r="C3004" s="9" t="inlineStr">
        <is>
          <t>화</t>
        </is>
      </c>
      <c r="D3004" s="9" t="inlineStr">
        <is>
          <t>네이버 검색</t>
        </is>
      </c>
      <c r="E3004" s="9" t="inlineStr">
        <is>
          <t>샴푸</t>
        </is>
      </c>
      <c r="K3004" s="9" t="n">
        <v>5280</v>
      </c>
    </row>
    <row r="3005">
      <c r="A3005" s="9" t="inlineStr">
        <is>
          <t>샴푸_쇼핑검색#1_광고그룹#1</t>
        </is>
      </c>
      <c r="B3005" s="10" t="n">
        <v>44320</v>
      </c>
      <c r="C3005" s="9" t="inlineStr">
        <is>
          <t>화</t>
        </is>
      </c>
      <c r="D3005" s="9" t="inlineStr">
        <is>
          <t>네이버 검색</t>
        </is>
      </c>
      <c r="E3005" s="9" t="inlineStr">
        <is>
          <t>샴푸</t>
        </is>
      </c>
      <c r="K3005" s="9" t="n">
        <v>1580</v>
      </c>
    </row>
    <row r="3006">
      <c r="A3006" s="9" t="inlineStr">
        <is>
          <t>파워컨텐츠#1_비듬샴푸</t>
        </is>
      </c>
      <c r="B3006" s="10" t="n">
        <v>44320</v>
      </c>
      <c r="C3006" s="9" t="inlineStr">
        <is>
          <t>화</t>
        </is>
      </c>
      <c r="D3006" s="9" t="inlineStr">
        <is>
          <t>네이버 검색</t>
        </is>
      </c>
      <c r="E3006" s="9" t="inlineStr">
        <is>
          <t>샴푸</t>
        </is>
      </c>
      <c r="K3006" s="9" t="n">
        <v>0</v>
      </c>
    </row>
    <row r="3007">
      <c r="B3007" s="10" t="n">
        <v>44320</v>
      </c>
      <c r="C3007" s="9" t="inlineStr">
        <is>
          <t>화</t>
        </is>
      </c>
      <c r="E3007" s="9" t="inlineStr">
        <is>
          <t>샴푸</t>
        </is>
      </c>
      <c r="F3007" s="9" t="inlineStr">
        <is>
          <t>카페24</t>
        </is>
      </c>
      <c r="G3007" s="9" t="inlineStr">
        <is>
          <t>[손상모 케어] 라베나 리커버리 15 리바이탈 샴푸 [HAIR RÉ:COVERY 15 Revital Shampoo]제품선택=리바이탈 샴푸 2개 세트 5%추가할인</t>
        </is>
      </c>
      <c r="H3007" s="9" t="n">
        <v>1</v>
      </c>
      <c r="I3007" s="9" t="inlineStr">
        <is>
          <t>리바이탈 샴푸 2set</t>
        </is>
      </c>
      <c r="J3007" s="9" t="inlineStr">
        <is>
          <t>210201</t>
        </is>
      </c>
      <c r="L3007" s="9" t="n">
        <v>51110</v>
      </c>
      <c r="M3007" s="9">
        <f>51110-(51110/5.85)</f>
        <v/>
      </c>
      <c r="N3007" s="9">
        <f>2865*2</f>
        <v/>
      </c>
      <c r="O3007" s="9" t="inlineStr">
        <is>
          <t>카페240[손상모 케어] 라베나 리커버리 15 리바이탈 샴푸 [HAIR RÉ:COVERY 15 Revital Shampoo]제품선택=리바이탈 샴푸 2개 세트 5%추가할인210201</t>
        </is>
      </c>
    </row>
    <row r="3008">
      <c r="B3008" s="10" t="n">
        <v>44320</v>
      </c>
      <c r="C3008" s="9" t="inlineStr">
        <is>
          <t>화</t>
        </is>
      </c>
      <c r="E3008" s="9" t="inlineStr">
        <is>
          <t>샴푸</t>
        </is>
      </c>
      <c r="F3008" s="9" t="inlineStr">
        <is>
          <t>카페24</t>
        </is>
      </c>
      <c r="G3008" s="9" t="inlineStr">
        <is>
          <t>[타임특가] 리 : 커버리 3개월 패키지 (샴푸 2+ 트리트먼트 택 1)샴푸2 + 트리트먼트 택 1=샴푸2 + 헤어팩 트리트먼트1</t>
        </is>
      </c>
      <c r="H3008" s="9" t="n">
        <v>1</v>
      </c>
      <c r="I3008" s="9" t="inlineStr">
        <is>
          <t>리바이탈 샴푸2+트리트먼트1</t>
        </is>
      </c>
      <c r="J3008" s="9" t="inlineStr">
        <is>
          <t>210201</t>
        </is>
      </c>
      <c r="L3008" s="9">
        <f>62280</f>
        <v/>
      </c>
      <c r="M3008" s="9">
        <f>62280-(62280/5.85)</f>
        <v/>
      </c>
      <c r="N3008" s="9">
        <f>7327</f>
        <v/>
      </c>
      <c r="O3008" s="9" t="inlineStr">
        <is>
          <t>카페240[타임특가] 리 : 커버리 3개월 패키지 (샴푸 2+ 트리트먼트 택 1)샴푸2 + 트리트먼트 택 1=샴푸2 + 헤어팩 트리트먼트1210201</t>
        </is>
      </c>
    </row>
    <row r="3009">
      <c r="B3009" s="10" t="n">
        <v>44320</v>
      </c>
      <c r="C3009" s="9" t="inlineStr">
        <is>
          <t>화</t>
        </is>
      </c>
      <c r="E3009" s="9" t="inlineStr">
        <is>
          <t>샴푸</t>
        </is>
      </c>
      <c r="F3009" s="9" t="inlineStr">
        <is>
          <t>카페24</t>
        </is>
      </c>
      <c r="G3009" s="9" t="inlineStr">
        <is>
          <t>[타임특가] 리 : 커버리 6개월 패키지 (샴푸 5+ 트리트먼트 택 1)샴푸 5 + 트리트먼트 택 1=샴푸 5 + 헤어팩 트리트먼트 1</t>
        </is>
      </c>
      <c r="H3009" s="9" t="n">
        <v>1</v>
      </c>
      <c r="I3009" s="9" t="inlineStr">
        <is>
          <t>리바이탈 샴푸5+트리트먼트1</t>
        </is>
      </c>
      <c r="J3009" s="9" t="inlineStr">
        <is>
          <t>210201</t>
        </is>
      </c>
      <c r="L3009" s="9">
        <f>114840</f>
        <v/>
      </c>
      <c r="M3009" s="9">
        <f>114840-(114840/5.85)</f>
        <v/>
      </c>
      <c r="N3009" s="9">
        <f>15922</f>
        <v/>
      </c>
      <c r="O3009" s="9" t="inlineStr">
        <is>
          <t>카페240[타임특가] 리 : 커버리 6개월 패키지 (샴푸 5+ 트리트먼트 택 1)샴푸 5 + 트리트먼트 택 1=샴푸 5 + 헤어팩 트리트먼트 1210201</t>
        </is>
      </c>
    </row>
    <row r="3010">
      <c r="B3010" s="10" t="n">
        <v>44320</v>
      </c>
      <c r="C3010" s="9" t="inlineStr">
        <is>
          <t>화</t>
        </is>
      </c>
      <c r="E3010" s="9" t="inlineStr">
        <is>
          <t>샴푸</t>
        </is>
      </c>
      <c r="F3010" s="9" t="inlineStr">
        <is>
          <t>카페24</t>
        </is>
      </c>
      <c r="G3010" s="9" t="inlineStr">
        <is>
          <t>라베나 리커버리 15 리바이탈 바이오플라보노이드샴푸 [HAIR RÉ:COVERY 15 Revital Shampoo]제품선택=헤어 리커버리 15 리바이탈 샴푸 - 500ml</t>
        </is>
      </c>
      <c r="H3010" s="9" t="n">
        <v>38</v>
      </c>
      <c r="I3010" s="9" t="inlineStr">
        <is>
          <t>리바이탈 샴푸</t>
        </is>
      </c>
      <c r="J3010" s="9" t="inlineStr">
        <is>
          <t>210201</t>
        </is>
      </c>
      <c r="L3010" s="9" t="n">
        <v>1022200</v>
      </c>
      <c r="M3010" s="9" t="n">
        <v>962401.2999999999</v>
      </c>
      <c r="N3010" s="9" t="n">
        <v>108870</v>
      </c>
      <c r="O3010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3011">
      <c r="B3011" s="10" t="n">
        <v>44320</v>
      </c>
      <c r="C3011" s="9" t="inlineStr">
        <is>
          <t>화</t>
        </is>
      </c>
      <c r="E3011" s="9" t="inlineStr">
        <is>
          <t>샴푸</t>
        </is>
      </c>
      <c r="F3011" s="9" t="inlineStr">
        <is>
          <t>카페24</t>
        </is>
      </c>
      <c r="G3011" s="9" t="inlineStr">
        <is>
          <t>라베나 리커버리 15 리바이탈 바이오플라보노이드샴푸 [HAIR RÉ:COVERY 15 Revital Shampoo]제품선택=리바이탈 샴푸 2개 세트 5%추가할인</t>
        </is>
      </c>
      <c r="H3011" s="9" t="n">
        <v>10</v>
      </c>
      <c r="I3011" s="9" t="inlineStr">
        <is>
          <t>리바이탈 샴푸 2set</t>
        </is>
      </c>
      <c r="J3011" s="9" t="inlineStr">
        <is>
          <t>210201</t>
        </is>
      </c>
      <c r="L3011" s="9" t="n">
        <v>511100</v>
      </c>
      <c r="M3011" s="9" t="n">
        <v>481200.65</v>
      </c>
      <c r="N3011" s="9" t="n">
        <v>57300</v>
      </c>
      <c r="O3011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3012">
      <c r="B3012" s="10" t="n">
        <v>44320</v>
      </c>
      <c r="C3012" s="9" t="inlineStr">
        <is>
          <t>화</t>
        </is>
      </c>
      <c r="E3012" s="9" t="inlineStr">
        <is>
          <t>샴푸</t>
        </is>
      </c>
      <c r="F3012" s="9" t="inlineStr">
        <is>
          <t>카페24</t>
        </is>
      </c>
      <c r="G3012" s="9" t="inlineStr">
        <is>
          <t>라베나 리커버리 15 리바이탈 바이오플라보노이드샴푸 [HAIR RÉ:COVERY 15 Revital Shampoo]제품선택=리바이탈 샴푸 3개 세트 10% 추가할인</t>
        </is>
      </c>
      <c r="H3012" s="9" t="n">
        <v>4</v>
      </c>
      <c r="I3012" s="9" t="inlineStr">
        <is>
          <t>리바이탈 샴푸 3set</t>
        </is>
      </c>
      <c r="J3012" s="9" t="inlineStr">
        <is>
          <t>210201</t>
        </is>
      </c>
      <c r="L3012" s="9" t="n">
        <v>290520</v>
      </c>
      <c r="M3012" s="9" t="n">
        <v>273524.58</v>
      </c>
      <c r="N3012" s="9" t="n">
        <v>34380</v>
      </c>
      <c r="O3012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3013">
      <c r="B3013" s="10" t="n">
        <v>44320</v>
      </c>
      <c r="C3013" s="9" t="inlineStr">
        <is>
          <t>화</t>
        </is>
      </c>
      <c r="E3013" s="9" t="inlineStr">
        <is>
          <t>트리트먼트</t>
        </is>
      </c>
      <c r="F3013" s="9" t="inlineStr">
        <is>
          <t>카페24</t>
        </is>
      </c>
      <c r="G3013" s="9" t="inlineStr">
        <is>
          <t>라베나 리커버리 15 헤어팩 트리트먼트 [HAIR RÉ:COVERY 15 Hairpack Treatment]제품선택=헤어팩 트리트먼트 2개 세트 5% 추가할인</t>
        </is>
      </c>
      <c r="H3013" s="9" t="n">
        <v>1</v>
      </c>
      <c r="I3013" s="9" t="inlineStr">
        <is>
          <t>트리트먼트 2set</t>
        </is>
      </c>
      <c r="J3013" s="9" t="inlineStr">
        <is>
          <t>210201</t>
        </is>
      </c>
      <c r="L3013" s="9" t="n">
        <v>49400</v>
      </c>
      <c r="M3013" s="9" t="n">
        <v>46510.1</v>
      </c>
      <c r="N3013" s="9" t="n">
        <v>3194</v>
      </c>
      <c r="O3013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3014">
      <c r="B3014" s="10" t="n">
        <v>44321</v>
      </c>
      <c r="C3014" s="9" t="inlineStr">
        <is>
          <t>수</t>
        </is>
      </c>
      <c r="E3014" s="9" t="inlineStr">
        <is>
          <t>뉴트리셔스밤</t>
        </is>
      </c>
      <c r="F3014" s="9" t="inlineStr">
        <is>
          <t>라베나 CS</t>
        </is>
      </c>
      <c r="G3014" s="9" t="inlineStr">
        <is>
          <t>헤어 리커버리 15 뉴트리셔스 밤</t>
        </is>
      </c>
      <c r="H3014" s="9" t="n">
        <v>3</v>
      </c>
      <c r="I3014" s="9" t="inlineStr">
        <is>
          <t>뉴트리셔스밤</t>
        </is>
      </c>
      <c r="J3014" s="9" t="inlineStr">
        <is>
          <t>210201</t>
        </is>
      </c>
      <c r="L3014" s="9" t="n">
        <v>0</v>
      </c>
      <c r="M3014" s="9" t="n">
        <v>0</v>
      </c>
      <c r="N3014" s="9" t="n">
        <v>0</v>
      </c>
      <c r="O3014" s="9" t="inlineStr">
        <is>
          <t>라베나 CS뉴트리셔스밤헤어 리커버리 15 뉴트리셔스 밤210201</t>
        </is>
      </c>
    </row>
    <row r="3015">
      <c r="B3015" s="10" t="n">
        <v>44321</v>
      </c>
      <c r="C3015" s="9" t="inlineStr">
        <is>
          <t>수</t>
        </is>
      </c>
      <c r="E3015" s="9" t="inlineStr">
        <is>
          <t>샴푸</t>
        </is>
      </c>
      <c r="F3015" s="9" t="inlineStr">
        <is>
          <t>카페24</t>
        </is>
      </c>
      <c r="G3015" s="9" t="inlineStr">
        <is>
          <t>[타임특가] 리 : 커버리 3개월 패키지 (샴푸 2+ 트리트먼트 택 1)샴푸2 + 트리트먼트 택 1=샴푸2 + 뉴트리셔스 밤1</t>
        </is>
      </c>
      <c r="H3015" s="9" t="n">
        <v>1</v>
      </c>
      <c r="I3015" s="9" t="inlineStr">
        <is>
          <t>리바이탈 샴푸2+뉴트리셔스밤1</t>
        </is>
      </c>
      <c r="J3015" s="9" t="inlineStr">
        <is>
          <t>210201</t>
        </is>
      </c>
      <c r="L3015" s="9">
        <f>62280</f>
        <v/>
      </c>
      <c r="M3015" s="9">
        <f>62280-(62280/5.85)</f>
        <v/>
      </c>
      <c r="N3015" s="9">
        <f>7310</f>
        <v/>
      </c>
      <c r="O3015" s="9" t="inlineStr">
        <is>
          <t>카페240[타임특가] 리 : 커버리 3개월 패키지 (샴푸 2+ 트리트먼트 택 1)샴푸2 + 트리트먼트 택 1=샴푸2 + 뉴트리셔스 밤1210201</t>
        </is>
      </c>
    </row>
    <row r="3016">
      <c r="B3016" s="10" t="n">
        <v>44321</v>
      </c>
      <c r="C3016" s="9" t="inlineStr">
        <is>
          <t>수</t>
        </is>
      </c>
      <c r="E3016" s="9" t="inlineStr">
        <is>
          <t>샴푸</t>
        </is>
      </c>
      <c r="F3016" s="9" t="inlineStr">
        <is>
          <t>카페24</t>
        </is>
      </c>
      <c r="G3016" s="9" t="inlineStr">
        <is>
          <t>[타임특가] 리 : 커버리 3개월 패키지 (샴푸 2+ 트리트먼트 택 1)샴푸2 + 트리트먼트 택 1=샴푸2 + 헤어팩 트리트먼트1</t>
        </is>
      </c>
      <c r="H3016" s="9" t="n">
        <v>2</v>
      </c>
      <c r="I3016" s="9" t="inlineStr">
        <is>
          <t>리바이탈 샴푸2+트리트먼트1</t>
        </is>
      </c>
      <c r="J3016" s="9" t="inlineStr">
        <is>
          <t>210201</t>
        </is>
      </c>
      <c r="L3016" s="9">
        <f>62280*2</f>
        <v/>
      </c>
      <c r="M3016" s="9">
        <f>124560-(124560/5.85)</f>
        <v/>
      </c>
      <c r="N3016" s="9">
        <f>7327*2</f>
        <v/>
      </c>
      <c r="O3016" s="9" t="inlineStr">
        <is>
          <t>카페240[타임특가] 리 : 커버리 3개월 패키지 (샴푸 2+ 트리트먼트 택 1)샴푸2 + 트리트먼트 택 1=샴푸2 + 헤어팩 트리트먼트1210201</t>
        </is>
      </c>
    </row>
    <row r="3017">
      <c r="B3017" s="10" t="n">
        <v>44321</v>
      </c>
      <c r="C3017" s="9" t="inlineStr">
        <is>
          <t>수</t>
        </is>
      </c>
      <c r="E3017" s="9" t="inlineStr">
        <is>
          <t>샴푸</t>
        </is>
      </c>
      <c r="F3017" s="9" t="inlineStr">
        <is>
          <t>카페24</t>
        </is>
      </c>
      <c r="G3017" s="9" t="inlineStr">
        <is>
          <t>[타임특가] 리 : 커버리 6개월 패키지 (샴푸 5+ 트리트먼트 택 1)샴푸 5 + 트리트먼트 택 1=샴푸 5 + 헤어팩 트리트먼트 1</t>
        </is>
      </c>
      <c r="H3017" s="9" t="n">
        <v>1</v>
      </c>
      <c r="I3017" s="9" t="inlineStr">
        <is>
          <t>리바이탈 샴푸5+트리트먼트1</t>
        </is>
      </c>
      <c r="J3017" s="9" t="inlineStr">
        <is>
          <t>210201</t>
        </is>
      </c>
      <c r="L3017" s="9">
        <f>114840</f>
        <v/>
      </c>
      <c r="M3017" s="9">
        <f>114840-(114840/5.85)</f>
        <v/>
      </c>
      <c r="N3017" s="9">
        <f>15922</f>
        <v/>
      </c>
      <c r="O3017" s="9" t="inlineStr">
        <is>
          <t>카페240[타임특가] 리 : 커버리 6개월 패키지 (샴푸 5+ 트리트먼트 택 1)샴푸 5 + 트리트먼트 택 1=샴푸 5 + 헤어팩 트리트먼트 1210201</t>
        </is>
      </c>
    </row>
    <row r="3018">
      <c r="B3018" s="10" t="n">
        <v>44321</v>
      </c>
      <c r="C3018" s="9" t="inlineStr">
        <is>
          <t>수</t>
        </is>
      </c>
      <c r="E3018" s="9" t="inlineStr">
        <is>
          <t>샴푸</t>
        </is>
      </c>
      <c r="F3018" s="9" t="inlineStr">
        <is>
          <t>카페24</t>
        </is>
      </c>
      <c r="G3018" s="9" t="inlineStr">
        <is>
          <t>[타임특가] 리:커버리 스타터 패키지 (샴푸 1+헤어팩 트리트먼트 1+ 뉴트리셔스 밤 1)</t>
        </is>
      </c>
      <c r="H3018" s="9" t="n">
        <v>1</v>
      </c>
      <c r="I3018" s="9" t="inlineStr">
        <is>
          <t>리바이탈 샴푸1+트리트먼트1+뉴트리셔스밤1</t>
        </is>
      </c>
      <c r="J3018" s="9" t="inlineStr">
        <is>
          <t>210201</t>
        </is>
      </c>
      <c r="L3018" s="9">
        <f>39897</f>
        <v/>
      </c>
      <c r="M3018" s="9">
        <f>39897-(39897/5.85)</f>
        <v/>
      </c>
      <c r="N3018" s="9">
        <f>(2865+1580+1597)</f>
        <v/>
      </c>
      <c r="O3018" s="9" t="inlineStr">
        <is>
          <t>카페240[타임특가] 리:커버리 스타터 패키지 (샴푸 1+헤어팩 트리트먼트 1+ 뉴트리셔스 밤 1)210201</t>
        </is>
      </c>
    </row>
    <row r="3019">
      <c r="B3019" s="10" t="n">
        <v>44321</v>
      </c>
      <c r="C3019" s="9" t="inlineStr">
        <is>
          <t>수</t>
        </is>
      </c>
      <c r="E3019" s="9" t="inlineStr">
        <is>
          <t>뉴트리셔스밤</t>
        </is>
      </c>
      <c r="F3019" s="9" t="inlineStr">
        <is>
          <t>카페24</t>
        </is>
      </c>
      <c r="G3019" s="9" t="inlineStr">
        <is>
          <t>라베나 리커버리 15 뉴트리셔스 밤 [HAIR RÉ:COVERY 15 Nutritious Balm]제품선택=헤어 리커버리 15 뉴트리셔스 밤</t>
        </is>
      </c>
      <c r="H3019" s="9" t="n">
        <v>1</v>
      </c>
      <c r="I3019" s="9" t="inlineStr">
        <is>
          <t>뉴트리셔스밤</t>
        </is>
      </c>
      <c r="J3019" s="9" t="inlineStr">
        <is>
          <t>210201</t>
        </is>
      </c>
      <c r="L3019" s="9" t="n">
        <v>24900</v>
      </c>
      <c r="M3019" s="9" t="n">
        <v>23443.35</v>
      </c>
      <c r="N3019" s="9" t="n">
        <v>1580</v>
      </c>
      <c r="O3019" s="9" t="inlineStr">
        <is>
          <t>카페24뉴트리셔스밤라베나 리커버리 15 뉴트리셔스 밤 [HAIR RÉ:COVERY 15 Nutritious Balm]제품선택=헤어 리커버리 15 뉴트리셔스 밤210201</t>
        </is>
      </c>
    </row>
    <row r="3020">
      <c r="B3020" s="10" t="n">
        <v>44321</v>
      </c>
      <c r="C3020" s="9" t="inlineStr">
        <is>
          <t>수</t>
        </is>
      </c>
      <c r="E3020" s="9" t="inlineStr">
        <is>
          <t>뉴트리셔스밤</t>
        </is>
      </c>
      <c r="F3020" s="9" t="inlineStr">
        <is>
          <t>카페24</t>
        </is>
      </c>
      <c r="G3020" s="9" t="inlineStr">
        <is>
          <t>라베나 리커버리 15 뉴트리셔스 밤 [HAIR RÉ:COVERY 15 Nutritious Balm]제품선택=뉴트리셔스 밤 2개 세트 5% 추가할인</t>
        </is>
      </c>
      <c r="H3020" s="9" t="n">
        <v>1</v>
      </c>
      <c r="I3020" s="9" t="inlineStr">
        <is>
          <t>뉴트리셔스밤 2set</t>
        </is>
      </c>
      <c r="J3020" s="9" t="inlineStr">
        <is>
          <t>210201</t>
        </is>
      </c>
      <c r="L3020" s="9" t="n">
        <v>47310</v>
      </c>
      <c r="M3020" s="9" t="n">
        <v>44542.365</v>
      </c>
      <c r="N3020" s="9" t="n">
        <v>3160</v>
      </c>
      <c r="O3020" s="9" t="inlineStr">
        <is>
          <t>카페24뉴트리셔스밤라베나 리커버리 15 뉴트리셔스 밤 [HAIR RÉ:COVERY 15 Nutritious Balm]제품선택=뉴트리셔스 밤 2개 세트 5% 추가할인210201</t>
        </is>
      </c>
    </row>
    <row r="3021">
      <c r="B3021" s="10" t="n">
        <v>44321</v>
      </c>
      <c r="C3021" s="9" t="inlineStr">
        <is>
          <t>수</t>
        </is>
      </c>
      <c r="E3021" s="9" t="inlineStr">
        <is>
          <t>뉴트리셔스밤</t>
        </is>
      </c>
      <c r="F3021" s="9" t="inlineStr">
        <is>
          <t>카페24</t>
        </is>
      </c>
      <c r="G3021" s="9" t="inlineStr">
        <is>
          <t>라베나 리커버리 15 뉴트리셔스 밤 [HAIR RÉ:COVERY 15 Nutritious Balm]제품선택=뉴트리셔스밤 1개 + 헤어팩 트리트먼트 1개 세트 5%추가할인</t>
        </is>
      </c>
      <c r="H3021" s="9" t="n">
        <v>1</v>
      </c>
      <c r="I3021" s="9" t="inlineStr">
        <is>
          <t>트리트먼트+뉴트리셔스밤</t>
        </is>
      </c>
      <c r="J3021" s="9" t="inlineStr">
        <is>
          <t>210201</t>
        </is>
      </c>
      <c r="L3021" s="9" t="n">
        <v>48355</v>
      </c>
      <c r="M3021" s="9" t="n">
        <v>45526.2325</v>
      </c>
      <c r="N3021" s="9" t="n">
        <v>3177</v>
      </c>
      <c r="O3021" s="9" t="inlineStr">
        <is>
          <t>카페24뉴트리셔스밤라베나 리커버리 15 뉴트리셔스 밤 [HAIR RÉ:COVERY 15 Nutritious Balm]제품선택=뉴트리셔스밤 1개 + 헤어팩 트리트먼트 1개 세트 5%추가할인210201</t>
        </is>
      </c>
    </row>
    <row r="3022">
      <c r="B3022" s="10" t="n">
        <v>44321</v>
      </c>
      <c r="C3022" s="9" t="inlineStr">
        <is>
          <t>수</t>
        </is>
      </c>
      <c r="E3022" s="9" t="inlineStr">
        <is>
          <t>샴푸</t>
        </is>
      </c>
      <c r="F3022" s="9" t="inlineStr">
        <is>
          <t>카페24</t>
        </is>
      </c>
      <c r="G3022" s="9" t="inlineStr">
        <is>
          <t>라베나 리커버리 15 리바이탈 바이오플라보노이드샴푸 [HAIR RÉ:COVERY 15 Revital Shampoo]제품선택=헤어 리커버리 15 리바이탈 샴푸 - 500ml</t>
        </is>
      </c>
      <c r="H3022" s="9" t="n">
        <v>40</v>
      </c>
      <c r="I3022" s="9" t="inlineStr">
        <is>
          <t>리바이탈 샴푸</t>
        </is>
      </c>
      <c r="J3022" s="9" t="inlineStr">
        <is>
          <t>210201</t>
        </is>
      </c>
      <c r="L3022" s="9" t="n">
        <v>1076000</v>
      </c>
      <c r="M3022" s="9" t="n">
        <v>1013054</v>
      </c>
      <c r="N3022" s="9" t="n">
        <v>114600</v>
      </c>
      <c r="O3022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3023">
      <c r="B3023" s="10" t="n">
        <v>44321</v>
      </c>
      <c r="C3023" s="9" t="inlineStr">
        <is>
          <t>수</t>
        </is>
      </c>
      <c r="E3023" s="9" t="inlineStr">
        <is>
          <t>샴푸</t>
        </is>
      </c>
      <c r="F3023" s="9" t="inlineStr">
        <is>
          <t>카페24</t>
        </is>
      </c>
      <c r="G3023" s="9" t="inlineStr">
        <is>
          <t>라베나 리커버리 15 리바이탈 바이오플라보노이드샴푸 [HAIR RÉ:COVERY 15 Revital Shampoo]제품선택=리바이탈 샴푸 2개 세트 5%추가할인</t>
        </is>
      </c>
      <c r="H3023" s="9" t="n">
        <v>16</v>
      </c>
      <c r="I3023" s="9" t="inlineStr">
        <is>
          <t>리바이탈 샴푸 2set</t>
        </is>
      </c>
      <c r="J3023" s="9" t="inlineStr">
        <is>
          <t>210201</t>
        </is>
      </c>
      <c r="L3023" s="9" t="n">
        <v>817760</v>
      </c>
      <c r="M3023" s="9" t="n">
        <v>769921.04</v>
      </c>
      <c r="N3023" s="9" t="n">
        <v>91680</v>
      </c>
      <c r="O3023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3024">
      <c r="B3024" s="10" t="n">
        <v>44321</v>
      </c>
      <c r="C3024" s="9" t="inlineStr">
        <is>
          <t>수</t>
        </is>
      </c>
      <c r="E3024" s="9" t="inlineStr">
        <is>
          <t>샴푸</t>
        </is>
      </c>
      <c r="F3024" s="9" t="inlineStr">
        <is>
          <t>카페24</t>
        </is>
      </c>
      <c r="G3024" s="9" t="inlineStr">
        <is>
          <t>라베나 리커버리 15 리바이탈 바이오플라보노이드샴푸 [HAIR RÉ:COVERY 15 Revital Shampoo]제품선택=리바이탈 샴푸 3개 세트 10% 추가할인</t>
        </is>
      </c>
      <c r="H3024" s="9" t="n">
        <v>4</v>
      </c>
      <c r="I3024" s="9" t="inlineStr">
        <is>
          <t>리바이탈 샴푸 3set</t>
        </is>
      </c>
      <c r="J3024" s="9" t="inlineStr">
        <is>
          <t>210201</t>
        </is>
      </c>
      <c r="L3024" s="9" t="n">
        <v>290520</v>
      </c>
      <c r="M3024" s="9" t="n">
        <v>273524.58</v>
      </c>
      <c r="N3024" s="9" t="n">
        <v>34380</v>
      </c>
      <c r="O3024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3025">
      <c r="B3025" s="10" t="n">
        <v>44321</v>
      </c>
      <c r="C3025" s="9" t="inlineStr">
        <is>
          <t>수</t>
        </is>
      </c>
      <c r="E3025" s="9" t="inlineStr">
        <is>
          <t>트리트먼트</t>
        </is>
      </c>
      <c r="F3025" s="9" t="inlineStr">
        <is>
          <t>카페24</t>
        </is>
      </c>
      <c r="G3025" s="9" t="inlineStr">
        <is>
          <t>라베나 리커버리 15 헤어팩 트리트먼트 [HAIR RÉ:COVERY 15 Hairpack Treatment]제품선택=헤어 리커버리 15 헤어팩 트리트먼트</t>
        </is>
      </c>
      <c r="H3025" s="9" t="n">
        <v>2</v>
      </c>
      <c r="I3025" s="9" t="inlineStr">
        <is>
          <t>트리트먼트</t>
        </is>
      </c>
      <c r="J3025" s="9" t="inlineStr">
        <is>
          <t>210201</t>
        </is>
      </c>
      <c r="L3025" s="9" t="n">
        <v>52000</v>
      </c>
      <c r="M3025" s="9" t="n">
        <v>48958</v>
      </c>
      <c r="N3025" s="9" t="n">
        <v>3194</v>
      </c>
      <c r="O3025" s="9" t="inlineStr">
        <is>
          <t>카페24트리트먼트라베나 리커버리 15 헤어팩 트리트먼트 [HAIR RÉ:COVERY 15 Hairpack Treatment]제품선택=헤어 리커버리 15 헤어팩 트리트먼트210201</t>
        </is>
      </c>
    </row>
    <row r="3026">
      <c r="A3026" s="9" t="inlineStr">
        <is>
          <t>0316~영상베리</t>
        </is>
      </c>
      <c r="B3026" s="10" t="n">
        <v>44322</v>
      </c>
      <c r="C3026" s="9" t="inlineStr">
        <is>
          <t>목</t>
        </is>
      </c>
      <c r="D3026" s="9" t="inlineStr">
        <is>
          <t>페이스북</t>
        </is>
      </c>
      <c r="E3026" s="9" t="inlineStr">
        <is>
          <t>샴푸</t>
        </is>
      </c>
      <c r="K3026" s="9" t="n">
        <v>98283</v>
      </c>
    </row>
    <row r="3027">
      <c r="A3027" s="9" t="inlineStr">
        <is>
          <t>0322_샴푸_GDN_이현1차</t>
        </is>
      </c>
      <c r="B3027" s="10" t="n">
        <v>44322</v>
      </c>
      <c r="C3027" s="9" t="inlineStr">
        <is>
          <t>목</t>
        </is>
      </c>
      <c r="D3027" s="9" t="inlineStr">
        <is>
          <t>GDN</t>
        </is>
      </c>
      <c r="E3027" s="9" t="inlineStr">
        <is>
          <t>샴푸</t>
        </is>
      </c>
      <c r="K3027" s="9" t="n">
        <v>75000</v>
      </c>
    </row>
    <row r="3028">
      <c r="A3028" s="9" t="inlineStr">
        <is>
          <t>0324_샴푸_VAC_CPA</t>
        </is>
      </c>
      <c r="B3028" s="10" t="n">
        <v>44322</v>
      </c>
      <c r="C3028" s="9" t="inlineStr">
        <is>
          <t>목</t>
        </is>
      </c>
      <c r="D3028" s="9" t="inlineStr">
        <is>
          <t>유튜브</t>
        </is>
      </c>
      <c r="E3028" s="9" t="inlineStr">
        <is>
          <t>샴푸</t>
        </is>
      </c>
      <c r="K3028" s="9" t="n">
        <v>956655</v>
      </c>
    </row>
    <row r="3029">
      <c r="A3029" s="9" t="inlineStr">
        <is>
          <t>0330_샴푸_cpv_200만뷰</t>
        </is>
      </c>
      <c r="B3029" s="10" t="n">
        <v>44322</v>
      </c>
      <c r="C3029" s="9" t="inlineStr">
        <is>
          <t>목</t>
        </is>
      </c>
      <c r="D3029" s="9" t="inlineStr">
        <is>
          <t>유튜브</t>
        </is>
      </c>
      <c r="E3029" s="9" t="inlineStr">
        <is>
          <t>샴푸</t>
        </is>
      </c>
      <c r="K3029" s="9" t="n">
        <v>192487</v>
      </c>
    </row>
    <row r="3030">
      <c r="A3030" s="9" t="inlineStr">
        <is>
          <t>라베나 파워링크_샴푸_광고그룹#1</t>
        </is>
      </c>
      <c r="B3030" s="10" t="n">
        <v>44322</v>
      </c>
      <c r="C3030" s="9" t="inlineStr">
        <is>
          <t>목</t>
        </is>
      </c>
      <c r="D3030" s="9" t="inlineStr">
        <is>
          <t>네이버 검색</t>
        </is>
      </c>
      <c r="E3030" s="9" t="inlineStr">
        <is>
          <t>샴푸</t>
        </is>
      </c>
      <c r="K3030" s="9" t="n">
        <v>580</v>
      </c>
    </row>
    <row r="3031">
      <c r="A3031" s="9" t="inlineStr">
        <is>
          <t>라베나 파워링크_샴푸#1_유튜브키워드기반</t>
        </is>
      </c>
      <c r="B3031" s="10" t="n">
        <v>44322</v>
      </c>
      <c r="C3031" s="9" t="inlineStr">
        <is>
          <t>목</t>
        </is>
      </c>
      <c r="D3031" s="9" t="inlineStr">
        <is>
          <t>네이버 검색</t>
        </is>
      </c>
      <c r="E3031" s="9" t="inlineStr">
        <is>
          <t>샴푸</t>
        </is>
      </c>
      <c r="K3031" s="9" t="n">
        <v>8610</v>
      </c>
    </row>
    <row r="3032">
      <c r="A3032" s="9" t="inlineStr">
        <is>
          <t>샴푸_쇼핑검색#1_광고그룹#1</t>
        </is>
      </c>
      <c r="B3032" s="10" t="n">
        <v>44322</v>
      </c>
      <c r="C3032" s="9" t="inlineStr">
        <is>
          <t>목</t>
        </is>
      </c>
      <c r="D3032" s="9" t="inlineStr">
        <is>
          <t>네이버 검색</t>
        </is>
      </c>
      <c r="E3032" s="9" t="inlineStr">
        <is>
          <t>샴푸</t>
        </is>
      </c>
      <c r="K3032" s="9" t="n">
        <v>3470</v>
      </c>
    </row>
    <row r="3033">
      <c r="A3033" s="9" t="inlineStr">
        <is>
          <t>파워컨텐츠#1_비듬샴푸</t>
        </is>
      </c>
      <c r="B3033" s="10" t="n">
        <v>44322</v>
      </c>
      <c r="C3033" s="9" t="inlineStr">
        <is>
          <t>목</t>
        </is>
      </c>
      <c r="D3033" s="9" t="inlineStr">
        <is>
          <t>네이버 검색</t>
        </is>
      </c>
      <c r="E3033" s="9" t="inlineStr">
        <is>
          <t>샴푸</t>
        </is>
      </c>
      <c r="K3033" s="9" t="n">
        <v>140</v>
      </c>
    </row>
    <row r="3034">
      <c r="B3034" s="10" t="n">
        <v>44322</v>
      </c>
      <c r="C3034" s="9" t="inlineStr">
        <is>
          <t>목</t>
        </is>
      </c>
      <c r="E3034" s="9" t="inlineStr">
        <is>
          <t>샴푸</t>
        </is>
      </c>
      <c r="F3034" s="9" t="inlineStr">
        <is>
          <t>라베나 CS</t>
        </is>
      </c>
      <c r="G3034" s="9" t="inlineStr">
        <is>
          <t>헤어 리커버리 15 리바이탈 샴푸</t>
        </is>
      </c>
      <c r="H3034" s="9" t="n">
        <v>1</v>
      </c>
      <c r="I3034" s="9" t="inlineStr">
        <is>
          <t>리바이탈 샴푸</t>
        </is>
      </c>
      <c r="J3034" s="9" t="inlineStr">
        <is>
          <t>210201</t>
        </is>
      </c>
      <c r="L3034" s="9" t="n">
        <v>0</v>
      </c>
      <c r="M3034" s="9" t="n">
        <v>0</v>
      </c>
      <c r="N3034" s="9" t="n">
        <v>2865</v>
      </c>
      <c r="O3034" s="9" t="inlineStr">
        <is>
          <t>라베나 CS샴푸헤어 리커버리 15 리바이탈 샴푸210201</t>
        </is>
      </c>
    </row>
    <row r="3035">
      <c r="B3035" s="10" t="n">
        <v>44322</v>
      </c>
      <c r="C3035" s="9" t="inlineStr">
        <is>
          <t>목</t>
        </is>
      </c>
      <c r="E3035" s="9" t="inlineStr">
        <is>
          <t>샴푸</t>
        </is>
      </c>
      <c r="F3035" s="9" t="inlineStr">
        <is>
          <t>카페24</t>
        </is>
      </c>
      <c r="G3035" s="9" t="inlineStr">
        <is>
          <t>[타임특가] 라베나 리:커버리 3개월 패키지 (샴푸 2+ 트리트먼트 택 1)샴푸2 + 트리트먼트 택 1=샴푸2 + 헤어팩 트리트먼트1</t>
        </is>
      </c>
      <c r="H3035" s="9" t="n">
        <v>2</v>
      </c>
      <c r="I3035" s="9" t="inlineStr">
        <is>
          <t>리바이탈 샴푸2+트리트먼트1</t>
        </is>
      </c>
      <c r="J3035" s="9" t="inlineStr">
        <is>
          <t>210201</t>
        </is>
      </c>
      <c r="L3035" s="9">
        <f>62280*2</f>
        <v/>
      </c>
      <c r="M3035" s="9">
        <f>124560-(124560/5.85)</f>
        <v/>
      </c>
      <c r="N3035" s="9">
        <f>7327*2</f>
        <v/>
      </c>
      <c r="O3035" s="9" t="inlineStr">
        <is>
          <t>카페240[타임특가] 라베나 리:커버리 3개월 패키지 (샴푸 2+ 트리트먼트 택 1)샴푸2 + 트리트먼트 택 1=샴푸2 + 헤어팩 트리트먼트1210201</t>
        </is>
      </c>
    </row>
    <row r="3036">
      <c r="B3036" s="10" t="n">
        <v>44322</v>
      </c>
      <c r="C3036" s="9" t="inlineStr">
        <is>
          <t>목</t>
        </is>
      </c>
      <c r="E3036" s="9" t="inlineStr">
        <is>
          <t>샴푸</t>
        </is>
      </c>
      <c r="F3036" s="9" t="inlineStr">
        <is>
          <t>카페24</t>
        </is>
      </c>
      <c r="G3036" s="9" t="inlineStr">
        <is>
          <t>[타임특가] 라베나 리:커버리 스타터 패키지 (샴푸 1+헤어팩 트리트먼트 1+ 뉴트리셔스 밤 1)</t>
        </is>
      </c>
      <c r="H3036" s="9" t="n">
        <v>1</v>
      </c>
      <c r="I3036" s="9" t="inlineStr">
        <is>
          <t>리바이탈 샴푸1+트리트먼트1+뉴트리셔스밤1</t>
        </is>
      </c>
      <c r="J3036" s="9" t="inlineStr">
        <is>
          <t>210201</t>
        </is>
      </c>
      <c r="L3036" s="9">
        <f>39897</f>
        <v/>
      </c>
      <c r="M3036" s="9">
        <f>39897-(39897/5.85)</f>
        <v/>
      </c>
      <c r="N3036" s="9">
        <f>(2865+1580+1597)</f>
        <v/>
      </c>
      <c r="O3036" s="9" t="inlineStr">
        <is>
          <t>카페240[타임특가] 라베나 리:커버리 스타터 패키지 (샴푸 1+헤어팩 트리트먼트 1+ 뉴트리셔스 밤 1)210201</t>
        </is>
      </c>
    </row>
    <row r="3037">
      <c r="B3037" s="10" t="n">
        <v>44322</v>
      </c>
      <c r="C3037" s="9" t="inlineStr">
        <is>
          <t>목</t>
        </is>
      </c>
      <c r="E3037" s="9" t="inlineStr">
        <is>
          <t>샴푸</t>
        </is>
      </c>
      <c r="F3037" s="9" t="inlineStr">
        <is>
          <t>카페24</t>
        </is>
      </c>
      <c r="G3037" s="9" t="inlineStr">
        <is>
          <t>[타임특가] 리 : 커버리 3개월 패키지 (샴푸 2+ 트리트먼트 택 1)샴푸2 + 트리트먼트 택 1=샴푸2 + 헤어팩 트리트먼트1</t>
        </is>
      </c>
      <c r="H3037" s="9" t="n">
        <v>1</v>
      </c>
      <c r="I3037" s="9" t="inlineStr">
        <is>
          <t>리바이탈 샴푸2+트리트먼트1</t>
        </is>
      </c>
      <c r="J3037" s="9" t="inlineStr">
        <is>
          <t>210201</t>
        </is>
      </c>
      <c r="L3037" s="9">
        <f>62280</f>
        <v/>
      </c>
      <c r="M3037" s="9">
        <f>62280-(62280/5.85)</f>
        <v/>
      </c>
      <c r="N3037" s="9">
        <f>7327</f>
        <v/>
      </c>
      <c r="O3037" s="9" t="inlineStr">
        <is>
          <t>카페240[타임특가] 리 : 커버리 3개월 패키지 (샴푸 2+ 트리트먼트 택 1)샴푸2 + 트리트먼트 택 1=샴푸2 + 헤어팩 트리트먼트1210201</t>
        </is>
      </c>
    </row>
    <row r="3038">
      <c r="B3038" s="10" t="n">
        <v>44322</v>
      </c>
      <c r="C3038" s="9" t="inlineStr">
        <is>
          <t>목</t>
        </is>
      </c>
      <c r="E3038" s="9" t="inlineStr">
        <is>
          <t>샴푸</t>
        </is>
      </c>
      <c r="F3038" s="9" t="inlineStr">
        <is>
          <t>카페24</t>
        </is>
      </c>
      <c r="G3038" s="9" t="inlineStr">
        <is>
          <t>라베나 리커버리 15 리바이탈 바이오플라보노이드샴푸제품선택=헤어 리커버리 15 리바이탈 샴푸 - 500ml</t>
        </is>
      </c>
      <c r="H3038" s="9" t="n">
        <v>21</v>
      </c>
      <c r="I3038" s="9" t="inlineStr">
        <is>
          <t>리바이탈 샴푸</t>
        </is>
      </c>
      <c r="J3038" s="9" t="inlineStr">
        <is>
          <t>210201</t>
        </is>
      </c>
      <c r="L3038" s="9">
        <f>26900*21</f>
        <v/>
      </c>
      <c r="M3038" s="9">
        <f>564900-(564900/5.85)</f>
        <v/>
      </c>
      <c r="N3038" s="9">
        <f>2865*21</f>
        <v/>
      </c>
      <c r="O3038" s="9" t="inlineStr">
        <is>
          <t>카페240라베나 리커버리 15 리바이탈 바이오플라보노이드샴푸제품선택=헤어 리커버리 15 리바이탈 샴푸 - 500ml210201</t>
        </is>
      </c>
    </row>
    <row r="3039">
      <c r="B3039" s="10" t="n">
        <v>44322</v>
      </c>
      <c r="C3039" s="9" t="inlineStr">
        <is>
          <t>목</t>
        </is>
      </c>
      <c r="E3039" s="9" t="inlineStr">
        <is>
          <t>샴푸</t>
        </is>
      </c>
      <c r="F3039" s="9" t="inlineStr">
        <is>
          <t>카페24</t>
        </is>
      </c>
      <c r="G3039" s="9" t="inlineStr">
        <is>
          <t>라베나 리커버리 15 리바이탈 바이오플라보노이드샴푸제품선택=리바이탈 샴푸 2개 세트 5%추가할인</t>
        </is>
      </c>
      <c r="H3039" s="9" t="n">
        <v>9</v>
      </c>
      <c r="I3039" s="9" t="inlineStr">
        <is>
          <t>리바이탈 샴푸 2set</t>
        </is>
      </c>
      <c r="J3039" s="9" t="inlineStr">
        <is>
          <t>210201</t>
        </is>
      </c>
      <c r="L3039" s="9">
        <f>51110*9</f>
        <v/>
      </c>
      <c r="M3039" s="9">
        <f>459990-(459990/5.85)</f>
        <v/>
      </c>
      <c r="N3039" s="9">
        <f>2865*18</f>
        <v/>
      </c>
      <c r="O3039" s="9" t="inlineStr">
        <is>
          <t>카페240라베나 리커버리 15 리바이탈 바이오플라보노이드샴푸제품선택=리바이탈 샴푸 2개 세트 5%추가할인210201</t>
        </is>
      </c>
    </row>
    <row r="3040">
      <c r="B3040" s="10" t="n">
        <v>44322</v>
      </c>
      <c r="C3040" s="9" t="inlineStr">
        <is>
          <t>목</t>
        </is>
      </c>
      <c r="E3040" s="9" t="inlineStr">
        <is>
          <t>샴푸</t>
        </is>
      </c>
      <c r="F3040" s="9" t="inlineStr">
        <is>
          <t>카페24</t>
        </is>
      </c>
      <c r="G3040" s="9" t="inlineStr">
        <is>
          <t>라베나 리커버리 15 리바이탈 바이오플라보노이드샴푸제품선택=리바이탈 샴푸 3개 세트 10% 추가할인</t>
        </is>
      </c>
      <c r="H3040" s="9" t="n">
        <v>5</v>
      </c>
      <c r="I3040" s="9" t="inlineStr">
        <is>
          <t>리바이탈 샴푸 3set</t>
        </is>
      </c>
      <c r="J3040" s="9" t="inlineStr">
        <is>
          <t>210201</t>
        </is>
      </c>
      <c r="L3040" s="9">
        <f>72630*5</f>
        <v/>
      </c>
      <c r="M3040" s="9">
        <f>363150-(363150/5.85)</f>
        <v/>
      </c>
      <c r="N3040" s="9">
        <f>2865*15</f>
        <v/>
      </c>
      <c r="O3040" s="9" t="inlineStr">
        <is>
          <t>카페240라베나 리커버리 15 리바이탈 바이오플라보노이드샴푸제품선택=리바이탈 샴푸 3개 세트 10% 추가할인210201</t>
        </is>
      </c>
    </row>
    <row r="3041">
      <c r="B3041" s="10" t="n">
        <v>44322</v>
      </c>
      <c r="C3041" s="9" t="inlineStr">
        <is>
          <t>목</t>
        </is>
      </c>
      <c r="E3041" s="9" t="inlineStr">
        <is>
          <t>샴푸</t>
        </is>
      </c>
      <c r="F3041" s="9" t="inlineStr">
        <is>
          <t>카페24</t>
        </is>
      </c>
      <c r="G3041" s="9" t="inlineStr">
        <is>
          <t>라베나 리커버리 15 리바이탈 바이오플라보노이드샴푸 [HAIR RÉ:COVERY 15 Revital Shampoo]제품선택=헤어 리커버리 15 리바이탈 샴푸 - 500ml</t>
        </is>
      </c>
      <c r="H3041" s="9" t="n">
        <v>9</v>
      </c>
      <c r="I3041" s="9" t="inlineStr">
        <is>
          <t>리바이탈 샴푸</t>
        </is>
      </c>
      <c r="J3041" s="9" t="inlineStr">
        <is>
          <t>210201</t>
        </is>
      </c>
      <c r="L3041" s="9" t="n">
        <v>242100</v>
      </c>
      <c r="M3041" s="9" t="n">
        <v>227937.15</v>
      </c>
      <c r="N3041" s="9" t="n">
        <v>25785</v>
      </c>
      <c r="O3041" s="9" t="inlineStr">
        <is>
          <t>카페24샴푸라베나 리커버리 15 리바이탈 바이오플라보노이드샴푸 [HAIR RÉ:COVERY 15 Revital Shampoo]제품선택=헤어 리커버리 15 리바이탈 샴푸 - 500ml210201</t>
        </is>
      </c>
    </row>
    <row r="3042">
      <c r="B3042" s="10" t="n">
        <v>44322</v>
      </c>
      <c r="C3042" s="9" t="inlineStr">
        <is>
          <t>목</t>
        </is>
      </c>
      <c r="E3042" s="9" t="inlineStr">
        <is>
          <t>샴푸</t>
        </is>
      </c>
      <c r="F3042" s="9" t="inlineStr">
        <is>
          <t>카페24</t>
        </is>
      </c>
      <c r="G3042" s="9" t="inlineStr">
        <is>
          <t>라베나 리커버리 15 리바이탈 바이오플라보노이드샴푸 [HAIR RÉ:COVERY 15 Revital Shampoo]제품선택=리바이탈 샴푸 2개 세트 5%추가할인</t>
        </is>
      </c>
      <c r="H3042" s="9" t="n">
        <v>3</v>
      </c>
      <c r="I3042" s="9" t="inlineStr">
        <is>
          <t>리바이탈 샴푸 2set</t>
        </is>
      </c>
      <c r="J3042" s="9" t="inlineStr">
        <is>
          <t>210201</t>
        </is>
      </c>
      <c r="L3042" s="9" t="n">
        <v>153330</v>
      </c>
      <c r="M3042" s="9" t="n">
        <v>144360.195</v>
      </c>
      <c r="N3042" s="9" t="n">
        <v>17190</v>
      </c>
      <c r="O3042" s="9" t="inlineStr">
        <is>
          <t>카페24샴푸라베나 리커버리 15 리바이탈 바이오플라보노이드샴푸 [HAIR RÉ:COVERY 15 Revital Shampoo]제품선택=리바이탈 샴푸 2개 세트 5%추가할인210201</t>
        </is>
      </c>
    </row>
    <row r="3043">
      <c r="B3043" s="10" t="n">
        <v>44322</v>
      </c>
      <c r="C3043" s="9" t="inlineStr">
        <is>
          <t>목</t>
        </is>
      </c>
      <c r="E3043" s="9" t="inlineStr">
        <is>
          <t>샴푸</t>
        </is>
      </c>
      <c r="F3043" s="9" t="inlineStr">
        <is>
          <t>카페24</t>
        </is>
      </c>
      <c r="G3043" s="9" t="inlineStr">
        <is>
          <t>라베나 리커버리 15 리바이탈 바이오플라보노이드샴푸 [HAIR RÉ:COVERY 15 Revital Shampoo]제품선택=리바이탈 샴푸 3개 세트 10% 추가할인</t>
        </is>
      </c>
      <c r="H3043" s="9" t="n">
        <v>4</v>
      </c>
      <c r="I3043" s="9" t="inlineStr">
        <is>
          <t>리바이탈 샴푸 3set</t>
        </is>
      </c>
      <c r="J3043" s="9" t="inlineStr">
        <is>
          <t>210201</t>
        </is>
      </c>
      <c r="L3043" s="9" t="n">
        <v>290520</v>
      </c>
      <c r="M3043" s="9" t="n">
        <v>273524.58</v>
      </c>
      <c r="N3043" s="9" t="n">
        <v>34380</v>
      </c>
      <c r="O3043" s="9" t="inlineStr">
        <is>
          <t>카페24샴푸라베나 리커버리 15 리바이탈 바이오플라보노이드샴푸 [HAIR RÉ:COVERY 15 Revital Shampoo]제품선택=리바이탈 샴푸 3개 세트 10% 추가할인210201</t>
        </is>
      </c>
    </row>
    <row r="3044">
      <c r="B3044" s="10" t="n">
        <v>44322</v>
      </c>
      <c r="C3044" s="9" t="inlineStr">
        <is>
          <t>목</t>
        </is>
      </c>
      <c r="E3044" s="9" t="inlineStr">
        <is>
          <t>트리트먼트</t>
        </is>
      </c>
      <c r="F3044" s="9" t="inlineStr">
        <is>
          <t>카페24</t>
        </is>
      </c>
      <c r="G3044" s="9" t="inlineStr">
        <is>
          <t>라베나 리커버리 15 헤어팩 트리트먼트 [HAIR RÉ:COVERY 15 Hairpack Treatment]제품선택=헤어팩 트리트먼트 2개 세트 5% 추가할인</t>
        </is>
      </c>
      <c r="H3044" s="9" t="n">
        <v>1</v>
      </c>
      <c r="I3044" s="9" t="inlineStr">
        <is>
          <t>트리트먼트 2set</t>
        </is>
      </c>
      <c r="J3044" s="9" t="inlineStr">
        <is>
          <t>210201</t>
        </is>
      </c>
      <c r="L3044" s="9" t="n">
        <v>49400</v>
      </c>
      <c r="M3044" s="9" t="n">
        <v>46510.1</v>
      </c>
      <c r="N3044" s="9" t="n">
        <v>3194</v>
      </c>
      <c r="O3044" s="9" t="inlineStr">
        <is>
          <t>카페24트리트먼트라베나 리커버리 15 헤어팩 트리트먼트 [HAIR RÉ:COVERY 15 Hairpack Treatment]제품선택=헤어팩 트리트먼트 2개 세트 5% 추가할인210201</t>
        </is>
      </c>
    </row>
    <row r="3045">
      <c r="A3045" s="9" t="inlineStr">
        <is>
          <t>0316~영상베리</t>
        </is>
      </c>
      <c r="B3045" s="10" t="n">
        <v>44323</v>
      </c>
      <c r="C3045" s="9" t="inlineStr">
        <is>
          <t>금</t>
        </is>
      </c>
      <c r="D3045" s="9" t="inlineStr">
        <is>
          <t>페이스북</t>
        </is>
      </c>
      <c r="E3045" s="9" t="inlineStr">
        <is>
          <t>샴푸</t>
        </is>
      </c>
      <c r="K3045" s="9" t="n">
        <v>99453</v>
      </c>
    </row>
    <row r="3046">
      <c r="A3046" s="9" t="inlineStr">
        <is>
          <t>0316~영상베리</t>
        </is>
      </c>
      <c r="B3046" s="10" t="n">
        <v>44324</v>
      </c>
      <c r="C3046" s="9" t="inlineStr">
        <is>
          <t>토</t>
        </is>
      </c>
      <c r="D3046" s="9" t="inlineStr">
        <is>
          <t>페이스북</t>
        </is>
      </c>
      <c r="E3046" s="9" t="inlineStr">
        <is>
          <t>샴푸</t>
        </is>
      </c>
      <c r="K3046" s="9" t="n">
        <v>105958</v>
      </c>
    </row>
    <row r="3047">
      <c r="A3047" s="9" t="inlineStr">
        <is>
          <t>0316~영상베리</t>
        </is>
      </c>
      <c r="B3047" s="10" t="n">
        <v>44325</v>
      </c>
      <c r="C3047" s="9" t="inlineStr">
        <is>
          <t>일</t>
        </is>
      </c>
      <c r="D3047" s="9" t="inlineStr">
        <is>
          <t>페이스북</t>
        </is>
      </c>
      <c r="E3047" s="9" t="inlineStr">
        <is>
          <t>샴푸</t>
        </is>
      </c>
      <c r="K3047" s="9" t="n">
        <v>100164</v>
      </c>
    </row>
    <row r="3048">
      <c r="A3048" s="9" t="inlineStr">
        <is>
          <t>0322_샴푸_GDN_이현1차</t>
        </is>
      </c>
      <c r="B3048" s="10" t="n">
        <v>44323</v>
      </c>
      <c r="C3048" s="9" t="inlineStr">
        <is>
          <t>금</t>
        </is>
      </c>
      <c r="D3048" s="9" t="inlineStr">
        <is>
          <t>GDN</t>
        </is>
      </c>
      <c r="E3048" s="9" t="inlineStr">
        <is>
          <t>샴푸</t>
        </is>
      </c>
      <c r="K3048" s="9" t="n">
        <v>50000</v>
      </c>
    </row>
    <row r="3049">
      <c r="A3049" s="9" t="inlineStr">
        <is>
          <t>0324_샴푸_VAC_CPA</t>
        </is>
      </c>
      <c r="B3049" s="10" t="n">
        <v>44323</v>
      </c>
      <c r="C3049" s="9" t="inlineStr">
        <is>
          <t>금</t>
        </is>
      </c>
      <c r="D3049" s="9" t="inlineStr">
        <is>
          <t>유튜브</t>
        </is>
      </c>
      <c r="E3049" s="9" t="inlineStr">
        <is>
          <t>샴푸</t>
        </is>
      </c>
      <c r="K3049" s="9" t="n">
        <v>481567</v>
      </c>
    </row>
    <row r="3050">
      <c r="A3050" s="9" t="inlineStr">
        <is>
          <t>0330_샴푸_cpv_200만뷰</t>
        </is>
      </c>
      <c r="B3050" s="10" t="n">
        <v>44323</v>
      </c>
      <c r="C3050" s="9" t="inlineStr">
        <is>
          <t>금</t>
        </is>
      </c>
      <c r="D3050" s="9" t="inlineStr">
        <is>
          <t>유튜브</t>
        </is>
      </c>
      <c r="E3050" s="9" t="inlineStr">
        <is>
          <t>샴푸</t>
        </is>
      </c>
      <c r="K3050" s="9" t="n">
        <v>413892</v>
      </c>
    </row>
    <row r="3051">
      <c r="A3051" s="9" t="inlineStr">
        <is>
          <t>0322_샴푸_GDN_이현1차</t>
        </is>
      </c>
      <c r="B3051" s="10" t="n">
        <v>44324</v>
      </c>
      <c r="C3051" s="9" t="inlineStr">
        <is>
          <t>토</t>
        </is>
      </c>
      <c r="D3051" s="9" t="inlineStr">
        <is>
          <t>GDN</t>
        </is>
      </c>
      <c r="E3051" s="9" t="inlineStr">
        <is>
          <t>샴푸</t>
        </is>
      </c>
      <c r="K3051" s="9" t="n">
        <v>75000</v>
      </c>
    </row>
    <row r="3052">
      <c r="A3052" s="9" t="inlineStr">
        <is>
          <t>0324_샴푸_VAC_CPA</t>
        </is>
      </c>
      <c r="B3052" s="10" t="n">
        <v>44324</v>
      </c>
      <c r="C3052" s="9" t="inlineStr">
        <is>
          <t>토</t>
        </is>
      </c>
      <c r="D3052" s="9" t="inlineStr">
        <is>
          <t>유튜브</t>
        </is>
      </c>
      <c r="E3052" s="9" t="inlineStr">
        <is>
          <t>샴푸</t>
        </is>
      </c>
      <c r="K3052" s="9" t="n">
        <v>636336</v>
      </c>
    </row>
    <row r="3053">
      <c r="A3053" s="9" t="inlineStr">
        <is>
          <t>0330_샴푸_cpv_200만뷰</t>
        </is>
      </c>
      <c r="B3053" s="10" t="n">
        <v>44324</v>
      </c>
      <c r="C3053" s="9" t="inlineStr">
        <is>
          <t>토</t>
        </is>
      </c>
      <c r="D3053" s="9" t="inlineStr">
        <is>
          <t>유튜브</t>
        </is>
      </c>
      <c r="E3053" s="9" t="inlineStr">
        <is>
          <t>샴푸</t>
        </is>
      </c>
      <c r="K3053" s="9" t="n">
        <v>153714</v>
      </c>
    </row>
    <row r="3054">
      <c r="A3054" s="9" t="inlineStr">
        <is>
          <t>0322_샴푸_GDN_이현1차</t>
        </is>
      </c>
      <c r="B3054" s="10" t="n">
        <v>44325</v>
      </c>
      <c r="C3054" s="9" t="inlineStr">
        <is>
          <t>일</t>
        </is>
      </c>
      <c r="D3054" s="9" t="inlineStr">
        <is>
          <t>GDN</t>
        </is>
      </c>
      <c r="E3054" s="9" t="inlineStr">
        <is>
          <t>샴푸</t>
        </is>
      </c>
      <c r="K3054" s="9" t="n">
        <v>25000</v>
      </c>
    </row>
    <row r="3055">
      <c r="A3055" s="9" t="inlineStr">
        <is>
          <t>0324_샴푸_VAC_CPA</t>
        </is>
      </c>
      <c r="B3055" s="10" t="n">
        <v>44325</v>
      </c>
      <c r="C3055" s="9" t="inlineStr">
        <is>
          <t>일</t>
        </is>
      </c>
      <c r="D3055" s="9" t="inlineStr">
        <is>
          <t>유튜브</t>
        </is>
      </c>
      <c r="E3055" s="9" t="inlineStr">
        <is>
          <t>샴푸</t>
        </is>
      </c>
      <c r="K3055" s="9" t="n">
        <v>840228</v>
      </c>
    </row>
    <row r="3056">
      <c r="A3056" s="9" t="inlineStr">
        <is>
          <t>0330_샴푸_cpv_200만뷰</t>
        </is>
      </c>
      <c r="B3056" s="10" t="n">
        <v>44325</v>
      </c>
      <c r="C3056" s="9" t="inlineStr">
        <is>
          <t>일</t>
        </is>
      </c>
      <c r="D3056" s="9" t="inlineStr">
        <is>
          <t>유튜브</t>
        </is>
      </c>
      <c r="E3056" s="9" t="inlineStr">
        <is>
          <t>샴푸</t>
        </is>
      </c>
      <c r="K3056" s="9" t="n">
        <v>136343</v>
      </c>
    </row>
    <row r="3057">
      <c r="A3057" s="9" t="inlineStr">
        <is>
          <t>라베나 파워링크_샴푸_광고그룹#1</t>
        </is>
      </c>
      <c r="B3057" s="10" t="n">
        <v>44325</v>
      </c>
      <c r="C3057" s="9" t="inlineStr">
        <is>
          <t>일</t>
        </is>
      </c>
      <c r="D3057" s="9" t="inlineStr">
        <is>
          <t>네이버 검색</t>
        </is>
      </c>
      <c r="E3057" s="9" t="inlineStr">
        <is>
          <t>샴푸</t>
        </is>
      </c>
      <c r="K3057" s="9" t="n">
        <v>620</v>
      </c>
    </row>
    <row r="3058">
      <c r="A3058" s="9" t="inlineStr">
        <is>
          <t>라베나 파워링크_샴푸#1_유튜브키워드기반</t>
        </is>
      </c>
      <c r="B3058" s="10" t="n">
        <v>44325</v>
      </c>
      <c r="C3058" s="9" t="inlineStr">
        <is>
          <t>일</t>
        </is>
      </c>
      <c r="D3058" s="9" t="inlineStr">
        <is>
          <t>네이버 검색</t>
        </is>
      </c>
      <c r="E3058" s="9" t="inlineStr">
        <is>
          <t>샴푸</t>
        </is>
      </c>
      <c r="K3058" s="9" t="n">
        <v>6479.999999999999</v>
      </c>
    </row>
    <row r="3059">
      <c r="A3059" s="9" t="inlineStr">
        <is>
          <t>샴푸_쇼핑검색#1_광고그룹#1</t>
        </is>
      </c>
      <c r="B3059" s="10" t="n">
        <v>44325</v>
      </c>
      <c r="C3059" s="9" t="inlineStr">
        <is>
          <t>일</t>
        </is>
      </c>
      <c r="D3059" s="9" t="inlineStr">
        <is>
          <t>네이버 검색</t>
        </is>
      </c>
      <c r="E3059" s="9" t="inlineStr">
        <is>
          <t>샴푸</t>
        </is>
      </c>
      <c r="K3059" s="9" t="n">
        <v>1920</v>
      </c>
    </row>
    <row r="3060">
      <c r="A3060" s="9" t="inlineStr">
        <is>
          <t>파워컨텐츠#1_비듬샴푸</t>
        </is>
      </c>
      <c r="B3060" s="10" t="n">
        <v>44325</v>
      </c>
      <c r="C3060" s="9" t="inlineStr">
        <is>
          <t>일</t>
        </is>
      </c>
      <c r="D3060" s="9" t="inlineStr">
        <is>
          <t>네이버 검색</t>
        </is>
      </c>
      <c r="E3060" s="9" t="inlineStr">
        <is>
          <t>샴푸</t>
        </is>
      </c>
      <c r="K3060" s="9" t="n">
        <v>70</v>
      </c>
    </row>
    <row r="3061">
      <c r="A3061" s="9" t="inlineStr">
        <is>
          <t>라베나 파워링크_샴푸_광고그룹#1</t>
        </is>
      </c>
      <c r="B3061" s="10" t="n">
        <v>44324</v>
      </c>
      <c r="C3061" s="9" t="inlineStr">
        <is>
          <t>토</t>
        </is>
      </c>
      <c r="D3061" s="9" t="inlineStr">
        <is>
          <t>네이버 검색</t>
        </is>
      </c>
      <c r="E3061" s="9" t="inlineStr">
        <is>
          <t>샴푸</t>
        </is>
      </c>
      <c r="K3061" s="9" t="n">
        <v>300</v>
      </c>
    </row>
    <row r="3062">
      <c r="A3062" s="9" t="inlineStr">
        <is>
          <t>라베나 파워링크_샴푸#1_유튜브키워드기반</t>
        </is>
      </c>
      <c r="B3062" s="10" t="n">
        <v>44324</v>
      </c>
      <c r="C3062" s="9" t="inlineStr">
        <is>
          <t>토</t>
        </is>
      </c>
      <c r="D3062" s="9" t="inlineStr">
        <is>
          <t>네이버 검색</t>
        </is>
      </c>
      <c r="E3062" s="9" t="inlineStr">
        <is>
          <t>샴푸</t>
        </is>
      </c>
      <c r="K3062" s="9" t="n">
        <v>9210</v>
      </c>
    </row>
    <row r="3063">
      <c r="A3063" s="9" t="inlineStr">
        <is>
          <t>샴푸_쇼핑검색#1_광고그룹#1</t>
        </is>
      </c>
      <c r="B3063" s="10" t="n">
        <v>44324</v>
      </c>
      <c r="C3063" s="9" t="inlineStr">
        <is>
          <t>토</t>
        </is>
      </c>
      <c r="D3063" s="9" t="inlineStr">
        <is>
          <t>네이버 검색</t>
        </is>
      </c>
      <c r="E3063" s="9" t="inlineStr">
        <is>
          <t>샴푸</t>
        </is>
      </c>
      <c r="K3063" s="9" t="n">
        <v>1990</v>
      </c>
    </row>
    <row r="3064">
      <c r="A3064" s="9" t="inlineStr">
        <is>
          <t>파워컨텐츠#1_비듬샴푸</t>
        </is>
      </c>
      <c r="B3064" s="10" t="n">
        <v>44324</v>
      </c>
      <c r="C3064" s="9" t="inlineStr">
        <is>
          <t>토</t>
        </is>
      </c>
      <c r="D3064" s="9" t="inlineStr">
        <is>
          <t>네이버 검색</t>
        </is>
      </c>
      <c r="E3064" s="9" t="inlineStr">
        <is>
          <t>샴푸</t>
        </is>
      </c>
      <c r="K3064" s="9" t="n">
        <v>140</v>
      </c>
    </row>
    <row r="3065">
      <c r="A3065" s="9" t="inlineStr">
        <is>
          <t>라베나 파워링크_샴푸_광고그룹#1</t>
        </is>
      </c>
      <c r="B3065" s="10" t="n">
        <v>44323</v>
      </c>
      <c r="C3065" s="9" t="inlineStr">
        <is>
          <t>금</t>
        </is>
      </c>
      <c r="D3065" s="9" t="inlineStr">
        <is>
          <t>네이버 검색</t>
        </is>
      </c>
      <c r="E3065" s="9" t="inlineStr">
        <is>
          <t>샴푸</t>
        </is>
      </c>
      <c r="K3065" s="9" t="n">
        <v>700</v>
      </c>
    </row>
    <row r="3066">
      <c r="A3066" s="9" t="inlineStr">
        <is>
          <t>라베나 파워링크_샴푸#1_유튜브키워드기반</t>
        </is>
      </c>
      <c r="B3066" s="10" t="n">
        <v>44323</v>
      </c>
      <c r="C3066" s="9" t="inlineStr">
        <is>
          <t>금</t>
        </is>
      </c>
      <c r="D3066" s="9" t="inlineStr">
        <is>
          <t>네이버 검색</t>
        </is>
      </c>
      <c r="E3066" s="9" t="inlineStr">
        <is>
          <t>샴푸</t>
        </is>
      </c>
      <c r="K3066" s="9" t="n">
        <v>10760</v>
      </c>
    </row>
    <row r="3067">
      <c r="A3067" s="9" t="inlineStr">
        <is>
          <t>샴푸_쇼핑검색#1_광고그룹#1</t>
        </is>
      </c>
      <c r="B3067" s="10" t="n">
        <v>44323</v>
      </c>
      <c r="C3067" s="9" t="inlineStr">
        <is>
          <t>금</t>
        </is>
      </c>
      <c r="D3067" s="9" t="inlineStr">
        <is>
          <t>네이버 검색</t>
        </is>
      </c>
      <c r="E3067" s="9" t="inlineStr">
        <is>
          <t>샴푸</t>
        </is>
      </c>
      <c r="K3067" s="9" t="n">
        <v>99.99999999999999</v>
      </c>
    </row>
    <row r="3068">
      <c r="A3068" s="9" t="inlineStr">
        <is>
          <t>파워컨텐츠#1_비듬샴푸</t>
        </is>
      </c>
      <c r="B3068" s="10" t="n">
        <v>44323</v>
      </c>
      <c r="C3068" s="9" t="inlineStr">
        <is>
          <t>금</t>
        </is>
      </c>
      <c r="D3068" s="9" t="inlineStr">
        <is>
          <t>네이버 검색</t>
        </is>
      </c>
      <c r="E3068" s="9" t="inlineStr">
        <is>
          <t>샴푸</t>
        </is>
      </c>
      <c r="K3068" s="9" t="n">
        <v>140</v>
      </c>
    </row>
    <row r="3069">
      <c r="B3069" s="10" t="n">
        <v>44323</v>
      </c>
      <c r="C3069" s="9" t="inlineStr">
        <is>
          <t>금</t>
        </is>
      </c>
      <c r="E3069" s="9" t="inlineStr">
        <is>
          <t>샴푸</t>
        </is>
      </c>
      <c r="F3069" s="9" t="inlineStr">
        <is>
          <t>카페24</t>
        </is>
      </c>
      <c r="G3069" s="9" t="inlineStr">
        <is>
          <t>[타임특가] 라베나 리:커버리 3개월 패키지 (샴푸 2+ 트리트먼트 택 1)샴푸2 + 트리트먼트 택 1=샴푸2 + 뉴트리셔스 밤1</t>
        </is>
      </c>
      <c r="H3069" s="9" t="n">
        <v>1</v>
      </c>
      <c r="I3069" s="9" t="inlineStr">
        <is>
          <t>리바이탈 샴푸2+뉴트리셔스밤1</t>
        </is>
      </c>
      <c r="J3069" s="9" t="inlineStr">
        <is>
          <t>210201</t>
        </is>
      </c>
      <c r="L3069" s="9">
        <f>62280</f>
        <v/>
      </c>
      <c r="M3069" s="9">
        <f>62280-(62280/5.85)</f>
        <v/>
      </c>
      <c r="N3069" s="9">
        <f>(2865*2)+1580</f>
        <v/>
      </c>
      <c r="O3069" s="9" t="inlineStr">
        <is>
          <t>카페240[타임특가] 라베나 리:커버리 3개월 패키지 (샴푸 2+ 트리트먼트 택 1)샴푸2 + 트리트먼트 택 1=샴푸2 + 뉴트리셔스 밤1210201</t>
        </is>
      </c>
    </row>
    <row r="3070">
      <c r="B3070" s="10" t="n">
        <v>44323</v>
      </c>
      <c r="C3070" s="9" t="inlineStr">
        <is>
          <t>금</t>
        </is>
      </c>
      <c r="E3070" s="9" t="inlineStr">
        <is>
          <t>샴푸</t>
        </is>
      </c>
      <c r="F3070" s="9" t="inlineStr">
        <is>
          <t>카페24</t>
        </is>
      </c>
      <c r="G3070" s="9" t="inlineStr">
        <is>
          <t>[타임특가] 라베나 리:커버리 3개월 패키지 (샴푸 2+ 트리트먼트 택 1)샴푸2 + 트리트먼트 택 1=샴푸2 + 헤어팩 트리트먼트1</t>
        </is>
      </c>
      <c r="H3070" s="9" t="n">
        <v>3</v>
      </c>
      <c r="I3070" s="9" t="inlineStr">
        <is>
          <t>리바이탈 샴푸2+트리트먼트1</t>
        </is>
      </c>
      <c r="J3070" s="9" t="inlineStr">
        <is>
          <t>210201</t>
        </is>
      </c>
      <c r="L3070" s="9">
        <f>62280*3</f>
        <v/>
      </c>
      <c r="M3070" s="9">
        <f>186840-(186840/5.85)</f>
        <v/>
      </c>
      <c r="N3070" s="9">
        <f>7327*3</f>
        <v/>
      </c>
      <c r="O3070" s="9" t="inlineStr">
        <is>
          <t>카페240[타임특가] 라베나 리:커버리 3개월 패키지 (샴푸 2+ 트리트먼트 택 1)샴푸2 + 트리트먼트 택 1=샴푸2 + 헤어팩 트리트먼트1210201</t>
        </is>
      </c>
    </row>
    <row r="3071">
      <c r="B3071" s="10" t="n">
        <v>44323</v>
      </c>
      <c r="C3071" s="9" t="inlineStr">
        <is>
          <t>금</t>
        </is>
      </c>
      <c r="E3071" s="9" t="inlineStr">
        <is>
          <t>샴푸</t>
        </is>
      </c>
      <c r="F3071" s="9" t="inlineStr">
        <is>
          <t>카페24</t>
        </is>
      </c>
      <c r="G3071" s="9" t="inlineStr">
        <is>
          <t>[타임특가] 라베나 리:커버리 6개월 패키지 (샴푸 5+ 트리트먼트 택 1)샴푸 5 + 트리트먼트 택 1=샴푸 5 + 뉴트리셔스 밤 1</t>
        </is>
      </c>
      <c r="H3071" s="9" t="n">
        <v>2</v>
      </c>
      <c r="I3071" s="9" t="inlineStr">
        <is>
          <t>리바이탈 샴푸5+뉴트리셔스밤1</t>
        </is>
      </c>
      <c r="J3071" s="9" t="inlineStr">
        <is>
          <t>210201</t>
        </is>
      </c>
      <c r="L3071" s="9">
        <f>114840*2</f>
        <v/>
      </c>
      <c r="M3071" s="9">
        <f>229680-(229680/5.85)</f>
        <v/>
      </c>
      <c r="N3071" s="9">
        <f>15905*2</f>
        <v/>
      </c>
      <c r="O3071" s="9" t="inlineStr">
        <is>
          <t>카페240[타임특가] 라베나 리:커버리 6개월 패키지 (샴푸 5+ 트리트먼트 택 1)샴푸 5 + 트리트먼트 택 1=샴푸 5 + 뉴트리셔스 밤 1210201</t>
        </is>
      </c>
    </row>
    <row r="3072">
      <c r="B3072" s="10" t="n">
        <v>44323</v>
      </c>
      <c r="C3072" s="9" t="inlineStr">
        <is>
          <t>금</t>
        </is>
      </c>
      <c r="E3072" s="9" t="inlineStr">
        <is>
          <t>샴푸</t>
        </is>
      </c>
      <c r="F3072" s="9" t="inlineStr">
        <is>
          <t>카페24</t>
        </is>
      </c>
      <c r="G3072" s="9" t="inlineStr">
        <is>
          <t>[타임특가] 라베나 리:커버리 스타터 패키지 (샴푸 1+헤어팩 트리트먼트 1+ 뉴트리셔스 밤 1)</t>
        </is>
      </c>
      <c r="H3072" s="9" t="n">
        <v>1</v>
      </c>
      <c r="I3072" s="9" t="inlineStr">
        <is>
          <t>리바이탈 샴푸1+트리트먼트1+뉴트리셔스밤1</t>
        </is>
      </c>
      <c r="J3072" s="9" t="inlineStr">
        <is>
          <t>210201</t>
        </is>
      </c>
      <c r="L3072" s="9">
        <f>39897</f>
        <v/>
      </c>
      <c r="M3072" s="9">
        <f>39897-(39897/5.85)</f>
        <v/>
      </c>
      <c r="N3072" s="9">
        <f>(2865+1580+1597)</f>
        <v/>
      </c>
      <c r="O3072" s="9" t="inlineStr">
        <is>
          <t>카페240[타임특가] 라베나 리:커버리 스타터 패키지 (샴푸 1+헤어팩 트리트먼트 1+ 뉴트리셔스 밤 1)210201</t>
        </is>
      </c>
    </row>
    <row r="3073">
      <c r="B3073" s="10" t="n">
        <v>44323</v>
      </c>
      <c r="C3073" s="9" t="inlineStr">
        <is>
          <t>금</t>
        </is>
      </c>
      <c r="E3073" s="9" t="inlineStr">
        <is>
          <t>뉴트리셔스밤</t>
        </is>
      </c>
      <c r="F3073" s="9" t="inlineStr">
        <is>
          <t>카페24</t>
        </is>
      </c>
      <c r="G3073" s="9" t="inlineStr">
        <is>
          <t>라베나 리커버리 15 뉴트리셔스 밤제품선택=헤어 리커버리 15 뉴트리셔스 밤</t>
        </is>
      </c>
      <c r="H3073" s="9" t="n">
        <v>2</v>
      </c>
      <c r="I3073" s="9" t="inlineStr">
        <is>
          <t>뉴트리셔스밤</t>
        </is>
      </c>
      <c r="J3073" s="9" t="inlineStr">
        <is>
          <t>210201</t>
        </is>
      </c>
      <c r="L3073" s="9">
        <f>24900*2</f>
        <v/>
      </c>
      <c r="M3073" s="9">
        <f>49800-(49800/5.85)</f>
        <v/>
      </c>
      <c r="N3073" s="9">
        <f>1580*2</f>
        <v/>
      </c>
      <c r="O3073" s="9" t="inlineStr">
        <is>
          <t>카페240라베나 리커버리 15 뉴트리셔스 밤제품선택=헤어 리커버리 15 뉴트리셔스 밤210201</t>
        </is>
      </c>
    </row>
    <row r="3074">
      <c r="B3074" s="10" t="n">
        <v>44323</v>
      </c>
      <c r="C3074" s="9" t="inlineStr">
        <is>
          <t>금</t>
        </is>
      </c>
      <c r="E3074" s="9" t="inlineStr">
        <is>
          <t>샴푸</t>
        </is>
      </c>
      <c r="F3074" s="9" t="inlineStr">
        <is>
          <t>카페24</t>
        </is>
      </c>
      <c r="G3074" s="9" t="inlineStr">
        <is>
          <t>라베나 리커버리 15 리바이탈 바이오플라보노이드샴푸제품선택=헤어 리커버리 15 리바이탈 샴푸 - 500ml</t>
        </is>
      </c>
      <c r="H3074" s="9" t="n">
        <v>30</v>
      </c>
      <c r="I3074" s="9" t="inlineStr">
        <is>
          <t>리바이탈 샴푸</t>
        </is>
      </c>
      <c r="J3074" s="9" t="inlineStr">
        <is>
          <t>210201</t>
        </is>
      </c>
      <c r="L3074" s="9">
        <f>26900*30</f>
        <v/>
      </c>
      <c r="M3074" s="9">
        <f>807000-(807000/5.85)</f>
        <v/>
      </c>
      <c r="N3074" s="9">
        <f>2865*30</f>
        <v/>
      </c>
      <c r="O3074" s="9" t="inlineStr">
        <is>
          <t>카페240라베나 리커버리 15 리바이탈 바이오플라보노이드샴푸제품선택=헤어 리커버리 15 리바이탈 샴푸 - 500ml210201</t>
        </is>
      </c>
    </row>
    <row r="3075">
      <c r="B3075" s="10" t="n">
        <v>44323</v>
      </c>
      <c r="C3075" s="9" t="inlineStr">
        <is>
          <t>금</t>
        </is>
      </c>
      <c r="E3075" s="9" t="inlineStr">
        <is>
          <t>샴푸</t>
        </is>
      </c>
      <c r="F3075" s="9" t="inlineStr">
        <is>
          <t>카페24</t>
        </is>
      </c>
      <c r="G3075" s="9" t="inlineStr">
        <is>
          <t>라베나 리커버리 15 리바이탈 바이오플라보노이드샴푸제품선택=리바이탈 샴푸 2개 세트 5%추가할인</t>
        </is>
      </c>
      <c r="H3075" s="9" t="n">
        <v>16</v>
      </c>
      <c r="I3075" s="9" t="inlineStr">
        <is>
          <t>리바이탈 샴푸 2set</t>
        </is>
      </c>
      <c r="J3075" s="9" t="inlineStr">
        <is>
          <t>210201</t>
        </is>
      </c>
      <c r="L3075" s="9">
        <f>51110*16</f>
        <v/>
      </c>
      <c r="M3075" s="9">
        <f>817760-(817760/5.85)</f>
        <v/>
      </c>
      <c r="N3075" s="9">
        <f>2865*32</f>
        <v/>
      </c>
      <c r="O3075" s="9" t="inlineStr">
        <is>
          <t>카페240라베나 리커버리 15 리바이탈 바이오플라보노이드샴푸제품선택=리바이탈 샴푸 2개 세트 5%추가할인210201</t>
        </is>
      </c>
    </row>
    <row r="3076">
      <c r="B3076" s="10" t="n">
        <v>44323</v>
      </c>
      <c r="C3076" s="9" t="inlineStr">
        <is>
          <t>금</t>
        </is>
      </c>
      <c r="E3076" s="9" t="inlineStr">
        <is>
          <t>샴푸</t>
        </is>
      </c>
      <c r="F3076" s="9" t="inlineStr">
        <is>
          <t>카페24</t>
        </is>
      </c>
      <c r="G3076" s="9" t="inlineStr">
        <is>
          <t>라베나 리커버리 15 리바이탈 바이오플라보노이드샴푸제품선택=리바이탈 샴푸 3개 세트 10% 추가할인</t>
        </is>
      </c>
      <c r="H3076" s="9" t="n">
        <v>5</v>
      </c>
      <c r="I3076" s="9" t="inlineStr">
        <is>
          <t>리바이탈 샴푸 3set</t>
        </is>
      </c>
      <c r="J3076" s="9" t="inlineStr">
        <is>
          <t>210201</t>
        </is>
      </c>
      <c r="L3076" s="9">
        <f>72630*5</f>
        <v/>
      </c>
      <c r="M3076" s="9">
        <f>363150-(363150/5.85)</f>
        <v/>
      </c>
      <c r="N3076" s="9">
        <f>2865*15</f>
        <v/>
      </c>
      <c r="O3076" s="9" t="inlineStr">
        <is>
          <t>카페240라베나 리커버리 15 리바이탈 바이오플라보노이드샴푸제품선택=리바이탈 샴푸 3개 세트 10% 추가할인210201</t>
        </is>
      </c>
    </row>
    <row r="3077">
      <c r="B3077" s="10" t="n">
        <v>44323</v>
      </c>
      <c r="C3077" s="9" t="inlineStr">
        <is>
          <t>금</t>
        </is>
      </c>
      <c r="E3077" s="9" t="inlineStr">
        <is>
          <t>트리트먼트</t>
        </is>
      </c>
      <c r="F3077" s="9" t="inlineStr">
        <is>
          <t>카페24</t>
        </is>
      </c>
      <c r="G3077" s="9" t="inlineStr">
        <is>
          <t>라베나 리커버리 15 헤어팩 트리트먼트제품선택=헤어팩 트리트먼트 3개 세트 10% 추가할인</t>
        </is>
      </c>
      <c r="H3077" s="9" t="n">
        <v>1</v>
      </c>
      <c r="I3077" s="9" t="inlineStr">
        <is>
          <t>트리트먼트 3set</t>
        </is>
      </c>
      <c r="J3077" s="9" t="inlineStr">
        <is>
          <t>210201</t>
        </is>
      </c>
      <c r="L3077" s="9" t="n">
        <v>70200</v>
      </c>
      <c r="M3077" s="9">
        <f>70200-(70200/5.85)</f>
        <v/>
      </c>
      <c r="N3077" s="9">
        <f>1597*3</f>
        <v/>
      </c>
      <c r="O3077" s="9" t="inlineStr">
        <is>
          <t>카페240라베나 리커버리 15 헤어팩 트리트먼트제품선택=헤어팩 트리트먼트 3개 세트 10% 추가할인210201</t>
        </is>
      </c>
    </row>
    <row r="3078">
      <c r="B3078" s="10" t="n">
        <v>44323</v>
      </c>
      <c r="C3078" s="9" t="inlineStr">
        <is>
          <t>금</t>
        </is>
      </c>
      <c r="E3078" s="9" t="inlineStr">
        <is>
          <t>트리트먼트</t>
        </is>
      </c>
      <c r="F3078" s="9" t="inlineStr">
        <is>
          <t>카페24</t>
        </is>
      </c>
      <c r="G3078" s="9" t="inlineStr">
        <is>
          <t>라베나 리커버리 15 헤어팩 트리트먼트제품선택=헤어팩 트리트먼트 1개 + 뉴트리셔스밤 1개 세트 5% 추가할인</t>
        </is>
      </c>
      <c r="H3078" s="9" t="n">
        <v>1</v>
      </c>
      <c r="I3078" s="9" t="inlineStr">
        <is>
          <t>트리트먼트1+뉴트리셔스밤1</t>
        </is>
      </c>
      <c r="J3078" s="9" t="inlineStr">
        <is>
          <t>210201</t>
        </is>
      </c>
      <c r="L3078" s="9" t="n">
        <v>48355</v>
      </c>
      <c r="M3078" s="9">
        <f>48355-(48355/5.85)</f>
        <v/>
      </c>
      <c r="N3078" s="9">
        <f>1597+1580</f>
        <v/>
      </c>
      <c r="O3078" s="9" t="inlineStr">
        <is>
          <t>카페240라베나 리커버리 15 헤어팩 트리트먼트제품선택=헤어팩 트리트먼트 1개 + 뉴트리셔스밤 1개 세트 5% 추가할인210201</t>
        </is>
      </c>
    </row>
    <row r="3079">
      <c r="B3079" s="10" t="n">
        <v>44324</v>
      </c>
      <c r="C3079" s="9" t="inlineStr">
        <is>
          <t>토</t>
        </is>
      </c>
      <c r="E3079" s="9" t="inlineStr">
        <is>
          <t>샴푸</t>
        </is>
      </c>
      <c r="F3079" s="9" t="inlineStr">
        <is>
          <t>카페24</t>
        </is>
      </c>
      <c r="G3079" s="9" t="inlineStr">
        <is>
          <t>[타임특가] 라베나 리:커버리 3개월 패키지 (샴푸 2+ 트리트먼트 택 1)샴푸2 + 트리트먼트 택 1=샴푸2 + 헤어팩 트리트먼트1</t>
        </is>
      </c>
      <c r="H3079" s="9" t="n">
        <v>3</v>
      </c>
      <c r="I3079" s="9" t="inlineStr">
        <is>
          <t>리바이탈 샴푸2+트리트먼트1</t>
        </is>
      </c>
      <c r="J3079" s="9" t="inlineStr">
        <is>
          <t>210201</t>
        </is>
      </c>
      <c r="L3079" s="9">
        <f>62280*3</f>
        <v/>
      </c>
      <c r="M3079" s="9">
        <f>186840-(186840/5.85)</f>
        <v/>
      </c>
      <c r="N3079" s="9">
        <f>7327*3</f>
        <v/>
      </c>
      <c r="O3079" s="9" t="inlineStr">
        <is>
          <t>카페240[타임특가] 라베나 리:커버리 3개월 패키지 (샴푸 2+ 트리트먼트 택 1)샴푸2 + 트리트먼트 택 1=샴푸2 + 헤어팩 트리트먼트1210201</t>
        </is>
      </c>
    </row>
    <row r="3080">
      <c r="B3080" s="10" t="n">
        <v>44324</v>
      </c>
      <c r="C3080" s="9" t="inlineStr">
        <is>
          <t>토</t>
        </is>
      </c>
      <c r="E3080" s="9" t="inlineStr">
        <is>
          <t>샴푸</t>
        </is>
      </c>
      <c r="F3080" s="9" t="inlineStr">
        <is>
          <t>카페24</t>
        </is>
      </c>
      <c r="G3080" s="9" t="inlineStr">
        <is>
          <t>[타임특가] 라베나 리:커버리 6개월 패키지 (샴푸 5+ 트리트먼트 택 1)샴푸 5 + 트리트먼트 택 1=샴푸 5 + 뉴트리셔스 밤 1</t>
        </is>
      </c>
      <c r="H3080" s="9" t="n">
        <v>1</v>
      </c>
      <c r="I3080" s="9" t="inlineStr">
        <is>
          <t>리바이탈 샴푸5+뉴트리셔스밤1</t>
        </is>
      </c>
      <c r="J3080" s="9" t="inlineStr">
        <is>
          <t>210201</t>
        </is>
      </c>
      <c r="L3080" s="9">
        <f>114840</f>
        <v/>
      </c>
      <c r="M3080" s="9">
        <f>114840-(114840/5.85)</f>
        <v/>
      </c>
      <c r="N3080" s="9">
        <f>15905</f>
        <v/>
      </c>
      <c r="O3080" s="9" t="inlineStr">
        <is>
          <t>카페240[타임특가] 라베나 리:커버리 6개월 패키지 (샴푸 5+ 트리트먼트 택 1)샴푸 5 + 트리트먼트 택 1=샴푸 5 + 뉴트리셔스 밤 1210201</t>
        </is>
      </c>
    </row>
    <row r="3081">
      <c r="B3081" s="10" t="n">
        <v>44324</v>
      </c>
      <c r="C3081" s="9" t="inlineStr">
        <is>
          <t>토</t>
        </is>
      </c>
      <c r="E3081" s="9" t="inlineStr">
        <is>
          <t>샴푸</t>
        </is>
      </c>
      <c r="F3081" s="9" t="inlineStr">
        <is>
          <t>카페24</t>
        </is>
      </c>
      <c r="G3081" s="9" t="inlineStr">
        <is>
          <t>[타임특가] 라베나 리:커버리 6개월 패키지 (샴푸 5+ 트리트먼트 택 1)샴푸 5 + 트리트먼트 택 1=샴푸 5 + 헤어팩 트리트먼트 1</t>
        </is>
      </c>
      <c r="H3081" s="9" t="n">
        <v>5</v>
      </c>
      <c r="I3081" s="9" t="inlineStr">
        <is>
          <t>리바이탈 샴푸5+트리트먼트1</t>
        </is>
      </c>
      <c r="J3081" s="9" t="inlineStr">
        <is>
          <t>210201</t>
        </is>
      </c>
      <c r="L3081" s="9">
        <f>114840*5</f>
        <v/>
      </c>
      <c r="M3081" s="9">
        <f>574200-(574200/5.85)</f>
        <v/>
      </c>
      <c r="N3081" s="9">
        <f>15922*5</f>
        <v/>
      </c>
      <c r="O3081" s="9" t="inlineStr">
        <is>
          <t>카페240[타임특가] 라베나 리:커버리 6개월 패키지 (샴푸 5+ 트리트먼트 택 1)샴푸 5 + 트리트먼트 택 1=샴푸 5 + 헤어팩 트리트먼트 1210201</t>
        </is>
      </c>
    </row>
    <row r="3082">
      <c r="B3082" s="10" t="n">
        <v>44324</v>
      </c>
      <c r="C3082" s="9" t="inlineStr">
        <is>
          <t>토</t>
        </is>
      </c>
      <c r="E3082" s="9" t="inlineStr">
        <is>
          <t>뉴트리셔스밤</t>
        </is>
      </c>
      <c r="F3082" s="9" t="inlineStr">
        <is>
          <t>카페24</t>
        </is>
      </c>
      <c r="G3082" s="9" t="inlineStr">
        <is>
          <t>라베나 리커버리 15 뉴트리셔스 밤제품선택=헤어 리커버리 15 뉴트리셔스 밤</t>
        </is>
      </c>
      <c r="H3082" s="9" t="n">
        <v>1</v>
      </c>
      <c r="I3082" s="9" t="inlineStr">
        <is>
          <t>뉴트리셔스밤</t>
        </is>
      </c>
      <c r="J3082" s="9" t="inlineStr">
        <is>
          <t>210201</t>
        </is>
      </c>
      <c r="L3082" s="9">
        <f>24900</f>
        <v/>
      </c>
      <c r="M3082" s="9">
        <f>24900-(24900/5.85)</f>
        <v/>
      </c>
      <c r="N3082" s="9">
        <f>1580</f>
        <v/>
      </c>
      <c r="O3082" s="9" t="inlineStr">
        <is>
          <t>카페240라베나 리커버리 15 뉴트리셔스 밤제품선택=헤어 리커버리 15 뉴트리셔스 밤210201</t>
        </is>
      </c>
    </row>
    <row r="3083">
      <c r="B3083" s="10" t="n">
        <v>44324</v>
      </c>
      <c r="C3083" s="9" t="inlineStr">
        <is>
          <t>토</t>
        </is>
      </c>
      <c r="E3083" s="9" t="inlineStr">
        <is>
          <t>샴푸</t>
        </is>
      </c>
      <c r="F3083" s="9" t="inlineStr">
        <is>
          <t>카페24</t>
        </is>
      </c>
      <c r="G3083" s="9" t="inlineStr">
        <is>
          <t>라베나 리커버리 15 리바이탈 바이오플라보노이드샴푸제품선택=헤어 리커버리 15 리바이탈 샴푸 - 500ml</t>
        </is>
      </c>
      <c r="H3083" s="9" t="n">
        <v>29</v>
      </c>
      <c r="I3083" s="9" t="inlineStr">
        <is>
          <t>리바이탈 샴푸</t>
        </is>
      </c>
      <c r="J3083" s="9" t="inlineStr">
        <is>
          <t>210201</t>
        </is>
      </c>
      <c r="L3083" s="9">
        <f>26900*29</f>
        <v/>
      </c>
      <c r="M3083" s="9">
        <f>780100-(780100/5.85)</f>
        <v/>
      </c>
      <c r="N3083" s="9">
        <f>2865*29</f>
        <v/>
      </c>
      <c r="O3083" s="9" t="inlineStr">
        <is>
          <t>카페240라베나 리커버리 15 리바이탈 바이오플라보노이드샴푸제품선택=헤어 리커버리 15 리바이탈 샴푸 - 500ml210201</t>
        </is>
      </c>
    </row>
    <row r="3084">
      <c r="B3084" s="10" t="n">
        <v>44324</v>
      </c>
      <c r="C3084" s="9" t="inlineStr">
        <is>
          <t>토</t>
        </is>
      </c>
      <c r="E3084" s="9" t="inlineStr">
        <is>
          <t>샴푸</t>
        </is>
      </c>
      <c r="F3084" s="9" t="inlineStr">
        <is>
          <t>카페24</t>
        </is>
      </c>
      <c r="G3084" s="9" t="inlineStr">
        <is>
          <t>라베나 리커버리 15 리바이탈 바이오플라보노이드샴푸제품선택=리바이탈 샴푸 2개 세트 5%추가할인</t>
        </is>
      </c>
      <c r="H3084" s="9" t="n">
        <v>11</v>
      </c>
      <c r="I3084" s="9" t="inlineStr">
        <is>
          <t>리바이탈 샴푸 2set</t>
        </is>
      </c>
      <c r="J3084" s="9" t="inlineStr">
        <is>
          <t>210201</t>
        </is>
      </c>
      <c r="L3084" s="9">
        <f>51110*11</f>
        <v/>
      </c>
      <c r="M3084" s="9">
        <f>562210-(562210/5.85)</f>
        <v/>
      </c>
      <c r="N3084" s="9">
        <f>2865*22</f>
        <v/>
      </c>
      <c r="O3084" s="9" t="inlineStr">
        <is>
          <t>카페240라베나 리커버리 15 리바이탈 바이오플라보노이드샴푸제품선택=리바이탈 샴푸 2개 세트 5%추가할인210201</t>
        </is>
      </c>
    </row>
    <row r="3085">
      <c r="B3085" s="10" t="n">
        <v>44324</v>
      </c>
      <c r="C3085" s="9" t="inlineStr">
        <is>
          <t>토</t>
        </is>
      </c>
      <c r="E3085" s="9" t="inlineStr">
        <is>
          <t>샴푸</t>
        </is>
      </c>
      <c r="F3085" s="9" t="inlineStr">
        <is>
          <t>카페24</t>
        </is>
      </c>
      <c r="G3085" s="9" t="inlineStr">
        <is>
          <t>라베나 리커버리 15 리바이탈 바이오플라보노이드샴푸제품선택=리바이탈 샴푸 3개 세트 10% 추가할인</t>
        </is>
      </c>
      <c r="H3085" s="9" t="n">
        <v>6</v>
      </c>
      <c r="I3085" s="9" t="inlineStr">
        <is>
          <t>리바이탈 샴푸 3set</t>
        </is>
      </c>
      <c r="J3085" s="9" t="inlineStr">
        <is>
          <t>210201</t>
        </is>
      </c>
      <c r="L3085" s="9">
        <f>72630*6</f>
        <v/>
      </c>
      <c r="M3085" s="9">
        <f>435780-(435780/5.85)</f>
        <v/>
      </c>
      <c r="N3085" s="9">
        <f>2865*18</f>
        <v/>
      </c>
      <c r="O3085" s="9" t="inlineStr">
        <is>
          <t>카페240라베나 리커버리 15 리바이탈 바이오플라보노이드샴푸제품선택=리바이탈 샴푸 3개 세트 10% 추가할인210201</t>
        </is>
      </c>
    </row>
    <row r="3086">
      <c r="B3086" s="10" t="n">
        <v>44324</v>
      </c>
      <c r="C3086" s="9" t="inlineStr">
        <is>
          <t>토</t>
        </is>
      </c>
      <c r="E3086" s="9" t="inlineStr">
        <is>
          <t>트리트먼트</t>
        </is>
      </c>
      <c r="F3086" s="9" t="inlineStr">
        <is>
          <t>카페24</t>
        </is>
      </c>
      <c r="G3086" s="9" t="inlineStr">
        <is>
          <t>라베나 리커버리 15 헤어팩 트리트먼트제품선택=헤어팩 트리트먼트 1개 + 뉴트리셔스밤 1개 세트 5% 추가할인</t>
        </is>
      </c>
      <c r="H3086" s="9" t="n">
        <v>1</v>
      </c>
      <c r="I3086" s="9" t="inlineStr">
        <is>
          <t>트리트먼트1+뉴트리셔스밤1</t>
        </is>
      </c>
      <c r="J3086" s="9" t="inlineStr">
        <is>
          <t>210201</t>
        </is>
      </c>
      <c r="L3086" s="9" t="n">
        <v>48355</v>
      </c>
      <c r="M3086" s="9">
        <f>48355-(48355/5.85)</f>
        <v/>
      </c>
      <c r="N3086" s="9">
        <f>1597+1580</f>
        <v/>
      </c>
      <c r="O3086" s="9" t="inlineStr">
        <is>
          <t>카페240라베나 리커버리 15 헤어팩 트리트먼트제품선택=헤어팩 트리트먼트 1개 + 뉴트리셔스밤 1개 세트 5% 추가할인210201</t>
        </is>
      </c>
    </row>
    <row r="3087">
      <c r="B3087" s="10" t="n">
        <v>44325</v>
      </c>
      <c r="C3087" s="9" t="inlineStr">
        <is>
          <t>일</t>
        </is>
      </c>
      <c r="E3087" s="9" t="inlineStr">
        <is>
          <t>샴푸</t>
        </is>
      </c>
      <c r="F3087" s="9" t="inlineStr">
        <is>
          <t>카페24</t>
        </is>
      </c>
      <c r="G3087" s="9" t="inlineStr">
        <is>
          <t>[타임특가] 라베나 리:커버리 3개월 패키지 (샴푸 2+ 트리트먼트 택 1)샴푸2 + 트리트먼트 택 1=샴푸2 + 뉴트리셔스 밤1</t>
        </is>
      </c>
      <c r="H3087" s="9" t="n">
        <v>1</v>
      </c>
      <c r="I3087" s="9" t="inlineStr">
        <is>
          <t>리바이탈 샴푸2+뉴트리셔스밤1</t>
        </is>
      </c>
      <c r="J3087" s="9" t="inlineStr">
        <is>
          <t>210201</t>
        </is>
      </c>
      <c r="L3087" s="9">
        <f>62280</f>
        <v/>
      </c>
      <c r="M3087" s="9">
        <f>62280-(62280/5.85)</f>
        <v/>
      </c>
      <c r="N3087" s="9">
        <f>(2865*2)+1580</f>
        <v/>
      </c>
      <c r="O3087" s="9" t="inlineStr">
        <is>
          <t>카페240[타임특가] 라베나 리:커버리 3개월 패키지 (샴푸 2+ 트리트먼트 택 1)샴푸2 + 트리트먼트 택 1=샴푸2 + 뉴트리셔스 밤1210201</t>
        </is>
      </c>
    </row>
    <row r="3088">
      <c r="B3088" s="10" t="n">
        <v>44325</v>
      </c>
      <c r="C3088" s="9" t="inlineStr">
        <is>
          <t>일</t>
        </is>
      </c>
      <c r="E3088" s="9" t="inlineStr">
        <is>
          <t>샴푸</t>
        </is>
      </c>
      <c r="F3088" s="9" t="inlineStr">
        <is>
          <t>카페24</t>
        </is>
      </c>
      <c r="G3088" s="9" t="inlineStr">
        <is>
          <t>[타임특가] 라베나 리:커버리 6개월 패키지 (샴푸 5+ 트리트먼트 택 1)샴푸 5 + 트리트먼트 택 1=샴푸 5 + 뉴트리셔스 밤 1</t>
        </is>
      </c>
      <c r="H3088" s="9" t="n">
        <v>1</v>
      </c>
      <c r="I3088" s="9" t="inlineStr">
        <is>
          <t>리바이탈 샴푸5+뉴트리셔스밤1</t>
        </is>
      </c>
      <c r="J3088" s="9" t="inlineStr">
        <is>
          <t>210201</t>
        </is>
      </c>
      <c r="L3088" s="9">
        <f>114840</f>
        <v/>
      </c>
      <c r="M3088" s="9">
        <f>114840-(114840/5.85)</f>
        <v/>
      </c>
      <c r="N3088" s="9">
        <f>15905</f>
        <v/>
      </c>
      <c r="O3088" s="9" t="inlineStr">
        <is>
          <t>카페240[타임특가] 라베나 리:커버리 6개월 패키지 (샴푸 5+ 트리트먼트 택 1)샴푸 5 + 트리트먼트 택 1=샴푸 5 + 뉴트리셔스 밤 1210201</t>
        </is>
      </c>
    </row>
    <row r="3089">
      <c r="B3089" s="10" t="n">
        <v>44325</v>
      </c>
      <c r="C3089" s="9" t="inlineStr">
        <is>
          <t>일</t>
        </is>
      </c>
      <c r="E3089" s="9" t="inlineStr">
        <is>
          <t>샴푸</t>
        </is>
      </c>
      <c r="F3089" s="9" t="inlineStr">
        <is>
          <t>카페24</t>
        </is>
      </c>
      <c r="G3089" s="9" t="inlineStr">
        <is>
          <t>[타임특가] 라베나 리:커버리 6개월 패키지 (샴푸 5+ 트리트먼트 택 1)샴푸 5 + 트리트먼트 택 1=샴푸 5 + 헤어팩 트리트먼트 1</t>
        </is>
      </c>
      <c r="H3089" s="9" t="n">
        <v>1</v>
      </c>
      <c r="I3089" s="9" t="inlineStr">
        <is>
          <t>리바이탈 샴푸5+트리트먼트1</t>
        </is>
      </c>
      <c r="J3089" s="9" t="inlineStr">
        <is>
          <t>210201</t>
        </is>
      </c>
      <c r="L3089" s="9">
        <f>114840</f>
        <v/>
      </c>
      <c r="M3089" s="9">
        <f>114840-(114840/5.85)</f>
        <v/>
      </c>
      <c r="N3089" s="9">
        <f>15922</f>
        <v/>
      </c>
      <c r="O3089" s="9" t="inlineStr">
        <is>
          <t>카페240[타임특가] 라베나 리:커버리 6개월 패키지 (샴푸 5+ 트리트먼트 택 1)샴푸 5 + 트리트먼트 택 1=샴푸 5 + 헤어팩 트리트먼트 1210201</t>
        </is>
      </c>
    </row>
    <row r="3090">
      <c r="B3090" s="10" t="n">
        <v>44325</v>
      </c>
      <c r="C3090" s="9" t="inlineStr">
        <is>
          <t>일</t>
        </is>
      </c>
      <c r="E3090" s="9" t="inlineStr">
        <is>
          <t>샴푸</t>
        </is>
      </c>
      <c r="F3090" s="9" t="inlineStr">
        <is>
          <t>카페24</t>
        </is>
      </c>
      <c r="G3090" s="9" t="inlineStr">
        <is>
          <t>[타임특가] 라베나 리:커버리 온가족 패키지 (샴푸 3+ 헤어팩 트리트먼트 1+뉴트리셔스 밤 1)</t>
        </is>
      </c>
      <c r="H3090" s="9" t="n">
        <v>1</v>
      </c>
      <c r="I3090" s="9" t="inlineStr">
        <is>
          <t>리바이탈 샴푸3+트리트먼트1+뉴트리셔스밤1</t>
        </is>
      </c>
      <c r="J3090" s="9" t="inlineStr">
        <is>
          <t>210201</t>
        </is>
      </c>
      <c r="L3090" s="9">
        <f>94765</f>
        <v/>
      </c>
      <c r="M3090" s="9">
        <f>94765-(94765/5.85)</f>
        <v/>
      </c>
      <c r="N3090" s="9">
        <f>11772</f>
        <v/>
      </c>
      <c r="O3090" s="9" t="inlineStr">
        <is>
          <t>카페240[타임특가] 라베나 리:커버리 온가족 패키지 (샴푸 3+ 헤어팩 트리트먼트 1+뉴트리셔스 밤 1)210201</t>
        </is>
      </c>
    </row>
    <row r="3091">
      <c r="B3091" s="10" t="n">
        <v>44325</v>
      </c>
      <c r="C3091" s="9" t="inlineStr">
        <is>
          <t>일</t>
        </is>
      </c>
      <c r="E3091" s="9" t="inlineStr">
        <is>
          <t>뉴트리셔스밤</t>
        </is>
      </c>
      <c r="F3091" s="9" t="inlineStr">
        <is>
          <t>카페24</t>
        </is>
      </c>
      <c r="G3091" s="9" t="inlineStr">
        <is>
          <t>라베나 리커버리 15 뉴트리셔스 밤제품선택=헤어 리커버리 15 뉴트리셔스 밤</t>
        </is>
      </c>
      <c r="H3091" s="9" t="n">
        <v>2</v>
      </c>
      <c r="I3091" s="9" t="inlineStr">
        <is>
          <t>뉴트리셔스밤</t>
        </is>
      </c>
      <c r="J3091" s="9" t="inlineStr">
        <is>
          <t>210201</t>
        </is>
      </c>
      <c r="L3091" s="9">
        <f>24900*2</f>
        <v/>
      </c>
      <c r="M3091" s="9">
        <f>49800-(49800/5.85)</f>
        <v/>
      </c>
      <c r="N3091" s="9">
        <f>1580*2</f>
        <v/>
      </c>
      <c r="O3091" s="9" t="inlineStr">
        <is>
          <t>카페240라베나 리커버리 15 뉴트리셔스 밤제품선택=헤어 리커버리 15 뉴트리셔스 밤210201</t>
        </is>
      </c>
    </row>
    <row r="3092">
      <c r="B3092" s="10" t="n">
        <v>44325</v>
      </c>
      <c r="C3092" s="9" t="inlineStr">
        <is>
          <t>일</t>
        </is>
      </c>
      <c r="E3092" s="9" t="inlineStr">
        <is>
          <t>뉴트리셔스밤</t>
        </is>
      </c>
      <c r="F3092" s="9" t="inlineStr">
        <is>
          <t>카페24</t>
        </is>
      </c>
      <c r="G3092" s="9" t="inlineStr">
        <is>
          <t>라베나 리커버리 15 뉴트리셔스 밤제품선택=뉴트리셔스 밤 2개 세트 5% 추가할인</t>
        </is>
      </c>
      <c r="H3092" s="9" t="n">
        <v>1</v>
      </c>
      <c r="I3092" s="9" t="inlineStr">
        <is>
          <t>뉴트리셔스밤 2set</t>
        </is>
      </c>
      <c r="J3092" s="9" t="inlineStr">
        <is>
          <t>210201</t>
        </is>
      </c>
      <c r="L3092" s="9" t="n">
        <v>47310</v>
      </c>
      <c r="M3092" s="9">
        <f>47310-(47310/5.85)</f>
        <v/>
      </c>
      <c r="N3092" s="9">
        <f>1580*2</f>
        <v/>
      </c>
      <c r="O3092" s="9" t="inlineStr">
        <is>
          <t>카페240라베나 리커버리 15 뉴트리셔스 밤제품선택=뉴트리셔스 밤 2개 세트 5% 추가할인210201</t>
        </is>
      </c>
    </row>
    <row r="3093">
      <c r="B3093" s="10" t="n">
        <v>44325</v>
      </c>
      <c r="C3093" s="9" t="inlineStr">
        <is>
          <t>일</t>
        </is>
      </c>
      <c r="E3093" s="9" t="inlineStr">
        <is>
          <t>샴푸</t>
        </is>
      </c>
      <c r="F3093" s="9" t="inlineStr">
        <is>
          <t>카페24</t>
        </is>
      </c>
      <c r="G3093" s="9" t="inlineStr">
        <is>
          <t>라베나 리커버리 15 리바이탈 바이오플라보노이드샴푸제품선택=헤어 리커버리 15 리바이탈 샴푸 - 500ml</t>
        </is>
      </c>
      <c r="H3093" s="9" t="n">
        <v>38</v>
      </c>
      <c r="I3093" s="9" t="inlineStr">
        <is>
          <t>리바이탈 샴푸</t>
        </is>
      </c>
      <c r="J3093" s="9" t="inlineStr">
        <is>
          <t>210201</t>
        </is>
      </c>
      <c r="L3093" s="9">
        <f>26900*38</f>
        <v/>
      </c>
      <c r="M3093" s="9">
        <f>1022200-(1022200/5.85)</f>
        <v/>
      </c>
      <c r="N3093" s="9">
        <f>2865*38</f>
        <v/>
      </c>
      <c r="O3093" s="9" t="inlineStr">
        <is>
          <t>카페240라베나 리커버리 15 리바이탈 바이오플라보노이드샴푸제품선택=헤어 리커버리 15 리바이탈 샴푸 - 500ml210201</t>
        </is>
      </c>
    </row>
    <row r="3094">
      <c r="B3094" s="10" t="n">
        <v>44325</v>
      </c>
      <c r="C3094" s="9" t="inlineStr">
        <is>
          <t>일</t>
        </is>
      </c>
      <c r="E3094" s="9" t="inlineStr">
        <is>
          <t>샴푸</t>
        </is>
      </c>
      <c r="F3094" s="9" t="inlineStr">
        <is>
          <t>카페24</t>
        </is>
      </c>
      <c r="G3094" s="9" t="inlineStr">
        <is>
          <t>라베나 리커버리 15 리바이탈 바이오플라보노이드샴푸제품선택=리바이탈 샴푸 2개 세트 5%추가할인</t>
        </is>
      </c>
      <c r="H3094" s="9" t="n">
        <v>15</v>
      </c>
      <c r="I3094" s="9" t="inlineStr">
        <is>
          <t>리바이탈 샴푸 2set</t>
        </is>
      </c>
      <c r="J3094" s="9" t="inlineStr">
        <is>
          <t>210201</t>
        </is>
      </c>
      <c r="L3094" s="9">
        <f>51110*15</f>
        <v/>
      </c>
      <c r="M3094" s="9">
        <f>766650-(766650/5.85)</f>
        <v/>
      </c>
      <c r="N3094" s="9">
        <f>2865*30</f>
        <v/>
      </c>
      <c r="O3094" s="9" t="inlineStr">
        <is>
          <t>카페240라베나 리커버리 15 리바이탈 바이오플라보노이드샴푸제품선택=리바이탈 샴푸 2개 세트 5%추가할인210201</t>
        </is>
      </c>
    </row>
    <row r="3095">
      <c r="B3095" s="10" t="n">
        <v>44325</v>
      </c>
      <c r="C3095" s="9" t="inlineStr">
        <is>
          <t>일</t>
        </is>
      </c>
      <c r="E3095" s="9" t="inlineStr">
        <is>
          <t>샴푸</t>
        </is>
      </c>
      <c r="F3095" s="9" t="inlineStr">
        <is>
          <t>카페24</t>
        </is>
      </c>
      <c r="G3095" s="9" t="inlineStr">
        <is>
          <t>라베나 리커버리 15 리바이탈 바이오플라보노이드샴푸제품선택=리바이탈 샴푸 3개 세트 10% 추가할인</t>
        </is>
      </c>
      <c r="H3095" s="9" t="n">
        <v>4</v>
      </c>
      <c r="I3095" s="9" t="inlineStr">
        <is>
          <t>리바이탈 샴푸 3set</t>
        </is>
      </c>
      <c r="J3095" s="9" t="inlineStr">
        <is>
          <t>210201</t>
        </is>
      </c>
      <c r="L3095" s="9">
        <f>72630*4</f>
        <v/>
      </c>
      <c r="M3095" s="9">
        <f>290520-(290520/5.85)</f>
        <v/>
      </c>
      <c r="N3095" s="9">
        <f>2865*12</f>
        <v/>
      </c>
      <c r="O3095" s="9" t="inlineStr">
        <is>
          <t>카페240라베나 리커버리 15 리바이탈 바이오플라보노이드샴푸제품선택=리바이탈 샴푸 3개 세트 10% 추가할인210201</t>
        </is>
      </c>
    </row>
    <row r="3096">
      <c r="B3096" s="10" t="n">
        <v>44325</v>
      </c>
      <c r="C3096" s="9" t="inlineStr">
        <is>
          <t>일</t>
        </is>
      </c>
      <c r="E3096" s="9" t="inlineStr">
        <is>
          <t>트리트먼트</t>
        </is>
      </c>
      <c r="F3096" s="9" t="inlineStr">
        <is>
          <t>카페24</t>
        </is>
      </c>
      <c r="G3096" s="9" t="inlineStr">
        <is>
          <t>라베나 리커버리 15 헤어팩 트리트먼트제품선택=헤어팩 트리트먼트 1개 + 뉴트리셔스밤 1개 세트 5% 추가할인</t>
        </is>
      </c>
      <c r="H3096" s="9" t="n">
        <v>1</v>
      </c>
      <c r="I3096" s="9" t="inlineStr">
        <is>
          <t>트리트먼트1+뉴트리셔스밤1</t>
        </is>
      </c>
      <c r="J3096" s="9" t="inlineStr">
        <is>
          <t>210201</t>
        </is>
      </c>
      <c r="L3096" s="9" t="n">
        <v>48355</v>
      </c>
      <c r="M3096" s="9">
        <f>48355-(48355/5.85)</f>
        <v/>
      </c>
      <c r="N3096" s="9">
        <f>1597+1580</f>
        <v/>
      </c>
      <c r="O3096" s="9" t="inlineStr">
        <is>
          <t>카페240라베나 리커버리 15 헤어팩 트리트먼트제품선택=헤어팩 트리트먼트 1개 + 뉴트리셔스밤 1개 세트 5% 추가할인210201</t>
        </is>
      </c>
    </row>
    <row r="3097">
      <c r="A3097" s="9" t="inlineStr">
        <is>
          <t>0316~영상베리</t>
        </is>
      </c>
      <c r="B3097" s="10" t="n">
        <v>44326</v>
      </c>
      <c r="C3097" s="9" t="inlineStr">
        <is>
          <t>월</t>
        </is>
      </c>
      <c r="D3097" s="9" t="inlineStr">
        <is>
          <t>페이스북</t>
        </is>
      </c>
      <c r="E3097" s="9" t="inlineStr">
        <is>
          <t>샴푸</t>
        </is>
      </c>
      <c r="K3097" s="9" t="n">
        <v>98692</v>
      </c>
    </row>
    <row r="3098">
      <c r="A3098" s="9" t="inlineStr">
        <is>
          <t>0322_샴푸_GDN_이현1차</t>
        </is>
      </c>
      <c r="B3098" s="10" t="n">
        <v>44326</v>
      </c>
      <c r="C3098" s="9" t="inlineStr">
        <is>
          <t>월</t>
        </is>
      </c>
      <c r="D3098" s="9" t="inlineStr">
        <is>
          <t>GDN</t>
        </is>
      </c>
      <c r="E3098" s="9" t="inlineStr">
        <is>
          <t>샴푸</t>
        </is>
      </c>
      <c r="K3098" s="9" t="n">
        <v>50000</v>
      </c>
    </row>
    <row r="3099">
      <c r="A3099" s="9" t="inlineStr">
        <is>
          <t>0324_샴푸_VAC_CPA</t>
        </is>
      </c>
      <c r="B3099" s="10" t="n">
        <v>44326</v>
      </c>
      <c r="C3099" s="9" t="inlineStr">
        <is>
          <t>월</t>
        </is>
      </c>
      <c r="D3099" s="9" t="inlineStr">
        <is>
          <t>유튜브</t>
        </is>
      </c>
      <c r="E3099" s="9" t="inlineStr">
        <is>
          <t>샴푸</t>
        </is>
      </c>
      <c r="K3099" s="9" t="n">
        <v>820585</v>
      </c>
    </row>
    <row r="3100">
      <c r="A3100" s="9" t="inlineStr">
        <is>
          <t>0330_샴푸_cpv_200만뷰</t>
        </is>
      </c>
      <c r="B3100" s="10" t="n">
        <v>44326</v>
      </c>
      <c r="C3100" s="9" t="inlineStr">
        <is>
          <t>월</t>
        </is>
      </c>
      <c r="D3100" s="9" t="inlineStr">
        <is>
          <t>유튜브</t>
        </is>
      </c>
      <c r="E3100" s="9" t="inlineStr">
        <is>
          <t>샴푸</t>
        </is>
      </c>
      <c r="K3100" s="9" t="n">
        <v>72877</v>
      </c>
    </row>
    <row r="3101">
      <c r="A3101" s="9" t="inlineStr">
        <is>
          <t>라베나 파워링크_샴푸_광고그룹#1</t>
        </is>
      </c>
      <c r="B3101" s="10" t="n">
        <v>44326</v>
      </c>
      <c r="C3101" s="9" t="inlineStr">
        <is>
          <t>월</t>
        </is>
      </c>
      <c r="D3101" s="9" t="inlineStr">
        <is>
          <t>네이버 검색</t>
        </is>
      </c>
      <c r="E3101" s="9" t="inlineStr">
        <is>
          <t>샴푸</t>
        </is>
      </c>
      <c r="K3101" s="9" t="n">
        <v>749.9999999999999</v>
      </c>
    </row>
    <row r="3102">
      <c r="A3102" s="9" t="inlineStr">
        <is>
          <t>라베나 파워링크_샴푸#1_유튜브키워드기반</t>
        </is>
      </c>
      <c r="B3102" s="10" t="n">
        <v>44326</v>
      </c>
      <c r="C3102" s="9" t="inlineStr">
        <is>
          <t>월</t>
        </is>
      </c>
      <c r="D3102" s="9" t="inlineStr">
        <is>
          <t>네이버 검색</t>
        </is>
      </c>
      <c r="E3102" s="9" t="inlineStr">
        <is>
          <t>샴푸</t>
        </is>
      </c>
      <c r="K3102" s="9" t="n">
        <v>4350</v>
      </c>
    </row>
    <row r="3103">
      <c r="A3103" s="9" t="inlineStr">
        <is>
          <t>샴푸_쇼핑검색#1_광고그룹#1</t>
        </is>
      </c>
      <c r="B3103" s="10" t="n">
        <v>44326</v>
      </c>
      <c r="C3103" s="9" t="inlineStr">
        <is>
          <t>월</t>
        </is>
      </c>
      <c r="D3103" s="9" t="inlineStr">
        <is>
          <t>네이버 검색</t>
        </is>
      </c>
      <c r="E3103" s="9" t="inlineStr">
        <is>
          <t>샴푸</t>
        </is>
      </c>
      <c r="K3103" s="9" t="n">
        <v>1610</v>
      </c>
    </row>
    <row r="3104">
      <c r="A3104" s="9" t="inlineStr">
        <is>
          <t>파워컨텐츠#1_비듬샴푸</t>
        </is>
      </c>
      <c r="B3104" s="10" t="n">
        <v>44326</v>
      </c>
      <c r="C3104" s="9" t="inlineStr">
        <is>
          <t>월</t>
        </is>
      </c>
      <c r="D3104" s="9" t="inlineStr">
        <is>
          <t>네이버 검색</t>
        </is>
      </c>
      <c r="E3104" s="9" t="inlineStr">
        <is>
          <t>샴푸</t>
        </is>
      </c>
      <c r="K3104" s="9" t="n">
        <v>140</v>
      </c>
    </row>
    <row r="3105">
      <c r="B3105" s="10" t="n">
        <v>44326</v>
      </c>
      <c r="C3105" s="9" t="inlineStr">
        <is>
          <t>월</t>
        </is>
      </c>
      <c r="E3105" s="9" t="inlineStr">
        <is>
          <t>샴푸</t>
        </is>
      </c>
      <c r="F3105" s="9" t="inlineStr">
        <is>
          <t>라베나 CS</t>
        </is>
      </c>
      <c r="G3105" s="9" t="inlineStr">
        <is>
          <t>헤어 리커버리 15 리바이탈 샴푸</t>
        </is>
      </c>
      <c r="H3105" s="9" t="n">
        <v>1</v>
      </c>
      <c r="I3105" s="9" t="inlineStr">
        <is>
          <t>리바이탈 샴푸</t>
        </is>
      </c>
      <c r="J3105" s="9" t="inlineStr">
        <is>
          <t>210201</t>
        </is>
      </c>
      <c r="L3105" s="9" t="n">
        <v>0</v>
      </c>
      <c r="M3105" s="9" t="n">
        <v>0</v>
      </c>
      <c r="N3105" s="9" t="n">
        <v>2865</v>
      </c>
      <c r="O3105" s="9" t="inlineStr">
        <is>
          <t>라베나 CS샴푸헤어 리커버리 15 리바이탈 샴푸210201</t>
        </is>
      </c>
    </row>
    <row r="3106">
      <c r="B3106" s="10" t="n">
        <v>44326</v>
      </c>
      <c r="C3106" s="9" t="inlineStr">
        <is>
          <t>월</t>
        </is>
      </c>
      <c r="E3106" s="9" t="inlineStr">
        <is>
          <t>샴푸</t>
        </is>
      </c>
      <c r="F3106" s="9" t="inlineStr">
        <is>
          <t>카페24</t>
        </is>
      </c>
      <c r="G3106" s="9" t="inlineStr">
        <is>
          <t>[타임특가] 라베나 리:커버리 3개월 패키지 (샴푸 2+ 트리트먼트 택 1)샴푸2 + 트리트먼트 택 1=샴푸2 + 헤어팩 트리트먼트1</t>
        </is>
      </c>
      <c r="H3106" s="9" t="n">
        <v>4</v>
      </c>
      <c r="I3106" s="9" t="inlineStr">
        <is>
          <t>리바이탈 샴푸2+트리트먼트1</t>
        </is>
      </c>
      <c r="J3106" s="9" t="inlineStr">
        <is>
          <t>210201</t>
        </is>
      </c>
      <c r="L3106" s="9">
        <f>62280*4</f>
        <v/>
      </c>
      <c r="M3106" s="9">
        <f>249120-(249120/5.85)</f>
        <v/>
      </c>
      <c r="N3106" s="9">
        <f>7327*4</f>
        <v/>
      </c>
      <c r="O3106" s="9" t="inlineStr">
        <is>
          <t>카페240[타임특가] 라베나 리:커버리 3개월 패키지 (샴푸 2+ 트리트먼트 택 1)샴푸2 + 트리트먼트 택 1=샴푸2 + 헤어팩 트리트먼트1210201</t>
        </is>
      </c>
    </row>
    <row r="3107">
      <c r="B3107" s="10" t="n">
        <v>44326</v>
      </c>
      <c r="C3107" s="9" t="inlineStr">
        <is>
          <t>월</t>
        </is>
      </c>
      <c r="E3107" s="9" t="inlineStr">
        <is>
          <t>샴푸</t>
        </is>
      </c>
      <c r="F3107" s="9" t="inlineStr">
        <is>
          <t>카페24</t>
        </is>
      </c>
      <c r="G3107" s="9" t="inlineStr">
        <is>
          <t>[타임특가] 라베나 리:커버리 6개월 패키지 (샴푸 5+ 트리트먼트 택 1)샴푸 5 + 트리트먼트 택 1=샴푸 5 + 뉴트리셔스 밤 1</t>
        </is>
      </c>
      <c r="H3107" s="9" t="n">
        <v>1</v>
      </c>
      <c r="I3107" s="9" t="inlineStr">
        <is>
          <t>리바이탈 샴푸5+뉴트리셔스밤1</t>
        </is>
      </c>
      <c r="J3107" s="9" t="inlineStr">
        <is>
          <t>210201</t>
        </is>
      </c>
      <c r="L3107" s="9">
        <f>114840</f>
        <v/>
      </c>
      <c r="M3107" s="9">
        <f>114840-(114840/5.85)</f>
        <v/>
      </c>
      <c r="N3107" s="9">
        <f>15905</f>
        <v/>
      </c>
      <c r="O3107" s="9" t="inlineStr">
        <is>
          <t>카페240[타임특가] 라베나 리:커버리 6개월 패키지 (샴푸 5+ 트리트먼트 택 1)샴푸 5 + 트리트먼트 택 1=샴푸 5 + 뉴트리셔스 밤 1210201</t>
        </is>
      </c>
    </row>
    <row r="3108">
      <c r="B3108" s="10" t="n">
        <v>44326</v>
      </c>
      <c r="C3108" s="9" t="inlineStr">
        <is>
          <t>월</t>
        </is>
      </c>
      <c r="E3108" s="9" t="inlineStr">
        <is>
          <t>샴푸</t>
        </is>
      </c>
      <c r="F3108" s="9" t="inlineStr">
        <is>
          <t>카페24</t>
        </is>
      </c>
      <c r="G3108" s="9" t="inlineStr">
        <is>
          <t>[타임특가] 라베나 리:커버리 스타터 패키지 (샴푸 1+헤어팩 트리트먼트 1+ 뉴트리셔스 밤 1)</t>
        </is>
      </c>
      <c r="H3108" s="9" t="n">
        <v>1</v>
      </c>
      <c r="I3108" s="9" t="inlineStr">
        <is>
          <t>리바이탈 샴푸1+트리트먼트1+뉴트리셔스밤1</t>
        </is>
      </c>
      <c r="J3108" s="9" t="inlineStr">
        <is>
          <t>210201</t>
        </is>
      </c>
      <c r="L3108" s="9">
        <f>39897</f>
        <v/>
      </c>
      <c r="M3108" s="9">
        <f>39897-(39897/5.85)</f>
        <v/>
      </c>
      <c r="N3108" s="9">
        <f>(2865+1580+1597)</f>
        <v/>
      </c>
      <c r="O3108" s="9" t="inlineStr">
        <is>
          <t>카페240[타임특가] 라베나 리:커버리 스타터 패키지 (샴푸 1+헤어팩 트리트먼트 1+ 뉴트리셔스 밤 1)210201</t>
        </is>
      </c>
    </row>
    <row r="3109">
      <c r="B3109" s="10" t="n">
        <v>44326</v>
      </c>
      <c r="C3109" s="9" t="inlineStr">
        <is>
          <t>월</t>
        </is>
      </c>
      <c r="E3109" s="9" t="inlineStr">
        <is>
          <t>샴푸</t>
        </is>
      </c>
      <c r="F3109" s="9" t="inlineStr">
        <is>
          <t>카페24</t>
        </is>
      </c>
      <c r="G3109" s="9" t="inlineStr">
        <is>
          <t>[타임특가] 라베나 리:커버리 온가족 패키지 (샴푸 3+ 헤어팩 트리트먼트 1+뉴트리셔스 밤 1)</t>
        </is>
      </c>
      <c r="H3109" s="9" t="n">
        <v>5</v>
      </c>
      <c r="I3109" s="9" t="inlineStr">
        <is>
          <t>리바이탈 샴푸3+트리트먼트1+뉴트리셔스밤1</t>
        </is>
      </c>
      <c r="J3109" s="9" t="inlineStr">
        <is>
          <t>210201</t>
        </is>
      </c>
      <c r="L3109" s="9">
        <f>94765*5</f>
        <v/>
      </c>
      <c r="M3109" s="9">
        <f>473825-(473825/5.85)</f>
        <v/>
      </c>
      <c r="N3109" s="9">
        <f>11772*5</f>
        <v/>
      </c>
      <c r="O3109" s="9" t="inlineStr">
        <is>
          <t>카페240[타임특가] 라베나 리:커버리 온가족 패키지 (샴푸 3+ 헤어팩 트리트먼트 1+뉴트리셔스 밤 1)210201</t>
        </is>
      </c>
    </row>
    <row r="3110">
      <c r="B3110" s="10" t="n">
        <v>44326</v>
      </c>
      <c r="C3110" s="9" t="inlineStr">
        <is>
          <t>월</t>
        </is>
      </c>
      <c r="E3110" s="9" t="inlineStr">
        <is>
          <t>뉴트리셔스밤</t>
        </is>
      </c>
      <c r="F3110" s="9" t="inlineStr">
        <is>
          <t>카페24</t>
        </is>
      </c>
      <c r="G3110" s="9" t="inlineStr">
        <is>
          <t>라베나 리커버리 15 뉴트리셔스 밤제품선택=헤어 리커버리 15 뉴트리셔스 밤</t>
        </is>
      </c>
      <c r="H3110" s="9" t="n">
        <v>1</v>
      </c>
      <c r="I3110" s="9" t="inlineStr">
        <is>
          <t>뉴트리셔스밤</t>
        </is>
      </c>
      <c r="J3110" s="9" t="inlineStr">
        <is>
          <t>210201</t>
        </is>
      </c>
      <c r="L3110" s="9" t="n">
        <v>24900</v>
      </c>
      <c r="M3110" s="9">
        <f>24900-(24900/5.85)</f>
        <v/>
      </c>
      <c r="N3110" s="9" t="n">
        <v>1580</v>
      </c>
      <c r="O3110" s="9" t="inlineStr">
        <is>
          <t>카페240라베나 리커버리 15 뉴트리셔스 밤제품선택=헤어 리커버리 15 뉴트리셔스 밤210201</t>
        </is>
      </c>
    </row>
    <row r="3111">
      <c r="B3111" s="10" t="n">
        <v>44326</v>
      </c>
      <c r="C3111" s="9" t="inlineStr">
        <is>
          <t>월</t>
        </is>
      </c>
      <c r="E3111" s="9" t="inlineStr">
        <is>
          <t>샴푸</t>
        </is>
      </c>
      <c r="F3111" s="9" t="inlineStr">
        <is>
          <t>카페24</t>
        </is>
      </c>
      <c r="G3111" s="9" t="inlineStr">
        <is>
          <t>라베나 리커버리 15 리바이탈 바이오플라보노이드샴푸제품선택=헤어 리커버리 15 리바이탈 샴푸 - 500ml</t>
        </is>
      </c>
      <c r="H3111" s="9" t="n">
        <v>41</v>
      </c>
      <c r="I3111" s="9" t="inlineStr">
        <is>
          <t>리바이탈 샴푸</t>
        </is>
      </c>
      <c r="J3111" s="9" t="inlineStr">
        <is>
          <t>210201</t>
        </is>
      </c>
      <c r="L3111" s="9">
        <f>26900*41</f>
        <v/>
      </c>
      <c r="M3111" s="9">
        <f>1102900-(1102900/5.85)</f>
        <v/>
      </c>
      <c r="N3111" s="9">
        <f>2865*41</f>
        <v/>
      </c>
      <c r="O3111" s="9" t="inlineStr">
        <is>
          <t>카페240라베나 리커버리 15 리바이탈 바이오플라보노이드샴푸제품선택=헤어 리커버리 15 리바이탈 샴푸 - 500ml210201</t>
        </is>
      </c>
    </row>
    <row r="3112">
      <c r="B3112" s="10" t="n">
        <v>44326</v>
      </c>
      <c r="C3112" s="9" t="inlineStr">
        <is>
          <t>월</t>
        </is>
      </c>
      <c r="E3112" s="9" t="inlineStr">
        <is>
          <t>샴푸</t>
        </is>
      </c>
      <c r="F3112" s="9" t="inlineStr">
        <is>
          <t>카페24</t>
        </is>
      </c>
      <c r="G3112" s="9" t="inlineStr">
        <is>
          <t>라베나 리커버리 15 리바이탈 바이오플라보노이드샴푸제품선택=리바이탈 샴푸 2개 세트 5%추가할인</t>
        </is>
      </c>
      <c r="H3112" s="9" t="n">
        <v>8</v>
      </c>
      <c r="I3112" s="9" t="inlineStr">
        <is>
          <t>리바이탈 샴푸 2set</t>
        </is>
      </c>
      <c r="J3112" s="9" t="inlineStr">
        <is>
          <t>210201</t>
        </is>
      </c>
      <c r="L3112" s="9">
        <f>51110*8</f>
        <v/>
      </c>
      <c r="M3112" s="9">
        <f>408880-(408880/5.85)</f>
        <v/>
      </c>
      <c r="N3112" s="9">
        <f>2865*16</f>
        <v/>
      </c>
      <c r="O3112" s="9" t="inlineStr">
        <is>
          <t>카페240라베나 리커버리 15 리바이탈 바이오플라보노이드샴푸제품선택=리바이탈 샴푸 2개 세트 5%추가할인210201</t>
        </is>
      </c>
    </row>
    <row r="3113">
      <c r="B3113" s="10" t="n">
        <v>44326</v>
      </c>
      <c r="C3113" s="9" t="inlineStr">
        <is>
          <t>월</t>
        </is>
      </c>
      <c r="E3113" s="9" t="inlineStr">
        <is>
          <t>샴푸</t>
        </is>
      </c>
      <c r="F3113" s="9" t="inlineStr">
        <is>
          <t>카페24</t>
        </is>
      </c>
      <c r="G3113" s="9" t="inlineStr">
        <is>
          <t>라베나 리커버리 15 리바이탈 바이오플라보노이드샴푸제품선택=리바이탈 샴푸 3개 세트 10% 추가할인</t>
        </is>
      </c>
      <c r="H3113" s="9" t="n">
        <v>2</v>
      </c>
      <c r="I3113" s="9" t="inlineStr">
        <is>
          <t>리바이탈 샴푸 3set</t>
        </is>
      </c>
      <c r="J3113" s="9" t="inlineStr">
        <is>
          <t>210201</t>
        </is>
      </c>
      <c r="L3113" s="9">
        <f>72630*2</f>
        <v/>
      </c>
      <c r="M3113" s="9">
        <f>145260-(145260/5.85)</f>
        <v/>
      </c>
      <c r="N3113" s="9">
        <f>2865*6</f>
        <v/>
      </c>
      <c r="O3113" s="9" t="inlineStr">
        <is>
          <t>카페240라베나 리커버리 15 리바이탈 바이오플라보노이드샴푸제품선택=리바이탈 샴푸 3개 세트 10% 추가할인210201</t>
        </is>
      </c>
    </row>
    <row r="3114">
      <c r="A3114" s="9" t="inlineStr">
        <is>
          <t>0316~영상베리</t>
        </is>
      </c>
      <c r="B3114" s="10" t="n">
        <v>44327</v>
      </c>
      <c r="C3114" s="9" t="inlineStr">
        <is>
          <t>화</t>
        </is>
      </c>
      <c r="D3114" s="9" t="inlineStr">
        <is>
          <t>페이스북</t>
        </is>
      </c>
      <c r="E3114" s="9" t="inlineStr">
        <is>
          <t>샴푸</t>
        </is>
      </c>
      <c r="K3114" s="9" t="n">
        <v>99087</v>
      </c>
    </row>
    <row r="3115">
      <c r="A3115" s="9" t="inlineStr">
        <is>
          <t>0322_샴푸_GDN_이현1차</t>
        </is>
      </c>
      <c r="B3115" s="10" t="n">
        <v>44327</v>
      </c>
      <c r="C3115" s="9" t="inlineStr">
        <is>
          <t>화</t>
        </is>
      </c>
      <c r="D3115" s="9" t="inlineStr">
        <is>
          <t>GDN</t>
        </is>
      </c>
      <c r="E3115" s="9" t="inlineStr">
        <is>
          <t>샴푸</t>
        </is>
      </c>
      <c r="K3115" s="9" t="n">
        <v>100000</v>
      </c>
    </row>
    <row r="3116">
      <c r="A3116" s="9" t="inlineStr">
        <is>
          <t>0324_샴푸_VAC_CPA</t>
        </is>
      </c>
      <c r="B3116" s="10" t="n">
        <v>44327</v>
      </c>
      <c r="C3116" s="9" t="inlineStr">
        <is>
          <t>화</t>
        </is>
      </c>
      <c r="D3116" s="9" t="inlineStr">
        <is>
          <t>유튜브</t>
        </is>
      </c>
      <c r="E3116" s="9" t="inlineStr">
        <is>
          <t>샴푸</t>
        </is>
      </c>
      <c r="K3116" s="9" t="n">
        <v>317221</v>
      </c>
    </row>
    <row r="3117">
      <c r="A3117" s="9" t="inlineStr">
        <is>
          <t>0330_샴푸_cpv_200만뷰</t>
        </is>
      </c>
      <c r="B3117" s="10" t="n">
        <v>44327</v>
      </c>
      <c r="C3117" s="9" t="inlineStr">
        <is>
          <t>화</t>
        </is>
      </c>
      <c r="D3117" s="9" t="inlineStr">
        <is>
          <t>유튜브</t>
        </is>
      </c>
      <c r="E3117" s="9" t="inlineStr">
        <is>
          <t>샴푸</t>
        </is>
      </c>
      <c r="K3117" s="9" t="n">
        <v>22442</v>
      </c>
    </row>
    <row r="3118">
      <c r="A3118" s="9" t="inlineStr">
        <is>
          <t>0511_샴푸_CPV_피지결석_1차</t>
        </is>
      </c>
      <c r="B3118" s="10" t="n">
        <v>44327</v>
      </c>
      <c r="C3118" s="9" t="inlineStr">
        <is>
          <t>화</t>
        </is>
      </c>
      <c r="D3118" s="9" t="inlineStr">
        <is>
          <t>유튜브</t>
        </is>
      </c>
      <c r="E3118" s="9" t="inlineStr">
        <is>
          <t>샴푸</t>
        </is>
      </c>
      <c r="K3118" s="9" t="n">
        <v>2089196</v>
      </c>
    </row>
    <row r="3119">
      <c r="A3119" s="9" t="inlineStr">
        <is>
          <t>라베나 파워링크_샴푸_광고그룹#1</t>
        </is>
      </c>
      <c r="B3119" s="10" t="n">
        <v>44327</v>
      </c>
      <c r="C3119" s="9" t="inlineStr">
        <is>
          <t>화</t>
        </is>
      </c>
      <c r="D3119" s="9" t="inlineStr">
        <is>
          <t>네이버 검색</t>
        </is>
      </c>
      <c r="E3119" s="9" t="inlineStr">
        <is>
          <t>샴푸</t>
        </is>
      </c>
      <c r="K3119" s="9">
        <f>1705/1.1</f>
        <v/>
      </c>
    </row>
    <row r="3120">
      <c r="A3120" s="9" t="inlineStr">
        <is>
          <t>라베나 파워링크_샴푸#1_유튜브키워드기반</t>
        </is>
      </c>
      <c r="B3120" s="10" t="n">
        <v>44327</v>
      </c>
      <c r="C3120" s="9" t="inlineStr">
        <is>
          <t>화</t>
        </is>
      </c>
      <c r="D3120" s="9" t="inlineStr">
        <is>
          <t>네이버 검색</t>
        </is>
      </c>
      <c r="E3120" s="9" t="inlineStr">
        <is>
          <t>샴푸</t>
        </is>
      </c>
      <c r="K3120" s="9">
        <f>6754/1.1</f>
        <v/>
      </c>
    </row>
    <row r="3121">
      <c r="A3121" s="9" t="inlineStr">
        <is>
          <t>샴푸_쇼핑검색#1_광고그룹#1</t>
        </is>
      </c>
      <c r="B3121" s="10" t="n">
        <v>44327</v>
      </c>
      <c r="C3121" s="9" t="inlineStr">
        <is>
          <t>화</t>
        </is>
      </c>
      <c r="D3121" s="9" t="inlineStr">
        <is>
          <t>네이버 검색</t>
        </is>
      </c>
      <c r="E3121" s="9" t="inlineStr">
        <is>
          <t>샴푸</t>
        </is>
      </c>
      <c r="K3121" s="9">
        <f>4202/1.1</f>
        <v/>
      </c>
    </row>
    <row r="3122">
      <c r="A3122" s="9" t="inlineStr">
        <is>
          <t>파워컨텐츠#1_비듬샴푸</t>
        </is>
      </c>
      <c r="B3122" s="10" t="n">
        <v>44327</v>
      </c>
      <c r="C3122" s="9" t="inlineStr">
        <is>
          <t>화</t>
        </is>
      </c>
      <c r="D3122" s="9" t="inlineStr">
        <is>
          <t>네이버 검색</t>
        </is>
      </c>
      <c r="E3122" s="9" t="inlineStr">
        <is>
          <t>샴푸</t>
        </is>
      </c>
      <c r="K3122" s="9" t="n">
        <v>70</v>
      </c>
    </row>
    <row r="3123">
      <c r="B3123" s="10" t="n">
        <v>44327</v>
      </c>
      <c r="C3123" s="9" t="inlineStr">
        <is>
          <t>화</t>
        </is>
      </c>
      <c r="E3123" s="9" t="inlineStr">
        <is>
          <t>샴푸</t>
        </is>
      </c>
      <c r="F3123" s="9" t="inlineStr">
        <is>
          <t>카페24</t>
        </is>
      </c>
      <c r="G3123" s="9" t="inlineStr">
        <is>
          <t>[타임특가] 라베나 리:커버리 3개월 패키지 (샴푸 2+ 트리트먼트 택 1)샴푸2 + 트리트먼트 택 1=샴푸2 + 헤어팩 트리트먼트1</t>
        </is>
      </c>
      <c r="H3123" s="9" t="n">
        <v>4</v>
      </c>
      <c r="I3123" s="9" t="inlineStr">
        <is>
          <t>리바이탈 샴푸2+트리트먼트1</t>
        </is>
      </c>
      <c r="J3123" s="9" t="inlineStr">
        <is>
          <t>210201</t>
        </is>
      </c>
      <c r="L3123" s="9" t="n">
        <v>249120</v>
      </c>
      <c r="M3123" s="9">
        <f>249120-(249120/5.85)</f>
        <v/>
      </c>
      <c r="N3123" s="9">
        <f>7327*4</f>
        <v/>
      </c>
    </row>
    <row r="3124">
      <c r="B3124" s="10" t="n">
        <v>44327</v>
      </c>
      <c r="C3124" s="9" t="inlineStr">
        <is>
          <t>화</t>
        </is>
      </c>
      <c r="E3124" s="9" t="inlineStr">
        <is>
          <t>샴푸</t>
        </is>
      </c>
      <c r="F3124" s="9" t="inlineStr">
        <is>
          <t>카페24</t>
        </is>
      </c>
      <c r="G3124" s="9" t="inlineStr">
        <is>
          <t>[타임특가] 라베나 리:커버리 6개월 패키지 (샴푸 5+ 트리트먼트 택 1)샴푸 5 + 트리트먼트 택 1=샴푸 5 + 뉴트리셔스 밤 1</t>
        </is>
      </c>
      <c r="H3124" s="9" t="n">
        <v>1</v>
      </c>
      <c r="I3124" s="9" t="inlineStr">
        <is>
          <t>리바이탈 샴</t>
        </is>
      </c>
      <c r="J3124" s="9" t="inlineStr">
        <is>
          <t>210201</t>
        </is>
      </c>
      <c r="L3124" s="9" t="n">
        <v>114840</v>
      </c>
      <c r="M3124" s="9">
        <f>114840-(114840/5.85)</f>
        <v/>
      </c>
      <c r="N3124" s="9">
        <f>15905</f>
        <v/>
      </c>
    </row>
    <row r="3125">
      <c r="B3125" s="10" t="n">
        <v>44327</v>
      </c>
      <c r="C3125" s="9" t="inlineStr">
        <is>
          <t>화</t>
        </is>
      </c>
      <c r="E3125" s="9" t="inlineStr">
        <is>
          <t>샴푸</t>
        </is>
      </c>
      <c r="F3125" s="9" t="inlineStr">
        <is>
          <t>카페24</t>
        </is>
      </c>
      <c r="G3125" s="9" t="inlineStr">
        <is>
          <t>[타임특가] 라베나 리:커버리 스타터 패키지 (샴푸 1+헤어팩 트리트먼트 1+ 뉴트리셔스 밤 1)</t>
        </is>
      </c>
      <c r="H3125" s="9" t="n">
        <v>1</v>
      </c>
      <c r="J3125" s="9" t="inlineStr">
        <is>
          <t>210201</t>
        </is>
      </c>
      <c r="L3125" s="9" t="n">
        <v>42897</v>
      </c>
      <c r="M3125" s="9">
        <f>42897-(42897/5.85)</f>
        <v/>
      </c>
    </row>
    <row r="3126">
      <c r="B3126" s="10" t="n">
        <v>44327</v>
      </c>
      <c r="C3126" s="9" t="inlineStr">
        <is>
          <t>화</t>
        </is>
      </c>
      <c r="E3126" s="9" t="inlineStr">
        <is>
          <t>샴푸</t>
        </is>
      </c>
      <c r="F3126" s="9" t="inlineStr">
        <is>
          <t>카페24</t>
        </is>
      </c>
      <c r="G3126" s="9" t="inlineStr">
        <is>
          <t>[타임특가] 라베나 리:커버리 온가족 패키지 (샴푸 3+ 헤어팩 트리트먼트 1+뉴트리셔스 밤 1)</t>
        </is>
      </c>
      <c r="H3126" s="9" t="n">
        <v>2</v>
      </c>
      <c r="J3126" s="9" t="inlineStr">
        <is>
          <t>210201</t>
        </is>
      </c>
      <c r="L3126" s="9" t="n">
        <v>189530</v>
      </c>
      <c r="M3126" s="9">
        <f>189530-(189530/5.85)</f>
        <v/>
      </c>
    </row>
    <row r="3127">
      <c r="B3127" s="10" t="n">
        <v>44327</v>
      </c>
      <c r="C3127" s="9" t="inlineStr">
        <is>
          <t>화</t>
        </is>
      </c>
      <c r="E3127" s="9" t="inlineStr">
        <is>
          <t>뉴트리셔스밤</t>
        </is>
      </c>
      <c r="F3127" s="9" t="inlineStr">
        <is>
          <t>카페24</t>
        </is>
      </c>
      <c r="G3127" s="9" t="inlineStr">
        <is>
          <t>라베나 리커버리 15 뉴트리셔스 밤제품선택=헤어 리커버리 15 뉴트리셔스 밤</t>
        </is>
      </c>
      <c r="H3127" s="9" t="n">
        <v>1</v>
      </c>
      <c r="J3127" s="9" t="inlineStr">
        <is>
          <t>210201</t>
        </is>
      </c>
      <c r="L3127" s="9" t="n">
        <v>24900</v>
      </c>
      <c r="M3127" s="9">
        <f>24900-(24900/5.85)</f>
        <v/>
      </c>
      <c r="N3127" s="9" t="n">
        <v>1580</v>
      </c>
    </row>
    <row r="3128">
      <c r="B3128" s="10" t="n">
        <v>44327</v>
      </c>
      <c r="C3128" s="9" t="inlineStr">
        <is>
          <t>화</t>
        </is>
      </c>
      <c r="E3128" s="9" t="inlineStr">
        <is>
          <t>샴푸</t>
        </is>
      </c>
      <c r="F3128" s="9" t="inlineStr">
        <is>
          <t>카페24</t>
        </is>
      </c>
      <c r="G3128" s="9" t="inlineStr">
        <is>
          <t>라베나 리커버리 15 리바이탈 바이오플라보노이드샴푸제품선택=헤어 리커버리 15 리바이탈 샴푸 - 500ml</t>
        </is>
      </c>
      <c r="H3128" s="9" t="n">
        <v>73</v>
      </c>
      <c r="J3128" s="9" t="inlineStr">
        <is>
          <t>210201</t>
        </is>
      </c>
      <c r="L3128" s="9" t="n">
        <v>2179700</v>
      </c>
      <c r="M3128" s="9">
        <f>2179700-(2179700/5.85)</f>
        <v/>
      </c>
    </row>
    <row r="3129">
      <c r="B3129" s="10" t="n">
        <v>44327</v>
      </c>
      <c r="C3129" s="9" t="inlineStr">
        <is>
          <t>화</t>
        </is>
      </c>
      <c r="E3129" s="9" t="inlineStr">
        <is>
          <t>샴푸</t>
        </is>
      </c>
      <c r="F3129" s="9" t="inlineStr">
        <is>
          <t>카페24</t>
        </is>
      </c>
      <c r="G3129" s="9" t="inlineStr">
        <is>
          <t>라베나 리커버리 15 리바이탈 바이오플라보노이드샴푸제품선택=리바이탈 샴푸 2개 세트 5%추가할인</t>
        </is>
      </c>
      <c r="H3129" s="9" t="n">
        <v>23</v>
      </c>
      <c r="J3129" s="9" t="inlineStr">
        <is>
          <t>210201</t>
        </is>
      </c>
      <c r="L3129" s="9" t="n">
        <v>1175530</v>
      </c>
      <c r="M3129" s="9">
        <f>1175530-(1175530/5.85)</f>
        <v/>
      </c>
    </row>
    <row r="3130">
      <c r="B3130" s="10" t="n">
        <v>44327</v>
      </c>
      <c r="C3130" s="9" t="inlineStr">
        <is>
          <t>화</t>
        </is>
      </c>
      <c r="E3130" s="9" t="inlineStr">
        <is>
          <t>샴푸</t>
        </is>
      </c>
      <c r="F3130" s="9" t="inlineStr">
        <is>
          <t>카페24</t>
        </is>
      </c>
      <c r="G3130" s="9" t="inlineStr">
        <is>
          <t>라베나 리커버리 15 리바이탈 바이오플라보노이드샴푸제품선택=리바이탈 샴푸 3개 세트 10% 추가할인</t>
        </is>
      </c>
      <c r="H3130" s="9" t="n">
        <v>8</v>
      </c>
      <c r="J3130" s="9" t="inlineStr">
        <is>
          <t>210201</t>
        </is>
      </c>
      <c r="L3130" s="9" t="n">
        <v>581040</v>
      </c>
      <c r="M3130" s="9">
        <f>581040-(581040/5.85)</f>
        <v/>
      </c>
    </row>
    <row r="3131">
      <c r="B3131" s="10" t="n">
        <v>44327</v>
      </c>
      <c r="C3131" s="9" t="inlineStr">
        <is>
          <t>화</t>
        </is>
      </c>
      <c r="E3131" s="9" t="inlineStr">
        <is>
          <t>트리트먼트</t>
        </is>
      </c>
      <c r="F3131" s="9" t="inlineStr">
        <is>
          <t>카페24</t>
        </is>
      </c>
      <c r="G3131" s="9" t="inlineStr">
        <is>
          <t>라베나 리커버리 15 헤어팩 트리트먼트제품선택=헤어 리커버리 15 헤어팩 트리트먼트</t>
        </is>
      </c>
      <c r="H3131" s="9" t="n">
        <v>1</v>
      </c>
      <c r="J3131" s="9" t="inlineStr">
        <is>
          <t>210201</t>
        </is>
      </c>
      <c r="L3131" s="9" t="n">
        <v>26000</v>
      </c>
      <c r="M3131" s="9">
        <f>26000-(26000/5.85)</f>
        <v/>
      </c>
    </row>
    <row r="3132">
      <c r="B3132" s="10" t="n">
        <v>44327</v>
      </c>
      <c r="C3132" s="9" t="inlineStr">
        <is>
          <t>화</t>
        </is>
      </c>
      <c r="E3132" s="9" t="inlineStr">
        <is>
          <t>트리트먼트</t>
        </is>
      </c>
      <c r="F3132" s="9" t="inlineStr">
        <is>
          <t>카페24</t>
        </is>
      </c>
      <c r="G3132" s="9" t="inlineStr">
        <is>
          <t>라베나 리커버리 15 헤어팩 트리트먼트제품선택=헤어팩 트리트먼트 3개 세트 10% 추가할인</t>
        </is>
      </c>
      <c r="H3132" s="9" t="n">
        <v>1</v>
      </c>
      <c r="J3132" s="9" t="inlineStr">
        <is>
          <t>210201</t>
        </is>
      </c>
      <c r="L3132" s="9" t="n">
        <v>70200</v>
      </c>
      <c r="M3132" s="9">
        <f>70200-(70200/5.85)</f>
        <v/>
      </c>
    </row>
    <row r="3133">
      <c r="A3133" s="9" t="inlineStr">
        <is>
          <t>0316~영상베리</t>
        </is>
      </c>
      <c r="B3133" s="10" t="n">
        <v>44328</v>
      </c>
      <c r="C3133" s="9" t="inlineStr">
        <is>
          <t>수</t>
        </is>
      </c>
      <c r="D3133" s="9" t="inlineStr">
        <is>
          <t>페이스북</t>
        </is>
      </c>
      <c r="E3133" s="9" t="inlineStr">
        <is>
          <t>샴푸</t>
        </is>
      </c>
      <c r="K3133" s="9" t="n">
        <v>98359</v>
      </c>
    </row>
    <row r="3134">
      <c r="A3134" s="9" t="inlineStr">
        <is>
          <t>0322_샴푸_GDN_이현1차</t>
        </is>
      </c>
      <c r="B3134" s="10" t="n">
        <v>44328</v>
      </c>
      <c r="C3134" s="9" t="inlineStr">
        <is>
          <t>수</t>
        </is>
      </c>
      <c r="D3134" s="9" t="inlineStr">
        <is>
          <t>GDN</t>
        </is>
      </c>
      <c r="E3134" s="9" t="inlineStr">
        <is>
          <t>샴푸</t>
        </is>
      </c>
      <c r="K3134" s="9" t="n">
        <v>50000</v>
      </c>
    </row>
    <row r="3135">
      <c r="A3135" s="9" t="inlineStr">
        <is>
          <t>0324_샴푸_VAC_CPA</t>
        </is>
      </c>
      <c r="B3135" s="10" t="n">
        <v>44328</v>
      </c>
      <c r="C3135" s="9" t="inlineStr">
        <is>
          <t>수</t>
        </is>
      </c>
      <c r="D3135" s="9" t="inlineStr">
        <is>
          <t>유튜브</t>
        </is>
      </c>
      <c r="E3135" s="9" t="inlineStr">
        <is>
          <t>샴푸</t>
        </is>
      </c>
      <c r="K3135" s="9" t="n">
        <v>81841</v>
      </c>
    </row>
    <row r="3136">
      <c r="A3136" s="9" t="inlineStr">
        <is>
          <t>0511_샴푸_SPV_피지결석_1차</t>
        </is>
      </c>
      <c r="B3136" s="10" t="n">
        <v>44328</v>
      </c>
      <c r="C3136" s="9" t="inlineStr">
        <is>
          <t>수</t>
        </is>
      </c>
      <c r="D3136" s="9" t="inlineStr">
        <is>
          <t>유튜브</t>
        </is>
      </c>
      <c r="E3136" s="9" t="inlineStr">
        <is>
          <t>샴푸</t>
        </is>
      </c>
      <c r="K3136" s="9" t="n">
        <v>2060078</v>
      </c>
    </row>
    <row r="3137">
      <c r="A3137" s="9" t="inlineStr">
        <is>
          <t>라베나 파워링크_샴푸_광고그룹#1</t>
        </is>
      </c>
      <c r="B3137" s="10" t="n">
        <v>44328</v>
      </c>
      <c r="C3137" s="9" t="inlineStr">
        <is>
          <t>수</t>
        </is>
      </c>
      <c r="D3137" s="9" t="inlineStr">
        <is>
          <t>네이버 검색</t>
        </is>
      </c>
      <c r="E3137" s="9" t="inlineStr">
        <is>
          <t>샴푸</t>
        </is>
      </c>
      <c r="K3137" s="9" t="n">
        <v>3730</v>
      </c>
    </row>
    <row r="3138">
      <c r="A3138" s="9" t="inlineStr">
        <is>
          <t>라베나 파워링크_샴푸#1_유튜브키워드기반</t>
        </is>
      </c>
      <c r="B3138" s="10" t="n">
        <v>44328</v>
      </c>
      <c r="C3138" s="9" t="inlineStr">
        <is>
          <t>수</t>
        </is>
      </c>
      <c r="D3138" s="9" t="inlineStr">
        <is>
          <t>네이버 검색</t>
        </is>
      </c>
      <c r="E3138" s="9" t="inlineStr">
        <is>
          <t>샴푸</t>
        </is>
      </c>
      <c r="K3138" s="9" t="n">
        <v>2730</v>
      </c>
    </row>
    <row r="3139">
      <c r="A3139" s="9" t="inlineStr">
        <is>
          <t>샴푸_쇼핑검색#1_광고그룹#1</t>
        </is>
      </c>
      <c r="B3139" s="10" t="n">
        <v>44328</v>
      </c>
      <c r="C3139" s="9" t="inlineStr">
        <is>
          <t>수</t>
        </is>
      </c>
      <c r="D3139" s="9" t="inlineStr">
        <is>
          <t>네이버 검색</t>
        </is>
      </c>
      <c r="E3139" s="9" t="inlineStr">
        <is>
          <t>샴푸</t>
        </is>
      </c>
      <c r="K3139" s="9" t="n">
        <v>10200</v>
      </c>
    </row>
    <row r="3140">
      <c r="A3140" s="9" t="inlineStr">
        <is>
          <t>파워컨텐츠#1_비듬샴푸</t>
        </is>
      </c>
      <c r="B3140" s="10" t="n">
        <v>44328</v>
      </c>
      <c r="C3140" s="9" t="inlineStr">
        <is>
          <t>수</t>
        </is>
      </c>
      <c r="D3140" s="9" t="inlineStr">
        <is>
          <t>네이버 검색</t>
        </is>
      </c>
      <c r="E3140" s="9" t="inlineStr">
        <is>
          <t>샴푸</t>
        </is>
      </c>
      <c r="K3140" s="9" t="n">
        <v>70</v>
      </c>
    </row>
    <row r="3141">
      <c r="B3141" s="10" t="n">
        <v>44328</v>
      </c>
      <c r="C3141" s="9" t="inlineStr">
        <is>
          <t>수</t>
        </is>
      </c>
      <c r="E3141" s="9" t="inlineStr">
        <is>
          <t>샴푸</t>
        </is>
      </c>
      <c r="F3141" s="9" t="inlineStr">
        <is>
          <t>라베나 CS</t>
        </is>
      </c>
      <c r="G3141" s="9" t="inlineStr">
        <is>
          <t>헤어 리커버리 15 리바이탈 샴푸</t>
        </is>
      </c>
      <c r="H3141" s="9" t="n">
        <v>2</v>
      </c>
      <c r="I3141" s="9" t="inlineStr">
        <is>
          <t>리바이탈 샴푸</t>
        </is>
      </c>
      <c r="J3141" s="9" t="inlineStr">
        <is>
          <t>210201</t>
        </is>
      </c>
      <c r="L3141" s="9" t="n">
        <v>0</v>
      </c>
      <c r="M3141" s="9" t="n">
        <v>0</v>
      </c>
      <c r="N3141" s="9" t="n">
        <v>5730</v>
      </c>
      <c r="O3141" s="9" t="inlineStr">
        <is>
          <t>라베나 CS샴푸헤어 리커버리 15 리바이탈 샴푸210201</t>
        </is>
      </c>
    </row>
    <row r="3142">
      <c r="B3142" s="10" t="n">
        <v>44328</v>
      </c>
      <c r="C3142" s="9" t="inlineStr">
        <is>
          <t>수</t>
        </is>
      </c>
      <c r="E3142" s="9" t="inlineStr">
        <is>
          <t>샴푸</t>
        </is>
      </c>
      <c r="F3142" s="9" t="inlineStr">
        <is>
          <t>카페24</t>
        </is>
      </c>
      <c r="G3142" s="9" t="inlineStr">
        <is>
          <t>[타임특가] 라베나 리:커버리 3개월 패키지 (샴푸 2+ 트리트먼트 택 1)샴푸2 + 트리트먼트 택 1=샴푸2 + 뉴트리셔스 밤1</t>
        </is>
      </c>
      <c r="H3142" s="9" t="n">
        <v>2</v>
      </c>
      <c r="I3142" s="9" t="inlineStr">
        <is>
          <t>리바이탈 샴푸2+뉴트리셔스밤1</t>
        </is>
      </c>
      <c r="J3142" s="9" t="inlineStr">
        <is>
          <t>210201</t>
        </is>
      </c>
      <c r="L3142" s="9">
        <f>62280*2</f>
        <v/>
      </c>
      <c r="M3142" s="9">
        <f>124560-(124560/5.85)</f>
        <v/>
      </c>
      <c r="N3142" s="9">
        <f>7310*2</f>
        <v/>
      </c>
      <c r="O3142" s="9" t="inlineStr">
        <is>
          <t>카페240[타임특가] 라베나 리:커버리 3개월 패키지 (샴푸 2+ 트리트먼트 택 1)샴푸2 + 트리트먼트 택 1=샴푸2 + 뉴트리셔스 밤1210201</t>
        </is>
      </c>
    </row>
    <row r="3143">
      <c r="B3143" s="10" t="n">
        <v>44328</v>
      </c>
      <c r="C3143" s="9" t="inlineStr">
        <is>
          <t>수</t>
        </is>
      </c>
      <c r="E3143" s="9" t="inlineStr">
        <is>
          <t>샴푸</t>
        </is>
      </c>
      <c r="F3143" s="9" t="inlineStr">
        <is>
          <t>카페24</t>
        </is>
      </c>
      <c r="G3143" s="9" t="inlineStr">
        <is>
          <t>[타임특가] 라베나 리:커버리 3개월 패키지 (샴푸 2+ 트리트먼트 택 1)샴푸2 + 트리트먼트 택 1=샴푸2 + 헤어팩 트리트먼트1</t>
        </is>
      </c>
      <c r="H3143" s="9" t="n">
        <v>7</v>
      </c>
      <c r="I3143" s="9" t="inlineStr">
        <is>
          <t>리바이탈 샴푸2+트리트먼트1</t>
        </is>
      </c>
      <c r="J3143" s="9" t="inlineStr">
        <is>
          <t>210201</t>
        </is>
      </c>
      <c r="L3143" s="9">
        <f>62280*7</f>
        <v/>
      </c>
      <c r="M3143" s="9">
        <f>435960-(435960/5.85)</f>
        <v/>
      </c>
      <c r="N3143" s="9">
        <f>7327*7</f>
        <v/>
      </c>
      <c r="O3143" s="9" t="inlineStr">
        <is>
          <t>카페240[타임특가] 라베나 리:커버리 3개월 패키지 (샴푸 2+ 트리트먼트 택 1)샴푸2 + 트리트먼트 택 1=샴푸2 + 헤어팩 트리트먼트1210201</t>
        </is>
      </c>
    </row>
    <row r="3144">
      <c r="B3144" s="10" t="n">
        <v>44328</v>
      </c>
      <c r="C3144" s="9" t="inlineStr">
        <is>
          <t>수</t>
        </is>
      </c>
      <c r="E3144" s="9" t="inlineStr">
        <is>
          <t>샴푸</t>
        </is>
      </c>
      <c r="F3144" s="9" t="inlineStr">
        <is>
          <t>카페24</t>
        </is>
      </c>
      <c r="G3144" s="9" t="inlineStr">
        <is>
          <t>[타임특가] 라베나 리:커버리 6개월 패키지 (샴푸 5+ 트리트먼트 택 1)샴푸 5 + 트리트먼트 택 1=샴푸 5 + 뉴트리셔스 밤 1</t>
        </is>
      </c>
      <c r="H3144" s="9" t="n">
        <v>3</v>
      </c>
      <c r="I3144" s="9" t="inlineStr">
        <is>
          <t>리바이탈 샴푸5+뉴트리셔스밤1</t>
        </is>
      </c>
      <c r="J3144" s="9" t="inlineStr">
        <is>
          <t>210201</t>
        </is>
      </c>
      <c r="L3144" s="9">
        <f>114840*3</f>
        <v/>
      </c>
      <c r="M3144" s="9">
        <f>344520-(344520/5.85)</f>
        <v/>
      </c>
      <c r="N3144" s="9">
        <f>15905*3</f>
        <v/>
      </c>
      <c r="O3144" s="9" t="inlineStr">
        <is>
          <t>카페240[타임특가] 라베나 리:커버리 6개월 패키지 (샴푸 5+ 트리트먼트 택 1)샴푸 5 + 트리트먼트 택 1=샴푸 5 + 뉴트리셔스 밤 1210201</t>
        </is>
      </c>
    </row>
    <row r="3145">
      <c r="B3145" s="10" t="n">
        <v>44328</v>
      </c>
      <c r="C3145" s="9" t="inlineStr">
        <is>
          <t>수</t>
        </is>
      </c>
      <c r="E3145" s="9" t="inlineStr">
        <is>
          <t>샴푸</t>
        </is>
      </c>
      <c r="F3145" s="9" t="inlineStr">
        <is>
          <t>카페24</t>
        </is>
      </c>
      <c r="G3145" s="9" t="inlineStr">
        <is>
          <t>[타임특가] 라베나 리:커버리 6개월 패키지 (샴푸 5+ 트리트먼트 택 1)샴푸 5 + 트리트먼트 택 1=샴푸 5 + 헤어팩 트리트먼트 1</t>
        </is>
      </c>
      <c r="H3145" s="9" t="n">
        <v>2</v>
      </c>
      <c r="I3145" s="9" t="inlineStr">
        <is>
          <t>리바이탈 샴푸5+트리트먼트1</t>
        </is>
      </c>
      <c r="J3145" s="9" t="inlineStr">
        <is>
          <t>210201</t>
        </is>
      </c>
      <c r="L3145" s="9">
        <f>114840*2</f>
        <v/>
      </c>
      <c r="M3145" s="9">
        <f>229680-(229680/5.85)</f>
        <v/>
      </c>
      <c r="N3145" s="9">
        <f>15922*2</f>
        <v/>
      </c>
      <c r="O3145" s="9" t="inlineStr">
        <is>
          <t>카페240[타임특가] 라베나 리:커버리 6개월 패키지 (샴푸 5+ 트리트먼트 택 1)샴푸 5 + 트리트먼트 택 1=샴푸 5 + 헤어팩 트리트먼트 1210201</t>
        </is>
      </c>
    </row>
    <row r="3146">
      <c r="B3146" s="10" t="n">
        <v>44328</v>
      </c>
      <c r="C3146" s="9" t="inlineStr">
        <is>
          <t>수</t>
        </is>
      </c>
      <c r="E3146" s="9" t="inlineStr">
        <is>
          <t>뉴트리셔스밤</t>
        </is>
      </c>
      <c r="F3146" s="9" t="inlineStr">
        <is>
          <t>카페24</t>
        </is>
      </c>
      <c r="G3146" s="9" t="inlineStr">
        <is>
          <t>라베나 리커버리 15 뉴트리셔스 밤제품선택=헤어 리커버리 15 뉴트리셔스 밤</t>
        </is>
      </c>
      <c r="H3146" s="9" t="n">
        <v>5</v>
      </c>
      <c r="I3146" s="9" t="inlineStr">
        <is>
          <t>뉴트리셔스밤</t>
        </is>
      </c>
      <c r="J3146" s="9" t="inlineStr">
        <is>
          <t>210201</t>
        </is>
      </c>
      <c r="L3146" s="9">
        <f>24900*5</f>
        <v/>
      </c>
      <c r="M3146" s="9">
        <f>124500-(124500/5.85)</f>
        <v/>
      </c>
      <c r="N3146" s="9">
        <f>1580*5</f>
        <v/>
      </c>
      <c r="O3146" s="9" t="inlineStr">
        <is>
          <t>카페240라베나 리커버리 15 뉴트리셔스 밤제품선택=헤어 리커버리 15 뉴트리셔스 밤210201</t>
        </is>
      </c>
    </row>
    <row r="3147">
      <c r="B3147" s="10" t="n">
        <v>44328</v>
      </c>
      <c r="C3147" s="9" t="inlineStr">
        <is>
          <t>수</t>
        </is>
      </c>
      <c r="E3147" s="9" t="inlineStr">
        <is>
          <t>샴푸</t>
        </is>
      </c>
      <c r="F3147" s="9" t="inlineStr">
        <is>
          <t>카페24</t>
        </is>
      </c>
      <c r="G3147" s="9" t="inlineStr">
        <is>
          <t>라베나 리커버리 15 리바이탈 바이오플라보노이드샴푸제품선택=헤어 리커버리 15 리바이탈 샴푸 - 500ml</t>
        </is>
      </c>
      <c r="H3147" s="9" t="n">
        <v>151</v>
      </c>
      <c r="I3147" s="9" t="inlineStr">
        <is>
          <t>리바이탈 샴푸</t>
        </is>
      </c>
      <c r="J3147" s="9" t="inlineStr">
        <is>
          <t>210201</t>
        </is>
      </c>
      <c r="L3147" s="9">
        <f>26900*151</f>
        <v/>
      </c>
      <c r="M3147" s="9">
        <f>4061900-(4061900/5.85)</f>
        <v/>
      </c>
      <c r="N3147" s="9">
        <f>2865*151</f>
        <v/>
      </c>
      <c r="O3147" s="9" t="inlineStr">
        <is>
          <t>카페240라베나 리커버리 15 리바이탈 바이오플라보노이드샴푸제품선택=헤어 리커버리 15 리바이탈 샴푸 - 500ml210201</t>
        </is>
      </c>
    </row>
    <row r="3148">
      <c r="B3148" s="10" t="n">
        <v>44328</v>
      </c>
      <c r="C3148" s="9" t="inlineStr">
        <is>
          <t>수</t>
        </is>
      </c>
      <c r="E3148" s="9" t="inlineStr">
        <is>
          <t>샴푸</t>
        </is>
      </c>
      <c r="F3148" s="9" t="inlineStr">
        <is>
          <t>카페24</t>
        </is>
      </c>
      <c r="G3148" s="9" t="inlineStr">
        <is>
          <t>라베나 리커버리 15 리바이탈 바이오플라보노이드샴푸제품선택=리바이탈 샴푸 2개 세트 5%추가할인</t>
        </is>
      </c>
      <c r="H3148" s="9" t="n">
        <v>34</v>
      </c>
      <c r="I3148" s="9" t="inlineStr">
        <is>
          <t>리바이탈 샴푸 2set</t>
        </is>
      </c>
      <c r="J3148" s="9" t="inlineStr">
        <is>
          <t>210201</t>
        </is>
      </c>
      <c r="L3148" s="9">
        <f>51110*34</f>
        <v/>
      </c>
      <c r="M3148" s="9">
        <f>1737740-(1737740/5.85)</f>
        <v/>
      </c>
      <c r="N3148" s="9">
        <f>2865*68</f>
        <v/>
      </c>
      <c r="O3148" s="9" t="inlineStr">
        <is>
          <t>카페240라베나 리커버리 15 리바이탈 바이오플라보노이드샴푸제품선택=리바이탈 샴푸 2개 세트 5%추가할인210201</t>
        </is>
      </c>
    </row>
    <row r="3149">
      <c r="B3149" s="10" t="n">
        <v>44328</v>
      </c>
      <c r="C3149" s="9" t="inlineStr">
        <is>
          <t>수</t>
        </is>
      </c>
      <c r="E3149" s="9" t="inlineStr">
        <is>
          <t>샴푸</t>
        </is>
      </c>
      <c r="F3149" s="9" t="inlineStr">
        <is>
          <t>카페24</t>
        </is>
      </c>
      <c r="G3149" s="9" t="inlineStr">
        <is>
          <t>라베나 리커버리 15 리바이탈 바이오플라보노이드샴푸제품선택=리바이탈 샴푸 3개 세트 10% 추가할인</t>
        </is>
      </c>
      <c r="H3149" s="9" t="n">
        <v>15</v>
      </c>
      <c r="I3149" s="9" t="inlineStr">
        <is>
          <t>리바이탈 샴푸 3set</t>
        </is>
      </c>
      <c r="J3149" s="9" t="inlineStr">
        <is>
          <t>210201</t>
        </is>
      </c>
      <c r="L3149" s="9">
        <f>72630*15</f>
        <v/>
      </c>
      <c r="M3149" s="9">
        <f>1089450-(1089450/5.85)</f>
        <v/>
      </c>
      <c r="N3149" s="9">
        <f>2865*45</f>
        <v/>
      </c>
      <c r="O3149" s="9" t="inlineStr">
        <is>
          <t>카페240라베나 리커버리 15 리바이탈 바이오플라보노이드샴푸제품선택=리바이탈 샴푸 3개 세트 10% 추가할인210201</t>
        </is>
      </c>
    </row>
    <row r="3150">
      <c r="B3150" s="10" t="n">
        <v>44328</v>
      </c>
      <c r="C3150" s="9" t="inlineStr">
        <is>
          <t>수</t>
        </is>
      </c>
      <c r="E3150" s="9" t="inlineStr">
        <is>
          <t>샴푸</t>
        </is>
      </c>
      <c r="F3150" s="9" t="inlineStr">
        <is>
          <t>카페24</t>
        </is>
      </c>
      <c r="G3150" s="9" t="inlineStr">
        <is>
          <t>라베나 리커버리 15 리바이탈 샴푸 [HAIR RÉ:COVERY 15 REVITAL Shampoo]제품선택=헤어 리커버리 15 리바이탈 샴푸 - 500ml</t>
        </is>
      </c>
      <c r="H3150" s="9" t="n">
        <v>2</v>
      </c>
      <c r="I3150" s="9" t="inlineStr">
        <is>
          <t>리바이탈 샴푸</t>
        </is>
      </c>
      <c r="J3150" s="9" t="inlineStr">
        <is>
          <t>210201</t>
        </is>
      </c>
      <c r="L3150" s="9">
        <f>26900*2</f>
        <v/>
      </c>
      <c r="M3150" s="9">
        <f>53800-(53800/5.85)</f>
        <v/>
      </c>
      <c r="N3150" s="9">
        <f>2865*2</f>
        <v/>
      </c>
      <c r="O3150" s="9" t="inlineStr">
        <is>
          <t>카페240라베나 리커버리 15 리바이탈 샴푸 [HAIR RÉ:COVERY 15 REVITAL Shampoo]제품선택=헤어 리커버리 15 리바이탈 샴푸 - 500ml210201</t>
        </is>
      </c>
    </row>
    <row r="3151">
      <c r="B3151" s="10" t="n">
        <v>44328</v>
      </c>
      <c r="C3151" s="9" t="inlineStr">
        <is>
          <t>수</t>
        </is>
      </c>
      <c r="E3151" s="9" t="inlineStr">
        <is>
          <t>트리트먼트</t>
        </is>
      </c>
      <c r="F3151" s="9" t="inlineStr">
        <is>
          <t>카페24</t>
        </is>
      </c>
      <c r="G3151" s="9" t="inlineStr">
        <is>
          <t>라베나 리커버리 15 헤어팩 트리트먼트제품선택=헤어 리커버리 15 헤어팩 트리트먼트</t>
        </is>
      </c>
      <c r="H3151" s="9" t="n">
        <v>2</v>
      </c>
      <c r="I3151" s="9" t="inlineStr">
        <is>
          <t>트리트먼트</t>
        </is>
      </c>
      <c r="J3151" s="9" t="inlineStr">
        <is>
          <t>210201</t>
        </is>
      </c>
      <c r="L3151" s="9">
        <f>26000*2</f>
        <v/>
      </c>
      <c r="M3151" s="9">
        <f>52000-(52000/5.85)</f>
        <v/>
      </c>
      <c r="N3151" s="9">
        <f>1597*2</f>
        <v/>
      </c>
      <c r="O3151" s="9" t="inlineStr">
        <is>
          <t>카페240라베나 리커버리 15 헤어팩 트리트먼트제품선택=헤어 리커버리 15 헤어팩 트리트먼트210201</t>
        </is>
      </c>
    </row>
    <row r="3152">
      <c r="B3152" s="10" t="n">
        <v>44328</v>
      </c>
      <c r="C3152" s="9" t="inlineStr">
        <is>
          <t>수</t>
        </is>
      </c>
      <c r="E3152" s="9" t="inlineStr">
        <is>
          <t>트리트먼트</t>
        </is>
      </c>
      <c r="F3152" s="9" t="inlineStr">
        <is>
          <t>카페24</t>
        </is>
      </c>
      <c r="G3152" s="9" t="inlineStr">
        <is>
          <t>라베나 리커버리 15 헤어팩 트리트먼트제품선택=헤어팩 트리트먼트 3개 세트 10% 추가할인</t>
        </is>
      </c>
      <c r="H3152" s="9" t="n">
        <v>1</v>
      </c>
      <c r="I3152" s="9" t="inlineStr">
        <is>
          <t>트리트먼트 3set</t>
        </is>
      </c>
      <c r="J3152" s="9" t="inlineStr">
        <is>
          <t>210201</t>
        </is>
      </c>
      <c r="L3152" s="9" t="n">
        <v>70200</v>
      </c>
      <c r="M3152" s="9">
        <f>70200-(70200/5.85)</f>
        <v/>
      </c>
      <c r="N3152" s="9">
        <f>1597*3</f>
        <v/>
      </c>
      <c r="O3152" s="9" t="inlineStr">
        <is>
          <t>카페240라베나 리커버리 15 헤어팩 트리트먼트제품선택=헤어팩 트리트먼트 3개 세트 10% 추가할인210201</t>
        </is>
      </c>
    </row>
    <row r="3153">
      <c r="B3153" s="10" t="n">
        <v>44328</v>
      </c>
      <c r="C3153" s="9" t="inlineStr">
        <is>
          <t>수</t>
        </is>
      </c>
      <c r="E3153" s="9" t="inlineStr">
        <is>
          <t>트리트먼트</t>
        </is>
      </c>
      <c r="F3153" s="9" t="inlineStr">
        <is>
          <t>카페24</t>
        </is>
      </c>
      <c r="G3153" s="9" t="inlineStr">
        <is>
          <t>라베나 리커버리 15 헤어팩 트리트먼트제품선택=헤어팩 트리트먼트 1개 + 뉴트리셔스밤 1개 세트 5% 추가할인</t>
        </is>
      </c>
      <c r="H3153" s="9" t="n">
        <v>1</v>
      </c>
      <c r="I3153" s="9" t="inlineStr">
        <is>
          <t>트리트먼트1+뉴트리셔스밤1</t>
        </is>
      </c>
      <c r="J3153" s="9" t="inlineStr">
        <is>
          <t>210201</t>
        </is>
      </c>
      <c r="L3153" s="9" t="n">
        <v>48355</v>
      </c>
      <c r="M3153" s="9">
        <f>48355-(48355/5.85)</f>
        <v/>
      </c>
      <c r="N3153" s="9">
        <f>1597+1580</f>
        <v/>
      </c>
      <c r="O3153" s="9" t="inlineStr">
        <is>
          <t>카페240라베나 리커버리 15 헤어팩 트리트먼트제품선택=헤어팩 트리트먼트 1개 + 뉴트리셔스밤 1개 세트 5% 추가할인210201</t>
        </is>
      </c>
    </row>
    <row r="3154">
      <c r="A3154" s="9" t="inlineStr">
        <is>
          <t>0316~영상베리</t>
        </is>
      </c>
      <c r="B3154" s="10" t="n">
        <v>44329</v>
      </c>
      <c r="C3154" s="9" t="inlineStr">
        <is>
          <t>목</t>
        </is>
      </c>
      <c r="D3154" s="9" t="inlineStr">
        <is>
          <t>페이스북</t>
        </is>
      </c>
      <c r="E3154" s="9" t="inlineStr">
        <is>
          <t>샴푸</t>
        </is>
      </c>
      <c r="K3154" s="9" t="n">
        <v>98785</v>
      </c>
    </row>
    <row r="3155">
      <c r="A3155" s="9" t="inlineStr">
        <is>
          <t>0511_샴푸_CPV_피지결석_1차</t>
        </is>
      </c>
      <c r="B3155" s="10" t="n">
        <v>44329</v>
      </c>
      <c r="C3155" s="9" t="inlineStr">
        <is>
          <t>목</t>
        </is>
      </c>
      <c r="D3155" s="9" t="inlineStr">
        <is>
          <t>유튜브</t>
        </is>
      </c>
      <c r="E3155" s="9" t="inlineStr">
        <is>
          <t>샴푸</t>
        </is>
      </c>
      <c r="K3155" s="9" t="n">
        <v>56705</v>
      </c>
    </row>
    <row r="3156">
      <c r="A3156" s="9" t="inlineStr">
        <is>
          <t>0513_샴푸_VAC_피지결석1</t>
        </is>
      </c>
      <c r="B3156" s="10" t="n">
        <v>44329</v>
      </c>
      <c r="C3156" s="9" t="inlineStr">
        <is>
          <t>목</t>
        </is>
      </c>
      <c r="D3156" s="9" t="inlineStr">
        <is>
          <t>유튜브</t>
        </is>
      </c>
      <c r="E3156" s="9" t="inlineStr">
        <is>
          <t>샴푸</t>
        </is>
      </c>
      <c r="K3156" s="9" t="n">
        <v>1024801</v>
      </c>
    </row>
    <row r="3157">
      <c r="A3157" s="9" t="inlineStr">
        <is>
          <t>라베나 파워링크_샴푸_광고그룹#1</t>
        </is>
      </c>
      <c r="B3157" s="10" t="n">
        <v>44329</v>
      </c>
      <c r="C3157" s="9" t="inlineStr">
        <is>
          <t>목</t>
        </is>
      </c>
      <c r="D3157" s="9" t="inlineStr">
        <is>
          <t>네이버 검색</t>
        </is>
      </c>
      <c r="E3157" s="9" t="inlineStr">
        <is>
          <t>샴푸</t>
        </is>
      </c>
      <c r="K3157" s="9" t="n">
        <v>1460</v>
      </c>
    </row>
    <row r="3158">
      <c r="A3158" s="9" t="inlineStr">
        <is>
          <t>라베나 파워링크_샴푸#1_유튜브키워드기반</t>
        </is>
      </c>
      <c r="B3158" s="10" t="n">
        <v>44329</v>
      </c>
      <c r="C3158" s="9" t="inlineStr">
        <is>
          <t>목</t>
        </is>
      </c>
      <c r="D3158" s="9" t="inlineStr">
        <is>
          <t>네이버 검색</t>
        </is>
      </c>
      <c r="E3158" s="9" t="inlineStr">
        <is>
          <t>샴푸</t>
        </is>
      </c>
      <c r="K3158" s="9" t="n">
        <v>1330</v>
      </c>
    </row>
    <row r="3159">
      <c r="A3159" s="9" t="inlineStr">
        <is>
          <t>샴푸_쇼핑검색#1_광고그룹#1</t>
        </is>
      </c>
      <c r="B3159" s="10" t="n">
        <v>44329</v>
      </c>
      <c r="C3159" s="9" t="inlineStr">
        <is>
          <t>목</t>
        </is>
      </c>
      <c r="D3159" s="9" t="inlineStr">
        <is>
          <t>네이버 검색</t>
        </is>
      </c>
      <c r="E3159" s="9" t="inlineStr">
        <is>
          <t>샴푸</t>
        </is>
      </c>
      <c r="K3159" s="9" t="n">
        <v>2050</v>
      </c>
    </row>
    <row r="3160">
      <c r="A3160" s="9" t="inlineStr">
        <is>
          <t>파워컨텐츠#1_비듬샴푸</t>
        </is>
      </c>
      <c r="B3160" s="10" t="n">
        <v>44329</v>
      </c>
      <c r="C3160" s="9" t="inlineStr">
        <is>
          <t>목</t>
        </is>
      </c>
      <c r="D3160" s="9" t="inlineStr">
        <is>
          <t>네이버 검색</t>
        </is>
      </c>
      <c r="E3160" s="9" t="inlineStr">
        <is>
          <t>샴푸</t>
        </is>
      </c>
      <c r="K3160" s="9" t="n">
        <v>0</v>
      </c>
    </row>
    <row r="3161">
      <c r="B3161" s="10" t="n">
        <v>44329</v>
      </c>
      <c r="C3161" s="9" t="inlineStr">
        <is>
          <t>목</t>
        </is>
      </c>
      <c r="E3161" s="9" t="inlineStr">
        <is>
          <t>샴푸</t>
        </is>
      </c>
      <c r="F3161" s="9" t="inlineStr">
        <is>
          <t>카페24</t>
        </is>
      </c>
      <c r="G3161" s="9" t="inlineStr">
        <is>
          <t>[타임특가] 라베나 리:커버리 3개월 패키지 (샴푸 2+ 트리트먼트 택 1)샴푸2 + 트리트먼트 택 1=샴푸2 + 뉴트리셔스 밤1</t>
        </is>
      </c>
      <c r="H3161" s="9" t="n">
        <v>1</v>
      </c>
      <c r="I3161" s="9" t="inlineStr">
        <is>
          <t>리바이탈 샴푸2+뉴트리셔스밤1</t>
        </is>
      </c>
      <c r="J3161" s="9" t="inlineStr">
        <is>
          <t>210201</t>
        </is>
      </c>
      <c r="L3161" s="9">
        <f>62280</f>
        <v/>
      </c>
      <c r="M3161" s="9">
        <f>62280-(62280/5.85)</f>
        <v/>
      </c>
      <c r="N3161" s="9">
        <f>7310</f>
        <v/>
      </c>
      <c r="O3161" s="9" t="inlineStr">
        <is>
          <t>카페240[타임특가] 라베나 리:커버리 3개월 패키지 (샴푸 2+ 트리트먼트 택 1)샴푸2 + 트리트먼트 택 1=샴푸2 + 뉴트리셔스 밤1210201</t>
        </is>
      </c>
    </row>
    <row r="3162">
      <c r="B3162" s="10" t="n">
        <v>44329</v>
      </c>
      <c r="C3162" s="9" t="inlineStr">
        <is>
          <t>목</t>
        </is>
      </c>
      <c r="E3162" s="9" t="inlineStr">
        <is>
          <t>샴푸</t>
        </is>
      </c>
      <c r="F3162" s="9" t="inlineStr">
        <is>
          <t>카페24</t>
        </is>
      </c>
      <c r="G3162" s="9" t="inlineStr">
        <is>
          <t>[타임특가] 라베나 리:커버리 3개월 패키지 (샴푸 2+ 트리트먼트 택 1)샴푸2 + 트리트먼트 택 1=샴푸2 + 헤어팩 트리트먼트1</t>
        </is>
      </c>
      <c r="H3162" s="9" t="n">
        <v>4</v>
      </c>
      <c r="I3162" s="9" t="inlineStr">
        <is>
          <t>리바이탈 샴푸2+트리트먼트1</t>
        </is>
      </c>
      <c r="J3162" s="9" t="inlineStr">
        <is>
          <t>210201</t>
        </is>
      </c>
      <c r="L3162" s="9">
        <f>62280*4</f>
        <v/>
      </c>
      <c r="M3162" s="9">
        <f>249120-(249120/5.85)</f>
        <v/>
      </c>
      <c r="N3162" s="9">
        <f>7327*4</f>
        <v/>
      </c>
      <c r="O3162" s="9" t="inlineStr">
        <is>
          <t>카페240[타임특가] 라베나 리:커버리 3개월 패키지 (샴푸 2+ 트리트먼트 택 1)샴푸2 + 트리트먼트 택 1=샴푸2 + 헤어팩 트리트먼트1210201</t>
        </is>
      </c>
    </row>
    <row r="3163">
      <c r="B3163" s="10" t="n">
        <v>44329</v>
      </c>
      <c r="C3163" s="9" t="inlineStr">
        <is>
          <t>목</t>
        </is>
      </c>
      <c r="E3163" s="9" t="inlineStr">
        <is>
          <t>샴푸</t>
        </is>
      </c>
      <c r="F3163" s="9" t="inlineStr">
        <is>
          <t>카페24</t>
        </is>
      </c>
      <c r="G3163" s="9" t="inlineStr">
        <is>
          <t>[타임특가] 라베나 리:커버리 6개월 패키지 (샴푸 5+ 트리트먼트 택 1)샴푸 5 + 트리트먼트 택 1=샴푸 5 + 헤어팩 트리트먼트 1</t>
        </is>
      </c>
      <c r="H3163" s="9" t="n">
        <v>1</v>
      </c>
      <c r="I3163" s="9" t="inlineStr">
        <is>
          <t>리바이탈 샴푸5+트리트먼트1</t>
        </is>
      </c>
      <c r="J3163" s="9" t="inlineStr">
        <is>
          <t>210201</t>
        </is>
      </c>
      <c r="L3163" s="9">
        <f>114840</f>
        <v/>
      </c>
      <c r="M3163" s="9">
        <f>114840-(114840/5.85)</f>
        <v/>
      </c>
      <c r="N3163" s="9">
        <f>15922</f>
        <v/>
      </c>
      <c r="O3163" s="9" t="inlineStr">
        <is>
          <t>카페240[타임특가] 라베나 리:커버리 6개월 패키지 (샴푸 5+ 트리트먼트 택 1)샴푸 5 + 트리트먼트 택 1=샴푸 5 + 헤어팩 트리트먼트 1210201</t>
        </is>
      </c>
    </row>
    <row r="3164">
      <c r="B3164" s="10" t="n">
        <v>44329</v>
      </c>
      <c r="C3164" s="9" t="inlineStr">
        <is>
          <t>목</t>
        </is>
      </c>
      <c r="E3164" s="9" t="inlineStr">
        <is>
          <t>샴푸</t>
        </is>
      </c>
      <c r="F3164" s="9" t="inlineStr">
        <is>
          <t>카페24</t>
        </is>
      </c>
      <c r="G3164" s="9" t="inlineStr">
        <is>
          <t>[타임특가] 라베나 리:커버리 온가족 패키지 (샴푸 3+ 헤어팩 트리트먼트 1+뉴트리셔스 밤 1)</t>
        </is>
      </c>
      <c r="H3164" s="9" t="n">
        <v>2</v>
      </c>
      <c r="I3164" s="9" t="inlineStr">
        <is>
          <t>리바이탈 샴푸3+트리트먼트1+뉴트리셔스밤1</t>
        </is>
      </c>
      <c r="J3164" s="9" t="inlineStr">
        <is>
          <t>210201</t>
        </is>
      </c>
      <c r="L3164" s="9">
        <f>94765*2</f>
        <v/>
      </c>
      <c r="M3164" s="9">
        <f>189530-(189530/5.85)</f>
        <v/>
      </c>
      <c r="N3164" s="9">
        <f>11772*2</f>
        <v/>
      </c>
      <c r="O3164" s="9" t="inlineStr">
        <is>
          <t>카페240[타임특가] 라베나 리:커버리 온가족 패키지 (샴푸 3+ 헤어팩 트리트먼트 1+뉴트리셔스 밤 1)210201</t>
        </is>
      </c>
    </row>
    <row r="3165">
      <c r="B3165" s="10" t="n">
        <v>44329</v>
      </c>
      <c r="C3165" s="9" t="inlineStr">
        <is>
          <t>목</t>
        </is>
      </c>
      <c r="E3165" s="9" t="inlineStr">
        <is>
          <t>뉴트리셔스밤</t>
        </is>
      </c>
      <c r="F3165" s="9" t="inlineStr">
        <is>
          <t>카페24</t>
        </is>
      </c>
      <c r="G3165" s="9" t="inlineStr">
        <is>
          <t>라베나 리커버리 15 뉴트리셔스 밤제품선택=헤어 리커버리 15 뉴트리셔스 밤</t>
        </is>
      </c>
      <c r="H3165" s="9" t="n">
        <v>2</v>
      </c>
      <c r="I3165" s="9" t="inlineStr">
        <is>
          <t>뉴트리셔스밤</t>
        </is>
      </c>
      <c r="J3165" s="9" t="inlineStr">
        <is>
          <t>210201</t>
        </is>
      </c>
      <c r="L3165" s="9">
        <f>24900*2</f>
        <v/>
      </c>
      <c r="M3165" s="9">
        <f>49800-(49800/5.85)</f>
        <v/>
      </c>
      <c r="N3165" s="9">
        <f>1580*2</f>
        <v/>
      </c>
      <c r="O3165" s="9" t="inlineStr">
        <is>
          <t>카페240라베나 리커버리 15 뉴트리셔스 밤제품선택=헤어 리커버리 15 뉴트리셔스 밤210201</t>
        </is>
      </c>
    </row>
    <row r="3166">
      <c r="B3166" s="10" t="n">
        <v>44329</v>
      </c>
      <c r="C3166" s="9" t="inlineStr">
        <is>
          <t>목</t>
        </is>
      </c>
      <c r="E3166" s="9" t="inlineStr">
        <is>
          <t>샴푸</t>
        </is>
      </c>
      <c r="F3166" s="9" t="inlineStr">
        <is>
          <t>카페24</t>
        </is>
      </c>
      <c r="G3166" s="9" t="inlineStr">
        <is>
          <t>라베나 리커버리 15 리바이탈 바이오플라보노이드샴푸제품선택=헤어 리커버리 15 리바이탈 샴푸 - 500ml</t>
        </is>
      </c>
      <c r="H3166" s="9" t="n">
        <v>54</v>
      </c>
      <c r="I3166" s="9" t="inlineStr">
        <is>
          <t>리바이탈 샴푸</t>
        </is>
      </c>
      <c r="J3166" s="9" t="inlineStr">
        <is>
          <t>210201</t>
        </is>
      </c>
      <c r="L3166" s="9">
        <f>26900*54</f>
        <v/>
      </c>
      <c r="M3166" s="9">
        <f>1452600-(1452600/5.85)</f>
        <v/>
      </c>
      <c r="N3166" s="9">
        <f>2865*54</f>
        <v/>
      </c>
      <c r="O3166" s="9" t="inlineStr">
        <is>
          <t>카페240라베나 리커버리 15 리바이탈 바이오플라보노이드샴푸제품선택=헤어 리커버리 15 리바이탈 샴푸 - 500ml210201</t>
        </is>
      </c>
    </row>
    <row r="3167">
      <c r="B3167" s="10" t="n">
        <v>44329</v>
      </c>
      <c r="C3167" s="9" t="inlineStr">
        <is>
          <t>목</t>
        </is>
      </c>
      <c r="E3167" s="9" t="inlineStr">
        <is>
          <t>샴푸</t>
        </is>
      </c>
      <c r="F3167" s="9" t="inlineStr">
        <is>
          <t>카페24</t>
        </is>
      </c>
      <c r="G3167" s="9" t="inlineStr">
        <is>
          <t>라베나 리커버리 15 리바이탈 바이오플라보노이드샴푸제품선택=리바이탈 샴푸 2개 세트 5%추가할인</t>
        </is>
      </c>
      <c r="H3167" s="9" t="n">
        <v>23</v>
      </c>
      <c r="I3167" s="9" t="inlineStr">
        <is>
          <t>리바이탈 샴푸 2set</t>
        </is>
      </c>
      <c r="J3167" s="9" t="inlineStr">
        <is>
          <t>210201</t>
        </is>
      </c>
      <c r="L3167" s="9">
        <f>51110*23</f>
        <v/>
      </c>
      <c r="M3167" s="9">
        <f>1175530-(1175530/5.85)</f>
        <v/>
      </c>
      <c r="N3167" s="9">
        <f>2865*46</f>
        <v/>
      </c>
      <c r="O3167" s="9" t="inlineStr">
        <is>
          <t>카페240라베나 리커버리 15 리바이탈 바이오플라보노이드샴푸제품선택=리바이탈 샴푸 2개 세트 5%추가할인210201</t>
        </is>
      </c>
    </row>
    <row r="3168">
      <c r="B3168" s="10" t="n">
        <v>44329</v>
      </c>
      <c r="C3168" s="9" t="inlineStr">
        <is>
          <t>목</t>
        </is>
      </c>
      <c r="E3168" s="9" t="inlineStr">
        <is>
          <t>샴푸</t>
        </is>
      </c>
      <c r="F3168" s="9" t="inlineStr">
        <is>
          <t>카페24</t>
        </is>
      </c>
      <c r="G3168" s="9" t="inlineStr">
        <is>
          <t>라베나 리커버리 15 리바이탈 바이오플라보노이드샴푸제품선택=리바이탈 샴푸 3개 세트 10% 추가할인</t>
        </is>
      </c>
      <c r="H3168" s="9" t="n">
        <v>5</v>
      </c>
      <c r="I3168" s="9" t="inlineStr">
        <is>
          <t>리바이탈 샴푸 3set</t>
        </is>
      </c>
      <c r="J3168" s="9" t="inlineStr">
        <is>
          <t>210201</t>
        </is>
      </c>
      <c r="L3168" s="9">
        <f>72630*5</f>
        <v/>
      </c>
      <c r="M3168" s="9">
        <f>363150-(363150/5.85)</f>
        <v/>
      </c>
      <c r="N3168" s="9">
        <f>2865*15</f>
        <v/>
      </c>
      <c r="O3168" s="9" t="inlineStr">
        <is>
          <t>카페240라베나 리커버리 15 리바이탈 바이오플라보노이드샴푸제품선택=리바이탈 샴푸 3개 세트 10% 추가할인210201</t>
        </is>
      </c>
    </row>
    <row r="3169">
      <c r="B3169" s="10" t="n">
        <v>44329</v>
      </c>
      <c r="C3169" s="9" t="inlineStr">
        <is>
          <t>목</t>
        </is>
      </c>
      <c r="E3169" s="9" t="inlineStr">
        <is>
          <t>트리트먼트</t>
        </is>
      </c>
      <c r="F3169" s="9" t="inlineStr">
        <is>
          <t>카페24</t>
        </is>
      </c>
      <c r="G3169" s="9" t="inlineStr">
        <is>
          <t>라베나 리커버리 15 헤어팩 트리트먼트제품선택=헤어팩 트리트먼트 3개 세트 10% 추가할인</t>
        </is>
      </c>
      <c r="H3169" s="9" t="n">
        <v>1</v>
      </c>
      <c r="I3169" s="9" t="inlineStr">
        <is>
          <t>트리트먼트 3set</t>
        </is>
      </c>
      <c r="J3169" s="9" t="inlineStr">
        <is>
          <t>210201</t>
        </is>
      </c>
      <c r="L3169" s="9" t="n">
        <v>70200</v>
      </c>
      <c r="M3169" s="9">
        <f>70200-(70200/5.85)</f>
        <v/>
      </c>
      <c r="N3169" s="9">
        <f>1597*3</f>
        <v/>
      </c>
      <c r="O3169" s="9" t="inlineStr">
        <is>
          <t>카페240라베나 리커버리 15 헤어팩 트리트먼트제품선택=헤어팩 트리트먼트 3개 세트 10% 추가할인210201</t>
        </is>
      </c>
    </row>
    <row r="3170">
      <c r="A3170" s="9" t="inlineStr">
        <is>
          <t>0514_인서_샴푸_묶은자국_영상</t>
        </is>
      </c>
      <c r="B3170" s="10" t="n">
        <v>44330</v>
      </c>
      <c r="C3170" s="9" t="inlineStr">
        <is>
          <t>금</t>
        </is>
      </c>
      <c r="D3170" s="9" t="inlineStr">
        <is>
          <t>페이스북</t>
        </is>
      </c>
      <c r="E3170" s="9" t="inlineStr">
        <is>
          <t>샴푸</t>
        </is>
      </c>
      <c r="K3170" s="9" t="n">
        <v>32653</v>
      </c>
    </row>
    <row r="3171">
      <c r="A3171" s="9" t="inlineStr">
        <is>
          <t>0514_현빈_샴푸_피지결석_카드뉴스</t>
        </is>
      </c>
      <c r="B3171" s="10" t="n">
        <v>44330</v>
      </c>
      <c r="C3171" s="9" t="inlineStr">
        <is>
          <t>금</t>
        </is>
      </c>
      <c r="D3171" s="9" t="inlineStr">
        <is>
          <t>페이스북</t>
        </is>
      </c>
      <c r="E3171" s="9" t="inlineStr">
        <is>
          <t>샴푸</t>
        </is>
      </c>
      <c r="K3171" s="9" t="n">
        <v>238337</v>
      </c>
    </row>
    <row r="3172">
      <c r="A3172" s="9" t="inlineStr">
        <is>
          <t>0514_이현_노워시_bna영상</t>
        </is>
      </c>
      <c r="B3172" s="10" t="n">
        <v>44330</v>
      </c>
      <c r="C3172" s="9" t="inlineStr">
        <is>
          <t>금</t>
        </is>
      </c>
      <c r="D3172" s="9" t="inlineStr">
        <is>
          <t>페이스북</t>
        </is>
      </c>
      <c r="E3172" s="9" t="inlineStr">
        <is>
          <t>뉴트리셔스밤</t>
        </is>
      </c>
      <c r="K3172" s="9" t="n">
        <v>30229</v>
      </c>
    </row>
    <row r="3173">
      <c r="A3173" s="9" t="inlineStr">
        <is>
          <t>0316~영상베리</t>
        </is>
      </c>
      <c r="B3173" s="10" t="n">
        <v>44330</v>
      </c>
      <c r="C3173" s="9" t="inlineStr">
        <is>
          <t>금</t>
        </is>
      </c>
      <c r="D3173" s="9" t="inlineStr">
        <is>
          <t>페이스북</t>
        </is>
      </c>
      <c r="E3173" s="9" t="inlineStr">
        <is>
          <t>샴푸</t>
        </is>
      </c>
      <c r="K3173" s="9" t="n">
        <v>102081</v>
      </c>
    </row>
    <row r="3174">
      <c r="A3174" s="9" t="inlineStr">
        <is>
          <t>0514_인서_샴푸_묶은자국_영상</t>
        </is>
      </c>
      <c r="B3174" s="10" t="n">
        <v>44331</v>
      </c>
      <c r="C3174" s="9" t="inlineStr">
        <is>
          <t>토</t>
        </is>
      </c>
      <c r="D3174" s="9" t="inlineStr">
        <is>
          <t>페이스북</t>
        </is>
      </c>
      <c r="E3174" s="9" t="inlineStr">
        <is>
          <t>샴푸</t>
        </is>
      </c>
      <c r="K3174" s="9" t="n">
        <v>101337</v>
      </c>
    </row>
    <row r="3175">
      <c r="A3175" s="9" t="inlineStr">
        <is>
          <t>0514_현빈_샴푸_피지결석_카드뉴스</t>
        </is>
      </c>
      <c r="B3175" s="10" t="n">
        <v>44331</v>
      </c>
      <c r="C3175" s="9" t="inlineStr">
        <is>
          <t>토</t>
        </is>
      </c>
      <c r="D3175" s="9" t="inlineStr">
        <is>
          <t>페이스북</t>
        </is>
      </c>
      <c r="E3175" s="9" t="inlineStr">
        <is>
          <t>샴푸</t>
        </is>
      </c>
      <c r="K3175" s="9" t="n">
        <v>501719</v>
      </c>
    </row>
    <row r="3176">
      <c r="A3176" s="9" t="inlineStr">
        <is>
          <t>0514_이현_노워시_bna영상</t>
        </is>
      </c>
      <c r="B3176" s="10" t="n">
        <v>44331</v>
      </c>
      <c r="C3176" s="9" t="inlineStr">
        <is>
          <t>토</t>
        </is>
      </c>
      <c r="D3176" s="9" t="inlineStr">
        <is>
          <t>페이스북</t>
        </is>
      </c>
      <c r="E3176" s="9" t="inlineStr">
        <is>
          <t>뉴트리셔스밤</t>
        </is>
      </c>
      <c r="K3176" s="9" t="n">
        <v>53113</v>
      </c>
    </row>
    <row r="3177">
      <c r="A3177" s="9" t="inlineStr">
        <is>
          <t>0316~영상베리</t>
        </is>
      </c>
      <c r="B3177" s="10" t="n">
        <v>44331</v>
      </c>
      <c r="C3177" s="9" t="inlineStr">
        <is>
          <t>토</t>
        </is>
      </c>
      <c r="D3177" s="9" t="inlineStr">
        <is>
          <t>페이스북</t>
        </is>
      </c>
      <c r="E3177" s="9" t="inlineStr">
        <is>
          <t>샴푸</t>
        </is>
      </c>
      <c r="K3177" s="9" t="n">
        <v>102577</v>
      </c>
    </row>
    <row r="3178">
      <c r="A3178" s="9" t="inlineStr">
        <is>
          <t>0514_인서_샴푸_묶은자국_영상</t>
        </is>
      </c>
      <c r="B3178" s="10" t="n">
        <v>44332</v>
      </c>
      <c r="C3178" s="9" t="inlineStr">
        <is>
          <t>일</t>
        </is>
      </c>
      <c r="D3178" s="9" t="inlineStr">
        <is>
          <t>페이스북</t>
        </is>
      </c>
      <c r="E3178" s="9" t="inlineStr">
        <is>
          <t>샴푸</t>
        </is>
      </c>
      <c r="K3178" s="9" t="n">
        <v>102079</v>
      </c>
    </row>
    <row r="3179">
      <c r="A3179" s="9" t="inlineStr">
        <is>
          <t>0514_현빈_샴푸_피지결석_카드뉴스</t>
        </is>
      </c>
      <c r="B3179" s="10" t="n">
        <v>44332</v>
      </c>
      <c r="C3179" s="9" t="inlineStr">
        <is>
          <t>일</t>
        </is>
      </c>
      <c r="D3179" s="9" t="inlineStr">
        <is>
          <t>페이스북</t>
        </is>
      </c>
      <c r="E3179" s="9" t="inlineStr">
        <is>
          <t>샴푸</t>
        </is>
      </c>
      <c r="K3179" s="9" t="n">
        <v>534145</v>
      </c>
    </row>
    <row r="3180">
      <c r="A3180" s="9" t="inlineStr">
        <is>
          <t>0514_이현_노워시_bna영상</t>
        </is>
      </c>
      <c r="B3180" s="10" t="n">
        <v>44332</v>
      </c>
      <c r="C3180" s="9" t="inlineStr">
        <is>
          <t>일</t>
        </is>
      </c>
      <c r="D3180" s="9" t="inlineStr">
        <is>
          <t>페이스북</t>
        </is>
      </c>
      <c r="E3180" s="9" t="inlineStr">
        <is>
          <t>뉴트리셔스밤</t>
        </is>
      </c>
      <c r="K3180" s="9" t="n">
        <v>32413</v>
      </c>
    </row>
    <row r="3181">
      <c r="A3181" s="9" t="inlineStr">
        <is>
          <t>0316~영상베리</t>
        </is>
      </c>
      <c r="B3181" s="10" t="n">
        <v>44332</v>
      </c>
      <c r="C3181" s="9" t="inlineStr">
        <is>
          <t>일</t>
        </is>
      </c>
      <c r="D3181" s="9" t="inlineStr">
        <is>
          <t>페이스북</t>
        </is>
      </c>
      <c r="E3181" s="9" t="inlineStr">
        <is>
          <t>샴푸</t>
        </is>
      </c>
      <c r="K3181" s="9" t="n">
        <v>100098</v>
      </c>
    </row>
    <row r="3182">
      <c r="A3182" s="9" t="inlineStr">
        <is>
          <t>0322_샴푸_GDN_이현1차</t>
        </is>
      </c>
      <c r="B3182" s="10" t="n">
        <v>44330</v>
      </c>
      <c r="C3182" s="9" t="inlineStr">
        <is>
          <t>금</t>
        </is>
      </c>
      <c r="D3182" s="9" t="inlineStr">
        <is>
          <t>GDN</t>
        </is>
      </c>
      <c r="E3182" s="9" t="inlineStr">
        <is>
          <t>샴푸</t>
        </is>
      </c>
      <c r="K3182" s="9" t="n">
        <v>50000</v>
      </c>
    </row>
    <row r="3183">
      <c r="A3183" s="9" t="inlineStr">
        <is>
          <t>0511_샴푸_CPV_피지결석_1차</t>
        </is>
      </c>
      <c r="B3183" s="10" t="n">
        <v>44330</v>
      </c>
      <c r="C3183" s="9" t="inlineStr">
        <is>
          <t>금</t>
        </is>
      </c>
      <c r="D3183" s="9" t="inlineStr">
        <is>
          <t>유튜브</t>
        </is>
      </c>
      <c r="E3183" s="9" t="inlineStr">
        <is>
          <t>샴푸</t>
        </is>
      </c>
      <c r="K3183" s="9" t="n">
        <v>1139</v>
      </c>
    </row>
    <row r="3184">
      <c r="A3184" s="9" t="inlineStr">
        <is>
          <t>0513_샴푸_CPV_피지결석_2차</t>
        </is>
      </c>
      <c r="B3184" s="10" t="n">
        <v>44330</v>
      </c>
      <c r="C3184" s="9" t="inlineStr">
        <is>
          <t>금</t>
        </is>
      </c>
      <c r="D3184" s="9" t="inlineStr">
        <is>
          <t>유튜브</t>
        </is>
      </c>
      <c r="E3184" s="9" t="inlineStr">
        <is>
          <t>샴푸</t>
        </is>
      </c>
      <c r="K3184" s="9" t="n">
        <v>1416</v>
      </c>
    </row>
    <row r="3185">
      <c r="A3185" s="9" t="inlineStr">
        <is>
          <t>0513_샴푸_VAC_피지결석1</t>
        </is>
      </c>
      <c r="B3185" s="10" t="n">
        <v>44330</v>
      </c>
      <c r="C3185" s="9" t="inlineStr">
        <is>
          <t>금</t>
        </is>
      </c>
      <c r="D3185" s="9" t="inlineStr">
        <is>
          <t>유튜브</t>
        </is>
      </c>
      <c r="E3185" s="9" t="inlineStr">
        <is>
          <t>샴푸</t>
        </is>
      </c>
      <c r="K3185" s="9" t="n">
        <v>976603</v>
      </c>
    </row>
    <row r="3186">
      <c r="A3186" s="9" t="inlineStr">
        <is>
          <t>0511_샴푸_CPV_피지결석_1차</t>
        </is>
      </c>
      <c r="B3186" s="10" t="n">
        <v>44331</v>
      </c>
      <c r="C3186" s="9" t="inlineStr">
        <is>
          <t>토</t>
        </is>
      </c>
      <c r="D3186" s="9" t="inlineStr">
        <is>
          <t>유튜브</t>
        </is>
      </c>
      <c r="E3186" s="9" t="inlineStr">
        <is>
          <t>샴푸</t>
        </is>
      </c>
      <c r="K3186" s="9" t="n">
        <v>2358</v>
      </c>
    </row>
    <row r="3187">
      <c r="A3187" s="9" t="inlineStr">
        <is>
          <t>0513_샴푸_VAC_피지결석1</t>
        </is>
      </c>
      <c r="B3187" s="10" t="n">
        <v>44331</v>
      </c>
      <c r="C3187" s="9" t="inlineStr">
        <is>
          <t>토</t>
        </is>
      </c>
      <c r="D3187" s="9" t="inlineStr">
        <is>
          <t>유튜브</t>
        </is>
      </c>
      <c r="E3187" s="9" t="inlineStr">
        <is>
          <t>샴푸</t>
        </is>
      </c>
      <c r="K3187" s="9" t="n">
        <v>207400</v>
      </c>
    </row>
    <row r="3188">
      <c r="A3188" s="9" t="inlineStr">
        <is>
          <t>0514_샴푸_DA_모낭결석</t>
        </is>
      </c>
      <c r="B3188" s="10" t="n">
        <v>44331</v>
      </c>
      <c r="C3188" s="9" t="inlineStr">
        <is>
          <t>토</t>
        </is>
      </c>
      <c r="D3188" s="9" t="inlineStr">
        <is>
          <t>유튜브</t>
        </is>
      </c>
      <c r="E3188" s="9" t="inlineStr">
        <is>
          <t>샴푸</t>
        </is>
      </c>
      <c r="K3188" s="9" t="n">
        <v>327669</v>
      </c>
    </row>
    <row r="3189">
      <c r="A3189" s="9" t="inlineStr">
        <is>
          <t>0514_샴푸_CPV_피지결석_3차</t>
        </is>
      </c>
      <c r="B3189" s="10" t="n">
        <v>44331</v>
      </c>
      <c r="C3189" s="9" t="inlineStr">
        <is>
          <t>토</t>
        </is>
      </c>
      <c r="D3189" s="9" t="inlineStr">
        <is>
          <t>유튜브</t>
        </is>
      </c>
      <c r="E3189" s="9" t="inlineStr">
        <is>
          <t>샴푸</t>
        </is>
      </c>
      <c r="K3189" s="9" t="n">
        <v>4035511</v>
      </c>
    </row>
    <row r="3190">
      <c r="A3190" s="9" t="inlineStr">
        <is>
          <t>0322_샴푸_GDN_이현1차</t>
        </is>
      </c>
      <c r="B3190" s="10" t="n">
        <v>44332</v>
      </c>
      <c r="C3190" s="9" t="inlineStr">
        <is>
          <t>일</t>
        </is>
      </c>
      <c r="D3190" s="9" t="inlineStr">
        <is>
          <t>GDN</t>
        </is>
      </c>
      <c r="E3190" s="9" t="inlineStr">
        <is>
          <t>샴푸</t>
        </is>
      </c>
      <c r="K3190" s="9" t="n">
        <v>15000</v>
      </c>
    </row>
    <row r="3191">
      <c r="A3191" s="9" t="inlineStr">
        <is>
          <t>0511_샴푸_CPV_피지결석_1차</t>
        </is>
      </c>
      <c r="B3191" s="10" t="n">
        <v>44332</v>
      </c>
      <c r="C3191" s="9" t="inlineStr">
        <is>
          <t>일</t>
        </is>
      </c>
      <c r="D3191" s="9" t="inlineStr">
        <is>
          <t>유튜브</t>
        </is>
      </c>
      <c r="E3191" s="9" t="inlineStr">
        <is>
          <t>샴푸</t>
        </is>
      </c>
      <c r="K3191" s="9" t="n">
        <v>347</v>
      </c>
    </row>
    <row r="3192">
      <c r="A3192" s="9" t="inlineStr">
        <is>
          <t>0513_샴푸_CPV_피지결석_2차</t>
        </is>
      </c>
      <c r="B3192" s="10" t="n">
        <v>44332</v>
      </c>
      <c r="C3192" s="9" t="inlineStr">
        <is>
          <t>일</t>
        </is>
      </c>
      <c r="D3192" s="9" t="inlineStr">
        <is>
          <t>유튜브</t>
        </is>
      </c>
      <c r="E3192" s="9" t="inlineStr">
        <is>
          <t>샴푸</t>
        </is>
      </c>
      <c r="K3192" s="9" t="n">
        <v>1844</v>
      </c>
    </row>
    <row r="3193">
      <c r="A3193" s="9" t="inlineStr">
        <is>
          <t>0513_샴푸_VAC_피지결석1</t>
        </is>
      </c>
      <c r="B3193" s="10" t="n">
        <v>44332</v>
      </c>
      <c r="C3193" s="9" t="inlineStr">
        <is>
          <t>일</t>
        </is>
      </c>
      <c r="D3193" s="9" t="inlineStr">
        <is>
          <t>유튜브</t>
        </is>
      </c>
      <c r="E3193" s="9" t="inlineStr">
        <is>
          <t>샴푸</t>
        </is>
      </c>
      <c r="K3193" s="9" t="n">
        <v>2577</v>
      </c>
    </row>
    <row r="3194">
      <c r="A3194" s="9" t="inlineStr">
        <is>
          <t>0514_샴푸_DA_모낭결석</t>
        </is>
      </c>
      <c r="B3194" s="10" t="n">
        <v>44332</v>
      </c>
      <c r="C3194" s="9" t="inlineStr">
        <is>
          <t>일</t>
        </is>
      </c>
      <c r="D3194" s="9" t="inlineStr">
        <is>
          <t>유튜브</t>
        </is>
      </c>
      <c r="E3194" s="9" t="inlineStr">
        <is>
          <t>샴푸</t>
        </is>
      </c>
      <c r="K3194" s="9" t="n">
        <v>46339</v>
      </c>
    </row>
    <row r="3195">
      <c r="A3195" s="9" t="inlineStr">
        <is>
          <t>0514_샴푸_CPV_피지결석_3차</t>
        </is>
      </c>
      <c r="B3195" s="10" t="n">
        <v>44332</v>
      </c>
      <c r="C3195" s="9" t="inlineStr">
        <is>
          <t>일</t>
        </is>
      </c>
      <c r="D3195" s="9" t="inlineStr">
        <is>
          <t>유튜브</t>
        </is>
      </c>
      <c r="E3195" s="9" t="inlineStr">
        <is>
          <t>샴푸</t>
        </is>
      </c>
      <c r="K3195" s="9" t="n">
        <v>2000835</v>
      </c>
    </row>
    <row r="3196">
      <c r="A3196" s="9" t="inlineStr">
        <is>
          <t>라베나 파워링크_샴푸_광고그룹#1</t>
        </is>
      </c>
      <c r="B3196" s="10" t="n">
        <v>44332</v>
      </c>
      <c r="C3196" s="9" t="inlineStr">
        <is>
          <t>일</t>
        </is>
      </c>
      <c r="D3196" s="9" t="inlineStr">
        <is>
          <t>네이버 검색</t>
        </is>
      </c>
      <c r="E3196" s="9" t="inlineStr">
        <is>
          <t>샴푸</t>
        </is>
      </c>
      <c r="K3196" s="9" t="n">
        <v>2720</v>
      </c>
    </row>
    <row r="3197">
      <c r="A3197" s="9" t="inlineStr">
        <is>
          <t>라베나 파워링크_샴푸#1_유튜브키워드기반</t>
        </is>
      </c>
      <c r="B3197" s="10" t="n">
        <v>44332</v>
      </c>
      <c r="C3197" s="9" t="inlineStr">
        <is>
          <t>일</t>
        </is>
      </c>
      <c r="D3197" s="9" t="inlineStr">
        <is>
          <t>네이버 검색</t>
        </is>
      </c>
      <c r="E3197" s="9" t="inlineStr">
        <is>
          <t>샴푸</t>
        </is>
      </c>
      <c r="K3197" s="9" t="n">
        <v>2680</v>
      </c>
    </row>
    <row r="3198">
      <c r="A3198" s="9" t="inlineStr">
        <is>
          <t>샴푸_쇼핑검색#1_광고그룹#1</t>
        </is>
      </c>
      <c r="B3198" s="10" t="n">
        <v>44332</v>
      </c>
      <c r="C3198" s="9" t="inlineStr">
        <is>
          <t>일</t>
        </is>
      </c>
      <c r="D3198" s="9" t="inlineStr">
        <is>
          <t>네이버 검색</t>
        </is>
      </c>
      <c r="E3198" s="9" t="inlineStr">
        <is>
          <t>샴푸</t>
        </is>
      </c>
      <c r="K3198" s="9" t="n">
        <v>7929.999999999999</v>
      </c>
    </row>
    <row r="3199">
      <c r="A3199" s="9" t="inlineStr">
        <is>
          <t>파워컨텐츠#1_비듬샴푸</t>
        </is>
      </c>
      <c r="B3199" s="10" t="n">
        <v>44332</v>
      </c>
      <c r="C3199" s="9" t="inlineStr">
        <is>
          <t>일</t>
        </is>
      </c>
      <c r="D3199" s="9" t="inlineStr">
        <is>
          <t>네이버 검색</t>
        </is>
      </c>
      <c r="E3199" s="9" t="inlineStr">
        <is>
          <t>샴푸</t>
        </is>
      </c>
      <c r="K3199" s="9" t="n">
        <v>70</v>
      </c>
    </row>
    <row r="3200">
      <c r="A3200" s="9" t="inlineStr">
        <is>
          <t>라베나 파워링크_샴푸_광고그룹#1</t>
        </is>
      </c>
      <c r="B3200" s="10" t="n">
        <v>44331</v>
      </c>
      <c r="C3200" s="9" t="inlineStr">
        <is>
          <t>토</t>
        </is>
      </c>
      <c r="D3200" s="9" t="inlineStr">
        <is>
          <t>네이버 검색</t>
        </is>
      </c>
      <c r="E3200" s="9" t="inlineStr">
        <is>
          <t>샴푸</t>
        </is>
      </c>
      <c r="K3200" s="9" t="n">
        <v>1300</v>
      </c>
    </row>
    <row r="3201">
      <c r="A3201" s="9" t="inlineStr">
        <is>
          <t>라베나 파워링크_샴푸#1_유튜브키워드기반</t>
        </is>
      </c>
      <c r="B3201" s="10" t="n">
        <v>44331</v>
      </c>
      <c r="C3201" s="9" t="inlineStr">
        <is>
          <t>토</t>
        </is>
      </c>
      <c r="D3201" s="9" t="inlineStr">
        <is>
          <t>네이버 검색</t>
        </is>
      </c>
      <c r="E3201" s="9" t="inlineStr">
        <is>
          <t>샴푸</t>
        </is>
      </c>
      <c r="K3201" s="9" t="n">
        <v>1480</v>
      </c>
    </row>
    <row r="3202">
      <c r="A3202" s="9" t="inlineStr">
        <is>
          <t>샴푸_쇼핑검색#1_광고그룹#1</t>
        </is>
      </c>
      <c r="B3202" s="10" t="n">
        <v>44331</v>
      </c>
      <c r="C3202" s="9" t="inlineStr">
        <is>
          <t>토</t>
        </is>
      </c>
      <c r="D3202" s="9" t="inlineStr">
        <is>
          <t>네이버 검색</t>
        </is>
      </c>
      <c r="E3202" s="9" t="inlineStr">
        <is>
          <t>샴푸</t>
        </is>
      </c>
      <c r="K3202" s="9" t="n">
        <v>5470</v>
      </c>
    </row>
    <row r="3203">
      <c r="A3203" s="9" t="inlineStr">
        <is>
          <t>파워컨텐츠#1_비듬샴푸</t>
        </is>
      </c>
      <c r="B3203" s="10" t="n">
        <v>44331</v>
      </c>
      <c r="C3203" s="9" t="inlineStr">
        <is>
          <t>토</t>
        </is>
      </c>
      <c r="D3203" s="9" t="inlineStr">
        <is>
          <t>네이버 검색</t>
        </is>
      </c>
      <c r="E3203" s="9" t="inlineStr">
        <is>
          <t>샴푸</t>
        </is>
      </c>
      <c r="K3203" s="9" t="n">
        <v>0</v>
      </c>
    </row>
    <row r="3204">
      <c r="A3204" s="9" t="inlineStr">
        <is>
          <t>라베나 파워링크_샴푸_광고그룹#1</t>
        </is>
      </c>
      <c r="B3204" s="10" t="n">
        <v>44330</v>
      </c>
      <c r="C3204" s="9" t="inlineStr">
        <is>
          <t>금</t>
        </is>
      </c>
      <c r="D3204" s="9" t="inlineStr">
        <is>
          <t>네이버 검색</t>
        </is>
      </c>
      <c r="E3204" s="9" t="inlineStr">
        <is>
          <t>샴푸</t>
        </is>
      </c>
      <c r="K3204" s="9" t="n">
        <v>1690</v>
      </c>
    </row>
    <row r="3205">
      <c r="A3205" s="9" t="inlineStr">
        <is>
          <t>라베나 파워링크_샴푸#1_유튜브키워드기반</t>
        </is>
      </c>
      <c r="B3205" s="10" t="n">
        <v>44330</v>
      </c>
      <c r="C3205" s="9" t="inlineStr">
        <is>
          <t>금</t>
        </is>
      </c>
      <c r="D3205" s="9" t="inlineStr">
        <is>
          <t>네이버 검색</t>
        </is>
      </c>
      <c r="E3205" s="9" t="inlineStr">
        <is>
          <t>샴푸</t>
        </is>
      </c>
      <c r="K3205" s="9" t="n">
        <v>1730</v>
      </c>
    </row>
    <row r="3206">
      <c r="A3206" s="9" t="inlineStr">
        <is>
          <t>샴푸_쇼핑검색#1_광고그룹#1</t>
        </is>
      </c>
      <c r="B3206" s="10" t="n">
        <v>44330</v>
      </c>
      <c r="C3206" s="9" t="inlineStr">
        <is>
          <t>금</t>
        </is>
      </c>
      <c r="D3206" s="9" t="inlineStr">
        <is>
          <t>네이버 검색</t>
        </is>
      </c>
      <c r="E3206" s="9" t="inlineStr">
        <is>
          <t>샴푸</t>
        </is>
      </c>
      <c r="K3206" s="9" t="n">
        <v>2690</v>
      </c>
    </row>
    <row r="3207">
      <c r="A3207" s="9" t="inlineStr">
        <is>
          <t>파워컨텐츠#1_비듬샴푸</t>
        </is>
      </c>
      <c r="B3207" s="10" t="n">
        <v>44330</v>
      </c>
      <c r="C3207" s="9" t="inlineStr">
        <is>
          <t>금</t>
        </is>
      </c>
      <c r="D3207" s="9" t="inlineStr">
        <is>
          <t>네이버 검색</t>
        </is>
      </c>
      <c r="E3207" s="9" t="inlineStr">
        <is>
          <t>샴푸</t>
        </is>
      </c>
      <c r="K3207" s="9" t="n">
        <v>0</v>
      </c>
    </row>
    <row r="3208">
      <c r="B3208" s="10" t="n">
        <v>44330</v>
      </c>
      <c r="C3208" s="9" t="inlineStr">
        <is>
          <t>금</t>
        </is>
      </c>
      <c r="E3208" s="9" t="inlineStr">
        <is>
          <t>샴푸</t>
        </is>
      </c>
      <c r="F3208" s="9" t="inlineStr">
        <is>
          <t>카페24</t>
        </is>
      </c>
      <c r="G3208" s="9" t="inlineStr">
        <is>
          <t>[타임특가] 라베나 리:커버리 3개월 패키지 (샴푸 2+ 트리트먼트 택 1)샴푸2 + 트리트먼트 택 1=샴푸2 + 뉴트리셔스 밤1</t>
        </is>
      </c>
      <c r="H3208" s="9" t="n">
        <v>4</v>
      </c>
      <c r="I3208" s="9" t="inlineStr">
        <is>
          <t>리바이탈 샴푸2+뉴트리셔스밤1</t>
        </is>
      </c>
      <c r="J3208" s="9" t="inlineStr">
        <is>
          <t>210201</t>
        </is>
      </c>
      <c r="L3208" s="9">
        <f>62280*4</f>
        <v/>
      </c>
      <c r="M3208" s="9">
        <f>249120-(249120/5.85)</f>
        <v/>
      </c>
      <c r="N3208" s="9">
        <f>7310*4</f>
        <v/>
      </c>
      <c r="O3208" s="9" t="inlineStr">
        <is>
          <t>카페240[타임특가] 라베나 리:커버리 3개월 패키지 (샴푸 2+ 트리트먼트 택 1)샴푸2 + 트리트먼트 택 1=샴푸2 + 뉴트리셔스 밤1210201</t>
        </is>
      </c>
    </row>
    <row r="3209">
      <c r="B3209" s="10" t="n">
        <v>44330</v>
      </c>
      <c r="C3209" s="9" t="inlineStr">
        <is>
          <t>금</t>
        </is>
      </c>
      <c r="E3209" s="9" t="inlineStr">
        <is>
          <t>샴푸</t>
        </is>
      </c>
      <c r="F3209" s="9" t="inlineStr">
        <is>
          <t>카페24</t>
        </is>
      </c>
      <c r="G3209" s="9" t="inlineStr">
        <is>
          <t>[타임특가] 라베나 리:커버리 3개월 패키지 (샴푸 2+ 트리트먼트 택 1)샴푸2 + 트리트먼트 택 1=샴푸2 + 헤어팩 트리트먼트1</t>
        </is>
      </c>
      <c r="H3209" s="9" t="n">
        <v>7</v>
      </c>
      <c r="I3209" s="9" t="inlineStr">
        <is>
          <t>리바이탈 샴푸2+트리트먼트1</t>
        </is>
      </c>
      <c r="J3209" s="9" t="inlineStr">
        <is>
          <t>210201</t>
        </is>
      </c>
      <c r="L3209" s="9">
        <f>62280*7</f>
        <v/>
      </c>
      <c r="M3209" s="9">
        <f>435960-(435960/5.85)</f>
        <v/>
      </c>
      <c r="N3209" s="9">
        <f>7327*7</f>
        <v/>
      </c>
      <c r="O3209" s="9" t="inlineStr">
        <is>
          <t>카페240[타임특가] 라베나 리:커버리 3개월 패키지 (샴푸 2+ 트리트먼트 택 1)샴푸2 + 트리트먼트 택 1=샴푸2 + 헤어팩 트리트먼트1210201</t>
        </is>
      </c>
    </row>
    <row r="3210">
      <c r="B3210" s="10" t="n">
        <v>44330</v>
      </c>
      <c r="C3210" s="9" t="inlineStr">
        <is>
          <t>금</t>
        </is>
      </c>
      <c r="E3210" s="9" t="inlineStr">
        <is>
          <t>샴푸</t>
        </is>
      </c>
      <c r="F3210" s="9" t="inlineStr">
        <is>
          <t>카페24</t>
        </is>
      </c>
      <c r="G3210" s="9" t="inlineStr">
        <is>
          <t>[타임특가] 라베나 리:커버리 6개월 패키지 (샴푸 5+ 트리트먼트 택 1)샴푸 5 + 트리트먼트 택 1=샴푸 5 + 뉴트리셔스 밤 1</t>
        </is>
      </c>
      <c r="H3210" s="9" t="n">
        <v>1</v>
      </c>
      <c r="I3210" s="9" t="inlineStr">
        <is>
          <t>리바이탈 샴푸5+뉴트리셔스밤1</t>
        </is>
      </c>
      <c r="J3210" s="9" t="inlineStr">
        <is>
          <t>210201</t>
        </is>
      </c>
      <c r="L3210" s="9">
        <f>114840</f>
        <v/>
      </c>
      <c r="M3210" s="9">
        <f>114840-(114840/5.85)</f>
        <v/>
      </c>
      <c r="N3210" s="9">
        <f>15905</f>
        <v/>
      </c>
      <c r="O3210" s="9" t="inlineStr">
        <is>
          <t>카페240[타임특가] 라베나 리:커버리 6개월 패키지 (샴푸 5+ 트리트먼트 택 1)샴푸 5 + 트리트먼트 택 1=샴푸 5 + 뉴트리셔스 밤 1210201</t>
        </is>
      </c>
    </row>
    <row r="3211">
      <c r="B3211" s="10" t="n">
        <v>44330</v>
      </c>
      <c r="C3211" s="9" t="inlineStr">
        <is>
          <t>금</t>
        </is>
      </c>
      <c r="E3211" s="9" t="inlineStr">
        <is>
          <t>샴푸</t>
        </is>
      </c>
      <c r="F3211" s="9" t="inlineStr">
        <is>
          <t>카페24</t>
        </is>
      </c>
      <c r="G3211" s="9" t="inlineStr">
        <is>
          <t>[타임특가] 라베나 리:커버리 6개월 패키지 (샴푸 5+ 트리트먼트 택 1)샴푸 5 + 트리트먼트 택 1=샴푸 5 + 헤어팩 트리트먼트 1</t>
        </is>
      </c>
      <c r="H3211" s="9" t="n">
        <v>1</v>
      </c>
      <c r="I3211" s="9" t="inlineStr">
        <is>
          <t>리바이탈 샴푸5+트리트먼트1</t>
        </is>
      </c>
      <c r="J3211" s="9" t="inlineStr">
        <is>
          <t>210201</t>
        </is>
      </c>
      <c r="L3211" s="9">
        <f>114840</f>
        <v/>
      </c>
      <c r="M3211" s="9">
        <f>114840-(114840/5.85)</f>
        <v/>
      </c>
      <c r="N3211" s="9">
        <f>15922</f>
        <v/>
      </c>
      <c r="O3211" s="9" t="inlineStr">
        <is>
          <t>카페240[타임특가] 라베나 리:커버리 6개월 패키지 (샴푸 5+ 트리트먼트 택 1)샴푸 5 + 트리트먼트 택 1=샴푸 5 + 헤어팩 트리트먼트 1210201</t>
        </is>
      </c>
    </row>
    <row r="3212">
      <c r="B3212" s="10" t="n">
        <v>44330</v>
      </c>
      <c r="C3212" s="9" t="inlineStr">
        <is>
          <t>금</t>
        </is>
      </c>
      <c r="E3212" s="9" t="inlineStr">
        <is>
          <t>샴푸</t>
        </is>
      </c>
      <c r="F3212" s="9" t="inlineStr">
        <is>
          <t>카페24</t>
        </is>
      </c>
      <c r="G3212" s="9" t="inlineStr">
        <is>
          <t>[타임특가] 라베나 리:커버리 스타터 패키지 (샴푸 1+헤어팩 트리트먼트 1+ 뉴트리셔스 밤 1)</t>
        </is>
      </c>
      <c r="H3212" s="9" t="n">
        <v>1</v>
      </c>
      <c r="I3212" s="9" t="inlineStr">
        <is>
          <t>리바이탈 샴푸1+트리트먼트1+뉴트리셔스밤1</t>
        </is>
      </c>
      <c r="J3212" s="9" t="inlineStr">
        <is>
          <t>210201</t>
        </is>
      </c>
      <c r="L3212" s="9">
        <f>39897</f>
        <v/>
      </c>
      <c r="M3212" s="9">
        <f>39897-(39897/5.85)</f>
        <v/>
      </c>
      <c r="N3212" s="9">
        <f>(2865+1580+1597)</f>
        <v/>
      </c>
      <c r="O3212" s="9" t="inlineStr">
        <is>
          <t>카페240[타임특가] 라베나 리:커버리 스타터 패키지 (샴푸 1+헤어팩 트리트먼트 1+ 뉴트리셔스 밤 1)210201</t>
        </is>
      </c>
    </row>
    <row r="3213">
      <c r="B3213" s="10" t="n">
        <v>44330</v>
      </c>
      <c r="C3213" s="9" t="inlineStr">
        <is>
          <t>금</t>
        </is>
      </c>
      <c r="E3213" s="9" t="inlineStr">
        <is>
          <t>샴푸</t>
        </is>
      </c>
      <c r="F3213" s="9" t="inlineStr">
        <is>
          <t>카페24</t>
        </is>
      </c>
      <c r="G3213" s="9" t="inlineStr">
        <is>
          <t>라베나 리커버리 15 리바이탈 바이오플라보노이드샴푸제품선택=헤어 리커버리 15 리바이탈 샴푸 - 500ml</t>
        </is>
      </c>
      <c r="H3213" s="9" t="n">
        <v>54</v>
      </c>
      <c r="I3213" s="9" t="inlineStr">
        <is>
          <t>리바이탈 샴푸</t>
        </is>
      </c>
      <c r="J3213" s="9" t="inlineStr">
        <is>
          <t>210201</t>
        </is>
      </c>
      <c r="L3213" s="9">
        <f>26900*54</f>
        <v/>
      </c>
      <c r="M3213" s="9">
        <f>1452600-(1452600/5.85)</f>
        <v/>
      </c>
      <c r="N3213" s="9">
        <f>2865*54</f>
        <v/>
      </c>
      <c r="O3213" s="9" t="inlineStr">
        <is>
          <t>카페240라베나 리커버리 15 리바이탈 바이오플라보노이드샴푸제품선택=헤어 리커버리 15 리바이탈 샴푸 - 500ml210201</t>
        </is>
      </c>
    </row>
    <row r="3214">
      <c r="B3214" s="10" t="n">
        <v>44330</v>
      </c>
      <c r="C3214" s="9" t="inlineStr">
        <is>
          <t>금</t>
        </is>
      </c>
      <c r="E3214" s="9" t="inlineStr">
        <is>
          <t>샴푸</t>
        </is>
      </c>
      <c r="F3214" s="9" t="inlineStr">
        <is>
          <t>카페24</t>
        </is>
      </c>
      <c r="G3214" s="9" t="inlineStr">
        <is>
          <t>라베나 리커버리 15 리바이탈 바이오플라보노이드샴푸제품선택=리바이탈 샴푸 2개 세트 5%추가할인</t>
        </is>
      </c>
      <c r="H3214" s="9" t="n">
        <v>21</v>
      </c>
      <c r="I3214" s="9" t="inlineStr">
        <is>
          <t>리바이탈 샴푸 2set</t>
        </is>
      </c>
      <c r="J3214" s="9" t="inlineStr">
        <is>
          <t>210201</t>
        </is>
      </c>
      <c r="L3214" s="9">
        <f>51110*21</f>
        <v/>
      </c>
      <c r="M3214" s="9">
        <f>1073310-(1073310/5.85)</f>
        <v/>
      </c>
      <c r="N3214" s="9">
        <f>2865*21</f>
        <v/>
      </c>
      <c r="O3214" s="9" t="inlineStr">
        <is>
          <t>카페240라베나 리커버리 15 리바이탈 바이오플라보노이드샴푸제품선택=리바이탈 샴푸 2개 세트 5%추가할인210201</t>
        </is>
      </c>
    </row>
    <row r="3215">
      <c r="B3215" s="10" t="n">
        <v>44330</v>
      </c>
      <c r="C3215" s="9" t="inlineStr">
        <is>
          <t>금</t>
        </is>
      </c>
      <c r="E3215" s="9" t="inlineStr">
        <is>
          <t>샴푸</t>
        </is>
      </c>
      <c r="F3215" s="9" t="inlineStr">
        <is>
          <t>카페24</t>
        </is>
      </c>
      <c r="G3215" s="9" t="inlineStr">
        <is>
          <t>라베나 리커버리 15 리바이탈 바이오플라보노이드샴푸제품선택=리바이탈 샴푸 3개 세트 10% 추가할인</t>
        </is>
      </c>
      <c r="H3215" s="9" t="n">
        <v>5</v>
      </c>
      <c r="I3215" s="9" t="inlineStr">
        <is>
          <t>리바이탈 샴푸 3set</t>
        </is>
      </c>
      <c r="J3215" s="9" t="inlineStr">
        <is>
          <t>210201</t>
        </is>
      </c>
      <c r="L3215" s="9">
        <f>72630*5</f>
        <v/>
      </c>
      <c r="M3215" s="9">
        <f>363150-(363150/5.85)</f>
        <v/>
      </c>
      <c r="N3215" s="9">
        <f>2865*15</f>
        <v/>
      </c>
      <c r="O3215" s="9" t="inlineStr">
        <is>
          <t>카페240라베나 리커버리 15 리바이탈 바이오플라보노이드샴푸제품선택=리바이탈 샴푸 3개 세트 10% 추가할인210201</t>
        </is>
      </c>
    </row>
    <row r="3216">
      <c r="B3216" s="10" t="n">
        <v>44331</v>
      </c>
      <c r="C3216" s="9" t="inlineStr">
        <is>
          <t>토</t>
        </is>
      </c>
      <c r="E3216" s="9" t="inlineStr">
        <is>
          <t>샴푸</t>
        </is>
      </c>
      <c r="F3216" s="9" t="inlineStr">
        <is>
          <t>카페24</t>
        </is>
      </c>
      <c r="G3216" s="9" t="inlineStr">
        <is>
          <t>[손상모 케어] 라베나 리커버리 15 리바이탈 샴푸 [HAIR RÉ:COVERY 15 Revital Shampoo]제품선택=헤어 리커버리 15 리바이탈 샴푸 - 500ml</t>
        </is>
      </c>
      <c r="H3216" s="9" t="n">
        <v>1</v>
      </c>
      <c r="I3216" s="9" t="inlineStr">
        <is>
          <t>리바이탈 샴푸</t>
        </is>
      </c>
      <c r="J3216" s="9" t="inlineStr">
        <is>
          <t>210201</t>
        </is>
      </c>
      <c r="L3216" s="9">
        <f>26900</f>
        <v/>
      </c>
      <c r="M3216" s="9">
        <f>26900-(26900/5.85)</f>
        <v/>
      </c>
      <c r="N3216" s="9">
        <f>2865</f>
        <v/>
      </c>
      <c r="O3216" s="9" t="inlineStr">
        <is>
          <t>카페240[손상모 케어] 라베나 리커버리 15 리바이탈 샴푸 [HAIR RÉ:COVERY 15 Revital Shampoo]제품선택=헤어 리커버리 15 리바이탈 샴푸 - 500ml210201</t>
        </is>
      </c>
    </row>
    <row r="3217">
      <c r="B3217" s="10" t="n">
        <v>44331</v>
      </c>
      <c r="C3217" s="9" t="inlineStr">
        <is>
          <t>토</t>
        </is>
      </c>
      <c r="E3217" s="9" t="inlineStr">
        <is>
          <t>샴푸</t>
        </is>
      </c>
      <c r="F3217" s="9" t="inlineStr">
        <is>
          <t>카페24</t>
        </is>
      </c>
      <c r="G3217" s="9" t="inlineStr">
        <is>
          <t>[손상모 케어] 라베나 리커버리 15 리바이탈 샴푸 [HAIR RÉ:COVERY 15 Revital Shampoo]제품선택=리바이탈 샴푸 2개 세트 5%추가할인</t>
        </is>
      </c>
      <c r="H3217" s="9" t="n">
        <v>1</v>
      </c>
      <c r="I3217" s="9" t="inlineStr">
        <is>
          <t>리바이탈 샴푸 2set</t>
        </is>
      </c>
      <c r="J3217" s="9" t="inlineStr">
        <is>
          <t>210201</t>
        </is>
      </c>
      <c r="L3217" s="9">
        <f>51110</f>
        <v/>
      </c>
      <c r="M3217" s="9">
        <f>51110-(51110/5.85)</f>
        <v/>
      </c>
      <c r="N3217" s="9">
        <f>2865</f>
        <v/>
      </c>
      <c r="O3217" s="9" t="inlineStr">
        <is>
          <t>카페240[손상모 케어] 라베나 리커버리 15 리바이탈 샴푸 [HAIR RÉ:COVERY 15 Revital Shampoo]제품선택=리바이탈 샴푸 2개 세트 5%추가할인210201</t>
        </is>
      </c>
    </row>
    <row r="3218">
      <c r="B3218" s="10" t="n">
        <v>44331</v>
      </c>
      <c r="C3218" s="9" t="inlineStr">
        <is>
          <t>토</t>
        </is>
      </c>
      <c r="E3218" s="9" t="inlineStr">
        <is>
          <t>샴푸</t>
        </is>
      </c>
      <c r="F3218" s="9" t="inlineStr">
        <is>
          <t>카페24</t>
        </is>
      </c>
      <c r="G3218" s="9" t="inlineStr">
        <is>
          <t>[타임특가] 라베나 리:커버리 3개월 패키지 (샴푸 2+ 트리트먼트 택 1)샴푸2 + 트리트먼트 택 1=샴푸2 + 뉴트리셔스 밤1</t>
        </is>
      </c>
      <c r="H3218" s="9" t="n">
        <v>3</v>
      </c>
      <c r="I3218" s="9" t="inlineStr">
        <is>
          <t>리바이탈 샴푸2+뉴트리셔스밤1</t>
        </is>
      </c>
      <c r="J3218" s="9" t="inlineStr">
        <is>
          <t>210201</t>
        </is>
      </c>
      <c r="L3218" s="9">
        <f>62280*3</f>
        <v/>
      </c>
      <c r="M3218" s="9">
        <f>186840-(186840/5.85)</f>
        <v/>
      </c>
      <c r="N3218" s="9">
        <f>7310*3</f>
        <v/>
      </c>
      <c r="O3218" s="9" t="inlineStr">
        <is>
          <t>카페240[타임특가] 라베나 리:커버리 3개월 패키지 (샴푸 2+ 트리트먼트 택 1)샴푸2 + 트리트먼트 택 1=샴푸2 + 뉴트리셔스 밤1210201</t>
        </is>
      </c>
    </row>
    <row r="3219">
      <c r="B3219" s="10" t="n">
        <v>44331</v>
      </c>
      <c r="C3219" s="9" t="inlineStr">
        <is>
          <t>토</t>
        </is>
      </c>
      <c r="E3219" s="9" t="inlineStr">
        <is>
          <t>샴푸</t>
        </is>
      </c>
      <c r="F3219" s="9" t="inlineStr">
        <is>
          <t>카페24</t>
        </is>
      </c>
      <c r="G3219" s="9" t="inlineStr">
        <is>
          <t>[타임특가] 라베나 리:커버리 3개월 패키지 (샴푸 2+ 트리트먼트 택 1)샴푸2 + 트리트먼트 택 1=샴푸2 + 헤어팩 트리트먼트1</t>
        </is>
      </c>
      <c r="H3219" s="9" t="n">
        <v>4</v>
      </c>
      <c r="I3219" s="9" t="inlineStr">
        <is>
          <t>리바이탈 샴푸2+트리트먼트1</t>
        </is>
      </c>
      <c r="J3219" s="9" t="inlineStr">
        <is>
          <t>210201</t>
        </is>
      </c>
      <c r="L3219" s="9">
        <f>62280*4</f>
        <v/>
      </c>
      <c r="M3219" s="9">
        <f>435960-(435960/5.85)</f>
        <v/>
      </c>
      <c r="N3219" s="9">
        <f>7327*7</f>
        <v/>
      </c>
      <c r="O3219" s="9" t="inlineStr">
        <is>
          <t>카페240[타임특가] 라베나 리:커버리 3개월 패키지 (샴푸 2+ 트리트먼트 택 1)샴푸2 + 트리트먼트 택 1=샴푸2 + 헤어팩 트리트먼트1210201</t>
        </is>
      </c>
    </row>
    <row r="3220">
      <c r="B3220" s="10" t="n">
        <v>44331</v>
      </c>
      <c r="C3220" s="9" t="inlineStr">
        <is>
          <t>토</t>
        </is>
      </c>
      <c r="E3220" s="9" t="inlineStr">
        <is>
          <t>샴푸</t>
        </is>
      </c>
      <c r="F3220" s="9" t="inlineStr">
        <is>
          <t>카페24</t>
        </is>
      </c>
      <c r="G3220" s="9" t="inlineStr">
        <is>
          <t>[타임특가] 라베나 리:커버리 6개월 패키지 (샴푸 5+ 트리트먼트 택 1)샴푸 5 + 트리트먼트 택 1=샴푸 5 + 뉴트리셔스 밤 1</t>
        </is>
      </c>
      <c r="H3220" s="9" t="n">
        <v>1</v>
      </c>
      <c r="I3220" s="9" t="inlineStr">
        <is>
          <t>리바이탈 샴푸5+뉴트리셔스밤1</t>
        </is>
      </c>
      <c r="J3220" s="9" t="inlineStr">
        <is>
          <t>210201</t>
        </is>
      </c>
      <c r="L3220" s="9">
        <f>114840</f>
        <v/>
      </c>
      <c r="M3220" s="9">
        <f>114840-(114840/5.85)</f>
        <v/>
      </c>
      <c r="N3220" s="9">
        <f>15905</f>
        <v/>
      </c>
      <c r="O3220" s="9" t="inlineStr">
        <is>
          <t>카페240[타임특가] 라베나 리:커버리 6개월 패키지 (샴푸 5+ 트리트먼트 택 1)샴푸 5 + 트리트먼트 택 1=샴푸 5 + 뉴트리셔스 밤 1210201</t>
        </is>
      </c>
    </row>
    <row r="3221">
      <c r="B3221" s="10" t="n">
        <v>44331</v>
      </c>
      <c r="C3221" s="9" t="inlineStr">
        <is>
          <t>토</t>
        </is>
      </c>
      <c r="E3221" s="9" t="inlineStr">
        <is>
          <t>샴푸</t>
        </is>
      </c>
      <c r="F3221" s="9" t="inlineStr">
        <is>
          <t>카페24</t>
        </is>
      </c>
      <c r="G3221" s="9" t="inlineStr">
        <is>
          <t>[타임특가] 라베나 리:커버리 6개월 패키지 (샴푸 5+ 트리트먼트 택 1)샴푸 5 + 트리트먼트 택 1=샴푸 5 + 헤어팩 트리트먼트 1</t>
        </is>
      </c>
      <c r="H3221" s="9" t="n">
        <v>2</v>
      </c>
      <c r="I3221" s="9" t="inlineStr">
        <is>
          <t>리바이탈 샴푸5+트리트먼트1</t>
        </is>
      </c>
      <c r="J3221" s="9" t="inlineStr">
        <is>
          <t>210201</t>
        </is>
      </c>
      <c r="L3221" s="9">
        <f>114840*2</f>
        <v/>
      </c>
      <c r="M3221" s="9">
        <f>229680-(229680/5.85)</f>
        <v/>
      </c>
      <c r="N3221" s="9">
        <f>15922*2</f>
        <v/>
      </c>
      <c r="O3221" s="9" t="inlineStr">
        <is>
          <t>카페240[타임특가] 라베나 리:커버리 6개월 패키지 (샴푸 5+ 트리트먼트 택 1)샴푸 5 + 트리트먼트 택 1=샴푸 5 + 헤어팩 트리트먼트 1210201</t>
        </is>
      </c>
    </row>
    <row r="3222">
      <c r="B3222" s="10" t="n">
        <v>44331</v>
      </c>
      <c r="C3222" s="9" t="inlineStr">
        <is>
          <t>토</t>
        </is>
      </c>
      <c r="E3222" s="9" t="inlineStr">
        <is>
          <t>샴푸</t>
        </is>
      </c>
      <c r="F3222" s="9" t="inlineStr">
        <is>
          <t>카페24</t>
        </is>
      </c>
      <c r="G3222" s="9" t="inlineStr">
        <is>
          <t>[타임특가] 라베나 리:커버리 스타터 패키지 (샴푸 1+헤어팩 트리트먼트 1+ 뉴트리셔스 밤 1)</t>
        </is>
      </c>
      <c r="H3222" s="9" t="n">
        <v>2</v>
      </c>
      <c r="I3222" s="9" t="inlineStr">
        <is>
          <t>리바이탈 샴푸1+트리트먼트1+뉴트리셔스밤1</t>
        </is>
      </c>
      <c r="J3222" s="9" t="inlineStr">
        <is>
          <t>210201</t>
        </is>
      </c>
      <c r="L3222" s="9">
        <f>39897*2</f>
        <v/>
      </c>
      <c r="M3222" s="9">
        <f>79794-(79794/5.85)</f>
        <v/>
      </c>
      <c r="N3222" s="9">
        <f>(2865+1580+1597)*2</f>
        <v/>
      </c>
      <c r="O3222" s="9" t="inlineStr">
        <is>
          <t>카페240[타임특가] 라베나 리:커버리 스타터 패키지 (샴푸 1+헤어팩 트리트먼트 1+ 뉴트리셔스 밤 1)210201</t>
        </is>
      </c>
    </row>
    <row r="3223">
      <c r="B3223" s="10" t="n">
        <v>44331</v>
      </c>
      <c r="C3223" s="9" t="inlineStr">
        <is>
          <t>토</t>
        </is>
      </c>
      <c r="E3223" s="9" t="inlineStr">
        <is>
          <t>샴푸</t>
        </is>
      </c>
      <c r="F3223" s="9" t="inlineStr">
        <is>
          <t>카페24</t>
        </is>
      </c>
      <c r="G3223" s="9" t="inlineStr">
        <is>
          <t>[타임특가] 라베나 리:커버리 온가족 패키지 (샴푸 3+ 헤어팩 트리트먼트 1+뉴트리셔스 밤 1)</t>
        </is>
      </c>
      <c r="H3223" s="9" t="n">
        <v>3</v>
      </c>
      <c r="I3223" s="9" t="inlineStr">
        <is>
          <t>리바이탈 샴푸3+트리트먼트1+뉴트리셔스밤1</t>
        </is>
      </c>
      <c r="J3223" s="9" t="inlineStr">
        <is>
          <t>210201</t>
        </is>
      </c>
      <c r="L3223" s="9">
        <f>94765*3</f>
        <v/>
      </c>
      <c r="M3223" s="9">
        <f>284295-(284295/5.85)</f>
        <v/>
      </c>
      <c r="N3223" s="9">
        <f>11772*3</f>
        <v/>
      </c>
      <c r="O3223" s="9" t="inlineStr">
        <is>
          <t>카페240[타임특가] 라베나 리:커버리 온가족 패키지 (샴푸 3+ 헤어팩 트리트먼트 1+뉴트리셔스 밤 1)210201</t>
        </is>
      </c>
    </row>
    <row r="3224">
      <c r="B3224" s="10" t="n">
        <v>44331</v>
      </c>
      <c r="C3224" s="9" t="inlineStr">
        <is>
          <t>토</t>
        </is>
      </c>
      <c r="E3224" s="9" t="inlineStr">
        <is>
          <t>뉴트리셔스밤</t>
        </is>
      </c>
      <c r="F3224" s="9" t="inlineStr">
        <is>
          <t>카페24</t>
        </is>
      </c>
      <c r="G3224" s="9" t="inlineStr">
        <is>
          <t>라베나 리커버리 15 뉴트리셔스 밤제품선택=헤어 리커버리 15 뉴트리셔스 밤</t>
        </is>
      </c>
      <c r="H3224" s="9" t="n">
        <v>2</v>
      </c>
      <c r="I3224" s="9" t="inlineStr">
        <is>
          <t>뉴트리셔스밤</t>
        </is>
      </c>
      <c r="J3224" s="9" t="inlineStr">
        <is>
          <t>210201</t>
        </is>
      </c>
      <c r="L3224" s="9">
        <f>24900*2</f>
        <v/>
      </c>
      <c r="M3224" s="9">
        <f>49800-(49800/5.85)</f>
        <v/>
      </c>
      <c r="N3224" s="9">
        <f>1580*2</f>
        <v/>
      </c>
      <c r="O3224" s="9" t="inlineStr">
        <is>
          <t>카페240라베나 리커버리 15 뉴트리셔스 밤제품선택=헤어 리커버리 15 뉴트리셔스 밤210201</t>
        </is>
      </c>
    </row>
    <row r="3225">
      <c r="B3225" s="10" t="n">
        <v>44331</v>
      </c>
      <c r="C3225" s="9" t="inlineStr">
        <is>
          <t>토</t>
        </is>
      </c>
      <c r="E3225" s="9" t="inlineStr">
        <is>
          <t>뉴트리셔스밤</t>
        </is>
      </c>
      <c r="F3225" s="9" t="inlineStr">
        <is>
          <t>카페24</t>
        </is>
      </c>
      <c r="G3225" s="9" t="inlineStr">
        <is>
          <t>라베나 리커버리 15 뉴트리셔스 밤제품선택=뉴트리셔스밤 1개 + 헤어팩 트리트먼트 1개 세트 5%추가할인</t>
        </is>
      </c>
      <c r="H3225" s="9" t="n">
        <v>1</v>
      </c>
      <c r="I3225" s="9" t="inlineStr">
        <is>
          <t>뉴트리셔스밤1+트리트먼트1</t>
        </is>
      </c>
      <c r="J3225" s="9" t="inlineStr">
        <is>
          <t>210201</t>
        </is>
      </c>
      <c r="L3225" s="9" t="n">
        <v>47310</v>
      </c>
      <c r="M3225" s="9">
        <f>47310-(47310/5.85)</f>
        <v/>
      </c>
      <c r="N3225" s="9">
        <f>1580*2</f>
        <v/>
      </c>
      <c r="O3225" s="9" t="inlineStr">
        <is>
          <t>카페240라베나 리커버리 15 뉴트리셔스 밤제품선택=뉴트리셔스밤 1개 + 헤어팩 트리트먼트 1개 세트 5%추가할인210201</t>
        </is>
      </c>
    </row>
    <row r="3226">
      <c r="B3226" s="10" t="n">
        <v>44331</v>
      </c>
      <c r="C3226" s="9" t="inlineStr">
        <is>
          <t>토</t>
        </is>
      </c>
      <c r="E3226" s="9" t="inlineStr">
        <is>
          <t>샴푸</t>
        </is>
      </c>
      <c r="F3226" s="9" t="inlineStr">
        <is>
          <t>카페24</t>
        </is>
      </c>
      <c r="G3226" s="9" t="inlineStr">
        <is>
          <t>라베나 리커버리 15 리바이탈 바이오플라보노이드샴푸제품선택=헤어 리커버리 15 리바이탈 샴푸 - 500ml</t>
        </is>
      </c>
      <c r="H3226" s="9" t="n">
        <v>116</v>
      </c>
      <c r="I3226" s="9" t="inlineStr">
        <is>
          <t>리바이탈 샴푸</t>
        </is>
      </c>
      <c r="J3226" s="9" t="inlineStr">
        <is>
          <t>210201</t>
        </is>
      </c>
      <c r="L3226" s="9">
        <f>26900*116</f>
        <v/>
      </c>
      <c r="M3226" s="9">
        <f>3120400-(3120400/5.85)</f>
        <v/>
      </c>
      <c r="N3226" s="9">
        <f>2865*116</f>
        <v/>
      </c>
      <c r="O3226" s="9" t="inlineStr">
        <is>
          <t>카페240라베나 리커버리 15 리바이탈 바이오플라보노이드샴푸제품선택=헤어 리커버리 15 리바이탈 샴푸 - 500ml210201</t>
        </is>
      </c>
    </row>
    <row r="3227">
      <c r="B3227" s="10" t="n">
        <v>44331</v>
      </c>
      <c r="C3227" s="9" t="inlineStr">
        <is>
          <t>토</t>
        </is>
      </c>
      <c r="E3227" s="9" t="inlineStr">
        <is>
          <t>샴푸</t>
        </is>
      </c>
      <c r="F3227" s="9" t="inlineStr">
        <is>
          <t>카페24</t>
        </is>
      </c>
      <c r="G3227" s="9" t="inlineStr">
        <is>
          <t>라베나 리커버리 15 리바이탈 바이오플라보노이드샴푸제품선택=리바이탈 샴푸 2개 세트 5%추가할인</t>
        </is>
      </c>
      <c r="H3227" s="9" t="n">
        <v>25</v>
      </c>
      <c r="I3227" s="9" t="inlineStr">
        <is>
          <t>리바이탈 샴푸 2set</t>
        </is>
      </c>
      <c r="J3227" s="9" t="inlineStr">
        <is>
          <t>210201</t>
        </is>
      </c>
      <c r="L3227" s="9">
        <f>51110*25</f>
        <v/>
      </c>
      <c r="M3227" s="9">
        <f>1277750-(1277750/5.85)</f>
        <v/>
      </c>
      <c r="N3227" s="9">
        <f>2865*25</f>
        <v/>
      </c>
      <c r="O3227" s="9" t="inlineStr">
        <is>
          <t>카페240라베나 리커버리 15 리바이탈 바이오플라보노이드샴푸제품선택=리바이탈 샴푸 2개 세트 5%추가할인210201</t>
        </is>
      </c>
    </row>
    <row r="3228">
      <c r="B3228" s="10" t="n">
        <v>44331</v>
      </c>
      <c r="C3228" s="9" t="inlineStr">
        <is>
          <t>토</t>
        </is>
      </c>
      <c r="E3228" s="9" t="inlineStr">
        <is>
          <t>샴푸</t>
        </is>
      </c>
      <c r="F3228" s="9" t="inlineStr">
        <is>
          <t>카페24</t>
        </is>
      </c>
      <c r="G3228" s="9" t="inlineStr">
        <is>
          <t>라베나 리커버리 15 리바이탈 바이오플라보노이드샴푸제품선택=리바이탈 샴푸 3개 세트 10% 추가할인</t>
        </is>
      </c>
      <c r="H3228" s="9" t="n">
        <v>6</v>
      </c>
      <c r="I3228" s="9" t="inlineStr">
        <is>
          <t>리바이탈 샴푸 3set</t>
        </is>
      </c>
      <c r="J3228" s="9" t="inlineStr">
        <is>
          <t>210201</t>
        </is>
      </c>
      <c r="L3228" s="9">
        <f>72630*6</f>
        <v/>
      </c>
      <c r="M3228" s="9">
        <f>435780-(435780/5.85)</f>
        <v/>
      </c>
      <c r="N3228" s="9">
        <f>2865*6</f>
        <v/>
      </c>
      <c r="O3228" s="9" t="inlineStr">
        <is>
          <t>카페240라베나 리커버리 15 리바이탈 바이오플라보노이드샴푸제품선택=리바이탈 샴푸 3개 세트 10% 추가할인210201</t>
        </is>
      </c>
    </row>
    <row r="3229" ht="16.5" customHeight="1" s="12">
      <c r="B3229" s="10" t="n">
        <v>44331</v>
      </c>
      <c r="C3229" s="9" t="inlineStr">
        <is>
          <t>토</t>
        </is>
      </c>
      <c r="E3229" s="9" t="inlineStr">
        <is>
          <t>트리트먼트</t>
        </is>
      </c>
      <c r="F3229" s="9" t="inlineStr">
        <is>
          <t>카페24</t>
        </is>
      </c>
      <c r="G3229" s="9" t="inlineStr">
        <is>
          <t>라베나 리커버리 15 헤어팩 트리트먼트제품선택=헤어 리커버리 15 헤어팩 트리트먼트</t>
        </is>
      </c>
      <c r="H3229" s="9" t="n">
        <v>2</v>
      </c>
      <c r="I3229" s="9" t="inlineStr">
        <is>
          <t>트리트먼트</t>
        </is>
      </c>
      <c r="J3229" s="9" t="inlineStr">
        <is>
          <t>210201</t>
        </is>
      </c>
      <c r="L3229" s="9">
        <f>26000*2</f>
        <v/>
      </c>
      <c r="M3229" s="9">
        <f>52000-(52000/5.85)</f>
        <v/>
      </c>
      <c r="N3229" s="9">
        <f>1597*2</f>
        <v/>
      </c>
      <c r="O3229" s="9" t="inlineStr">
        <is>
          <t>카페240라베나 리커버리 15 헤어팩 트리트먼트제품선택=헤어 리커버리 15 헤어팩 트리트먼트210201</t>
        </is>
      </c>
    </row>
    <row r="3230">
      <c r="B3230" s="10" t="n">
        <v>44331</v>
      </c>
      <c r="C3230" s="9" t="inlineStr">
        <is>
          <t>토</t>
        </is>
      </c>
      <c r="E3230" s="9" t="inlineStr">
        <is>
          <t>트리트먼트</t>
        </is>
      </c>
      <c r="F3230" s="9" t="inlineStr">
        <is>
          <t>카페24</t>
        </is>
      </c>
      <c r="G3230" s="9" t="inlineStr">
        <is>
          <t>라베나 리커버리 15 헤어팩 트리트먼트제품선택=헤어팩 트리트먼트 1개 + 뉴트리셔스밤 1개 세트 5% 추가할인</t>
        </is>
      </c>
      <c r="H3230" s="9" t="n">
        <v>2</v>
      </c>
      <c r="I3230" s="9" t="inlineStr">
        <is>
          <t>트리트먼트1+뉴트리셔스밤1</t>
        </is>
      </c>
      <c r="J3230" s="9" t="inlineStr">
        <is>
          <t>210201</t>
        </is>
      </c>
      <c r="L3230" s="9">
        <f>48355*2</f>
        <v/>
      </c>
      <c r="M3230" s="9">
        <f>96710-(96710/5.85)</f>
        <v/>
      </c>
      <c r="N3230" s="9">
        <f>3177*2</f>
        <v/>
      </c>
      <c r="O3230" s="9" t="inlineStr">
        <is>
          <t>카페240라베나 리커버리 15 헤어팩 트리트먼트제품선택=헤어팩 트리트먼트 1개 + 뉴트리셔스밤 1개 세트 5% 추가할인210201</t>
        </is>
      </c>
    </row>
    <row r="3231">
      <c r="B3231" s="10" t="n">
        <v>44332</v>
      </c>
      <c r="C3231" s="9" t="inlineStr">
        <is>
          <t>일</t>
        </is>
      </c>
      <c r="E3231" s="9" t="inlineStr">
        <is>
          <t>샴푸</t>
        </is>
      </c>
      <c r="F3231" s="9" t="inlineStr">
        <is>
          <t>카페24</t>
        </is>
      </c>
      <c r="G3231" s="9" t="inlineStr">
        <is>
          <t>[손상모 케어] 라베나 리커버리 15 리바이탈 샴푸 [HAIR RÉ:COVERY 15 Revital Shampoo]제품선택=헤어 리커버리 15 리바이탈 샴푸 - 500ml</t>
        </is>
      </c>
      <c r="H3231" s="9" t="n">
        <v>2</v>
      </c>
      <c r="I3231" s="9" t="inlineStr">
        <is>
          <t>리바이탈 샴푸</t>
        </is>
      </c>
      <c r="J3231" s="9" t="inlineStr">
        <is>
          <t>210201</t>
        </is>
      </c>
      <c r="L3231" s="9">
        <f>26900*2</f>
        <v/>
      </c>
      <c r="M3231" s="9">
        <f>53800-(53800/5.85)</f>
        <v/>
      </c>
      <c r="N3231" s="9">
        <f>2865*2</f>
        <v/>
      </c>
      <c r="O3231" s="9" t="inlineStr">
        <is>
          <t>카페240[손상모 케어] 라베나 리커버리 15 리바이탈 샴푸 [HAIR RÉ:COVERY 15 Revital Shampoo]제품선택=헤어 리커버리 15 리바이탈 샴푸 - 500ml210201</t>
        </is>
      </c>
    </row>
    <row r="3232">
      <c r="B3232" s="10" t="n">
        <v>44332</v>
      </c>
      <c r="C3232" s="9" t="inlineStr">
        <is>
          <t>일</t>
        </is>
      </c>
      <c r="E3232" s="9" t="inlineStr">
        <is>
          <t>샴푸</t>
        </is>
      </c>
      <c r="F3232" s="9" t="inlineStr">
        <is>
          <t>카페24</t>
        </is>
      </c>
      <c r="G3232" s="9" t="inlineStr">
        <is>
          <t>[손상모 케어] 라베나 리커버리 15 리바이탈 샴푸 [HAIR RÉ:COVERY 15 Revital Shampoo]제품선택=리바이탈 샴푸 3개 세트 10% 추가할인</t>
        </is>
      </c>
      <c r="H3232" s="9" t="n">
        <v>1</v>
      </c>
      <c r="I3232" s="9" t="inlineStr">
        <is>
          <t>리바이탈 샴푸 3set</t>
        </is>
      </c>
      <c r="J3232" s="9" t="inlineStr">
        <is>
          <t>210201</t>
        </is>
      </c>
      <c r="L3232" s="9">
        <f>72630</f>
        <v/>
      </c>
      <c r="M3232" s="9">
        <f>72630-(72630/5.85)</f>
        <v/>
      </c>
      <c r="N3232" s="9">
        <f>2865</f>
        <v/>
      </c>
      <c r="O3232" s="9" t="inlineStr">
        <is>
          <t>카페240[손상모 케어] 라베나 리커버리 15 리바이탈 샴푸 [HAIR RÉ:COVERY 15 Revital Shampoo]제품선택=리바이탈 샴푸 3개 세트 10% 추가할인210201</t>
        </is>
      </c>
    </row>
    <row r="3233">
      <c r="B3233" s="10" t="n">
        <v>44332</v>
      </c>
      <c r="C3233" s="9" t="inlineStr">
        <is>
          <t>일</t>
        </is>
      </c>
      <c r="E3233" s="9" t="inlineStr">
        <is>
          <t>샴푸</t>
        </is>
      </c>
      <c r="F3233" s="9" t="inlineStr">
        <is>
          <t>카페24</t>
        </is>
      </c>
      <c r="G3233" s="9" t="inlineStr">
        <is>
          <t>[타임특가] 라베나 리:커버리 3개월 패키지 (샴푸 2+ 트리트먼트 택 1)샴푸2 + 트리트먼트 택 1=샴푸2 + 뉴트리셔스 밤1</t>
        </is>
      </c>
      <c r="H3233" s="9" t="n">
        <v>2</v>
      </c>
      <c r="I3233" s="9" t="inlineStr">
        <is>
          <t>리바이탈 샴푸2+뉴트리셔스밤1</t>
        </is>
      </c>
      <c r="J3233" s="9" t="inlineStr">
        <is>
          <t>210201</t>
        </is>
      </c>
      <c r="L3233" s="9">
        <f>62280*2</f>
        <v/>
      </c>
      <c r="M3233" s="9">
        <f>124560-(124560/5.85)</f>
        <v/>
      </c>
      <c r="N3233" s="9">
        <f>7310*2</f>
        <v/>
      </c>
      <c r="O3233" s="9" t="inlineStr">
        <is>
          <t>카페240[타임특가] 라베나 리:커버리 3개월 패키지 (샴푸 2+ 트리트먼트 택 1)샴푸2 + 트리트먼트 택 1=샴푸2 + 뉴트리셔스 밤1210201</t>
        </is>
      </c>
    </row>
    <row r="3234">
      <c r="B3234" s="10" t="n">
        <v>44332</v>
      </c>
      <c r="C3234" s="9" t="inlineStr">
        <is>
          <t>일</t>
        </is>
      </c>
      <c r="E3234" s="9" t="inlineStr">
        <is>
          <t>샴푸</t>
        </is>
      </c>
      <c r="F3234" s="9" t="inlineStr">
        <is>
          <t>카페24</t>
        </is>
      </c>
      <c r="G3234" s="9" t="inlineStr">
        <is>
          <t>[타임특가] 라베나 리:커버리 3개월 패키지 (샴푸 2+ 트리트먼트 택 1)샴푸2 + 트리트먼트 택 1=샴푸2 + 헤어팩 트리트먼트1</t>
        </is>
      </c>
      <c r="H3234" s="9" t="n">
        <v>10</v>
      </c>
      <c r="I3234" s="9" t="inlineStr">
        <is>
          <t>리바이탈 샴푸2+트리트먼트1</t>
        </is>
      </c>
      <c r="J3234" s="9" t="inlineStr">
        <is>
          <t>210201</t>
        </is>
      </c>
      <c r="L3234" s="9">
        <f>62280*10</f>
        <v/>
      </c>
      <c r="M3234" s="9">
        <f>622800-(622800/5.85)</f>
        <v/>
      </c>
      <c r="N3234" s="9">
        <f>7327*10</f>
        <v/>
      </c>
      <c r="O3234" s="9" t="inlineStr">
        <is>
          <t>카페240[타임특가] 라베나 리:커버리 3개월 패키지 (샴푸 2+ 트리트먼트 택 1)샴푸2 + 트리트먼트 택 1=샴푸2 + 헤어팩 트리트먼트1210201</t>
        </is>
      </c>
    </row>
    <row r="3235">
      <c r="B3235" s="10" t="n">
        <v>44332</v>
      </c>
      <c r="C3235" s="9" t="inlineStr">
        <is>
          <t>일</t>
        </is>
      </c>
      <c r="E3235" s="9" t="inlineStr">
        <is>
          <t>샴푸</t>
        </is>
      </c>
      <c r="F3235" s="9" t="inlineStr">
        <is>
          <t>카페24</t>
        </is>
      </c>
      <c r="G3235" s="9" t="inlineStr">
        <is>
          <t>[타임특가] 라베나 리:커버리 6개월 패키지 (샴푸 5+ 트리트먼트 택 1)샴푸 5 + 트리트먼트 택 1=샴푸 5 + 뉴트리셔스 밤 1</t>
        </is>
      </c>
      <c r="H3235" s="9" t="n">
        <v>2</v>
      </c>
      <c r="I3235" s="9" t="inlineStr">
        <is>
          <t>리바이탈 샴푸5+뉴트리셔스밤1</t>
        </is>
      </c>
      <c r="J3235" s="9" t="inlineStr">
        <is>
          <t>210201</t>
        </is>
      </c>
      <c r="L3235" s="9">
        <f>114840*2</f>
        <v/>
      </c>
      <c r="M3235" s="9">
        <f>229680-(229680/5.85)</f>
        <v/>
      </c>
      <c r="N3235" s="9">
        <f>15905*2</f>
        <v/>
      </c>
      <c r="O3235" s="9" t="inlineStr">
        <is>
          <t>카페240[타임특가] 라베나 리:커버리 6개월 패키지 (샴푸 5+ 트리트먼트 택 1)샴푸 5 + 트리트먼트 택 1=샴푸 5 + 뉴트리셔스 밤 1210201</t>
        </is>
      </c>
    </row>
    <row r="3236">
      <c r="B3236" s="10" t="n">
        <v>44332</v>
      </c>
      <c r="C3236" s="9" t="inlineStr">
        <is>
          <t>일</t>
        </is>
      </c>
      <c r="E3236" s="9" t="inlineStr">
        <is>
          <t>샴푸</t>
        </is>
      </c>
      <c r="F3236" s="9" t="inlineStr">
        <is>
          <t>카페24</t>
        </is>
      </c>
      <c r="G3236" s="9" t="inlineStr">
        <is>
          <t>[타임특가] 라베나 리:커버리 6개월 패키지 (샴푸 5+ 트리트먼트 택 1)샴푸 5 + 트리트먼트 택 1=샴푸 5 + 헤어팩 트리트먼트 1</t>
        </is>
      </c>
      <c r="H3236" s="9" t="n">
        <v>2</v>
      </c>
      <c r="I3236" s="9" t="inlineStr">
        <is>
          <t>리바이탈 샴푸5+트리트먼트1</t>
        </is>
      </c>
      <c r="J3236" s="9" t="inlineStr">
        <is>
          <t>210201</t>
        </is>
      </c>
      <c r="L3236" s="9">
        <f>114840*2</f>
        <v/>
      </c>
      <c r="M3236" s="9">
        <f>229680-(229680/5.85)</f>
        <v/>
      </c>
      <c r="N3236" s="9">
        <f>15922*2</f>
        <v/>
      </c>
      <c r="O3236" s="9" t="inlineStr">
        <is>
          <t>카페240[타임특가] 라베나 리:커버리 6개월 패키지 (샴푸 5+ 트리트먼트 택 1)샴푸 5 + 트리트먼트 택 1=샴푸 5 + 헤어팩 트리트먼트 1210201</t>
        </is>
      </c>
    </row>
    <row r="3237">
      <c r="B3237" s="10" t="n">
        <v>44332</v>
      </c>
      <c r="C3237" s="9" t="inlineStr">
        <is>
          <t>일</t>
        </is>
      </c>
      <c r="E3237" s="9" t="inlineStr">
        <is>
          <t>샴푸</t>
        </is>
      </c>
      <c r="F3237" s="9" t="inlineStr">
        <is>
          <t>카페24</t>
        </is>
      </c>
      <c r="G3237" s="9" t="inlineStr">
        <is>
          <t>[타임특가] 라베나 리:커버리 온가족 패키지 (샴푸 3+ 헤어팩 트리트먼트 1+뉴트리셔스 밤 1)</t>
        </is>
      </c>
      <c r="H3237" s="9" t="n">
        <v>3</v>
      </c>
      <c r="I3237" s="9" t="inlineStr">
        <is>
          <t>리바이탈 샴푸3+트리트먼트1+뉴트리셔스밤1</t>
        </is>
      </c>
      <c r="J3237" s="9" t="inlineStr">
        <is>
          <t>210201</t>
        </is>
      </c>
      <c r="L3237" s="9">
        <f>94765*3</f>
        <v/>
      </c>
      <c r="M3237" s="9">
        <f>284295-(284295/5.85)</f>
        <v/>
      </c>
      <c r="N3237" s="9">
        <f>11772*3</f>
        <v/>
      </c>
      <c r="O3237" s="9" t="inlineStr">
        <is>
          <t>카페240[타임특가] 라베나 리:커버리 온가족 패키지 (샴푸 3+ 헤어팩 트리트먼트 1+뉴트리셔스 밤 1)210201</t>
        </is>
      </c>
    </row>
    <row r="3238">
      <c r="B3238" s="10" t="n">
        <v>44332</v>
      </c>
      <c r="C3238" s="9" t="inlineStr">
        <is>
          <t>일</t>
        </is>
      </c>
      <c r="E3238" s="9" t="inlineStr">
        <is>
          <t>뉴트리셔스밤</t>
        </is>
      </c>
      <c r="F3238" s="9" t="inlineStr">
        <is>
          <t>카페24</t>
        </is>
      </c>
      <c r="G3238" s="9" t="inlineStr">
        <is>
          <t>라베나 리커버리 15 뉴트리셔스 밤제품선택=헤어 리커버리 15 뉴트리셔스 밤</t>
        </is>
      </c>
      <c r="H3238" s="9" t="n">
        <v>3</v>
      </c>
      <c r="I3238" s="9" t="inlineStr">
        <is>
          <t>뉴트리셔스밤</t>
        </is>
      </c>
      <c r="J3238" s="9" t="inlineStr">
        <is>
          <t>210201</t>
        </is>
      </c>
      <c r="L3238" s="9">
        <f>24900*3</f>
        <v/>
      </c>
      <c r="M3238" s="9">
        <f>74700-(74700/5.85)</f>
        <v/>
      </c>
      <c r="N3238" s="9">
        <f>1580*3</f>
        <v/>
      </c>
      <c r="O3238" s="9" t="inlineStr">
        <is>
          <t>카페240라베나 리커버리 15 뉴트리셔스 밤제품선택=헤어 리커버리 15 뉴트리셔스 밤210201</t>
        </is>
      </c>
    </row>
    <row r="3239">
      <c r="B3239" s="10" t="n">
        <v>44332</v>
      </c>
      <c r="C3239" s="9" t="inlineStr">
        <is>
          <t>일</t>
        </is>
      </c>
      <c r="E3239" s="9" t="inlineStr">
        <is>
          <t>샴푸</t>
        </is>
      </c>
      <c r="F3239" s="9" t="inlineStr">
        <is>
          <t>카페24</t>
        </is>
      </c>
      <c r="G3239" s="9" t="inlineStr">
        <is>
          <t>라베나 리커버리 15 리바이탈 바이오플라보노이드샴푸제품선택=헤어 리커버리 15 리바이탈 샴푸 - 500ml</t>
        </is>
      </c>
      <c r="H3239" s="9" t="n">
        <v>134</v>
      </c>
      <c r="I3239" s="9" t="inlineStr">
        <is>
          <t>리바이탈 샴푸</t>
        </is>
      </c>
      <c r="J3239" s="9" t="inlineStr">
        <is>
          <t>210201</t>
        </is>
      </c>
      <c r="L3239" s="9">
        <f>26900*134</f>
        <v/>
      </c>
      <c r="M3239" s="9">
        <f>3604600-(3604600/5.85)</f>
        <v/>
      </c>
      <c r="N3239" s="9">
        <f>2865*134</f>
        <v/>
      </c>
      <c r="O3239" s="9" t="inlineStr">
        <is>
          <t>카페240라베나 리커버리 15 리바이탈 바이오플라보노이드샴푸제품선택=헤어 리커버리 15 리바이탈 샴푸 - 500ml210201</t>
        </is>
      </c>
    </row>
    <row r="3240">
      <c r="B3240" s="10" t="n">
        <v>44332</v>
      </c>
      <c r="C3240" s="9" t="inlineStr">
        <is>
          <t>일</t>
        </is>
      </c>
      <c r="E3240" s="9" t="inlineStr">
        <is>
          <t>샴푸</t>
        </is>
      </c>
      <c r="F3240" s="9" t="inlineStr">
        <is>
          <t>카페24</t>
        </is>
      </c>
      <c r="G3240" s="9" t="inlineStr">
        <is>
          <t>라베나 리커버리 15 리바이탈 바이오플라보노이드샴푸제품선택=리바이탈 샴푸 2개 세트 5%추가할인</t>
        </is>
      </c>
      <c r="H3240" s="9" t="n">
        <v>42</v>
      </c>
      <c r="I3240" s="9" t="inlineStr">
        <is>
          <t>리바이탈 샴푸 2set</t>
        </is>
      </c>
      <c r="J3240" s="9" t="inlineStr">
        <is>
          <t>210201</t>
        </is>
      </c>
      <c r="L3240" s="9">
        <f>51110*42</f>
        <v/>
      </c>
      <c r="M3240" s="9">
        <f>2146620-(2146620/5.85)</f>
        <v/>
      </c>
      <c r="N3240" s="9">
        <f>2865*42</f>
        <v/>
      </c>
      <c r="O3240" s="9" t="inlineStr">
        <is>
          <t>카페240라베나 리커버리 15 리바이탈 바이오플라보노이드샴푸제품선택=리바이탈 샴푸 2개 세트 5%추가할인210201</t>
        </is>
      </c>
    </row>
    <row r="3241">
      <c r="B3241" s="10" t="n">
        <v>44332</v>
      </c>
      <c r="C3241" s="9" t="inlineStr">
        <is>
          <t>일</t>
        </is>
      </c>
      <c r="E3241" s="9" t="inlineStr">
        <is>
          <t>샴푸</t>
        </is>
      </c>
      <c r="F3241" s="9" t="inlineStr">
        <is>
          <t>카페24</t>
        </is>
      </c>
      <c r="G3241" s="9" t="inlineStr">
        <is>
          <t>라베나 리커버리 15 리바이탈 바이오플라보노이드샴푸제품선택=리바이탈 샴푸 3개 세트 10% 추가할인</t>
        </is>
      </c>
      <c r="H3241" s="9" t="n">
        <v>17</v>
      </c>
      <c r="I3241" s="9" t="inlineStr">
        <is>
          <t>리바이탈 샴푸 3set</t>
        </is>
      </c>
      <c r="J3241" s="9" t="inlineStr">
        <is>
          <t>210201</t>
        </is>
      </c>
      <c r="L3241" s="9">
        <f>72630*17</f>
        <v/>
      </c>
      <c r="M3241" s="9">
        <f>1234710-(1234710/5.85)</f>
        <v/>
      </c>
      <c r="N3241" s="9">
        <f>2865*17</f>
        <v/>
      </c>
      <c r="O3241" s="9" t="inlineStr">
        <is>
          <t>카페240라베나 리커버리 15 리바이탈 바이오플라보노이드샴푸제품선택=리바이탈 샴푸 3개 세트 10% 추가할인210201</t>
        </is>
      </c>
    </row>
    <row r="3242">
      <c r="B3242" s="10" t="n">
        <v>44332</v>
      </c>
      <c r="C3242" s="9" t="inlineStr">
        <is>
          <t>일</t>
        </is>
      </c>
      <c r="E3242" s="9" t="inlineStr">
        <is>
          <t>트리트먼트</t>
        </is>
      </c>
      <c r="F3242" s="9" t="inlineStr">
        <is>
          <t>카페24</t>
        </is>
      </c>
      <c r="G3242" s="9" t="inlineStr">
        <is>
          <t>라베나 리커버리 15 헤어팩 트리트먼트제품선택=헤어 리커버리 15 헤어팩 트리트먼트</t>
        </is>
      </c>
      <c r="H3242" s="9" t="n">
        <v>1</v>
      </c>
      <c r="I3242" s="9" t="inlineStr">
        <is>
          <t>트리트먼트</t>
        </is>
      </c>
      <c r="J3242" s="9" t="inlineStr">
        <is>
          <t>210201</t>
        </is>
      </c>
      <c r="L3242" s="9">
        <f>26000</f>
        <v/>
      </c>
      <c r="M3242" s="9">
        <f>26000-(26000/5.85)</f>
        <v/>
      </c>
      <c r="N3242" s="9">
        <f>1597</f>
        <v/>
      </c>
      <c r="O3242" s="9" t="inlineStr">
        <is>
          <t>카페240라베나 리커버리 15 헤어팩 트리트먼트제품선택=헤어 리커버리 15 헤어팩 트리트먼트210201</t>
        </is>
      </c>
    </row>
    <row r="3243">
      <c r="B3243" s="10" t="n">
        <v>44332</v>
      </c>
      <c r="C3243" s="9" t="inlineStr">
        <is>
          <t>일</t>
        </is>
      </c>
      <c r="E3243" s="9" t="inlineStr">
        <is>
          <t>트리트먼트</t>
        </is>
      </c>
      <c r="F3243" s="9" t="inlineStr">
        <is>
          <t>카페24</t>
        </is>
      </c>
      <c r="G3243" s="9" t="inlineStr">
        <is>
          <t>라베나 리커버리 15 헤어팩 트리트먼트제품선택=헤어팩 트리트먼트 1개 + 뉴트리셔스밤 1개 세트 5% 추가할인</t>
        </is>
      </c>
      <c r="H3243" s="9" t="n">
        <v>1</v>
      </c>
      <c r="I3243" s="9" t="inlineStr">
        <is>
          <t>트리트먼트1+뉴트리셔스밤1</t>
        </is>
      </c>
      <c r="J3243" s="9" t="inlineStr">
        <is>
          <t>210201</t>
        </is>
      </c>
      <c r="L3243" s="9">
        <f>48355</f>
        <v/>
      </c>
      <c r="M3243" s="9">
        <f>48355-(48355/5.85)</f>
        <v/>
      </c>
      <c r="N3243" s="9">
        <f>3177</f>
        <v/>
      </c>
      <c r="O3243" s="9" t="inlineStr">
        <is>
          <t>카페240라베나 리커버리 15 헤어팩 트리트먼트제품선택=헤어팩 트리트먼트 1개 + 뉴트리셔스밤 1개 세트 5% 추가할인210201</t>
        </is>
      </c>
    </row>
    <row r="3244">
      <c r="A3244" s="9" t="inlineStr">
        <is>
          <t>0517_이현_노워시_bna영상_고데기앞단</t>
        </is>
      </c>
      <c r="B3244" s="10" t="n">
        <v>44333</v>
      </c>
      <c r="C3244" s="9" t="inlineStr">
        <is>
          <t>월</t>
        </is>
      </c>
      <c r="D3244" s="9" t="inlineStr">
        <is>
          <t>페이스북</t>
        </is>
      </c>
      <c r="E3244" s="9" t="inlineStr">
        <is>
          <t>뉴트리셔스밤</t>
        </is>
      </c>
      <c r="K3244" s="9" t="n">
        <v>57208</v>
      </c>
    </row>
    <row r="3245">
      <c r="A3245" s="9" t="inlineStr">
        <is>
          <t>0517_인서_샴푸_묶은자국_영상_리타겟</t>
        </is>
      </c>
      <c r="B3245" s="10" t="n">
        <v>44333</v>
      </c>
      <c r="C3245" s="9" t="inlineStr">
        <is>
          <t>월</t>
        </is>
      </c>
      <c r="D3245" s="9" t="inlineStr">
        <is>
          <t>페이스북</t>
        </is>
      </c>
      <c r="E3245" s="9" t="inlineStr">
        <is>
          <t>샴푸</t>
        </is>
      </c>
      <c r="K3245" s="9" t="n">
        <v>24599</v>
      </c>
    </row>
    <row r="3246">
      <c r="A3246" s="9" t="inlineStr">
        <is>
          <t>0514_인서_샴푸_묶은자국_영상</t>
        </is>
      </c>
      <c r="B3246" s="10" t="n">
        <v>44333</v>
      </c>
      <c r="C3246" s="9" t="inlineStr">
        <is>
          <t>월</t>
        </is>
      </c>
      <c r="D3246" s="9" t="inlineStr">
        <is>
          <t>페이스북</t>
        </is>
      </c>
      <c r="E3246" s="9" t="inlineStr">
        <is>
          <t>샴푸</t>
        </is>
      </c>
      <c r="K3246" s="9" t="n">
        <v>33090</v>
      </c>
    </row>
    <row r="3247">
      <c r="A3247" s="9" t="inlineStr">
        <is>
          <t>0514_현빈_샴푸_피지결석_카드뉴스</t>
        </is>
      </c>
      <c r="B3247" s="10" t="n">
        <v>44333</v>
      </c>
      <c r="C3247" s="9" t="inlineStr">
        <is>
          <t>월</t>
        </is>
      </c>
      <c r="D3247" s="9" t="inlineStr">
        <is>
          <t>페이스북</t>
        </is>
      </c>
      <c r="E3247" s="9" t="inlineStr">
        <is>
          <t>샴푸</t>
        </is>
      </c>
      <c r="K3247" s="9" t="n">
        <v>461161</v>
      </c>
    </row>
    <row r="3248">
      <c r="A3248" s="9" t="inlineStr">
        <is>
          <t>0316~영상베리</t>
        </is>
      </c>
      <c r="B3248" s="10" t="n">
        <v>44333</v>
      </c>
      <c r="C3248" s="9" t="inlineStr">
        <is>
          <t>월</t>
        </is>
      </c>
      <c r="D3248" s="9" t="inlineStr">
        <is>
          <t>페이스북</t>
        </is>
      </c>
      <c r="E3248" s="9" t="inlineStr">
        <is>
          <t>샴푸</t>
        </is>
      </c>
      <c r="K3248" s="9" t="n">
        <v>95073</v>
      </c>
    </row>
    <row r="3249">
      <c r="A3249" s="9" t="inlineStr">
        <is>
          <t>0513_샴푸_CPV_피지결석_2차</t>
        </is>
      </c>
      <c r="B3249" s="10" t="n">
        <v>44333</v>
      </c>
      <c r="C3249" s="9" t="inlineStr">
        <is>
          <t>월</t>
        </is>
      </c>
      <c r="D3249" s="9" t="inlineStr">
        <is>
          <t>유튜브</t>
        </is>
      </c>
      <c r="E3249" s="9" t="inlineStr">
        <is>
          <t>샴푸</t>
        </is>
      </c>
      <c r="K3249" s="9" t="n">
        <v>2458</v>
      </c>
    </row>
    <row r="3250">
      <c r="A3250" s="9" t="inlineStr">
        <is>
          <t>0514_샴푸_DA_모낭결석</t>
        </is>
      </c>
      <c r="B3250" s="10" t="n">
        <v>44333</v>
      </c>
      <c r="C3250" s="9" t="inlineStr">
        <is>
          <t>월</t>
        </is>
      </c>
      <c r="D3250" s="9" t="inlineStr">
        <is>
          <t>유튜브</t>
        </is>
      </c>
      <c r="E3250" s="9" t="inlineStr">
        <is>
          <t>샴푸</t>
        </is>
      </c>
      <c r="K3250" s="9" t="n">
        <v>21347</v>
      </c>
    </row>
    <row r="3251">
      <c r="A3251" s="9" t="inlineStr">
        <is>
          <t>0514_샴푸_CPV_피지결석_3차</t>
        </is>
      </c>
      <c r="B3251" s="10" t="n">
        <v>44333</v>
      </c>
      <c r="C3251" s="9" t="inlineStr">
        <is>
          <t>월</t>
        </is>
      </c>
      <c r="D3251" s="9" t="inlineStr">
        <is>
          <t>유튜브</t>
        </is>
      </c>
      <c r="E3251" s="9" t="inlineStr">
        <is>
          <t>샴푸</t>
        </is>
      </c>
      <c r="K3251" s="9" t="n">
        <v>1460964</v>
      </c>
    </row>
    <row r="3252">
      <c r="A3252" s="9" t="inlineStr">
        <is>
          <t>0513_샴푸_VAC_피지결석1</t>
        </is>
      </c>
      <c r="B3252" s="10" t="n">
        <v>44333</v>
      </c>
      <c r="C3252" s="9" t="inlineStr">
        <is>
          <t>월</t>
        </is>
      </c>
      <c r="D3252" s="9" t="inlineStr">
        <is>
          <t>유튜브</t>
        </is>
      </c>
      <c r="E3252" s="9" t="inlineStr">
        <is>
          <t>샴푸</t>
        </is>
      </c>
      <c r="K3252" s="9" t="n">
        <v>360</v>
      </c>
    </row>
    <row r="3253">
      <c r="A3253" s="9" t="inlineStr">
        <is>
          <t>라베나 파워링크_샴푸_광고그룹#1</t>
        </is>
      </c>
      <c r="B3253" s="10" t="n">
        <v>44333</v>
      </c>
      <c r="C3253" s="9" t="inlineStr">
        <is>
          <t>월</t>
        </is>
      </c>
      <c r="D3253" s="9" t="inlineStr">
        <is>
          <t>네이버 검색</t>
        </is>
      </c>
      <c r="E3253" s="9" t="inlineStr">
        <is>
          <t>샴푸</t>
        </is>
      </c>
      <c r="K3253" s="9" t="n">
        <v>3270</v>
      </c>
    </row>
    <row r="3254">
      <c r="A3254" s="9" t="inlineStr">
        <is>
          <t>라베나 파워링크_샴푸#1_유튜브키워드기반</t>
        </is>
      </c>
      <c r="B3254" s="10" t="n">
        <v>44333</v>
      </c>
      <c r="C3254" s="9" t="inlineStr">
        <is>
          <t>월</t>
        </is>
      </c>
      <c r="D3254" s="9" t="inlineStr">
        <is>
          <t>네이버 검색</t>
        </is>
      </c>
      <c r="E3254" s="9" t="inlineStr">
        <is>
          <t>샴푸</t>
        </is>
      </c>
      <c r="K3254" s="9" t="n">
        <v>1920</v>
      </c>
    </row>
    <row r="3255">
      <c r="A3255" s="9" t="inlineStr">
        <is>
          <t>샴푸_쇼핑검색#1_광고그룹#1</t>
        </is>
      </c>
      <c r="B3255" s="10" t="n">
        <v>44333</v>
      </c>
      <c r="C3255" s="9" t="inlineStr">
        <is>
          <t>월</t>
        </is>
      </c>
      <c r="D3255" s="9" t="inlineStr">
        <is>
          <t>네이버 검색</t>
        </is>
      </c>
      <c r="E3255" s="9" t="inlineStr">
        <is>
          <t>샴푸</t>
        </is>
      </c>
      <c r="K3255" s="9" t="n">
        <v>7719.999999999999</v>
      </c>
    </row>
    <row r="3256">
      <c r="A3256" s="9" t="inlineStr">
        <is>
          <t>파워컨텐츠#1_비듬샴푸</t>
        </is>
      </c>
      <c r="B3256" s="10" t="n">
        <v>44333</v>
      </c>
      <c r="C3256" s="9" t="inlineStr">
        <is>
          <t>월</t>
        </is>
      </c>
      <c r="D3256" s="9" t="inlineStr">
        <is>
          <t>네이버 검색</t>
        </is>
      </c>
      <c r="E3256" s="9" t="inlineStr">
        <is>
          <t>샴푸</t>
        </is>
      </c>
      <c r="K3256" s="9" t="n">
        <v>0</v>
      </c>
    </row>
    <row r="3257">
      <c r="B3257" s="10" t="n">
        <v>44333</v>
      </c>
      <c r="C3257" s="9" t="inlineStr">
        <is>
          <t>월</t>
        </is>
      </c>
      <c r="E3257" s="9" t="inlineStr">
        <is>
          <t>샴푸</t>
        </is>
      </c>
      <c r="F3257" s="9" t="inlineStr">
        <is>
          <t>라베나 CS</t>
        </is>
      </c>
      <c r="G3257" s="9" t="inlineStr">
        <is>
          <t>헤어 리커버리 15 리바이탈 샴푸</t>
        </is>
      </c>
      <c r="H3257" s="9" t="n">
        <v>1</v>
      </c>
      <c r="I3257" s="9" t="inlineStr">
        <is>
          <t>리바이탈 샴푸</t>
        </is>
      </c>
      <c r="J3257" s="9" t="inlineStr">
        <is>
          <t>210201</t>
        </is>
      </c>
      <c r="L3257" s="9" t="n">
        <v>0</v>
      </c>
      <c r="M3257" s="9" t="n">
        <v>0</v>
      </c>
      <c r="N3257" s="9" t="n">
        <v>2865</v>
      </c>
      <c r="O3257" s="9" t="inlineStr">
        <is>
          <t>라베나 CS샴푸헤어 리커버리 15 리바이탈 샴푸210201</t>
        </is>
      </c>
    </row>
    <row r="3258">
      <c r="B3258" s="10" t="n">
        <v>44333</v>
      </c>
      <c r="C3258" s="9" t="inlineStr">
        <is>
          <t>월</t>
        </is>
      </c>
      <c r="E3258" s="9" t="inlineStr">
        <is>
          <t>샴푸</t>
        </is>
      </c>
      <c r="F3258" s="9" t="inlineStr">
        <is>
          <t>카페24</t>
        </is>
      </c>
      <c r="G3258" s="9" t="inlineStr">
        <is>
          <t>[손상모 케어] 라베나 리커버리 15 리바이탈 샴푸 [HAIR RÉ:COVERY 15 Revital Shampoo]제품선택=리바이탈 샴푸 2개 세트 5%추가할인</t>
        </is>
      </c>
      <c r="H3258" s="9" t="n">
        <v>1</v>
      </c>
      <c r="I3258" s="9" t="inlineStr">
        <is>
          <t>리바이탈 샴푸</t>
        </is>
      </c>
      <c r="J3258" s="9" t="inlineStr">
        <is>
          <t>210201</t>
        </is>
      </c>
      <c r="L3258" s="9" t="n">
        <v>26900</v>
      </c>
      <c r="M3258" s="9">
        <f>26900-(26900/5.85)</f>
        <v/>
      </c>
      <c r="N3258" s="9" t="n">
        <v>2865</v>
      </c>
      <c r="O3258" s="9" t="inlineStr">
        <is>
          <t>카페240[손상모 케어] 라베나 리커버리 15 리바이탈 샴푸 [HAIR RÉ:COVERY 15 Revital Shampoo]제품선택=리바이탈 샴푸 2개 세트 5%추가할인210201</t>
        </is>
      </c>
    </row>
    <row r="3259">
      <c r="B3259" s="10" t="n">
        <v>44333</v>
      </c>
      <c r="C3259" s="9" t="inlineStr">
        <is>
          <t>월</t>
        </is>
      </c>
      <c r="E3259" s="9" t="inlineStr">
        <is>
          <t>샴푸</t>
        </is>
      </c>
      <c r="F3259" s="9" t="inlineStr">
        <is>
          <t>카페24</t>
        </is>
      </c>
      <c r="G3259" s="9" t="inlineStr">
        <is>
          <t>[타임특가] 라베나 리:커버리 3개월 패키지 (샴푸 2+ 트리트먼트 택 1)샴푸2 + 트리트먼트 택 1=샴푸2 + 헤어팩 트리트먼트1</t>
        </is>
      </c>
      <c r="H3259" s="9" t="n">
        <v>14</v>
      </c>
      <c r="I3259" s="9" t="inlineStr">
        <is>
          <t>리바이탈 샴푸2+트리트먼트1</t>
        </is>
      </c>
      <c r="J3259" s="9" t="inlineStr">
        <is>
          <t>210201</t>
        </is>
      </c>
      <c r="L3259" s="9">
        <f>62280*14</f>
        <v/>
      </c>
      <c r="M3259" s="9">
        <f>871920-(871920/5.85)</f>
        <v/>
      </c>
      <c r="N3259" s="9">
        <f>7327*14</f>
        <v/>
      </c>
      <c r="O3259" s="9" t="inlineStr">
        <is>
          <t>카페240[타임특가] 라베나 리:커버리 3개월 패키지 (샴푸 2+ 트리트먼트 택 1)샴푸2 + 트리트먼트 택 1=샴푸2 + 헤어팩 트리트먼트1210201</t>
        </is>
      </c>
    </row>
    <row r="3260">
      <c r="B3260" s="10" t="n">
        <v>44333</v>
      </c>
      <c r="C3260" s="9" t="inlineStr">
        <is>
          <t>월</t>
        </is>
      </c>
      <c r="E3260" s="9" t="inlineStr">
        <is>
          <t>샴푸</t>
        </is>
      </c>
      <c r="F3260" s="9" t="inlineStr">
        <is>
          <t>카페24</t>
        </is>
      </c>
      <c r="G3260" s="9" t="inlineStr">
        <is>
          <t>[타임특가] 라베나 리:커버리 6개월 패키지 (샴푸 5+ 트리트먼트 택 1)샴푸 5 + 트리트먼트 택 1=샴푸 5 + 뉴트리셔스 밤 1</t>
        </is>
      </c>
      <c r="H3260" s="9" t="n">
        <v>2</v>
      </c>
      <c r="I3260" s="9" t="inlineStr">
        <is>
          <t>리바이탈 샴푸5+뉴트리셔스밤1</t>
        </is>
      </c>
      <c r="J3260" s="9" t="inlineStr">
        <is>
          <t>210201</t>
        </is>
      </c>
      <c r="L3260" s="9">
        <f>114840*2</f>
        <v/>
      </c>
      <c r="M3260" s="9">
        <f>229680-(229680/5.85)</f>
        <v/>
      </c>
      <c r="N3260" s="9">
        <f>15905*2</f>
        <v/>
      </c>
      <c r="O3260" s="9" t="inlineStr">
        <is>
          <t>카페240[타임특가] 라베나 리:커버리 6개월 패키지 (샴푸 5+ 트리트먼트 택 1)샴푸 5 + 트리트먼트 택 1=샴푸 5 + 뉴트리셔스 밤 1210201</t>
        </is>
      </c>
    </row>
    <row r="3261">
      <c r="B3261" s="10" t="n">
        <v>44333</v>
      </c>
      <c r="C3261" s="9" t="inlineStr">
        <is>
          <t>월</t>
        </is>
      </c>
      <c r="E3261" s="9" t="inlineStr">
        <is>
          <t>샴푸</t>
        </is>
      </c>
      <c r="F3261" s="9" t="inlineStr">
        <is>
          <t>카페24</t>
        </is>
      </c>
      <c r="G3261" s="9" t="inlineStr">
        <is>
          <t>[타임특가] 라베나 리:커버리 스타터 패키지 (샴푸 1+헤어팩 트리트먼트 1+ 뉴트리셔스 밤 1)</t>
        </is>
      </c>
      <c r="H3261" s="9" t="n">
        <v>1</v>
      </c>
      <c r="I3261" s="9" t="inlineStr">
        <is>
          <t>리바이탈 샴푸1+트리트먼트1+뉴트리셔스밤1</t>
        </is>
      </c>
      <c r="J3261" s="9" t="inlineStr">
        <is>
          <t>210201</t>
        </is>
      </c>
      <c r="L3261" s="9">
        <f>39897</f>
        <v/>
      </c>
      <c r="M3261" s="9">
        <f>39897-(39897/5.85)</f>
        <v/>
      </c>
      <c r="N3261" s="9">
        <f>(2865+1580+1597)</f>
        <v/>
      </c>
      <c r="O3261" s="9" t="inlineStr">
        <is>
          <t>카페240[타임특가] 라베나 리:커버리 스타터 패키지 (샴푸 1+헤어팩 트리트먼트 1+ 뉴트리셔스 밤 1)210201</t>
        </is>
      </c>
    </row>
    <row r="3262">
      <c r="B3262" s="10" t="n">
        <v>44333</v>
      </c>
      <c r="C3262" s="9" t="inlineStr">
        <is>
          <t>월</t>
        </is>
      </c>
      <c r="E3262" s="9" t="inlineStr">
        <is>
          <t>뉴트리셔스밤</t>
        </is>
      </c>
      <c r="F3262" s="9" t="inlineStr">
        <is>
          <t>카페24</t>
        </is>
      </c>
      <c r="G3262" s="9" t="inlineStr">
        <is>
          <t>라베나 리커버리 15 뉴트리셔스 밤제품선택=헤어 리커버리 15 뉴트리셔스 밤</t>
        </is>
      </c>
      <c r="H3262" s="9" t="n">
        <v>1</v>
      </c>
      <c r="I3262" s="9" t="inlineStr">
        <is>
          <t>뉴트리셔스밤</t>
        </is>
      </c>
      <c r="J3262" s="9" t="inlineStr">
        <is>
          <t>210201</t>
        </is>
      </c>
      <c r="L3262" s="9">
        <f>24900</f>
        <v/>
      </c>
      <c r="M3262" s="9">
        <f>24900-(24900/5.85)</f>
        <v/>
      </c>
      <c r="N3262" s="9">
        <f>1580</f>
        <v/>
      </c>
      <c r="O3262" s="9" t="inlineStr">
        <is>
          <t>카페240라베나 리커버리 15 뉴트리셔스 밤제품선택=헤어 리커버리 15 뉴트리셔스 밤210201</t>
        </is>
      </c>
    </row>
    <row r="3263">
      <c r="B3263" s="10" t="n">
        <v>44333</v>
      </c>
      <c r="C3263" s="9" t="inlineStr">
        <is>
          <t>월</t>
        </is>
      </c>
      <c r="E3263" s="9" t="inlineStr">
        <is>
          <t>샴푸</t>
        </is>
      </c>
      <c r="F3263" s="9" t="inlineStr">
        <is>
          <t>카페24</t>
        </is>
      </c>
      <c r="G3263" s="9" t="inlineStr">
        <is>
          <t>라베나 리커버리 15 리바이탈 바이오플라보노이드샴푸제품선택=헤어 리커버리 15 리바이탈 샴푸 - 500ml</t>
        </is>
      </c>
      <c r="H3263" s="9" t="n">
        <v>164</v>
      </c>
      <c r="I3263" s="9" t="inlineStr">
        <is>
          <t>리바이탈 샴푸</t>
        </is>
      </c>
      <c r="J3263" s="9" t="inlineStr">
        <is>
          <t>210201</t>
        </is>
      </c>
      <c r="L3263" s="9">
        <f>26900*164</f>
        <v/>
      </c>
      <c r="M3263" s="9">
        <f>4411600-(4411600/5.85)</f>
        <v/>
      </c>
      <c r="N3263" s="9">
        <f>2865*164</f>
        <v/>
      </c>
      <c r="O3263" s="9" t="inlineStr">
        <is>
          <t>카페240라베나 리커버리 15 리바이탈 바이오플라보노이드샴푸제품선택=헤어 리커버리 15 리바이탈 샴푸 - 500ml210201</t>
        </is>
      </c>
    </row>
    <row r="3264">
      <c r="B3264" s="10" t="n">
        <v>44333</v>
      </c>
      <c r="C3264" s="9" t="inlineStr">
        <is>
          <t>월</t>
        </is>
      </c>
      <c r="E3264" s="9" t="inlineStr">
        <is>
          <t>샴푸</t>
        </is>
      </c>
      <c r="F3264" s="9" t="inlineStr">
        <is>
          <t>카페24</t>
        </is>
      </c>
      <c r="G3264" s="9" t="inlineStr">
        <is>
          <t>라베나 리커버리 15 리바이탈 바이오플라보노이드샴푸제품선택=리바이탈 샴푸 2개 세트 5%추가할인</t>
        </is>
      </c>
      <c r="H3264" s="9" t="n">
        <v>50</v>
      </c>
      <c r="I3264" s="9" t="inlineStr">
        <is>
          <t>리바이탈 샴푸 2set</t>
        </is>
      </c>
      <c r="J3264" s="9" t="inlineStr">
        <is>
          <t>210201</t>
        </is>
      </c>
      <c r="L3264" s="9">
        <f>51110*42</f>
        <v/>
      </c>
      <c r="M3264" s="9">
        <f>2146620-(2146620/5.85)</f>
        <v/>
      </c>
      <c r="N3264" s="9">
        <f>2865*42</f>
        <v/>
      </c>
      <c r="O3264" s="9" t="inlineStr">
        <is>
          <t>카페240라베나 리커버리 15 리바이탈 바이오플라보노이드샴푸제품선택=리바이탈 샴푸 2개 세트 5%추가할인210201</t>
        </is>
      </c>
    </row>
    <row r="3265">
      <c r="B3265" s="10" t="n">
        <v>44333</v>
      </c>
      <c r="C3265" s="9" t="inlineStr">
        <is>
          <t>월</t>
        </is>
      </c>
      <c r="E3265" s="9" t="inlineStr">
        <is>
          <t>샴푸</t>
        </is>
      </c>
      <c r="F3265" s="9" t="inlineStr">
        <is>
          <t>카페24</t>
        </is>
      </c>
      <c r="G3265" s="9" t="inlineStr">
        <is>
          <t>라베나 리커버리 15 리바이탈 바이오플라보노이드샴푸제품선택=리바이탈 샴푸 3개 세트 10% 추가할인</t>
        </is>
      </c>
      <c r="H3265" s="9" t="n">
        <v>24</v>
      </c>
      <c r="I3265" s="9" t="inlineStr">
        <is>
          <t>리바이탈 샴푸 3set</t>
        </is>
      </c>
      <c r="J3265" s="9" t="inlineStr">
        <is>
          <t>210201</t>
        </is>
      </c>
      <c r="L3265" s="9">
        <f>72630*24</f>
        <v/>
      </c>
      <c r="M3265" s="9">
        <f>1743120-(1743120/5.85)</f>
        <v/>
      </c>
      <c r="N3265" s="9">
        <f>2865*24</f>
        <v/>
      </c>
      <c r="O3265" s="9" t="inlineStr">
        <is>
          <t>카페240라베나 리커버리 15 리바이탈 바이오플라보노이드샴푸제품선택=리바이탈 샴푸 3개 세트 10% 추가할인210201</t>
        </is>
      </c>
    </row>
    <row r="3266">
      <c r="B3266" s="10" t="n">
        <v>44333</v>
      </c>
      <c r="C3266" s="9" t="inlineStr">
        <is>
          <t>월</t>
        </is>
      </c>
      <c r="E3266" s="9" t="inlineStr">
        <is>
          <t>트리트먼트</t>
        </is>
      </c>
      <c r="F3266" s="9" t="inlineStr">
        <is>
          <t>카페24</t>
        </is>
      </c>
      <c r="G3266" s="9" t="inlineStr">
        <is>
          <t>라베나 리커버리 15 헤어팩 트리트먼트제품선택=헤어 리커버리 15 헤어팩 트리트먼트</t>
        </is>
      </c>
      <c r="H3266" s="9" t="n">
        <v>5</v>
      </c>
      <c r="I3266" s="9" t="inlineStr">
        <is>
          <t>트리트먼트</t>
        </is>
      </c>
      <c r="J3266" s="9" t="inlineStr">
        <is>
          <t>210201</t>
        </is>
      </c>
      <c r="L3266" s="9">
        <f>26000*5</f>
        <v/>
      </c>
      <c r="M3266" s="9">
        <f>130000-(130000/5.85)</f>
        <v/>
      </c>
      <c r="N3266" s="9">
        <f>1597*5</f>
        <v/>
      </c>
      <c r="O3266" s="9" t="inlineStr">
        <is>
          <t>카페240라베나 리커버리 15 헤어팩 트리트먼트제품선택=헤어 리커버리 15 헤어팩 트리트먼트210201</t>
        </is>
      </c>
    </row>
    <row r="3267">
      <c r="B3267" s="10" t="n">
        <v>44333</v>
      </c>
      <c r="C3267" s="9" t="inlineStr">
        <is>
          <t>월</t>
        </is>
      </c>
      <c r="E3267" s="9" t="inlineStr">
        <is>
          <t>트리트먼트</t>
        </is>
      </c>
      <c r="F3267" s="9" t="inlineStr">
        <is>
          <t>카페24</t>
        </is>
      </c>
      <c r="G3267" s="9" t="inlineStr">
        <is>
          <t>라베나 리커버리 15 헤어팩 트리트먼트제품선택=헤어팩 트리트먼트 2개 세트 5% 추가할인</t>
        </is>
      </c>
      <c r="H3267" s="9" t="n">
        <v>1</v>
      </c>
      <c r="I3267" s="9" t="inlineStr">
        <is>
          <t>트리트먼트 2set</t>
        </is>
      </c>
      <c r="J3267" s="9" t="inlineStr">
        <is>
          <t>210201</t>
        </is>
      </c>
      <c r="L3267" s="9" t="n">
        <v>49400</v>
      </c>
      <c r="M3267" s="9" t="n">
        <v>46510.1</v>
      </c>
      <c r="N3267" s="9">
        <f>3194*2</f>
        <v/>
      </c>
      <c r="O3267" s="9" t="inlineStr">
        <is>
          <t>카페240라베나 리커버리 15 헤어팩 트리트먼트제품선택=헤어팩 트리트먼트 2개 세트 5% 추가할인210201</t>
        </is>
      </c>
    </row>
    <row r="3268">
      <c r="B3268" s="10" t="n">
        <v>44333</v>
      </c>
      <c r="C3268" s="9" t="inlineStr">
        <is>
          <t>월</t>
        </is>
      </c>
      <c r="E3268" s="9" t="inlineStr">
        <is>
          <t>트리트먼트</t>
        </is>
      </c>
      <c r="F3268" s="9" t="inlineStr">
        <is>
          <t>카페24</t>
        </is>
      </c>
      <c r="G3268" s="9" t="inlineStr">
        <is>
          <t>라베나 리커버리 15 헤어팩 트리트먼트제품선택=헤어팩 트리트먼트 3개 세트 10% 추가할인</t>
        </is>
      </c>
      <c r="H3268" s="9" t="n">
        <v>1</v>
      </c>
      <c r="I3268" s="9" t="inlineStr">
        <is>
          <t>트리트먼트 3set</t>
        </is>
      </c>
      <c r="J3268" s="9" t="inlineStr">
        <is>
          <t>210201</t>
        </is>
      </c>
      <c r="L3268" s="9" t="n">
        <v>70200</v>
      </c>
      <c r="M3268" s="9">
        <f>70200-(70200/5.85)</f>
        <v/>
      </c>
      <c r="N3268" s="9">
        <f>1597*3</f>
        <v/>
      </c>
      <c r="O3268" s="9" t="inlineStr">
        <is>
          <t>카페240라베나 리커버리 15 헤어팩 트리트먼트제품선택=헤어팩 트리트먼트 3개 세트 10% 추가할인210201</t>
        </is>
      </c>
    </row>
    <row r="3269">
      <c r="A3269" s="9" t="inlineStr">
        <is>
          <t>0518_이현_노워시_full+배너</t>
        </is>
      </c>
      <c r="B3269" s="10" t="n">
        <v>44334</v>
      </c>
      <c r="C3269" s="9" t="inlineStr">
        <is>
          <t>화</t>
        </is>
      </c>
      <c r="D3269" s="9" t="inlineStr">
        <is>
          <t>페이스북</t>
        </is>
      </c>
      <c r="E3269" s="9" t="inlineStr">
        <is>
          <t>뉴트리셔스밤</t>
        </is>
      </c>
      <c r="K3269" s="9" t="n">
        <v>37229</v>
      </c>
    </row>
    <row r="3270">
      <c r="A3270" s="9" t="inlineStr">
        <is>
          <t>0518_이현_노워시_짧은영상+배너</t>
        </is>
      </c>
      <c r="B3270" s="10" t="n">
        <v>44334</v>
      </c>
      <c r="C3270" s="9" t="inlineStr">
        <is>
          <t>화</t>
        </is>
      </c>
      <c r="D3270" s="9" t="inlineStr">
        <is>
          <t>페이스북</t>
        </is>
      </c>
      <c r="E3270" s="9" t="inlineStr">
        <is>
          <t>뉴트리셔스밤</t>
        </is>
      </c>
      <c r="K3270" s="9" t="n">
        <v>72538</v>
      </c>
    </row>
    <row r="3271">
      <c r="A3271" s="9" t="inlineStr">
        <is>
          <t>0517_이현_노워시_bna영상_고데기앞단</t>
        </is>
      </c>
      <c r="B3271" s="10" t="n">
        <v>44334</v>
      </c>
      <c r="C3271" s="9" t="inlineStr">
        <is>
          <t>화</t>
        </is>
      </c>
      <c r="D3271" s="9" t="inlineStr">
        <is>
          <t>페이스북</t>
        </is>
      </c>
      <c r="E3271" s="9" t="inlineStr">
        <is>
          <t>뉴트리셔스밤</t>
        </is>
      </c>
      <c r="K3271" s="9" t="n">
        <v>129151</v>
      </c>
    </row>
    <row r="3272">
      <c r="A3272" s="9" t="inlineStr">
        <is>
          <t>0517_인서_샴푸_묶은자국_영상_리타겟</t>
        </is>
      </c>
      <c r="B3272" s="10" t="n">
        <v>44334</v>
      </c>
      <c r="C3272" s="9" t="inlineStr">
        <is>
          <t>화</t>
        </is>
      </c>
      <c r="D3272" s="9" t="inlineStr">
        <is>
          <t>페이스북</t>
        </is>
      </c>
      <c r="E3272" s="9" t="inlineStr">
        <is>
          <t>샴푸</t>
        </is>
      </c>
      <c r="K3272" s="9" t="n">
        <v>67357</v>
      </c>
    </row>
    <row r="3273">
      <c r="A3273" s="9" t="inlineStr">
        <is>
          <t>0514_현빈_샴푸_피지결석_카드뉴스</t>
        </is>
      </c>
      <c r="B3273" s="10" t="n">
        <v>44334</v>
      </c>
      <c r="C3273" s="9" t="inlineStr">
        <is>
          <t>화</t>
        </is>
      </c>
      <c r="D3273" s="9" t="inlineStr">
        <is>
          <t>페이스북</t>
        </is>
      </c>
      <c r="E3273" s="9" t="inlineStr">
        <is>
          <t>샴푸</t>
        </is>
      </c>
      <c r="K3273" s="9" t="n">
        <v>475469</v>
      </c>
    </row>
    <row r="3274">
      <c r="A3274" s="9" t="inlineStr">
        <is>
          <t>0316~영상베리</t>
        </is>
      </c>
      <c r="B3274" s="10" t="n">
        <v>44334</v>
      </c>
      <c r="C3274" s="9" t="inlineStr">
        <is>
          <t>화</t>
        </is>
      </c>
      <c r="D3274" s="9" t="inlineStr">
        <is>
          <t>페이스북</t>
        </is>
      </c>
      <c r="E3274" s="9" t="inlineStr">
        <is>
          <t>샴푸</t>
        </is>
      </c>
      <c r="K3274" s="9" t="n">
        <v>97653</v>
      </c>
    </row>
    <row r="3275">
      <c r="A3275" s="9" t="inlineStr">
        <is>
          <t>0518_이현_노워시_full+배너</t>
        </is>
      </c>
      <c r="B3275" s="10" t="n">
        <v>44335</v>
      </c>
      <c r="C3275" s="9" t="inlineStr">
        <is>
          <t>수</t>
        </is>
      </c>
      <c r="D3275" s="9" t="inlineStr">
        <is>
          <t>페이스북</t>
        </is>
      </c>
      <c r="E3275" s="9" t="inlineStr">
        <is>
          <t>뉴트리셔스밤</t>
        </is>
      </c>
      <c r="K3275" s="9" t="n">
        <v>56003</v>
      </c>
    </row>
    <row r="3276">
      <c r="A3276" s="9" t="inlineStr">
        <is>
          <t>0518_이현_노워시_짧은영상+배너</t>
        </is>
      </c>
      <c r="B3276" s="10" t="n">
        <v>44335</v>
      </c>
      <c r="C3276" s="9" t="inlineStr">
        <is>
          <t>수</t>
        </is>
      </c>
      <c r="D3276" s="9" t="inlineStr">
        <is>
          <t>페이스북</t>
        </is>
      </c>
      <c r="E3276" s="9" t="inlineStr">
        <is>
          <t>뉴트리셔스밤</t>
        </is>
      </c>
      <c r="K3276" s="9" t="n">
        <v>149023</v>
      </c>
    </row>
    <row r="3277">
      <c r="A3277" s="9" t="inlineStr">
        <is>
          <t>0517_이현_노워시_bna영상_고데기앞단</t>
        </is>
      </c>
      <c r="B3277" s="10" t="n">
        <v>44335</v>
      </c>
      <c r="C3277" s="9" t="inlineStr">
        <is>
          <t>수</t>
        </is>
      </c>
      <c r="D3277" s="9" t="inlineStr">
        <is>
          <t>페이스북</t>
        </is>
      </c>
      <c r="E3277" s="9" t="inlineStr">
        <is>
          <t>뉴트리셔스밤</t>
        </is>
      </c>
      <c r="K3277" s="9" t="n">
        <v>52792</v>
      </c>
    </row>
    <row r="3278">
      <c r="A3278" s="9" t="inlineStr">
        <is>
          <t>0514_현빈_샴푸_피지결석_카드뉴스</t>
        </is>
      </c>
      <c r="B3278" s="10" t="n">
        <v>44335</v>
      </c>
      <c r="C3278" s="9" t="inlineStr">
        <is>
          <t>수</t>
        </is>
      </c>
      <c r="D3278" s="9" t="inlineStr">
        <is>
          <t>페이스북</t>
        </is>
      </c>
      <c r="E3278" s="9" t="inlineStr">
        <is>
          <t>샴푸</t>
        </is>
      </c>
      <c r="K3278" s="9" t="n">
        <v>513927</v>
      </c>
    </row>
    <row r="3279">
      <c r="A3279" s="9" t="inlineStr">
        <is>
          <t>0316~영상베리</t>
        </is>
      </c>
      <c r="B3279" s="10" t="n">
        <v>44335</v>
      </c>
      <c r="C3279" s="9" t="inlineStr">
        <is>
          <t>수</t>
        </is>
      </c>
      <c r="D3279" s="9" t="inlineStr">
        <is>
          <t>페이스북</t>
        </is>
      </c>
      <c r="E3279" s="9" t="inlineStr">
        <is>
          <t>샴푸</t>
        </is>
      </c>
      <c r="K3279" s="9" t="n">
        <v>100743</v>
      </c>
    </row>
    <row r="3280">
      <c r="A3280" s="9" t="inlineStr">
        <is>
          <t>0322_샴푸_GDN_이현1차</t>
        </is>
      </c>
      <c r="B3280" s="10" t="n">
        <v>44334</v>
      </c>
      <c r="C3280" s="9" t="inlineStr">
        <is>
          <t>화</t>
        </is>
      </c>
      <c r="D3280" s="9" t="inlineStr">
        <is>
          <t>GDN</t>
        </is>
      </c>
      <c r="E3280" s="9" t="inlineStr">
        <is>
          <t>샴푸</t>
        </is>
      </c>
      <c r="K3280" s="9" t="n">
        <v>3787</v>
      </c>
    </row>
    <row r="3281">
      <c r="A3281" s="9" t="inlineStr">
        <is>
          <t>0513_샴푸_CPV_피지결석_2차</t>
        </is>
      </c>
      <c r="B3281" s="10" t="n">
        <v>44334</v>
      </c>
      <c r="C3281" s="9" t="inlineStr">
        <is>
          <t>화</t>
        </is>
      </c>
      <c r="D3281" s="9" t="inlineStr">
        <is>
          <t>유튜브</t>
        </is>
      </c>
      <c r="E3281" s="9" t="inlineStr">
        <is>
          <t>샴푸</t>
        </is>
      </c>
      <c r="K3281" s="9" t="n">
        <v>1508</v>
      </c>
    </row>
    <row r="3282">
      <c r="A3282" s="9" t="inlineStr">
        <is>
          <t>0513_샴푸_VAC_피지결석1</t>
        </is>
      </c>
      <c r="B3282" s="10" t="n">
        <v>44334</v>
      </c>
      <c r="C3282" s="9" t="inlineStr">
        <is>
          <t>화</t>
        </is>
      </c>
      <c r="D3282" s="9" t="inlineStr">
        <is>
          <t>유튜브</t>
        </is>
      </c>
      <c r="E3282" s="9" t="inlineStr">
        <is>
          <t>샴푸</t>
        </is>
      </c>
      <c r="K3282" s="9" t="n">
        <v>46</v>
      </c>
    </row>
    <row r="3283">
      <c r="A3283" s="9" t="inlineStr">
        <is>
          <t>0514_샴푸_DA_모낭결석</t>
        </is>
      </c>
      <c r="B3283" s="10" t="n">
        <v>44334</v>
      </c>
      <c r="C3283" s="9" t="inlineStr">
        <is>
          <t>화</t>
        </is>
      </c>
      <c r="D3283" s="9" t="inlineStr">
        <is>
          <t>유튜브</t>
        </is>
      </c>
      <c r="E3283" s="9" t="inlineStr">
        <is>
          <t>샴푸</t>
        </is>
      </c>
      <c r="K3283" s="9" t="n">
        <v>29567</v>
      </c>
    </row>
    <row r="3284">
      <c r="A3284" s="9" t="inlineStr">
        <is>
          <t>0514_샴푸_CPV_피지결석_3차</t>
        </is>
      </c>
      <c r="B3284" s="10" t="n">
        <v>44334</v>
      </c>
      <c r="C3284" s="9" t="inlineStr">
        <is>
          <t>화</t>
        </is>
      </c>
      <c r="D3284" s="9" t="inlineStr">
        <is>
          <t>유튜브</t>
        </is>
      </c>
      <c r="E3284" s="9" t="inlineStr">
        <is>
          <t>샴푸</t>
        </is>
      </c>
      <c r="K3284" s="9" t="n">
        <v>4741</v>
      </c>
    </row>
    <row r="3285">
      <c r="A3285" s="9" t="inlineStr">
        <is>
          <t>0518_샴푸_VAC_피지결석2</t>
        </is>
      </c>
      <c r="B3285" s="10" t="n">
        <v>44334</v>
      </c>
      <c r="C3285" s="9" t="inlineStr">
        <is>
          <t>화</t>
        </is>
      </c>
      <c r="D3285" s="9" t="inlineStr">
        <is>
          <t>유튜브</t>
        </is>
      </c>
      <c r="E3285" s="9" t="inlineStr">
        <is>
          <t>샴푸</t>
        </is>
      </c>
      <c r="K3285" s="9" t="n">
        <v>518489</v>
      </c>
    </row>
    <row r="3286">
      <c r="A3286" s="9" t="inlineStr">
        <is>
          <t>0127_GDN_비듬샴푸_잠재고객</t>
        </is>
      </c>
      <c r="B3286" s="10" t="n">
        <v>44335</v>
      </c>
      <c r="C3286" s="9" t="inlineStr">
        <is>
          <t>수</t>
        </is>
      </c>
      <c r="D3286" s="9" t="inlineStr">
        <is>
          <t>GDN</t>
        </is>
      </c>
      <c r="E3286" s="9" t="inlineStr">
        <is>
          <t>샴푸</t>
        </is>
      </c>
      <c r="K3286" s="9" t="n">
        <v>124459</v>
      </c>
    </row>
    <row r="3287">
      <c r="A3287" s="9" t="inlineStr">
        <is>
          <t>0322_샴푸_GDN_이현1차</t>
        </is>
      </c>
      <c r="B3287" s="10" t="n">
        <v>44335</v>
      </c>
      <c r="C3287" s="9" t="inlineStr">
        <is>
          <t>수</t>
        </is>
      </c>
      <c r="D3287" s="9" t="inlineStr">
        <is>
          <t>GDN</t>
        </is>
      </c>
      <c r="E3287" s="9" t="inlineStr">
        <is>
          <t>샴푸</t>
        </is>
      </c>
      <c r="K3287" s="9" t="n">
        <v>76673</v>
      </c>
    </row>
    <row r="3288">
      <c r="A3288" s="9" t="inlineStr">
        <is>
          <t>0324_샴푸_SDC_CPA</t>
        </is>
      </c>
      <c r="B3288" s="10" t="n">
        <v>44335</v>
      </c>
      <c r="C3288" s="9" t="inlineStr">
        <is>
          <t>수</t>
        </is>
      </c>
      <c r="D3288" s="9" t="inlineStr">
        <is>
          <t>유튜브</t>
        </is>
      </c>
      <c r="E3288" s="9" t="inlineStr">
        <is>
          <t>샴푸</t>
        </is>
      </c>
      <c r="K3288" s="9" t="n">
        <v>45564</v>
      </c>
    </row>
    <row r="3289">
      <c r="A3289" s="9" t="inlineStr">
        <is>
          <t>0513_샴푸_CPV_피지결석_2차</t>
        </is>
      </c>
      <c r="B3289" s="10" t="n">
        <v>44335</v>
      </c>
      <c r="C3289" s="9" t="inlineStr">
        <is>
          <t>수</t>
        </is>
      </c>
      <c r="D3289" s="9" t="inlineStr">
        <is>
          <t>유튜브</t>
        </is>
      </c>
      <c r="E3289" s="9" t="inlineStr">
        <is>
          <t>샴푸</t>
        </is>
      </c>
      <c r="K3289" s="9" t="n">
        <v>2070</v>
      </c>
    </row>
    <row r="3290">
      <c r="A3290" s="9" t="inlineStr">
        <is>
          <t>0514_샴푸_DA_모낭결석</t>
        </is>
      </c>
      <c r="B3290" s="10" t="n">
        <v>44335</v>
      </c>
      <c r="C3290" s="9" t="inlineStr">
        <is>
          <t>수</t>
        </is>
      </c>
      <c r="D3290" s="9" t="inlineStr">
        <is>
          <t>유튜브</t>
        </is>
      </c>
      <c r="E3290" s="9" t="inlineStr">
        <is>
          <t>샴푸</t>
        </is>
      </c>
      <c r="K3290" s="9" t="n">
        <v>177828</v>
      </c>
    </row>
    <row r="3291">
      <c r="A3291" s="9" t="inlineStr">
        <is>
          <t>0514_샴푸_CPV_피지결석_3차</t>
        </is>
      </c>
      <c r="B3291" s="10" t="n">
        <v>44335</v>
      </c>
      <c r="C3291" s="9" t="inlineStr">
        <is>
          <t>수</t>
        </is>
      </c>
      <c r="D3291" s="9" t="inlineStr">
        <is>
          <t>유튜브</t>
        </is>
      </c>
      <c r="E3291" s="9" t="inlineStr">
        <is>
          <t>샴푸</t>
        </is>
      </c>
      <c r="K3291" s="9" t="n">
        <v>2455</v>
      </c>
    </row>
    <row r="3292">
      <c r="A3292" s="9" t="inlineStr">
        <is>
          <t>0518_샴푸_VAC_피지결석2</t>
        </is>
      </c>
      <c r="B3292" s="10" t="n">
        <v>44335</v>
      </c>
      <c r="C3292" s="9" t="inlineStr">
        <is>
          <t>수</t>
        </is>
      </c>
      <c r="D3292" s="9" t="inlineStr">
        <is>
          <t>유튜브</t>
        </is>
      </c>
      <c r="E3292" s="9" t="inlineStr">
        <is>
          <t>샴푸</t>
        </is>
      </c>
      <c r="K3292" s="9" t="n">
        <v>514460</v>
      </c>
    </row>
    <row r="3293">
      <c r="A3293" s="9" t="inlineStr">
        <is>
          <t>라베나 파워링크_샴푸_광고그룹#1</t>
        </is>
      </c>
      <c r="B3293" s="10" t="n">
        <v>44335</v>
      </c>
      <c r="C3293" s="9" t="inlineStr">
        <is>
          <t>수</t>
        </is>
      </c>
      <c r="D3293" s="9" t="inlineStr">
        <is>
          <t>네이버 검색</t>
        </is>
      </c>
      <c r="E3293" s="9" t="inlineStr">
        <is>
          <t>샴푸</t>
        </is>
      </c>
      <c r="K3293" s="9" t="n">
        <v>640</v>
      </c>
    </row>
    <row r="3294">
      <c r="A3294" s="9" t="inlineStr">
        <is>
          <t>라베나 파워링크_샴푸#1_유튜브키워드기반</t>
        </is>
      </c>
      <c r="B3294" s="10" t="n">
        <v>44335</v>
      </c>
      <c r="C3294" s="9" t="inlineStr">
        <is>
          <t>수</t>
        </is>
      </c>
      <c r="D3294" s="9" t="inlineStr">
        <is>
          <t>네이버 검색</t>
        </is>
      </c>
      <c r="E3294" s="9" t="inlineStr">
        <is>
          <t>샴푸</t>
        </is>
      </c>
      <c r="K3294" s="9" t="n">
        <v>2650</v>
      </c>
    </row>
    <row r="3295">
      <c r="A3295" s="9" t="inlineStr">
        <is>
          <t>샴푸_쇼핑검색#1_광고그룹#1</t>
        </is>
      </c>
      <c r="B3295" s="10" t="n">
        <v>44335</v>
      </c>
      <c r="C3295" s="9" t="inlineStr">
        <is>
          <t>수</t>
        </is>
      </c>
      <c r="D3295" s="9" t="inlineStr">
        <is>
          <t>네이버 검색</t>
        </is>
      </c>
      <c r="E3295" s="9" t="inlineStr">
        <is>
          <t>샴푸</t>
        </is>
      </c>
      <c r="K3295" s="9" t="n">
        <v>1550</v>
      </c>
    </row>
    <row r="3296">
      <c r="A3296" s="9" t="inlineStr">
        <is>
          <t>파워컨텐츠#1_비듬샴푸</t>
        </is>
      </c>
      <c r="B3296" s="10" t="n">
        <v>44335</v>
      </c>
      <c r="C3296" s="9" t="inlineStr">
        <is>
          <t>수</t>
        </is>
      </c>
      <c r="D3296" s="9" t="inlineStr">
        <is>
          <t>네이버 검색</t>
        </is>
      </c>
      <c r="E3296" s="9" t="inlineStr">
        <is>
          <t>샴푸</t>
        </is>
      </c>
      <c r="K3296" s="9" t="n">
        <v>0</v>
      </c>
    </row>
    <row r="3297">
      <c r="A3297" s="9" t="inlineStr">
        <is>
          <t>라베나 파워링크_샴푸_광고그룹#1</t>
        </is>
      </c>
      <c r="B3297" s="10" t="n">
        <v>44334</v>
      </c>
      <c r="C3297" s="9" t="inlineStr">
        <is>
          <t>화</t>
        </is>
      </c>
      <c r="D3297" s="9" t="inlineStr">
        <is>
          <t>네이버 검색</t>
        </is>
      </c>
      <c r="E3297" s="9" t="inlineStr">
        <is>
          <t>샴푸</t>
        </is>
      </c>
      <c r="K3297" s="9" t="n">
        <v>1900</v>
      </c>
    </row>
    <row r="3298">
      <c r="A3298" s="9" t="inlineStr">
        <is>
          <t>라베나 파워링크_샴푸#1_유튜브키워드기반</t>
        </is>
      </c>
      <c r="B3298" s="10" t="n">
        <v>44334</v>
      </c>
      <c r="C3298" s="9" t="inlineStr">
        <is>
          <t>화</t>
        </is>
      </c>
      <c r="D3298" s="9" t="inlineStr">
        <is>
          <t>네이버 검색</t>
        </is>
      </c>
      <c r="E3298" s="9" t="inlineStr">
        <is>
          <t>샴푸</t>
        </is>
      </c>
      <c r="K3298" s="9" t="n">
        <v>1280</v>
      </c>
    </row>
    <row r="3299">
      <c r="A3299" s="9" t="inlineStr">
        <is>
          <t>샴푸_쇼핑검색#1_광고그룹#1</t>
        </is>
      </c>
      <c r="B3299" s="10" t="n">
        <v>44334</v>
      </c>
      <c r="C3299" s="9" t="inlineStr">
        <is>
          <t>화</t>
        </is>
      </c>
      <c r="D3299" s="9" t="inlineStr">
        <is>
          <t>네이버 검색</t>
        </is>
      </c>
      <c r="E3299" s="9" t="inlineStr">
        <is>
          <t>샴푸</t>
        </is>
      </c>
      <c r="K3299" s="9" t="n">
        <v>650</v>
      </c>
    </row>
    <row r="3300">
      <c r="A3300" s="9" t="inlineStr">
        <is>
          <t>파워컨텐츠#1_비듬샴푸</t>
        </is>
      </c>
      <c r="B3300" s="10" t="n">
        <v>44334</v>
      </c>
      <c r="C3300" s="9" t="inlineStr">
        <is>
          <t>화</t>
        </is>
      </c>
      <c r="D3300" s="9" t="inlineStr">
        <is>
          <t>네이버 검색</t>
        </is>
      </c>
      <c r="E3300" s="9" t="inlineStr">
        <is>
          <t>샴푸</t>
        </is>
      </c>
      <c r="K3300" s="9" t="n">
        <v>70</v>
      </c>
    </row>
    <row r="3301" ht="16.5" customHeight="1" s="12">
      <c r="A3301" s="9" t="inlineStr">
        <is>
          <t>신제품 헤어가글 체험단 모집</t>
        </is>
      </c>
      <c r="B3301" s="10" t="n">
        <v>44334</v>
      </c>
      <c r="C3301" s="9" t="inlineStr">
        <is>
          <t>화</t>
        </is>
      </c>
      <c r="D3301" s="9" t="inlineStr">
        <is>
          <t>카카오 플친</t>
        </is>
      </c>
      <c r="E3301" s="9" t="inlineStr">
        <is>
          <t>샴푸</t>
        </is>
      </c>
      <c r="K3301" s="9">
        <f>251245.5/1.1</f>
        <v/>
      </c>
    </row>
    <row r="3302" ht="16.5" customHeight="1" s="12">
      <c r="A3302" s="9" t="inlineStr">
        <is>
          <t>신제품 헤어가글 체험단 모집</t>
        </is>
      </c>
      <c r="B3302" s="10" t="n">
        <v>44335</v>
      </c>
      <c r="C3302" s="9" t="inlineStr">
        <is>
          <t>수</t>
        </is>
      </c>
      <c r="D3302" s="9" t="inlineStr">
        <is>
          <t>카카오 플친</t>
        </is>
      </c>
      <c r="E3302" s="9" t="inlineStr">
        <is>
          <t>샴푸</t>
        </is>
      </c>
      <c r="K3302" s="9">
        <f>990/1.1</f>
        <v/>
      </c>
    </row>
    <row r="3303">
      <c r="B3303" s="10" t="n">
        <v>44334</v>
      </c>
      <c r="C3303" s="9" t="inlineStr">
        <is>
          <t>화</t>
        </is>
      </c>
      <c r="E3303" s="9" t="inlineStr">
        <is>
          <t>샴푸</t>
        </is>
      </c>
      <c r="F3303" s="9" t="inlineStr">
        <is>
          <t>카페24</t>
        </is>
      </c>
      <c r="G3303" s="9" t="inlineStr">
        <is>
          <t>[손상모 케어] 라베나 리커버리 15 리바이탈 샴푸 [HAIR RÉ:COVERY 15 Revital Shampoo]제품선택=리바이탈 샴푸 2개 세트 5%추가할인</t>
        </is>
      </c>
      <c r="H3303" s="9" t="n">
        <v>1</v>
      </c>
      <c r="I3303" s="9" t="inlineStr">
        <is>
          <t>리바이탈 샴푸</t>
        </is>
      </c>
      <c r="J3303" s="9" t="inlineStr">
        <is>
          <t>210201</t>
        </is>
      </c>
      <c r="L3303" s="9" t="n">
        <v>26900</v>
      </c>
      <c r="M3303" s="9">
        <f>26900-(26900/5.85)</f>
        <v/>
      </c>
      <c r="N3303" s="9" t="n">
        <v>2865</v>
      </c>
      <c r="O3303" s="9" t="inlineStr">
        <is>
          <t>카페240[손상모 케어] 라베나 리커버리 15 리바이탈 샴푸 [HAIR RÉ:COVERY 15 Revital Shampoo]제품선택=리바이탈 샴푸 2개 세트 5%추가할인210201</t>
        </is>
      </c>
    </row>
    <row r="3304">
      <c r="B3304" s="10" t="n">
        <v>44334</v>
      </c>
      <c r="C3304" s="9" t="inlineStr">
        <is>
          <t>화</t>
        </is>
      </c>
      <c r="E3304" s="9" t="inlineStr">
        <is>
          <t>샴푸</t>
        </is>
      </c>
      <c r="F3304" s="9" t="inlineStr">
        <is>
          <t>카페24</t>
        </is>
      </c>
      <c r="G3304" s="9" t="inlineStr">
        <is>
          <t>[타임특가] 라베나 리:커버리 3개월 패키지 (샴푸 2+ 트리트먼트 택 1)샴푸2 + 트리트먼트 택 1=샴푸2 + 헤어팩 트리트먼트1</t>
        </is>
      </c>
      <c r="H3304" s="9" t="n">
        <v>5</v>
      </c>
      <c r="I3304" s="9" t="inlineStr">
        <is>
          <t>리바이탈 샴푸2+트리트먼트1</t>
        </is>
      </c>
      <c r="J3304" s="9" t="inlineStr">
        <is>
          <t>210201</t>
        </is>
      </c>
      <c r="L3304" s="9">
        <f>62280*5</f>
        <v/>
      </c>
      <c r="M3304" s="9">
        <f>311400-(311400/5.85)</f>
        <v/>
      </c>
      <c r="N3304" s="9">
        <f>7327*5</f>
        <v/>
      </c>
      <c r="O3304" s="9" t="inlineStr">
        <is>
          <t>카페240[타임특가] 라베나 리:커버리 3개월 패키지 (샴푸 2+ 트리트먼트 택 1)샴푸2 + 트리트먼트 택 1=샴푸2 + 헤어팩 트리트먼트1210201</t>
        </is>
      </c>
    </row>
    <row r="3305">
      <c r="B3305" s="10" t="n">
        <v>44334</v>
      </c>
      <c r="C3305" s="9" t="inlineStr">
        <is>
          <t>화</t>
        </is>
      </c>
      <c r="E3305" s="9" t="inlineStr">
        <is>
          <t>샴푸</t>
        </is>
      </c>
      <c r="F3305" s="9" t="inlineStr">
        <is>
          <t>카페24</t>
        </is>
      </c>
      <c r="G3305" s="9" t="inlineStr">
        <is>
          <t>[타임특가] 라베나 리:커버리 6개월 패키지 (샴푸 5+ 트리트먼트 택 1)샴푸 5 + 트리트먼트 택 1=샴푸 5 + 뉴트리셔스 밤 1</t>
        </is>
      </c>
      <c r="H3305" s="9" t="n">
        <v>1</v>
      </c>
      <c r="I3305" s="9" t="inlineStr">
        <is>
          <t>리바이탈 샴푸5+뉴트리셔스밤1</t>
        </is>
      </c>
      <c r="J3305" s="9" t="inlineStr">
        <is>
          <t>210201</t>
        </is>
      </c>
      <c r="L3305" s="9">
        <f>114840</f>
        <v/>
      </c>
      <c r="M3305" s="9">
        <f>114840-(114840/5.85)</f>
        <v/>
      </c>
      <c r="N3305" s="9">
        <f>15905</f>
        <v/>
      </c>
      <c r="O3305" s="9" t="inlineStr">
        <is>
          <t>카페240[타임특가] 라베나 리:커버리 6개월 패키지 (샴푸 5+ 트리트먼트 택 1)샴푸 5 + 트리트먼트 택 1=샴푸 5 + 뉴트리셔스 밤 1210201</t>
        </is>
      </c>
    </row>
    <row r="3306">
      <c r="B3306" s="10" t="n">
        <v>44334</v>
      </c>
      <c r="C3306" s="9" t="inlineStr">
        <is>
          <t>화</t>
        </is>
      </c>
      <c r="E3306" s="9" t="inlineStr">
        <is>
          <t>샴푸</t>
        </is>
      </c>
      <c r="F3306" s="9" t="inlineStr">
        <is>
          <t>카페24</t>
        </is>
      </c>
      <c r="G3306" s="9" t="inlineStr">
        <is>
          <t>[타임특가] 라베나 리:커버리 6개월 패키지 (샴푸 5+ 트리트먼트 택 1)샴푸 5 + 트리트먼트 택 1=샴푸 5 + 헤어팩 트리트먼트 1</t>
        </is>
      </c>
      <c r="H3306" s="9" t="n">
        <v>3</v>
      </c>
      <c r="I3306" s="9" t="inlineStr">
        <is>
          <t>리바이탈 샴푸5+트리트먼트1</t>
        </is>
      </c>
      <c r="J3306" s="9" t="inlineStr">
        <is>
          <t>210201</t>
        </is>
      </c>
      <c r="L3306" s="9">
        <f>114840*3</f>
        <v/>
      </c>
      <c r="M3306" s="9">
        <f>344520-(344520/5.85)</f>
        <v/>
      </c>
      <c r="N3306" s="9">
        <f>15922*3</f>
        <v/>
      </c>
      <c r="O3306" s="9" t="inlineStr">
        <is>
          <t>카페240[타임특가] 라베나 리:커버리 6개월 패키지 (샴푸 5+ 트리트먼트 택 1)샴푸 5 + 트리트먼트 택 1=샴푸 5 + 헤어팩 트리트먼트 1210201</t>
        </is>
      </c>
    </row>
    <row r="3307">
      <c r="B3307" s="10" t="n">
        <v>44334</v>
      </c>
      <c r="C3307" s="9" t="inlineStr">
        <is>
          <t>화</t>
        </is>
      </c>
      <c r="E3307" s="9" t="inlineStr">
        <is>
          <t>샴푸</t>
        </is>
      </c>
      <c r="F3307" s="9" t="inlineStr">
        <is>
          <t>카페24</t>
        </is>
      </c>
      <c r="G3307" s="9" t="inlineStr">
        <is>
          <t>[타임특가] 라베나 리:커버리 스타터 패키지 (샴푸 1+헤어팩 트리트먼트 1+ 뉴트리셔스 밤 1)</t>
        </is>
      </c>
      <c r="H3307" s="9" t="n">
        <v>2</v>
      </c>
      <c r="I3307" s="9" t="inlineStr">
        <is>
          <t>리바이탈 샴푸1+트리트먼트1+뉴트리셔스밤1</t>
        </is>
      </c>
      <c r="J3307" s="9" t="inlineStr">
        <is>
          <t>210201</t>
        </is>
      </c>
      <c r="L3307" s="9">
        <f>39897*2</f>
        <v/>
      </c>
      <c r="M3307" s="9">
        <f>79794-(79794/5.85)</f>
        <v/>
      </c>
      <c r="N3307" s="9">
        <f>(2865+1580+1597)*2</f>
        <v/>
      </c>
      <c r="O3307" s="9" t="inlineStr">
        <is>
          <t>카페240[타임특가] 라베나 리:커버리 스타터 패키지 (샴푸 1+헤어팩 트리트먼트 1+ 뉴트리셔스 밤 1)210201</t>
        </is>
      </c>
    </row>
    <row r="3308">
      <c r="B3308" s="10" t="n">
        <v>44334</v>
      </c>
      <c r="C3308" s="9" t="inlineStr">
        <is>
          <t>화</t>
        </is>
      </c>
      <c r="E3308" s="9" t="inlineStr">
        <is>
          <t>샴푸</t>
        </is>
      </c>
      <c r="F3308" s="9" t="inlineStr">
        <is>
          <t>카페24</t>
        </is>
      </c>
      <c r="G3308" s="9" t="inlineStr">
        <is>
          <t>[타임특가] 라베나 리:커버리 온가족 패키지 (샴푸 3+ 헤어팩 트리트먼트 1+뉴트리셔스 밤 1)</t>
        </is>
      </c>
      <c r="H3308" s="9" t="n">
        <v>2</v>
      </c>
      <c r="I3308" s="9" t="inlineStr">
        <is>
          <t>리바이탈 샴푸3+트리트먼트1+뉴트리셔스밤1</t>
        </is>
      </c>
      <c r="J3308" s="9" t="inlineStr">
        <is>
          <t>210201</t>
        </is>
      </c>
      <c r="L3308" s="9">
        <f>94765*2</f>
        <v/>
      </c>
      <c r="M3308" s="9">
        <f>189530-(189530/5.85)</f>
        <v/>
      </c>
      <c r="N3308" s="9">
        <f>11772*2</f>
        <v/>
      </c>
      <c r="O3308" s="9" t="inlineStr">
        <is>
          <t>카페240[타임특가] 라베나 리:커버리 온가족 패키지 (샴푸 3+ 헤어팩 트리트먼트 1+뉴트리셔스 밤 1)210201</t>
        </is>
      </c>
    </row>
    <row r="3309">
      <c r="B3309" s="10" t="n">
        <v>44334</v>
      </c>
      <c r="C3309" s="9" t="inlineStr">
        <is>
          <t>화</t>
        </is>
      </c>
      <c r="E3309" s="9" t="inlineStr">
        <is>
          <t>뉴트리셔스밤</t>
        </is>
      </c>
      <c r="F3309" s="9" t="inlineStr">
        <is>
          <t>카페24</t>
        </is>
      </c>
      <c r="G3309" s="9" t="inlineStr">
        <is>
          <t>라베나 리커버리 15 뉴트리셔스 밤제품선택=헤어 리커버리 15 뉴트리셔스 밤</t>
        </is>
      </c>
      <c r="H3309" s="9" t="n">
        <v>2</v>
      </c>
      <c r="I3309" s="9" t="inlineStr">
        <is>
          <t>뉴트리셔스밤</t>
        </is>
      </c>
      <c r="J3309" s="9" t="inlineStr">
        <is>
          <t>210201</t>
        </is>
      </c>
      <c r="L3309" s="9">
        <f>24900*2</f>
        <v/>
      </c>
      <c r="M3309" s="9">
        <f>49800-(49800/5.85)</f>
        <v/>
      </c>
      <c r="N3309" s="9">
        <f>1580*2</f>
        <v/>
      </c>
      <c r="O3309" s="9" t="inlineStr">
        <is>
          <t>카페240라베나 리커버리 15 뉴트리셔스 밤제품선택=헤어 리커버리 15 뉴트리셔스 밤210201</t>
        </is>
      </c>
    </row>
    <row r="3310">
      <c r="B3310" s="10" t="n">
        <v>44334</v>
      </c>
      <c r="C3310" s="9" t="inlineStr">
        <is>
          <t>화</t>
        </is>
      </c>
      <c r="E3310" s="9" t="inlineStr">
        <is>
          <t>뉴트리셔스밤</t>
        </is>
      </c>
      <c r="F3310" s="9" t="inlineStr">
        <is>
          <t>카페24</t>
        </is>
      </c>
      <c r="G3310" s="9" t="inlineStr">
        <is>
          <t>라베나 리커버리 15 뉴트리셔스 밤제품선택=뉴트리셔스 밤 3개 세트 10% 추가할인</t>
        </is>
      </c>
      <c r="H3310" s="9" t="n">
        <v>4</v>
      </c>
      <c r="I3310" s="9" t="inlineStr">
        <is>
          <t>뉴트리셔스밤 3set</t>
        </is>
      </c>
      <c r="J3310" s="9" t="inlineStr">
        <is>
          <t>210201</t>
        </is>
      </c>
      <c r="L3310" s="9">
        <f>67230*4</f>
        <v/>
      </c>
      <c r="M3310" s="9">
        <f>268920-(268920/5.85)</f>
        <v/>
      </c>
      <c r="N3310" s="9">
        <f>1580*12</f>
        <v/>
      </c>
      <c r="O3310" s="9" t="inlineStr">
        <is>
          <t>카페240라베나 리커버리 15 뉴트리셔스 밤제품선택=뉴트리셔스 밤 3개 세트 10% 추가할인210201</t>
        </is>
      </c>
    </row>
    <row r="3311">
      <c r="B3311" s="10" t="n">
        <v>44334</v>
      </c>
      <c r="C3311" s="9" t="inlineStr">
        <is>
          <t>화</t>
        </is>
      </c>
      <c r="E3311" s="9" t="inlineStr">
        <is>
          <t>뉴트리셔스밤</t>
        </is>
      </c>
      <c r="F3311" s="9" t="inlineStr">
        <is>
          <t>카페24</t>
        </is>
      </c>
      <c r="G3311" s="9" t="inlineStr">
        <is>
          <t>라베나 리커버리 15 뉴트리셔스 밤제품선택=뉴트리셔스밤 1개 + 헤어팩 트리트먼트 1개 세트 5%추가할인</t>
        </is>
      </c>
      <c r="H3311" s="9" t="n">
        <v>1</v>
      </c>
      <c r="I3311" s="9" t="inlineStr">
        <is>
          <t>뉴트리셔스밤1+트리트먼트1</t>
        </is>
      </c>
      <c r="J3311" s="9" t="inlineStr">
        <is>
          <t>210201</t>
        </is>
      </c>
      <c r="L3311" s="9" t="n">
        <v>47310</v>
      </c>
      <c r="M3311" s="9">
        <f>47310-(47310/5.85)</f>
        <v/>
      </c>
      <c r="N3311" s="9">
        <f>1580*2</f>
        <v/>
      </c>
      <c r="O3311" s="9" t="inlineStr">
        <is>
          <t>카페240라베나 리커버리 15 뉴트리셔스 밤제품선택=뉴트리셔스밤 1개 + 헤어팩 트리트먼트 1개 세트 5%추가할인210201</t>
        </is>
      </c>
    </row>
    <row r="3312">
      <c r="B3312" s="10" t="n">
        <v>44334</v>
      </c>
      <c r="C3312" s="9" t="inlineStr">
        <is>
          <t>화</t>
        </is>
      </c>
      <c r="E3312" s="9" t="inlineStr">
        <is>
          <t>샴푸</t>
        </is>
      </c>
      <c r="F3312" s="9" t="inlineStr">
        <is>
          <t>카페24</t>
        </is>
      </c>
      <c r="G3312" s="9" t="inlineStr">
        <is>
          <t>라베나 리커버리 15 리바이탈 바이오플라보노이드샴푸제품선택=헤어 리커버리 15 리바이탈 샴푸 - 500ml</t>
        </is>
      </c>
      <c r="H3312" s="9" t="n">
        <v>52</v>
      </c>
      <c r="I3312" s="9" t="inlineStr">
        <is>
          <t>리바이탈 샴푸</t>
        </is>
      </c>
      <c r="J3312" s="9" t="inlineStr">
        <is>
          <t>210201</t>
        </is>
      </c>
      <c r="L3312" s="9">
        <f>26900*52</f>
        <v/>
      </c>
      <c r="M3312" s="9">
        <f>1398800-(1398800/5.85)</f>
        <v/>
      </c>
      <c r="N3312" s="9">
        <f>2865*52</f>
        <v/>
      </c>
      <c r="O3312" s="9" t="inlineStr">
        <is>
          <t>카페240라베나 리커버리 15 리바이탈 바이오플라보노이드샴푸제품선택=헤어 리커버리 15 리바이탈 샴푸 - 500ml210201</t>
        </is>
      </c>
    </row>
    <row r="3313">
      <c r="B3313" s="10" t="n">
        <v>44334</v>
      </c>
      <c r="C3313" s="9" t="inlineStr">
        <is>
          <t>화</t>
        </is>
      </c>
      <c r="E3313" s="9" t="inlineStr">
        <is>
          <t>샴푸</t>
        </is>
      </c>
      <c r="F3313" s="9" t="inlineStr">
        <is>
          <t>카페24</t>
        </is>
      </c>
      <c r="G3313" s="9" t="inlineStr">
        <is>
          <t>라베나 리커버리 15 리바이탈 바이오플라보노이드샴푸제품선택=리바이탈 샴푸 2개 세트 5%추가할인</t>
        </is>
      </c>
      <c r="H3313" s="9" t="n">
        <v>18</v>
      </c>
      <c r="I3313" s="9" t="inlineStr">
        <is>
          <t>리바이탈 샴푸 2set</t>
        </is>
      </c>
      <c r="J3313" s="9" t="inlineStr">
        <is>
          <t>210201</t>
        </is>
      </c>
      <c r="L3313" s="9">
        <f>51110*18</f>
        <v/>
      </c>
      <c r="M3313" s="9">
        <f>919980-(919980/5.85)</f>
        <v/>
      </c>
      <c r="N3313" s="9">
        <f>2865*36</f>
        <v/>
      </c>
      <c r="O3313" s="9" t="inlineStr">
        <is>
          <t>카페240라베나 리커버리 15 리바이탈 바이오플라보노이드샴푸제품선택=리바이탈 샴푸 2개 세트 5%추가할인210201</t>
        </is>
      </c>
    </row>
    <row r="3314">
      <c r="B3314" s="10" t="n">
        <v>44334</v>
      </c>
      <c r="C3314" s="9" t="inlineStr">
        <is>
          <t>화</t>
        </is>
      </c>
      <c r="E3314" s="9" t="inlineStr">
        <is>
          <t>샴푸</t>
        </is>
      </c>
      <c r="F3314" s="9" t="inlineStr">
        <is>
          <t>카페24</t>
        </is>
      </c>
      <c r="G3314" s="9" t="inlineStr">
        <is>
          <t>라베나 리커버리 15 리바이탈 바이오플라보노이드샴푸제품선택=리바이탈 샴푸 3개 세트 10% 추가할인</t>
        </is>
      </c>
      <c r="H3314" s="9" t="n">
        <v>7</v>
      </c>
      <c r="I3314" s="9" t="inlineStr">
        <is>
          <t>리바이탈 샴푸 3set</t>
        </is>
      </c>
      <c r="J3314" s="9" t="inlineStr">
        <is>
          <t>210201</t>
        </is>
      </c>
      <c r="L3314" s="9">
        <f>72630*7</f>
        <v/>
      </c>
      <c r="M3314" s="9">
        <f>508410-(508410/5.85)</f>
        <v/>
      </c>
      <c r="N3314" s="9">
        <f>2865*21</f>
        <v/>
      </c>
      <c r="O3314" s="9" t="inlineStr">
        <is>
          <t>카페240라베나 리커버리 15 리바이탈 바이오플라보노이드샴푸제품선택=리바이탈 샴푸 3개 세트 10% 추가할인210201</t>
        </is>
      </c>
    </row>
    <row r="3315">
      <c r="B3315" s="10" t="n">
        <v>44334</v>
      </c>
      <c r="C3315" s="9" t="inlineStr">
        <is>
          <t>화</t>
        </is>
      </c>
      <c r="E3315" s="9" t="inlineStr">
        <is>
          <t>트리트먼트</t>
        </is>
      </c>
      <c r="F3315" s="9" t="inlineStr">
        <is>
          <t>카페24</t>
        </is>
      </c>
      <c r="G3315" s="9" t="inlineStr">
        <is>
          <t>라베나 리커버리 15 헤어팩 트리트먼트제품선택=헤어 리커버리 15 헤어팩 트리트먼트</t>
        </is>
      </c>
      <c r="H3315" s="9" t="n">
        <v>3</v>
      </c>
      <c r="I3315" s="9" t="inlineStr">
        <is>
          <t>트리트먼트</t>
        </is>
      </c>
      <c r="J3315" s="9" t="inlineStr">
        <is>
          <t>210201</t>
        </is>
      </c>
      <c r="L3315" s="9">
        <f>26000*3</f>
        <v/>
      </c>
      <c r="M3315" s="9">
        <f>78000-(78000/5.85)</f>
        <v/>
      </c>
      <c r="N3315" s="9">
        <f>1597*3</f>
        <v/>
      </c>
      <c r="O3315" s="9" t="inlineStr">
        <is>
          <t>카페240라베나 리커버리 15 헤어팩 트리트먼트제품선택=헤어 리커버리 15 헤어팩 트리트먼트210201</t>
        </is>
      </c>
    </row>
    <row r="3316">
      <c r="B3316" s="10" t="n">
        <v>44334</v>
      </c>
      <c r="C3316" s="9" t="inlineStr">
        <is>
          <t>화</t>
        </is>
      </c>
      <c r="E3316" s="9" t="inlineStr">
        <is>
          <t>트리트먼트</t>
        </is>
      </c>
      <c r="F3316" s="9" t="inlineStr">
        <is>
          <t>카페24</t>
        </is>
      </c>
      <c r="G3316" s="9" t="inlineStr">
        <is>
          <t>라베나 리커버리 15 헤어팩 트리트먼트제품선택=헤어팩 트리트먼트 2개 세트 5% 추가할인</t>
        </is>
      </c>
      <c r="H3316" s="9" t="n">
        <v>2</v>
      </c>
      <c r="I3316" s="9" t="inlineStr">
        <is>
          <t>트리트먼트 2set</t>
        </is>
      </c>
      <c r="J3316" s="9" t="inlineStr">
        <is>
          <t>210201</t>
        </is>
      </c>
      <c r="L3316" s="9">
        <f>49400*2</f>
        <v/>
      </c>
      <c r="M3316" s="9">
        <f>98800-(98800/5.85)</f>
        <v/>
      </c>
      <c r="N3316" s="9">
        <f>1597*4</f>
        <v/>
      </c>
      <c r="O3316" s="9" t="inlineStr">
        <is>
          <t>카페240라베나 리커버리 15 헤어팩 트리트먼트제품선택=헤어팩 트리트먼트 2개 세트 5% 추가할인210201</t>
        </is>
      </c>
    </row>
    <row r="3317">
      <c r="B3317" s="10" t="n">
        <v>44334</v>
      </c>
      <c r="C3317" s="9" t="inlineStr">
        <is>
          <t>화</t>
        </is>
      </c>
      <c r="E3317" s="9" t="inlineStr">
        <is>
          <t>트리트먼트</t>
        </is>
      </c>
      <c r="F3317" s="9" t="inlineStr">
        <is>
          <t>카페24</t>
        </is>
      </c>
      <c r="G3317" s="9" t="inlineStr">
        <is>
          <t>라베나 리커버리 15 헤어팩 트리트먼트제품선택=헤어팩 트리트먼트 3개 세트 10% 추가할인</t>
        </is>
      </c>
      <c r="H3317" s="9" t="n">
        <v>1</v>
      </c>
      <c r="I3317" s="9" t="inlineStr">
        <is>
          <t>트리트먼트 3set</t>
        </is>
      </c>
      <c r="J3317" s="9" t="inlineStr">
        <is>
          <t>210201</t>
        </is>
      </c>
      <c r="L3317" s="9" t="n">
        <v>70200</v>
      </c>
      <c r="M3317" s="9">
        <f>70200-(70200/5.85)</f>
        <v/>
      </c>
      <c r="N3317" s="9">
        <f>1597*3</f>
        <v/>
      </c>
      <c r="O3317" s="9" t="inlineStr">
        <is>
          <t>카페240라베나 리커버리 15 헤어팩 트리트먼트제품선택=헤어팩 트리트먼트 3개 세트 10% 추가할인210201</t>
        </is>
      </c>
    </row>
    <row r="3318">
      <c r="B3318" s="10" t="n">
        <v>44335</v>
      </c>
      <c r="C3318" s="9" t="inlineStr">
        <is>
          <t>수</t>
        </is>
      </c>
      <c r="E3318" s="9" t="inlineStr">
        <is>
          <t>샴푸</t>
        </is>
      </c>
      <c r="F3318" s="9" t="inlineStr">
        <is>
          <t>카페24</t>
        </is>
      </c>
      <c r="G3318" s="9" t="inlineStr">
        <is>
          <t>[타임특가] 라베나 리:커버리 3개월 패키지 (샴푸 2+ 트리트먼트 택 1)샴푸2 + 트리트먼트 택 1=샴푸2 + 뉴트리셔스 밤1</t>
        </is>
      </c>
      <c r="H3318" s="9" t="n">
        <v>2</v>
      </c>
      <c r="I3318" s="9" t="inlineStr">
        <is>
          <t>리바이탈 샴푸2+뉴트리셔스밤1</t>
        </is>
      </c>
      <c r="J3318" s="9" t="inlineStr">
        <is>
          <t>210201</t>
        </is>
      </c>
      <c r="L3318" s="9">
        <f>62280*2</f>
        <v/>
      </c>
      <c r="M3318" s="9">
        <f>124560-(124560/5.85)</f>
        <v/>
      </c>
      <c r="N3318" s="9">
        <f>7310*2</f>
        <v/>
      </c>
      <c r="O3318" s="9" t="inlineStr">
        <is>
          <t>카페240[타임특가] 라베나 리:커버리 3개월 패키지 (샴푸 2+ 트리트먼트 택 1)샴푸2 + 트리트먼트 택 1=샴푸2 + 뉴트리셔스 밤1210201</t>
        </is>
      </c>
    </row>
    <row r="3319">
      <c r="B3319" s="10" t="n">
        <v>44335</v>
      </c>
      <c r="C3319" s="9" t="inlineStr">
        <is>
          <t>수</t>
        </is>
      </c>
      <c r="E3319" s="9" t="inlineStr">
        <is>
          <t>샴푸</t>
        </is>
      </c>
      <c r="F3319" s="9" t="inlineStr">
        <is>
          <t>카페24</t>
        </is>
      </c>
      <c r="G3319" s="9" t="inlineStr">
        <is>
          <t>[타임특가] 라베나 리:커버리 3개월 패키지 (샴푸 2+ 트리트먼트 택 1)샴푸2 + 트리트먼트 택 1=샴푸2 + 헤어팩 트리트먼트1</t>
        </is>
      </c>
      <c r="H3319" s="9" t="n">
        <v>9</v>
      </c>
      <c r="I3319" s="9" t="inlineStr">
        <is>
          <t>리바이탈 샴푸2+트리트먼트1</t>
        </is>
      </c>
      <c r="J3319" s="9" t="inlineStr">
        <is>
          <t>210201</t>
        </is>
      </c>
      <c r="L3319" s="9">
        <f>62280*9</f>
        <v/>
      </c>
      <c r="M3319" s="9">
        <f>560520-(560520/5.85)</f>
        <v/>
      </c>
      <c r="N3319" s="9">
        <f>7327*9</f>
        <v/>
      </c>
      <c r="O3319" s="9" t="inlineStr">
        <is>
          <t>카페240[타임특가] 라베나 리:커버리 3개월 패키지 (샴푸 2+ 트리트먼트 택 1)샴푸2 + 트리트먼트 택 1=샴푸2 + 헤어팩 트리트먼트1210201</t>
        </is>
      </c>
    </row>
    <row r="3320">
      <c r="B3320" s="10" t="n">
        <v>44335</v>
      </c>
      <c r="C3320" s="9" t="inlineStr">
        <is>
          <t>수</t>
        </is>
      </c>
      <c r="E3320" s="9" t="inlineStr">
        <is>
          <t>샴푸</t>
        </is>
      </c>
      <c r="F3320" s="9" t="inlineStr">
        <is>
          <t>카페24</t>
        </is>
      </c>
      <c r="G3320" s="9" t="inlineStr">
        <is>
          <t>[타임특가] 라베나 리:커버리 6개월 패키지 (샴푸 5+ 트리트먼트 택 1)샴푸 5 + 트리트먼트 택 1=샴푸 5 + 뉴트리셔스 밤 1</t>
        </is>
      </c>
      <c r="H3320" s="9" t="n">
        <v>2</v>
      </c>
      <c r="I3320" s="9" t="inlineStr">
        <is>
          <t>리바이탈 샴푸5+뉴트리셔스밤1</t>
        </is>
      </c>
      <c r="J3320" s="9" t="inlineStr">
        <is>
          <t>210201</t>
        </is>
      </c>
      <c r="L3320" s="9">
        <f>114840*2</f>
        <v/>
      </c>
      <c r="M3320" s="9">
        <f>229680-(229680/5.85)</f>
        <v/>
      </c>
      <c r="N3320" s="9">
        <f>15905*2</f>
        <v/>
      </c>
      <c r="O3320" s="9" t="inlineStr">
        <is>
          <t>카페240[타임특가] 라베나 리:커버리 6개월 패키지 (샴푸 5+ 트리트먼트 택 1)샴푸 5 + 트리트먼트 택 1=샴푸 5 + 뉴트리셔스 밤 1210201</t>
        </is>
      </c>
    </row>
    <row r="3321">
      <c r="B3321" s="10" t="n">
        <v>44335</v>
      </c>
      <c r="C3321" s="9" t="inlineStr">
        <is>
          <t>수</t>
        </is>
      </c>
      <c r="E3321" s="9" t="inlineStr">
        <is>
          <t>샴푸</t>
        </is>
      </c>
      <c r="F3321" s="9" t="inlineStr">
        <is>
          <t>카페24</t>
        </is>
      </c>
      <c r="G3321" s="9" t="inlineStr">
        <is>
          <t>[타임특가] 라베나 리:커버리 6개월 패키지 (샴푸 5+ 트리트먼트 택 1)샴푸 5 + 트리트먼트 택 1=샴푸 5 + 헤어팩 트리트먼트 1</t>
        </is>
      </c>
      <c r="H3321" s="9" t="n">
        <v>1</v>
      </c>
      <c r="I3321" s="9" t="inlineStr">
        <is>
          <t>리바이탈 샴푸5+트리트먼트1</t>
        </is>
      </c>
      <c r="J3321" s="9" t="inlineStr">
        <is>
          <t>210201</t>
        </is>
      </c>
      <c r="L3321" s="9">
        <f>114840</f>
        <v/>
      </c>
      <c r="M3321" s="9">
        <f>114840-(114840/5.85)</f>
        <v/>
      </c>
      <c r="N3321" s="9">
        <f>15922</f>
        <v/>
      </c>
      <c r="O3321" s="9" t="inlineStr">
        <is>
          <t>카페240[타임특가] 라베나 리:커버리 6개월 패키지 (샴푸 5+ 트리트먼트 택 1)샴푸 5 + 트리트먼트 택 1=샴푸 5 + 헤어팩 트리트먼트 1210201</t>
        </is>
      </c>
    </row>
    <row r="3322">
      <c r="B3322" s="10" t="n">
        <v>44335</v>
      </c>
      <c r="C3322" s="9" t="inlineStr">
        <is>
          <t>수</t>
        </is>
      </c>
      <c r="E3322" s="9" t="inlineStr">
        <is>
          <t>샴푸</t>
        </is>
      </c>
      <c r="F3322" s="9" t="inlineStr">
        <is>
          <t>카페24</t>
        </is>
      </c>
      <c r="G3322" s="9" t="inlineStr">
        <is>
          <t>[타임특가] 라베나 리:커버리 스타터 패키지 (샴푸 1+헤어팩 트리트먼트 1+ 뉴트리셔스 밤 1)</t>
        </is>
      </c>
      <c r="H3322" s="9" t="n">
        <v>1</v>
      </c>
      <c r="I3322" s="9" t="inlineStr">
        <is>
          <t>리바이탈 샴푸1+트리트먼트1+뉴트리셔스밤1</t>
        </is>
      </c>
      <c r="J3322" s="9" t="inlineStr">
        <is>
          <t>210201</t>
        </is>
      </c>
      <c r="L3322" s="9">
        <f>39897</f>
        <v/>
      </c>
      <c r="M3322" s="9">
        <f>39897-(39897/5.85)</f>
        <v/>
      </c>
      <c r="N3322" s="9">
        <f>(2865+1580+1597)</f>
        <v/>
      </c>
      <c r="O3322" s="9" t="inlineStr">
        <is>
          <t>카페240[타임특가] 라베나 리:커버리 스타터 패키지 (샴푸 1+헤어팩 트리트먼트 1+ 뉴트리셔스 밤 1)210201</t>
        </is>
      </c>
    </row>
    <row r="3323">
      <c r="B3323" s="10" t="n">
        <v>44335</v>
      </c>
      <c r="C3323" s="9" t="inlineStr">
        <is>
          <t>수</t>
        </is>
      </c>
      <c r="E3323" s="9" t="inlineStr">
        <is>
          <t>뉴트리셔스밤</t>
        </is>
      </c>
      <c r="F3323" s="9" t="inlineStr">
        <is>
          <t>카페24</t>
        </is>
      </c>
      <c r="G3323" s="9" t="inlineStr">
        <is>
          <t>라베나 리커버리 15 뉴트리셔스 밤제품선택=헤어 리커버리 15 뉴트리셔스 밤</t>
        </is>
      </c>
      <c r="H3323" s="9" t="n">
        <v>3</v>
      </c>
      <c r="I3323" s="9" t="inlineStr">
        <is>
          <t>뉴트리셔스밤</t>
        </is>
      </c>
      <c r="J3323" s="9" t="inlineStr">
        <is>
          <t>210201</t>
        </is>
      </c>
      <c r="L3323" s="9">
        <f>24900*3</f>
        <v/>
      </c>
      <c r="M3323" s="9">
        <f>74700-(74700/5.85)</f>
        <v/>
      </c>
      <c r="N3323" s="9">
        <f>1580*3</f>
        <v/>
      </c>
      <c r="O3323" s="9" t="inlineStr">
        <is>
          <t>카페240라베나 리커버리 15 뉴트리셔스 밤제품선택=헤어 리커버리 15 뉴트리셔스 밤210201</t>
        </is>
      </c>
    </row>
    <row r="3324">
      <c r="B3324" s="10" t="n">
        <v>44335</v>
      </c>
      <c r="C3324" s="9" t="inlineStr">
        <is>
          <t>수</t>
        </is>
      </c>
      <c r="E3324" s="9" t="inlineStr">
        <is>
          <t>뉴트리셔스밤</t>
        </is>
      </c>
      <c r="F3324" s="9" t="inlineStr">
        <is>
          <t>카페24</t>
        </is>
      </c>
      <c r="G3324" s="9" t="inlineStr">
        <is>
          <t>라베나 리커버리 15 뉴트리셔스 밤제품선택=뉴트리셔스 밤 2개 세트 5% 추가할인</t>
        </is>
      </c>
      <c r="H3324" s="9" t="n">
        <v>1</v>
      </c>
      <c r="I3324" s="9" t="inlineStr">
        <is>
          <t>뉴트리셔스밤 2set</t>
        </is>
      </c>
      <c r="J3324" s="9" t="inlineStr">
        <is>
          <t>210201</t>
        </is>
      </c>
      <c r="L3324" s="9" t="n">
        <v>47310</v>
      </c>
      <c r="M3324" s="9">
        <f>47310-(47310/5.85)</f>
        <v/>
      </c>
      <c r="N3324" s="9">
        <f>1580*2</f>
        <v/>
      </c>
      <c r="O3324" s="9" t="inlineStr">
        <is>
          <t>카페240라베나 리커버리 15 뉴트리셔스 밤제품선택=뉴트리셔스 밤 2개 세트 5% 추가할인210201</t>
        </is>
      </c>
    </row>
    <row r="3325">
      <c r="B3325" s="10" t="n">
        <v>44335</v>
      </c>
      <c r="C3325" s="9" t="inlineStr">
        <is>
          <t>수</t>
        </is>
      </c>
      <c r="E3325" s="9" t="inlineStr">
        <is>
          <t>뉴트리셔스밤</t>
        </is>
      </c>
      <c r="F3325" s="9" t="inlineStr">
        <is>
          <t>카페24</t>
        </is>
      </c>
      <c r="G3325" s="9" t="inlineStr">
        <is>
          <t>라베나 리커버리 15 뉴트리셔스 밤제품선택=뉴트리셔스 밤 3개 세트 10% 추가할인</t>
        </is>
      </c>
      <c r="H3325" s="9" t="n">
        <v>1</v>
      </c>
      <c r="I3325" s="9" t="inlineStr">
        <is>
          <t>뉴트리셔스밤 3set</t>
        </is>
      </c>
      <c r="J3325" s="9" t="inlineStr">
        <is>
          <t>210201</t>
        </is>
      </c>
      <c r="L3325" s="9">
        <f>67230</f>
        <v/>
      </c>
      <c r="M3325" s="9">
        <f>67230-(67230/5.85)</f>
        <v/>
      </c>
      <c r="N3325" s="9">
        <f>1580*3</f>
        <v/>
      </c>
      <c r="O3325" s="9" t="inlineStr">
        <is>
          <t>카페240라베나 리커버리 15 뉴트리셔스 밤제품선택=뉴트리셔스 밤 3개 세트 10% 추가할인210201</t>
        </is>
      </c>
    </row>
    <row r="3326">
      <c r="B3326" s="10" t="n">
        <v>44335</v>
      </c>
      <c r="C3326" s="9" t="inlineStr">
        <is>
          <t>수</t>
        </is>
      </c>
      <c r="E3326" s="9" t="inlineStr">
        <is>
          <t>샴푸</t>
        </is>
      </c>
      <c r="F3326" s="9" t="inlineStr">
        <is>
          <t>카페24</t>
        </is>
      </c>
      <c r="G3326" s="9" t="inlineStr">
        <is>
          <t>라베나 리커버리 15 리바이탈 바이오플라보노이드샴푸제품선택=헤어 리커버리 15 리바이탈 샴푸 - 500ml</t>
        </is>
      </c>
      <c r="H3326" s="9" t="n">
        <v>74</v>
      </c>
      <c r="I3326" s="9" t="inlineStr">
        <is>
          <t>리바이탈 샴푸</t>
        </is>
      </c>
      <c r="J3326" s="9" t="inlineStr">
        <is>
          <t>210201</t>
        </is>
      </c>
      <c r="L3326" s="9">
        <f>26900*74</f>
        <v/>
      </c>
      <c r="M3326" s="9">
        <f>1990600-(1990600/5.85)</f>
        <v/>
      </c>
      <c r="N3326" s="9">
        <f>2865*74</f>
        <v/>
      </c>
      <c r="O3326" s="9" t="inlineStr">
        <is>
          <t>카페240라베나 리커버리 15 리바이탈 바이오플라보노이드샴푸제품선택=헤어 리커버리 15 리바이탈 샴푸 - 500ml210201</t>
        </is>
      </c>
    </row>
    <row r="3327">
      <c r="B3327" s="10" t="n">
        <v>44335</v>
      </c>
      <c r="C3327" s="9" t="inlineStr">
        <is>
          <t>수</t>
        </is>
      </c>
      <c r="E3327" s="9" t="inlineStr">
        <is>
          <t>샴푸</t>
        </is>
      </c>
      <c r="F3327" s="9" t="inlineStr">
        <is>
          <t>카페24</t>
        </is>
      </c>
      <c r="G3327" s="9" t="inlineStr">
        <is>
          <t>라베나 리커버리 15 리바이탈 바이오플라보노이드샴푸제품선택=리바이탈 샴푸 2개 세트 5%추가할인</t>
        </is>
      </c>
      <c r="H3327" s="9" t="n">
        <v>33</v>
      </c>
      <c r="I3327" s="9" t="inlineStr">
        <is>
          <t>리바이탈 샴푸 2set</t>
        </is>
      </c>
      <c r="J3327" s="9" t="inlineStr">
        <is>
          <t>210201</t>
        </is>
      </c>
      <c r="L3327" s="9">
        <f>51110*33</f>
        <v/>
      </c>
      <c r="M3327" s="9">
        <f>1686630-(1686630/5.85)</f>
        <v/>
      </c>
      <c r="N3327" s="9">
        <f>2865*66</f>
        <v/>
      </c>
      <c r="O3327" s="9" t="inlineStr">
        <is>
          <t>카페240라베나 리커버리 15 리바이탈 바이오플라보노이드샴푸제품선택=리바이탈 샴푸 2개 세트 5%추가할인210201</t>
        </is>
      </c>
    </row>
    <row r="3328">
      <c r="B3328" s="10" t="n">
        <v>44335</v>
      </c>
      <c r="C3328" s="9" t="inlineStr">
        <is>
          <t>수</t>
        </is>
      </c>
      <c r="E3328" s="9" t="inlineStr">
        <is>
          <t>샴푸</t>
        </is>
      </c>
      <c r="F3328" s="9" t="inlineStr">
        <is>
          <t>카페24</t>
        </is>
      </c>
      <c r="G3328" s="9" t="inlineStr">
        <is>
          <t>라베나 리커버리 15 리바이탈 바이오플라보노이드샴푸제품선택=리바이탈 샴푸 3개 세트 10% 추가할인</t>
        </is>
      </c>
      <c r="H3328" s="9" t="n">
        <v>6</v>
      </c>
      <c r="I3328" s="9" t="inlineStr">
        <is>
          <t>리바이탈 샴푸 3set</t>
        </is>
      </c>
      <c r="J3328" s="9" t="inlineStr">
        <is>
          <t>210201</t>
        </is>
      </c>
      <c r="L3328" s="9">
        <f>72630*6</f>
        <v/>
      </c>
      <c r="M3328" s="9">
        <f>435780-(435780/5.85)</f>
        <v/>
      </c>
      <c r="N3328" s="9">
        <f>2865*18</f>
        <v/>
      </c>
      <c r="O3328" s="9" t="inlineStr">
        <is>
          <t>카페240라베나 리커버리 15 리바이탈 바이오플라보노이드샴푸제품선택=리바이탈 샴푸 3개 세트 10% 추가할인210201</t>
        </is>
      </c>
    </row>
    <row r="3329">
      <c r="B3329" s="10" t="n">
        <v>44335</v>
      </c>
      <c r="C3329" s="9" t="inlineStr">
        <is>
          <t>수</t>
        </is>
      </c>
      <c r="E3329" s="9" t="inlineStr">
        <is>
          <t>트리트먼트</t>
        </is>
      </c>
      <c r="F3329" s="9" t="inlineStr">
        <is>
          <t>카페24</t>
        </is>
      </c>
      <c r="G3329" s="9" t="inlineStr">
        <is>
          <t>라베나 리커버리 15 헤어팩 트리트먼트제품선택=헤어 리커버리 15 헤어팩 트리트먼트</t>
        </is>
      </c>
      <c r="H3329" s="9" t="n">
        <v>5</v>
      </c>
      <c r="I3329" s="9" t="inlineStr">
        <is>
          <t>트리트먼트</t>
        </is>
      </c>
      <c r="J3329" s="9" t="inlineStr">
        <is>
          <t>210201</t>
        </is>
      </c>
      <c r="L3329" s="9">
        <f>26000*5</f>
        <v/>
      </c>
      <c r="M3329" s="9">
        <f>130000-(130000/5.85)</f>
        <v/>
      </c>
      <c r="N3329" s="9">
        <f>1597*5</f>
        <v/>
      </c>
      <c r="O3329" s="9" t="inlineStr">
        <is>
          <t>카페240라베나 리커버리 15 헤어팩 트리트먼트제품선택=헤어 리커버리 15 헤어팩 트리트먼트210201</t>
        </is>
      </c>
    </row>
    <row r="3330">
      <c r="A3330" s="9" t="inlineStr">
        <is>
          <t>0520_이현_노워시_짧은영상+배너(비밀링크)</t>
        </is>
      </c>
      <c r="B3330" s="10" t="n">
        <v>44336</v>
      </c>
      <c r="C3330" s="9" t="inlineStr">
        <is>
          <t>목</t>
        </is>
      </c>
      <c r="D3330" s="9" t="inlineStr">
        <is>
          <t>페이스북</t>
        </is>
      </c>
      <c r="E3330" s="9" t="inlineStr">
        <is>
          <t>뉴트리셔스밤</t>
        </is>
      </c>
      <c r="K3330" s="9" t="n">
        <v>56374</v>
      </c>
    </row>
    <row r="3331">
      <c r="A3331" s="9" t="inlineStr">
        <is>
          <t>0518_이현_노워시_짧은영상+배너</t>
        </is>
      </c>
      <c r="B3331" s="10" t="n">
        <v>44336</v>
      </c>
      <c r="C3331" s="9" t="inlineStr">
        <is>
          <t>목</t>
        </is>
      </c>
      <c r="D3331" s="9" t="inlineStr">
        <is>
          <t>페이스북</t>
        </is>
      </c>
      <c r="E3331" s="9" t="inlineStr">
        <is>
          <t>뉴트리셔스밤</t>
        </is>
      </c>
      <c r="K3331" s="9" t="n">
        <v>18438</v>
      </c>
    </row>
    <row r="3332">
      <c r="A3332" s="9" t="inlineStr">
        <is>
          <t>0517_이현_노워시_bna영상_고데기앞단</t>
        </is>
      </c>
      <c r="B3332" s="10" t="n">
        <v>44336</v>
      </c>
      <c r="C3332" s="9" t="inlineStr">
        <is>
          <t>목</t>
        </is>
      </c>
      <c r="D3332" s="9" t="inlineStr">
        <is>
          <t>페이스북</t>
        </is>
      </c>
      <c r="E3332" s="9" t="inlineStr">
        <is>
          <t>뉴트리셔스밤</t>
        </is>
      </c>
      <c r="K3332" s="9" t="n">
        <v>8853</v>
      </c>
    </row>
    <row r="3333">
      <c r="A3333" s="9" t="inlineStr">
        <is>
          <t>0514_현빈_샴푸_피지결석_카드뉴스</t>
        </is>
      </c>
      <c r="B3333" s="10" t="n">
        <v>44336</v>
      </c>
      <c r="C3333" s="9" t="inlineStr">
        <is>
          <t>목</t>
        </is>
      </c>
      <c r="D3333" s="9" t="inlineStr">
        <is>
          <t>페이스북</t>
        </is>
      </c>
      <c r="E3333" s="9" t="inlineStr">
        <is>
          <t>샴푸</t>
        </is>
      </c>
      <c r="K3333" s="9" t="n">
        <v>499031</v>
      </c>
    </row>
    <row r="3334">
      <c r="A3334" s="9" t="inlineStr">
        <is>
          <t>0316~영상베리</t>
        </is>
      </c>
      <c r="B3334" s="10" t="n">
        <v>44336</v>
      </c>
      <c r="C3334" s="9" t="inlineStr">
        <is>
          <t>목</t>
        </is>
      </c>
      <c r="D3334" s="9" t="inlineStr">
        <is>
          <t>페이스북</t>
        </is>
      </c>
      <c r="E3334" s="9" t="inlineStr">
        <is>
          <t>샴푸</t>
        </is>
      </c>
      <c r="K3334" s="9" t="n">
        <v>98790</v>
      </c>
    </row>
    <row r="3335">
      <c r="A3335" s="9" t="inlineStr">
        <is>
          <t>0127_GDN_비듬샴푸_잠재고객</t>
        </is>
      </c>
      <c r="B3335" s="10" t="n">
        <v>44336</v>
      </c>
      <c r="C3335" s="9" t="inlineStr">
        <is>
          <t>목</t>
        </is>
      </c>
      <c r="D3335" s="9" t="inlineStr">
        <is>
          <t>GDN</t>
        </is>
      </c>
      <c r="E3335" s="9" t="inlineStr">
        <is>
          <t>샴푸</t>
        </is>
      </c>
      <c r="K3335" s="9" t="n">
        <v>185999</v>
      </c>
    </row>
    <row r="3336">
      <c r="A3336" s="9" t="inlineStr">
        <is>
          <t>0322_샴푸_GDN_이현1차</t>
        </is>
      </c>
      <c r="B3336" s="10" t="n">
        <v>44336</v>
      </c>
      <c r="C3336" s="9" t="inlineStr">
        <is>
          <t>목</t>
        </is>
      </c>
      <c r="D3336" s="9" t="inlineStr">
        <is>
          <t>GDN</t>
        </is>
      </c>
      <c r="E3336" s="9" t="inlineStr">
        <is>
          <t>샴푸</t>
        </is>
      </c>
      <c r="K3336" s="9" t="n">
        <v>104974</v>
      </c>
    </row>
    <row r="3337">
      <c r="A3337" s="9" t="inlineStr">
        <is>
          <t>0324_샴푸_SDC_CPA</t>
        </is>
      </c>
      <c r="B3337" s="10" t="n">
        <v>44336</v>
      </c>
      <c r="C3337" s="9" t="inlineStr">
        <is>
          <t>목</t>
        </is>
      </c>
      <c r="D3337" s="9" t="inlineStr">
        <is>
          <t>유튜브</t>
        </is>
      </c>
      <c r="E3337" s="9" t="inlineStr">
        <is>
          <t>샴푸</t>
        </is>
      </c>
      <c r="K3337" s="9" t="n">
        <v>349477</v>
      </c>
    </row>
    <row r="3338">
      <c r="A3338" s="9" t="inlineStr">
        <is>
          <t>0513_샴푸_CPV_피지결석_2차</t>
        </is>
      </c>
      <c r="B3338" s="10" t="n">
        <v>44336</v>
      </c>
      <c r="C3338" s="9" t="inlineStr">
        <is>
          <t>목</t>
        </is>
      </c>
      <c r="D3338" s="9" t="inlineStr">
        <is>
          <t>유튜브</t>
        </is>
      </c>
      <c r="E3338" s="9" t="inlineStr">
        <is>
          <t>샴푸</t>
        </is>
      </c>
      <c r="K3338" s="9" t="n">
        <v>945</v>
      </c>
    </row>
    <row r="3339">
      <c r="A3339" s="9" t="inlineStr">
        <is>
          <t>0514_샴푸_DA_모낭결석</t>
        </is>
      </c>
      <c r="B3339" s="10" t="n">
        <v>44336</v>
      </c>
      <c r="C3339" s="9" t="inlineStr">
        <is>
          <t>목</t>
        </is>
      </c>
      <c r="D3339" s="9" t="inlineStr">
        <is>
          <t>유튜브</t>
        </is>
      </c>
      <c r="E3339" s="9" t="inlineStr">
        <is>
          <t>샴푸</t>
        </is>
      </c>
      <c r="K3339" s="9" t="n">
        <v>88509</v>
      </c>
    </row>
    <row r="3340">
      <c r="A3340" s="9" t="inlineStr">
        <is>
          <t>0514_샴푸_CPV_피지결석_3차</t>
        </is>
      </c>
      <c r="B3340" s="10" t="n">
        <v>44336</v>
      </c>
      <c r="C3340" s="9" t="inlineStr">
        <is>
          <t>목</t>
        </is>
      </c>
      <c r="D3340" s="9" t="inlineStr">
        <is>
          <t>유튜브</t>
        </is>
      </c>
      <c r="E3340" s="9" t="inlineStr">
        <is>
          <t>샴푸</t>
        </is>
      </c>
      <c r="K3340" s="9" t="n">
        <v>591</v>
      </c>
    </row>
    <row r="3341">
      <c r="A3341" s="9" t="inlineStr">
        <is>
          <t>0518_샴푸_VAC_피지결석2</t>
        </is>
      </c>
      <c r="B3341" s="10" t="n">
        <v>44336</v>
      </c>
      <c r="C3341" s="9" t="inlineStr">
        <is>
          <t>목</t>
        </is>
      </c>
      <c r="D3341" s="9" t="inlineStr">
        <is>
          <t>유튜브</t>
        </is>
      </c>
      <c r="E3341" s="9" t="inlineStr">
        <is>
          <t>샴푸</t>
        </is>
      </c>
      <c r="K3341" s="9" t="n">
        <v>516884</v>
      </c>
    </row>
    <row r="3342">
      <c r="A3342" s="9" t="inlineStr">
        <is>
          <t>라베나 파워링크_샴푸_광고그룹#1</t>
        </is>
      </c>
      <c r="B3342" s="10" t="n">
        <v>44336</v>
      </c>
      <c r="C3342" s="9" t="inlineStr">
        <is>
          <t>목</t>
        </is>
      </c>
      <c r="D3342" s="9" t="inlineStr">
        <is>
          <t>네이버 검색</t>
        </is>
      </c>
      <c r="E3342" s="9" t="inlineStr">
        <is>
          <t>샴푸</t>
        </is>
      </c>
      <c r="K3342" s="9" t="n">
        <v>1470</v>
      </c>
    </row>
    <row r="3343">
      <c r="A3343" s="9" t="inlineStr">
        <is>
          <t>라베나 파워링크_샴푸#1_유튜브키워드기반</t>
        </is>
      </c>
      <c r="B3343" s="10" t="n">
        <v>44336</v>
      </c>
      <c r="C3343" s="9" t="inlineStr">
        <is>
          <t>목</t>
        </is>
      </c>
      <c r="D3343" s="9" t="inlineStr">
        <is>
          <t>네이버 검색</t>
        </is>
      </c>
      <c r="E3343" s="9" t="inlineStr">
        <is>
          <t>샴푸</t>
        </is>
      </c>
      <c r="K3343" s="9" t="n">
        <v>2260</v>
      </c>
    </row>
    <row r="3344">
      <c r="A3344" s="9" t="inlineStr">
        <is>
          <t>샴푸_쇼핑검색#1_광고그룹#1</t>
        </is>
      </c>
      <c r="B3344" s="10" t="n">
        <v>44336</v>
      </c>
      <c r="C3344" s="9" t="inlineStr">
        <is>
          <t>목</t>
        </is>
      </c>
      <c r="D3344" s="9" t="inlineStr">
        <is>
          <t>네이버 검색</t>
        </is>
      </c>
      <c r="E3344" s="9" t="inlineStr">
        <is>
          <t>샴푸</t>
        </is>
      </c>
      <c r="K3344" s="9" t="n">
        <v>200</v>
      </c>
    </row>
    <row r="3345">
      <c r="A3345" s="9" t="inlineStr">
        <is>
          <t>파워컨텐츠#1_비듬샴푸</t>
        </is>
      </c>
      <c r="B3345" s="10" t="n">
        <v>44336</v>
      </c>
      <c r="C3345" s="9" t="inlineStr">
        <is>
          <t>목</t>
        </is>
      </c>
      <c r="D3345" s="9" t="inlineStr">
        <is>
          <t>네이버 검색</t>
        </is>
      </c>
      <c r="E3345" s="9" t="inlineStr">
        <is>
          <t>샴푸</t>
        </is>
      </c>
      <c r="K3345" s="9" t="n">
        <v>140</v>
      </c>
    </row>
    <row r="3346" ht="16.5" customHeight="1" s="12">
      <c r="A3346" s="9" t="inlineStr">
        <is>
          <t>신제품 헤어가글 체험단 모집</t>
        </is>
      </c>
      <c r="B3346" s="10" t="n">
        <v>44336</v>
      </c>
      <c r="C3346" s="9" t="inlineStr">
        <is>
          <t>목</t>
        </is>
      </c>
      <c r="D3346" s="9" t="inlineStr">
        <is>
          <t>카카오 플친</t>
        </is>
      </c>
      <c r="E3346" s="9" t="inlineStr">
        <is>
          <t>샴푸</t>
        </is>
      </c>
      <c r="K3346" s="9">
        <f>924/1.1</f>
        <v/>
      </c>
    </row>
    <row r="3347">
      <c r="B3347" s="10" t="n">
        <v>44336</v>
      </c>
      <c r="C3347" s="9" t="inlineStr">
        <is>
          <t>목</t>
        </is>
      </c>
      <c r="E3347" s="9" t="inlineStr">
        <is>
          <t>샴푸</t>
        </is>
      </c>
      <c r="F3347" s="9" t="inlineStr">
        <is>
          <t>카페24</t>
        </is>
      </c>
      <c r="G3347" s="9" t="inlineStr">
        <is>
          <t>[타임특가] 라베나 리:커버리 3개월 패키지 (샴푸 2+ 트리트먼트 택 1)샴푸2 + 트리트먼트 택 1=샴푸2 + 뉴트리셔스 밤1</t>
        </is>
      </c>
      <c r="H3347" s="9" t="n">
        <v>4</v>
      </c>
      <c r="I3347" s="9" t="inlineStr">
        <is>
          <t>리바이탈 샴푸2+뉴트리셔스밤1</t>
        </is>
      </c>
      <c r="J3347" s="9" t="inlineStr">
        <is>
          <t>210201</t>
        </is>
      </c>
      <c r="L3347" s="9">
        <f>62280*4</f>
        <v/>
      </c>
      <c r="M3347" s="9">
        <f>249120-(249120/5.85)</f>
        <v/>
      </c>
      <c r="N3347" s="9">
        <f>7310*4</f>
        <v/>
      </c>
      <c r="O3347" s="9" t="inlineStr">
        <is>
          <t>카페240[타임특가] 라베나 리:커버리 3개월 패키지 (샴푸 2+ 트리트먼트 택 1)샴푸2 + 트리트먼트 택 1=샴푸2 + 뉴트리셔스 밤1210201</t>
        </is>
      </c>
    </row>
    <row r="3348">
      <c r="B3348" s="10" t="n">
        <v>44336</v>
      </c>
      <c r="C3348" s="9" t="inlineStr">
        <is>
          <t>목</t>
        </is>
      </c>
      <c r="E3348" s="9" t="inlineStr">
        <is>
          <t>샴푸</t>
        </is>
      </c>
      <c r="F3348" s="9" t="inlineStr">
        <is>
          <t>카페24</t>
        </is>
      </c>
      <c r="G3348" s="9" t="inlineStr">
        <is>
          <t>[타임특가] 라베나 리:커버리 3개월 패키지 (샴푸 2+ 트리트먼트 택 1)샴푸2 + 트리트먼트 택 1=샴푸2 + 헤어팩 트리트먼트1</t>
        </is>
      </c>
      <c r="H3348" s="9" t="n">
        <v>6</v>
      </c>
      <c r="I3348" s="9" t="inlineStr">
        <is>
          <t>리바이탈 샴푸2+트리트먼트1</t>
        </is>
      </c>
      <c r="J3348" s="9" t="inlineStr">
        <is>
          <t>210201</t>
        </is>
      </c>
      <c r="L3348" s="9">
        <f>62280*6</f>
        <v/>
      </c>
      <c r="M3348" s="9">
        <f>373680-(373680/5.85)</f>
        <v/>
      </c>
      <c r="N3348" s="9">
        <f>7327*6</f>
        <v/>
      </c>
      <c r="O3348" s="9" t="inlineStr">
        <is>
          <t>카페240[타임특가] 라베나 리:커버리 3개월 패키지 (샴푸 2+ 트리트먼트 택 1)샴푸2 + 트리트먼트 택 1=샴푸2 + 헤어팩 트리트먼트1210201</t>
        </is>
      </c>
    </row>
    <row r="3349">
      <c r="B3349" s="10" t="n">
        <v>44336</v>
      </c>
      <c r="C3349" s="9" t="inlineStr">
        <is>
          <t>목</t>
        </is>
      </c>
      <c r="E3349" s="9" t="inlineStr">
        <is>
          <t>샴푸</t>
        </is>
      </c>
      <c r="F3349" s="9" t="inlineStr">
        <is>
          <t>카페24</t>
        </is>
      </c>
      <c r="G3349" s="9" t="inlineStr">
        <is>
          <t>[타임특가] 라베나 리:커버리 6개월 패키지 (샴푸 5+ 트리트먼트 택 1)샴푸 5 + 트리트먼트 택 1=샴푸 5 + 뉴트리셔스 밤 1</t>
        </is>
      </c>
      <c r="H3349" s="9" t="n">
        <v>1</v>
      </c>
      <c r="I3349" s="9" t="inlineStr">
        <is>
          <t>리바이탈 샴푸5+뉴트리셔스밤1</t>
        </is>
      </c>
      <c r="J3349" s="9" t="inlineStr">
        <is>
          <t>210201</t>
        </is>
      </c>
      <c r="L3349" s="9">
        <f>114840</f>
        <v/>
      </c>
      <c r="M3349" s="9">
        <f>114840-(114840/5.85)</f>
        <v/>
      </c>
      <c r="N3349" s="9">
        <f>15905</f>
        <v/>
      </c>
      <c r="O3349" s="9" t="inlineStr">
        <is>
          <t>카페240[타임특가] 라베나 리:커버리 6개월 패키지 (샴푸 5+ 트리트먼트 택 1)샴푸 5 + 트리트먼트 택 1=샴푸 5 + 뉴트리셔스 밤 1210201</t>
        </is>
      </c>
    </row>
    <row r="3350">
      <c r="B3350" s="10" t="n">
        <v>44336</v>
      </c>
      <c r="C3350" s="9" t="inlineStr">
        <is>
          <t>목</t>
        </is>
      </c>
      <c r="E3350" s="9" t="inlineStr">
        <is>
          <t>샴푸</t>
        </is>
      </c>
      <c r="F3350" s="9" t="inlineStr">
        <is>
          <t>카페24</t>
        </is>
      </c>
      <c r="G3350" s="9" t="inlineStr">
        <is>
          <t>[타임특가] 라베나 리:커버리 온가족 패키지 (샴푸 3+ 헤어팩 트리트먼트 1+뉴트리셔스 밤 1)</t>
        </is>
      </c>
      <c r="H3350" s="9" t="n">
        <v>3</v>
      </c>
      <c r="I3350" s="9" t="inlineStr">
        <is>
          <t>리바이탈 샴푸3+트리트먼트1+뉴트리셔스밤1</t>
        </is>
      </c>
      <c r="J3350" s="9" t="inlineStr">
        <is>
          <t>210201</t>
        </is>
      </c>
      <c r="L3350" s="9">
        <f>94765*3</f>
        <v/>
      </c>
      <c r="M3350" s="9">
        <f>284295-(284295/5.85)</f>
        <v/>
      </c>
      <c r="N3350" s="9">
        <f>11772*3</f>
        <v/>
      </c>
      <c r="O3350" s="9" t="inlineStr">
        <is>
          <t>카페240[타임특가] 라베나 리:커버리 온가족 패키지 (샴푸 3+ 헤어팩 트리트먼트 1+뉴트리셔스 밤 1)210201</t>
        </is>
      </c>
    </row>
    <row r="3351">
      <c r="B3351" s="10" t="n">
        <v>44336</v>
      </c>
      <c r="C3351" s="9" t="inlineStr">
        <is>
          <t>목</t>
        </is>
      </c>
      <c r="E3351" s="9" t="inlineStr">
        <is>
          <t>뉴트리셔스밤</t>
        </is>
      </c>
      <c r="F3351" s="9" t="inlineStr">
        <is>
          <t>카페24</t>
        </is>
      </c>
      <c r="G3351" s="9" t="inlineStr">
        <is>
          <t>라베나 리커버리 15 뉴트리셔스 밤제품선택=헤어 리커버리 15 뉴트리셔스 밤</t>
        </is>
      </c>
      <c r="H3351" s="9" t="n">
        <v>3</v>
      </c>
      <c r="I3351" s="9" t="inlineStr">
        <is>
          <t>뉴트리셔스밤</t>
        </is>
      </c>
      <c r="J3351" s="9" t="inlineStr">
        <is>
          <t>210201</t>
        </is>
      </c>
      <c r="L3351" s="9">
        <f>24900*3</f>
        <v/>
      </c>
      <c r="M3351" s="9">
        <f>74700-(74700/5.85)</f>
        <v/>
      </c>
      <c r="N3351" s="9">
        <f>1580*3</f>
        <v/>
      </c>
      <c r="O3351" s="9" t="inlineStr">
        <is>
          <t>카페240라베나 리커버리 15 뉴트리셔스 밤제품선택=헤어 리커버리 15 뉴트리셔스 밤210201</t>
        </is>
      </c>
    </row>
    <row r="3352">
      <c r="B3352" s="10" t="n">
        <v>44336</v>
      </c>
      <c r="C3352" s="9" t="inlineStr">
        <is>
          <t>목</t>
        </is>
      </c>
      <c r="E3352" s="9" t="inlineStr">
        <is>
          <t>뉴트리셔스밤</t>
        </is>
      </c>
      <c r="F3352" s="9" t="inlineStr">
        <is>
          <t>카페24</t>
        </is>
      </c>
      <c r="G3352" s="9" t="inlineStr">
        <is>
          <t>라베나 리커버리 15 뉴트리셔스 밤제품선택=뉴트리셔스 밤 2개 세트 5% 추가할인</t>
        </is>
      </c>
      <c r="H3352" s="9" t="n">
        <v>1</v>
      </c>
      <c r="I3352" s="9" t="inlineStr">
        <is>
          <t>뉴트리셔스밤 2set</t>
        </is>
      </c>
      <c r="J3352" s="9" t="inlineStr">
        <is>
          <t>210201</t>
        </is>
      </c>
      <c r="L3352" s="9" t="n">
        <v>47310</v>
      </c>
      <c r="M3352" s="9">
        <f>47310-(47310/5.85)</f>
        <v/>
      </c>
      <c r="N3352" s="9">
        <f>1580*2</f>
        <v/>
      </c>
      <c r="O3352" s="9" t="inlineStr">
        <is>
          <t>카페240라베나 리커버리 15 뉴트리셔스 밤제품선택=뉴트리셔스 밤 2개 세트 5% 추가할인210201</t>
        </is>
      </c>
    </row>
    <row r="3353">
      <c r="B3353" s="10" t="n">
        <v>44336</v>
      </c>
      <c r="C3353" s="9" t="inlineStr">
        <is>
          <t>목</t>
        </is>
      </c>
      <c r="E3353" s="9" t="inlineStr">
        <is>
          <t>샴푸</t>
        </is>
      </c>
      <c r="F3353" s="9" t="inlineStr">
        <is>
          <t>카페24</t>
        </is>
      </c>
      <c r="G3353" s="9" t="inlineStr">
        <is>
          <t>라베나 리커버리 15 리바이탈 바이오플라보노이드샴푸제품선택=헤어 리커버리 15 리바이탈 샴푸 - 500ml</t>
        </is>
      </c>
      <c r="H3353" s="9" t="n">
        <v>91</v>
      </c>
      <c r="I3353" s="9" t="inlineStr">
        <is>
          <t>리바이탈 샴푸</t>
        </is>
      </c>
      <c r="J3353" s="9" t="inlineStr">
        <is>
          <t>210201</t>
        </is>
      </c>
      <c r="L3353" s="9">
        <f>26900*91</f>
        <v/>
      </c>
      <c r="M3353" s="9">
        <f>2447900-(2447900/5.85)</f>
        <v/>
      </c>
      <c r="N3353" s="9">
        <f>2865*91</f>
        <v/>
      </c>
      <c r="O3353" s="9" t="inlineStr">
        <is>
          <t>카페240라베나 리커버리 15 리바이탈 바이오플라보노이드샴푸제품선택=헤어 리커버리 15 리바이탈 샴푸 - 500ml210201</t>
        </is>
      </c>
    </row>
    <row r="3354">
      <c r="B3354" s="10" t="n">
        <v>44336</v>
      </c>
      <c r="C3354" s="9" t="inlineStr">
        <is>
          <t>목</t>
        </is>
      </c>
      <c r="E3354" s="9" t="inlineStr">
        <is>
          <t>샴푸</t>
        </is>
      </c>
      <c r="F3354" s="9" t="inlineStr">
        <is>
          <t>카페24</t>
        </is>
      </c>
      <c r="G3354" s="9" t="inlineStr">
        <is>
          <t>라베나 리커버리 15 리바이탈 바이오플라보노이드샴푸제품선택=리바이탈 샴푸 2개 세트 5%추가할인</t>
        </is>
      </c>
      <c r="H3354" s="9" t="n">
        <v>19</v>
      </c>
      <c r="I3354" s="9" t="inlineStr">
        <is>
          <t>리바이탈 샴푸 2set</t>
        </is>
      </c>
      <c r="J3354" s="9" t="inlineStr">
        <is>
          <t>210201</t>
        </is>
      </c>
      <c r="L3354" s="9">
        <f>51110*19</f>
        <v/>
      </c>
      <c r="M3354" s="9">
        <f>971090-(971090/5.85)</f>
        <v/>
      </c>
      <c r="N3354" s="9">
        <f>2865*19</f>
        <v/>
      </c>
      <c r="O3354" s="9" t="inlineStr">
        <is>
          <t>카페240라베나 리커버리 15 리바이탈 바이오플라보노이드샴푸제품선택=리바이탈 샴푸 2개 세트 5%추가할인210201</t>
        </is>
      </c>
    </row>
    <row r="3355">
      <c r="B3355" s="10" t="n">
        <v>44336</v>
      </c>
      <c r="C3355" s="9" t="inlineStr">
        <is>
          <t>목</t>
        </is>
      </c>
      <c r="E3355" s="9" t="inlineStr">
        <is>
          <t>샴푸</t>
        </is>
      </c>
      <c r="F3355" s="9" t="inlineStr">
        <is>
          <t>카페24</t>
        </is>
      </c>
      <c r="G3355" s="9" t="inlineStr">
        <is>
          <t>라베나 리커버리 15 리바이탈 바이오플라보노이드샴푸제품선택=리바이탈 샴푸 3개 세트 10% 추가할인</t>
        </is>
      </c>
      <c r="H3355" s="9" t="n">
        <v>12</v>
      </c>
      <c r="I3355" s="9" t="inlineStr">
        <is>
          <t>리바이탈 샴푸 3set</t>
        </is>
      </c>
      <c r="J3355" s="9" t="inlineStr">
        <is>
          <t>210201</t>
        </is>
      </c>
      <c r="L3355" s="9">
        <f>72630*12</f>
        <v/>
      </c>
      <c r="M3355" s="9">
        <f>871560-(871560/5.85)</f>
        <v/>
      </c>
      <c r="N3355" s="9">
        <f>2865*12</f>
        <v/>
      </c>
      <c r="O3355" s="9" t="inlineStr">
        <is>
          <t>카페240라베나 리커버리 15 리바이탈 바이오플라보노이드샴푸제품선택=리바이탈 샴푸 3개 세트 10% 추가할인210201</t>
        </is>
      </c>
    </row>
    <row r="3356">
      <c r="B3356" s="10" t="n">
        <v>44336</v>
      </c>
      <c r="C3356" s="9" t="inlineStr">
        <is>
          <t>목</t>
        </is>
      </c>
      <c r="E3356" s="9" t="inlineStr">
        <is>
          <t>트리트먼트</t>
        </is>
      </c>
      <c r="F3356" s="9" t="inlineStr">
        <is>
          <t>카페24</t>
        </is>
      </c>
      <c r="G3356" s="9" t="inlineStr">
        <is>
          <t>라베나 리커버리 15 헤어팩 트리트먼트제품선택=헤어 리커버리 15 헤어팩 트리트먼트</t>
        </is>
      </c>
      <c r="H3356" s="9" t="n">
        <v>2</v>
      </c>
      <c r="I3356" s="9" t="inlineStr">
        <is>
          <t>트리트먼트</t>
        </is>
      </c>
      <c r="J3356" s="9" t="inlineStr">
        <is>
          <t>210201</t>
        </is>
      </c>
      <c r="L3356" s="9">
        <f>26000*2</f>
        <v/>
      </c>
      <c r="M3356" s="9">
        <f>52000-(52000/5.85)</f>
        <v/>
      </c>
      <c r="N3356" s="9">
        <f>1597*2</f>
        <v/>
      </c>
      <c r="O3356" s="9" t="inlineStr">
        <is>
          <t>카페240라베나 리커버리 15 헤어팩 트리트먼트제품선택=헤어 리커버리 15 헤어팩 트리트먼트210201</t>
        </is>
      </c>
    </row>
    <row r="3357">
      <c r="B3357" s="10" t="n">
        <v>44336</v>
      </c>
      <c r="C3357" s="9" t="inlineStr">
        <is>
          <t>목</t>
        </is>
      </c>
      <c r="E3357" s="9" t="inlineStr">
        <is>
          <t>트리트먼트</t>
        </is>
      </c>
      <c r="F3357" s="9" t="inlineStr">
        <is>
          <t>카페24</t>
        </is>
      </c>
      <c r="G3357" s="9" t="inlineStr">
        <is>
          <t>라베나 리커버리 15 헤어팩 트리트먼트제품선택=헤어팩 트리트먼트 2개 세트 5% 추가할인</t>
        </is>
      </c>
      <c r="H3357" s="9" t="n">
        <v>1</v>
      </c>
      <c r="I3357" s="9" t="inlineStr">
        <is>
          <t>트리트먼트 2set</t>
        </is>
      </c>
      <c r="J3357" s="9" t="inlineStr">
        <is>
          <t>210201</t>
        </is>
      </c>
      <c r="L3357" s="9">
        <f>49400*2</f>
        <v/>
      </c>
      <c r="M3357" s="9">
        <f>98800-(98800/5.85)</f>
        <v/>
      </c>
      <c r="N3357" s="9">
        <f>1597*4</f>
        <v/>
      </c>
      <c r="O3357" s="9" t="inlineStr">
        <is>
          <t>카페240라베나 리커버리 15 헤어팩 트리트먼트제품선택=헤어팩 트리트먼트 2개 세트 5% 추가할인210201</t>
        </is>
      </c>
    </row>
    <row r="3358">
      <c r="B3358" s="10" t="n">
        <v>44336</v>
      </c>
      <c r="C3358" s="9" t="inlineStr">
        <is>
          <t>목</t>
        </is>
      </c>
      <c r="E3358" s="9" t="inlineStr">
        <is>
          <t>트리트먼트</t>
        </is>
      </c>
      <c r="F3358" s="9" t="inlineStr">
        <is>
          <t>카페24</t>
        </is>
      </c>
      <c r="G3358" s="9" t="inlineStr">
        <is>
          <t>라베나 리커버리 15 헤어팩 트리트먼트제품선택=헤어팩 트리트먼트 3개 세트 10% 추가할인</t>
        </is>
      </c>
      <c r="H3358" s="9" t="n">
        <v>1</v>
      </c>
      <c r="I3358" s="9" t="inlineStr">
        <is>
          <t>트리트먼트 3set</t>
        </is>
      </c>
      <c r="J3358" s="9" t="inlineStr">
        <is>
          <t>210201</t>
        </is>
      </c>
      <c r="L3358" s="9" t="n">
        <v>70200</v>
      </c>
      <c r="M3358" s="9">
        <f>70200-(70200/5.85)</f>
        <v/>
      </c>
      <c r="N3358" s="9">
        <f>1597*3</f>
        <v/>
      </c>
      <c r="O3358" s="9" t="inlineStr">
        <is>
          <t>카페240라베나 리커버리 15 헤어팩 트리트먼트제품선택=헤어팩 트리트먼트 3개 세트 10% 추가할인210201</t>
        </is>
      </c>
    </row>
    <row r="3359">
      <c r="A3359" s="9" t="inlineStr">
        <is>
          <t>0521_인서_샴푸_묶은자국_짧은영상+배너</t>
        </is>
      </c>
      <c r="B3359" s="10" t="n">
        <v>44337</v>
      </c>
      <c r="C3359" s="9" t="inlineStr">
        <is>
          <t>금</t>
        </is>
      </c>
      <c r="D3359" s="9" t="inlineStr">
        <is>
          <t>페이스북</t>
        </is>
      </c>
      <c r="E3359" s="9" t="inlineStr">
        <is>
          <t>샴푸</t>
        </is>
      </c>
      <c r="K3359" s="9" t="n">
        <v>48773</v>
      </c>
    </row>
    <row r="3360">
      <c r="A3360" s="9" t="inlineStr">
        <is>
          <t>0520_이현_노워시_짧은영상+배너(비밀링크)</t>
        </is>
      </c>
      <c r="B3360" s="10" t="n">
        <v>44337</v>
      </c>
      <c r="C3360" s="9" t="inlineStr">
        <is>
          <t>금</t>
        </is>
      </c>
      <c r="D3360" s="9" t="inlineStr">
        <is>
          <t>페이스북</t>
        </is>
      </c>
      <c r="E3360" s="9" t="inlineStr">
        <is>
          <t>뉴트리셔스밤</t>
        </is>
      </c>
      <c r="K3360" s="9" t="n">
        <v>48832</v>
      </c>
    </row>
    <row r="3361">
      <c r="A3361" s="9" t="inlineStr">
        <is>
          <t>0514_인서_샴푸_묶은자국_영상</t>
        </is>
      </c>
      <c r="B3361" s="10" t="n">
        <v>44337</v>
      </c>
      <c r="C3361" s="9" t="inlineStr">
        <is>
          <t>금</t>
        </is>
      </c>
      <c r="D3361" s="9" t="inlineStr">
        <is>
          <t>페이스북</t>
        </is>
      </c>
      <c r="E3361" s="9" t="inlineStr">
        <is>
          <t>샴푸</t>
        </is>
      </c>
      <c r="K3361" s="9" t="n">
        <v>56724</v>
      </c>
    </row>
    <row r="3362">
      <c r="A3362" s="9" t="inlineStr">
        <is>
          <t>0514_현빈_샴푸_피지결석_카드뉴스</t>
        </is>
      </c>
      <c r="B3362" s="10" t="n">
        <v>44337</v>
      </c>
      <c r="C3362" s="9" t="inlineStr">
        <is>
          <t>금</t>
        </is>
      </c>
      <c r="D3362" s="9" t="inlineStr">
        <is>
          <t>페이스북</t>
        </is>
      </c>
      <c r="E3362" s="9" t="inlineStr">
        <is>
          <t>샴푸</t>
        </is>
      </c>
      <c r="K3362" s="9" t="n">
        <v>478880</v>
      </c>
    </row>
    <row r="3363">
      <c r="A3363" s="9" t="inlineStr">
        <is>
          <t>0316~영상베리</t>
        </is>
      </c>
      <c r="B3363" s="10" t="n">
        <v>44337</v>
      </c>
      <c r="C3363" s="9" t="inlineStr">
        <is>
          <t>금</t>
        </is>
      </c>
      <c r="D3363" s="9" t="inlineStr">
        <is>
          <t>페이스북</t>
        </is>
      </c>
      <c r="E3363" s="9" t="inlineStr">
        <is>
          <t>샴푸</t>
        </is>
      </c>
      <c r="K3363" s="9" t="n">
        <v>101608</v>
      </c>
    </row>
    <row r="3364">
      <c r="A3364" s="9" t="inlineStr">
        <is>
          <t>0521_인서_샴푸_묶은자국_짧은영상+배너</t>
        </is>
      </c>
      <c r="B3364" s="10" t="n">
        <v>44338</v>
      </c>
      <c r="C3364" s="9" t="inlineStr">
        <is>
          <t>토</t>
        </is>
      </c>
      <c r="D3364" s="9" t="inlineStr">
        <is>
          <t>페이스북</t>
        </is>
      </c>
      <c r="E3364" s="9" t="inlineStr">
        <is>
          <t>샴푸</t>
        </is>
      </c>
      <c r="K3364" s="9" t="n">
        <v>107693</v>
      </c>
    </row>
    <row r="3365">
      <c r="A3365" s="9" t="inlineStr">
        <is>
          <t>0514_인서_샴푸_묶은자국_영상</t>
        </is>
      </c>
      <c r="B3365" s="10" t="n">
        <v>44338</v>
      </c>
      <c r="C3365" s="9" t="inlineStr">
        <is>
          <t>토</t>
        </is>
      </c>
      <c r="D3365" s="9" t="inlineStr">
        <is>
          <t>페이스북</t>
        </is>
      </c>
      <c r="E3365" s="9" t="inlineStr">
        <is>
          <t>샴푸</t>
        </is>
      </c>
      <c r="K3365" s="9" t="n">
        <v>69931</v>
      </c>
    </row>
    <row r="3366">
      <c r="A3366" s="9" t="inlineStr">
        <is>
          <t>0514_현빈_샴푸_피지결석_카드뉴스</t>
        </is>
      </c>
      <c r="B3366" s="10" t="n">
        <v>44338</v>
      </c>
      <c r="C3366" s="9" t="inlineStr">
        <is>
          <t>토</t>
        </is>
      </c>
      <c r="D3366" s="9" t="inlineStr">
        <is>
          <t>페이스북</t>
        </is>
      </c>
      <c r="E3366" s="9" t="inlineStr">
        <is>
          <t>샴푸</t>
        </is>
      </c>
      <c r="K3366" s="9" t="n">
        <v>509817</v>
      </c>
    </row>
    <row r="3367">
      <c r="A3367" s="9" t="inlineStr">
        <is>
          <t>0316~영상베리</t>
        </is>
      </c>
      <c r="B3367" s="10" t="n">
        <v>44338</v>
      </c>
      <c r="C3367" s="9" t="inlineStr">
        <is>
          <t>토</t>
        </is>
      </c>
      <c r="D3367" s="9" t="inlineStr">
        <is>
          <t>페이스북</t>
        </is>
      </c>
      <c r="E3367" s="9" t="inlineStr">
        <is>
          <t>샴푸</t>
        </is>
      </c>
      <c r="K3367" s="9" t="n">
        <v>105806</v>
      </c>
    </row>
    <row r="3368">
      <c r="A3368" s="9" t="inlineStr">
        <is>
          <t>0521_인서_샴푸_묶은자국_짧은영상+배너</t>
        </is>
      </c>
      <c r="B3368" s="10" t="n">
        <v>44339</v>
      </c>
      <c r="C3368" s="9" t="inlineStr">
        <is>
          <t>일</t>
        </is>
      </c>
      <c r="D3368" s="9" t="inlineStr">
        <is>
          <t>페이스북</t>
        </is>
      </c>
      <c r="E3368" s="9" t="inlineStr">
        <is>
          <t>샴푸</t>
        </is>
      </c>
      <c r="K3368" s="9" t="n">
        <v>72108</v>
      </c>
    </row>
    <row r="3369">
      <c r="A3369" s="9" t="inlineStr">
        <is>
          <t>0514_현빈_샴푸_피지결석_카드뉴스</t>
        </is>
      </c>
      <c r="B3369" s="10" t="n">
        <v>44339</v>
      </c>
      <c r="C3369" s="9" t="inlineStr">
        <is>
          <t>일</t>
        </is>
      </c>
      <c r="D3369" s="9" t="inlineStr">
        <is>
          <t>페이스북</t>
        </is>
      </c>
      <c r="E3369" s="9" t="inlineStr">
        <is>
          <t>샴푸</t>
        </is>
      </c>
      <c r="K3369" s="9" t="n">
        <v>408025</v>
      </c>
    </row>
    <row r="3370">
      <c r="A3370" s="9" t="inlineStr">
        <is>
          <t>0316~영상베리</t>
        </is>
      </c>
      <c r="B3370" s="10" t="n">
        <v>44339</v>
      </c>
      <c r="C3370" s="9" t="inlineStr">
        <is>
          <t>일</t>
        </is>
      </c>
      <c r="D3370" s="9" t="inlineStr">
        <is>
          <t>페이스북</t>
        </is>
      </c>
      <c r="E3370" s="9" t="inlineStr">
        <is>
          <t>샴푸</t>
        </is>
      </c>
      <c r="K3370" s="9" t="n">
        <v>100349</v>
      </c>
    </row>
    <row r="3371">
      <c r="A3371" s="9" t="inlineStr">
        <is>
          <t>0127_GDN_비듬샴푸_잠재고객</t>
        </is>
      </c>
      <c r="B3371" s="10" t="n">
        <v>44337</v>
      </c>
      <c r="C3371" s="9" t="inlineStr">
        <is>
          <t>금</t>
        </is>
      </c>
      <c r="D3371" s="9" t="inlineStr">
        <is>
          <t>GDN</t>
        </is>
      </c>
      <c r="E3371" s="9" t="inlineStr">
        <is>
          <t>샴푸</t>
        </is>
      </c>
      <c r="K3371" s="9" t="n">
        <v>99944</v>
      </c>
    </row>
    <row r="3372">
      <c r="A3372" s="9" t="inlineStr">
        <is>
          <t>0322_샴푸_GDN_이현1차</t>
        </is>
      </c>
      <c r="B3372" s="10" t="n">
        <v>44337</v>
      </c>
      <c r="C3372" s="9" t="inlineStr">
        <is>
          <t>금</t>
        </is>
      </c>
      <c r="D3372" s="9" t="inlineStr">
        <is>
          <t>GDN</t>
        </is>
      </c>
      <c r="E3372" s="9" t="inlineStr">
        <is>
          <t>샴푸</t>
        </is>
      </c>
      <c r="K3372" s="9" t="n">
        <v>99809</v>
      </c>
    </row>
    <row r="3373">
      <c r="A3373" s="9" t="inlineStr">
        <is>
          <t>0324_샴푸_SDC_CPA</t>
        </is>
      </c>
      <c r="B3373" s="10" t="n">
        <v>44337</v>
      </c>
      <c r="C3373" s="9" t="inlineStr">
        <is>
          <t>금</t>
        </is>
      </c>
      <c r="D3373" s="9" t="inlineStr">
        <is>
          <t>유튜브</t>
        </is>
      </c>
      <c r="E3373" s="9" t="inlineStr">
        <is>
          <t>샴푸</t>
        </is>
      </c>
      <c r="K3373" s="9" t="n">
        <v>107685</v>
      </c>
    </row>
    <row r="3374">
      <c r="A3374" s="9" t="inlineStr">
        <is>
          <t>0513_샴푸_CPV_피지결석_2차</t>
        </is>
      </c>
      <c r="B3374" s="10" t="n">
        <v>44337</v>
      </c>
      <c r="C3374" s="9" t="inlineStr">
        <is>
          <t>금</t>
        </is>
      </c>
      <c r="D3374" s="9" t="inlineStr">
        <is>
          <t>유튜브</t>
        </is>
      </c>
      <c r="E3374" s="9" t="inlineStr">
        <is>
          <t>샴푸</t>
        </is>
      </c>
      <c r="K3374" s="9" t="n">
        <v>3125</v>
      </c>
    </row>
    <row r="3375">
      <c r="A3375" s="9" t="inlineStr">
        <is>
          <t>0514_샴푸_DA_모낭결석</t>
        </is>
      </c>
      <c r="B3375" s="10" t="n">
        <v>44337</v>
      </c>
      <c r="C3375" s="9" t="inlineStr">
        <is>
          <t>금</t>
        </is>
      </c>
      <c r="D3375" s="9" t="inlineStr">
        <is>
          <t>유튜브</t>
        </is>
      </c>
      <c r="E3375" s="9" t="inlineStr">
        <is>
          <t>샴푸</t>
        </is>
      </c>
      <c r="K3375" s="9" t="n">
        <v>108938</v>
      </c>
    </row>
    <row r="3376">
      <c r="A3376" s="9" t="inlineStr">
        <is>
          <t>0518_샴푸_VAC_피지결석2</t>
        </is>
      </c>
      <c r="B3376" s="10" t="n">
        <v>44337</v>
      </c>
      <c r="C3376" s="9" t="inlineStr">
        <is>
          <t>금</t>
        </is>
      </c>
      <c r="D3376" s="9" t="inlineStr">
        <is>
          <t>유튜브</t>
        </is>
      </c>
      <c r="E3376" s="9" t="inlineStr">
        <is>
          <t>샴푸</t>
        </is>
      </c>
      <c r="K3376" s="9" t="n">
        <v>495426</v>
      </c>
    </row>
    <row r="3377">
      <c r="A3377" s="9" t="inlineStr">
        <is>
          <t>0520_샴푸_CPV_피지결석_4차</t>
        </is>
      </c>
      <c r="B3377" s="10" t="n">
        <v>44337</v>
      </c>
      <c r="C3377" s="9" t="inlineStr">
        <is>
          <t>금</t>
        </is>
      </c>
      <c r="D3377" s="9" t="inlineStr">
        <is>
          <t>유튜브</t>
        </is>
      </c>
      <c r="E3377" s="9" t="inlineStr">
        <is>
          <t>샴푸</t>
        </is>
      </c>
      <c r="K3377" s="9" t="n">
        <v>999398</v>
      </c>
    </row>
    <row r="3378">
      <c r="A3378" s="9" t="inlineStr">
        <is>
          <t>0127_GDN_비듬샴푸_잠재고객</t>
        </is>
      </c>
      <c r="B3378" s="10" t="n">
        <v>44338</v>
      </c>
      <c r="C3378" s="9" t="inlineStr">
        <is>
          <t>토</t>
        </is>
      </c>
      <c r="D3378" s="9" t="inlineStr">
        <is>
          <t>GDN</t>
        </is>
      </c>
      <c r="E3378" s="9" t="inlineStr">
        <is>
          <t>샴푸</t>
        </is>
      </c>
      <c r="K3378" s="9" t="n">
        <v>97908</v>
      </c>
    </row>
    <row r="3379">
      <c r="A3379" s="9" t="inlineStr">
        <is>
          <t>0322_샴푸_GDN_이현1차</t>
        </is>
      </c>
      <c r="B3379" s="10" t="n">
        <v>44338</v>
      </c>
      <c r="C3379" s="9" t="inlineStr">
        <is>
          <t>토</t>
        </is>
      </c>
      <c r="D3379" s="9" t="inlineStr">
        <is>
          <t>GDN</t>
        </is>
      </c>
      <c r="E3379" s="9" t="inlineStr">
        <is>
          <t>샴푸</t>
        </is>
      </c>
      <c r="K3379" s="9" t="n">
        <v>100673</v>
      </c>
    </row>
    <row r="3380">
      <c r="A3380" s="9" t="inlineStr">
        <is>
          <t>0324_샴푸_SDC_CPA</t>
        </is>
      </c>
      <c r="B3380" s="10" t="n">
        <v>44338</v>
      </c>
      <c r="C3380" s="9" t="inlineStr">
        <is>
          <t>토</t>
        </is>
      </c>
      <c r="D3380" s="9" t="inlineStr">
        <is>
          <t>유튜브</t>
        </is>
      </c>
      <c r="E3380" s="9" t="inlineStr">
        <is>
          <t>샴푸</t>
        </is>
      </c>
      <c r="K3380" s="9" t="n">
        <v>94931</v>
      </c>
    </row>
    <row r="3381">
      <c r="A3381" s="9" t="inlineStr">
        <is>
          <t>0513_샴푸_CPV_피지결석_2차</t>
        </is>
      </c>
      <c r="B3381" s="10" t="n">
        <v>44338</v>
      </c>
      <c r="C3381" s="9" t="inlineStr">
        <is>
          <t>토</t>
        </is>
      </c>
      <c r="D3381" s="9" t="inlineStr">
        <is>
          <t>유튜브</t>
        </is>
      </c>
      <c r="E3381" s="9" t="inlineStr">
        <is>
          <t>샴푸</t>
        </is>
      </c>
      <c r="K3381" s="9" t="n">
        <v>4112</v>
      </c>
    </row>
    <row r="3382">
      <c r="A3382" s="9" t="inlineStr">
        <is>
          <t>0514_샴푸_DA_모낭결석</t>
        </is>
      </c>
      <c r="B3382" s="10" t="n">
        <v>44338</v>
      </c>
      <c r="C3382" s="9" t="inlineStr">
        <is>
          <t>토</t>
        </is>
      </c>
      <c r="D3382" s="9" t="inlineStr">
        <is>
          <t>유튜브</t>
        </is>
      </c>
      <c r="E3382" s="9" t="inlineStr">
        <is>
          <t>샴푸</t>
        </is>
      </c>
      <c r="K3382" s="9" t="n">
        <v>106505</v>
      </c>
    </row>
    <row r="3383">
      <c r="A3383" s="9" t="inlineStr">
        <is>
          <t>0518_샴푸_VAC_피지결석2</t>
        </is>
      </c>
      <c r="B3383" s="10" t="n">
        <v>44338</v>
      </c>
      <c r="C3383" s="9" t="inlineStr">
        <is>
          <t>토</t>
        </is>
      </c>
      <c r="D3383" s="9" t="inlineStr">
        <is>
          <t>유튜브</t>
        </is>
      </c>
      <c r="E3383" s="9" t="inlineStr">
        <is>
          <t>샴푸</t>
        </is>
      </c>
      <c r="K3383" s="9" t="n">
        <v>495727</v>
      </c>
    </row>
    <row r="3384">
      <c r="A3384" s="9" t="inlineStr">
        <is>
          <t>0520_샴푸_CPV_피지결석_4차</t>
        </is>
      </c>
      <c r="B3384" s="10" t="n">
        <v>44338</v>
      </c>
      <c r="C3384" s="9" t="inlineStr">
        <is>
          <t>토</t>
        </is>
      </c>
      <c r="D3384" s="9" t="inlineStr">
        <is>
          <t>유튜브</t>
        </is>
      </c>
      <c r="E3384" s="9" t="inlineStr">
        <is>
          <t>샴푸</t>
        </is>
      </c>
      <c r="K3384" s="9" t="n">
        <v>7005066</v>
      </c>
    </row>
    <row r="3385">
      <c r="A3385" s="9" t="inlineStr">
        <is>
          <t>0127_GDN_비듬샴푸_잠재고객</t>
        </is>
      </c>
      <c r="B3385" s="10" t="n">
        <v>44339</v>
      </c>
      <c r="C3385" s="9" t="inlineStr">
        <is>
          <t>일</t>
        </is>
      </c>
      <c r="D3385" s="9" t="inlineStr">
        <is>
          <t>GDN</t>
        </is>
      </c>
      <c r="E3385" s="9" t="inlineStr">
        <is>
          <t>샴푸</t>
        </is>
      </c>
      <c r="K3385" s="9" t="n">
        <v>52218</v>
      </c>
    </row>
    <row r="3386">
      <c r="A3386" s="9" t="inlineStr">
        <is>
          <t>0322_샴푸_GDN_이현1차</t>
        </is>
      </c>
      <c r="B3386" s="10" t="n">
        <v>44339</v>
      </c>
      <c r="C3386" s="9" t="inlineStr">
        <is>
          <t>일</t>
        </is>
      </c>
      <c r="D3386" s="9" t="inlineStr">
        <is>
          <t>GDN</t>
        </is>
      </c>
      <c r="E3386" s="9" t="inlineStr">
        <is>
          <t>샴푸</t>
        </is>
      </c>
      <c r="K3386" s="9" t="n">
        <v>50134</v>
      </c>
    </row>
    <row r="3387">
      <c r="A3387" s="9" t="inlineStr">
        <is>
          <t>0324_샴푸_SDC_CPA</t>
        </is>
      </c>
      <c r="B3387" s="10" t="n">
        <v>44339</v>
      </c>
      <c r="C3387" s="9" t="inlineStr">
        <is>
          <t>일</t>
        </is>
      </c>
      <c r="D3387" s="9" t="inlineStr">
        <is>
          <t>유튜브</t>
        </is>
      </c>
      <c r="E3387" s="9" t="inlineStr">
        <is>
          <t>샴푸</t>
        </is>
      </c>
      <c r="K3387" s="9" t="n">
        <v>54004</v>
      </c>
    </row>
    <row r="3388">
      <c r="A3388" s="9" t="inlineStr">
        <is>
          <t>0513_샴푸_CPV_피지결석_2차</t>
        </is>
      </c>
      <c r="B3388" s="10" t="n">
        <v>44339</v>
      </c>
      <c r="C3388" s="9" t="inlineStr">
        <is>
          <t>일</t>
        </is>
      </c>
      <c r="D3388" s="9" t="inlineStr">
        <is>
          <t>유튜브</t>
        </is>
      </c>
      <c r="E3388" s="9" t="inlineStr">
        <is>
          <t>샴푸</t>
        </is>
      </c>
      <c r="K3388" s="9" t="n">
        <v>4410</v>
      </c>
    </row>
    <row r="3389">
      <c r="A3389" s="9" t="inlineStr">
        <is>
          <t>0514_샴푸_DA_모낭결석</t>
        </is>
      </c>
      <c r="B3389" s="10" t="n">
        <v>44339</v>
      </c>
      <c r="C3389" s="9" t="inlineStr">
        <is>
          <t>일</t>
        </is>
      </c>
      <c r="D3389" s="9" t="inlineStr">
        <is>
          <t>유튜브</t>
        </is>
      </c>
      <c r="E3389" s="9" t="inlineStr">
        <is>
          <t>샴푸</t>
        </is>
      </c>
      <c r="K3389" s="9" t="n">
        <v>49581</v>
      </c>
    </row>
    <row r="3390">
      <c r="A3390" s="9" t="inlineStr">
        <is>
          <t>0518_샴푸_VAC_피지결석2</t>
        </is>
      </c>
      <c r="B3390" s="10" t="n">
        <v>44339</v>
      </c>
      <c r="C3390" s="9" t="inlineStr">
        <is>
          <t>일</t>
        </is>
      </c>
      <c r="D3390" s="9" t="inlineStr">
        <is>
          <t>유튜브</t>
        </is>
      </c>
      <c r="E3390" s="9" t="inlineStr">
        <is>
          <t>샴푸</t>
        </is>
      </c>
      <c r="K3390" s="9" t="n">
        <v>496988</v>
      </c>
    </row>
    <row r="3391">
      <c r="A3391" s="9" t="inlineStr">
        <is>
          <t>0520_샴푸_CPV_피지결석_4차</t>
        </is>
      </c>
      <c r="B3391" s="10" t="n">
        <v>44339</v>
      </c>
      <c r="C3391" s="9" t="inlineStr">
        <is>
          <t>일</t>
        </is>
      </c>
      <c r="D3391" s="9" t="inlineStr">
        <is>
          <t>유튜브</t>
        </is>
      </c>
      <c r="E3391" s="9" t="inlineStr">
        <is>
          <t>샴푸</t>
        </is>
      </c>
      <c r="K3391" s="9" t="n">
        <v>6061374</v>
      </c>
    </row>
    <row r="3392">
      <c r="A3392" s="9" t="inlineStr">
        <is>
          <t>라베나 파워링크_샴푸_광고그룹#1</t>
        </is>
      </c>
      <c r="B3392" s="10" t="n">
        <v>44339</v>
      </c>
      <c r="C3392" s="9" t="inlineStr">
        <is>
          <t>일</t>
        </is>
      </c>
      <c r="D3392" s="9" t="inlineStr">
        <is>
          <t>네이버 검색</t>
        </is>
      </c>
      <c r="E3392" s="9" t="inlineStr">
        <is>
          <t>샴푸</t>
        </is>
      </c>
      <c r="K3392" s="9" t="n">
        <v>9430</v>
      </c>
    </row>
    <row r="3393">
      <c r="A3393" s="9" t="inlineStr">
        <is>
          <t>라베나 파워링크_샴푸#1_유튜브키워드기반</t>
        </is>
      </c>
      <c r="B3393" s="10" t="n">
        <v>44339</v>
      </c>
      <c r="C3393" s="9" t="inlineStr">
        <is>
          <t>일</t>
        </is>
      </c>
      <c r="D3393" s="9" t="inlineStr">
        <is>
          <t>네이버 검색</t>
        </is>
      </c>
      <c r="E3393" s="9" t="inlineStr">
        <is>
          <t>샴푸</t>
        </is>
      </c>
      <c r="K3393" s="9" t="n">
        <v>5869.999999999999</v>
      </c>
    </row>
    <row r="3394">
      <c r="A3394" s="9" t="inlineStr">
        <is>
          <t>샴푸_쇼핑검색#1_광고그룹#1</t>
        </is>
      </c>
      <c r="B3394" s="10" t="n">
        <v>44339</v>
      </c>
      <c r="C3394" s="9" t="inlineStr">
        <is>
          <t>일</t>
        </is>
      </c>
      <c r="D3394" s="9" t="inlineStr">
        <is>
          <t>네이버 검색</t>
        </is>
      </c>
      <c r="E3394" s="9" t="inlineStr">
        <is>
          <t>샴푸</t>
        </is>
      </c>
      <c r="K3394" s="9" t="n">
        <v>5400</v>
      </c>
    </row>
    <row r="3395">
      <c r="A3395" s="9" t="inlineStr">
        <is>
          <t>파워컨텐츠#1_비듬샴푸</t>
        </is>
      </c>
      <c r="B3395" s="10" t="n">
        <v>44339</v>
      </c>
      <c r="C3395" s="9" t="inlineStr">
        <is>
          <t>일</t>
        </is>
      </c>
      <c r="D3395" s="9" t="inlineStr">
        <is>
          <t>네이버 검색</t>
        </is>
      </c>
      <c r="E3395" s="9" t="inlineStr">
        <is>
          <t>샴푸</t>
        </is>
      </c>
      <c r="K3395" s="9" t="n">
        <v>0</v>
      </c>
    </row>
    <row r="3396">
      <c r="A3396" s="9" t="inlineStr">
        <is>
          <t>라베나 파워링크_샴푸_광고그룹#1</t>
        </is>
      </c>
      <c r="B3396" s="10" t="n">
        <v>44338</v>
      </c>
      <c r="C3396" s="9" t="inlineStr">
        <is>
          <t>토</t>
        </is>
      </c>
      <c r="D3396" s="9" t="inlineStr">
        <is>
          <t>네이버 검색</t>
        </is>
      </c>
      <c r="E3396" s="9" t="inlineStr">
        <is>
          <t>샴푸</t>
        </is>
      </c>
      <c r="K3396" s="9" t="n">
        <v>8009.999999999999</v>
      </c>
    </row>
    <row r="3397">
      <c r="A3397" s="9" t="inlineStr">
        <is>
          <t>라베나 파워링크_샴푸#1_유튜브키워드기반</t>
        </is>
      </c>
      <c r="B3397" s="10" t="n">
        <v>44338</v>
      </c>
      <c r="C3397" s="9" t="inlineStr">
        <is>
          <t>토</t>
        </is>
      </c>
      <c r="D3397" s="9" t="inlineStr">
        <is>
          <t>네이버 검색</t>
        </is>
      </c>
      <c r="E3397" s="9" t="inlineStr">
        <is>
          <t>샴푸</t>
        </is>
      </c>
      <c r="K3397" s="9" t="n">
        <v>3900</v>
      </c>
    </row>
    <row r="3398">
      <c r="A3398" s="9" t="inlineStr">
        <is>
          <t>샴푸_쇼핑검색#1_광고그룹#1</t>
        </is>
      </c>
      <c r="B3398" s="10" t="n">
        <v>44338</v>
      </c>
      <c r="C3398" s="9" t="inlineStr">
        <is>
          <t>토</t>
        </is>
      </c>
      <c r="D3398" s="9" t="inlineStr">
        <is>
          <t>네이버 검색</t>
        </is>
      </c>
      <c r="E3398" s="9" t="inlineStr">
        <is>
          <t>샴푸</t>
        </is>
      </c>
      <c r="K3398" s="9" t="n">
        <v>3730</v>
      </c>
    </row>
    <row r="3399">
      <c r="A3399" s="9" t="inlineStr">
        <is>
          <t>파워컨텐츠#1_비듬샴푸</t>
        </is>
      </c>
      <c r="B3399" s="10" t="n">
        <v>44338</v>
      </c>
      <c r="C3399" s="9" t="inlineStr">
        <is>
          <t>토</t>
        </is>
      </c>
      <c r="D3399" s="9" t="inlineStr">
        <is>
          <t>네이버 검색</t>
        </is>
      </c>
      <c r="E3399" s="9" t="inlineStr">
        <is>
          <t>샴푸</t>
        </is>
      </c>
      <c r="K3399" s="9" t="n">
        <v>0</v>
      </c>
    </row>
    <row r="3400">
      <c r="A3400" s="9" t="inlineStr">
        <is>
          <t>라베나 파워링크_샴푸_광고그룹#1</t>
        </is>
      </c>
      <c r="B3400" s="10" t="n">
        <v>44337</v>
      </c>
      <c r="C3400" s="9" t="inlineStr">
        <is>
          <t>금</t>
        </is>
      </c>
      <c r="D3400" s="9" t="inlineStr">
        <is>
          <t>네이버 검색</t>
        </is>
      </c>
      <c r="E3400" s="9" t="inlineStr">
        <is>
          <t>샴푸</t>
        </is>
      </c>
      <c r="K3400" s="9" t="n">
        <v>1830</v>
      </c>
    </row>
    <row r="3401">
      <c r="A3401" s="9" t="inlineStr">
        <is>
          <t>라베나 파워링크_샴푸#1_유튜브키워드기반</t>
        </is>
      </c>
      <c r="B3401" s="10" t="n">
        <v>44337</v>
      </c>
      <c r="C3401" s="9" t="inlineStr">
        <is>
          <t>금</t>
        </is>
      </c>
      <c r="D3401" s="9" t="inlineStr">
        <is>
          <t>네이버 검색</t>
        </is>
      </c>
      <c r="E3401" s="9" t="inlineStr">
        <is>
          <t>샴푸</t>
        </is>
      </c>
      <c r="K3401" s="9" t="n">
        <v>1340</v>
      </c>
    </row>
    <row r="3402">
      <c r="A3402" s="9" t="inlineStr">
        <is>
          <t>샴푸_쇼핑검색#1_광고그룹#1</t>
        </is>
      </c>
      <c r="B3402" s="10" t="n">
        <v>44337</v>
      </c>
      <c r="C3402" s="9" t="inlineStr">
        <is>
          <t>금</t>
        </is>
      </c>
      <c r="D3402" s="9" t="inlineStr">
        <is>
          <t>네이버 검색</t>
        </is>
      </c>
      <c r="E3402" s="9" t="inlineStr">
        <is>
          <t>샴푸</t>
        </is>
      </c>
      <c r="K3402" s="9" t="n">
        <v>1160</v>
      </c>
    </row>
    <row r="3403">
      <c r="A3403" s="9" t="inlineStr">
        <is>
          <t>파워컨텐츠#1_비듬샴푸</t>
        </is>
      </c>
      <c r="B3403" s="10" t="n">
        <v>44337</v>
      </c>
      <c r="C3403" s="9" t="inlineStr">
        <is>
          <t>금</t>
        </is>
      </c>
      <c r="D3403" s="9" t="inlineStr">
        <is>
          <t>네이버 검색</t>
        </is>
      </c>
      <c r="E3403" s="9" t="inlineStr">
        <is>
          <t>샴푸</t>
        </is>
      </c>
      <c r="K3403" s="9" t="n">
        <v>210</v>
      </c>
    </row>
    <row r="3404">
      <c r="A3404" s="9" t="inlineStr">
        <is>
          <t>신제품 헤어가글 체험단 모집</t>
        </is>
      </c>
      <c r="B3404" s="10" t="n">
        <v>44337</v>
      </c>
      <c r="C3404" s="9" t="inlineStr">
        <is>
          <t>금</t>
        </is>
      </c>
      <c r="D3404" s="9" t="inlineStr">
        <is>
          <t>카카오 플친</t>
        </is>
      </c>
      <c r="E3404" s="9" t="inlineStr">
        <is>
          <t>샴푸</t>
        </is>
      </c>
      <c r="K3404" s="9">
        <f>593.5/1.1</f>
        <v/>
      </c>
    </row>
    <row r="3405">
      <c r="B3405" s="10" t="n">
        <v>44337</v>
      </c>
      <c r="C3405" s="9" t="inlineStr">
        <is>
          <t>금</t>
        </is>
      </c>
      <c r="E3405" s="9" t="inlineStr">
        <is>
          <t>샴푸</t>
        </is>
      </c>
      <c r="F3405" s="9" t="inlineStr">
        <is>
          <t>라베나 CS</t>
        </is>
      </c>
      <c r="G3405" s="9" t="inlineStr">
        <is>
          <t>헤어 리커버리 15 리바이탈 샴푸</t>
        </is>
      </c>
      <c r="H3405" s="9" t="n">
        <v>3</v>
      </c>
      <c r="I3405" s="9" t="inlineStr">
        <is>
          <t>리바이탈 샴푸</t>
        </is>
      </c>
      <c r="J3405" s="9" t="inlineStr">
        <is>
          <t>210201</t>
        </is>
      </c>
      <c r="L3405" s="9" t="n">
        <v>0</v>
      </c>
      <c r="M3405" s="9" t="n">
        <v>0</v>
      </c>
      <c r="N3405" s="9" t="n">
        <v>8595</v>
      </c>
      <c r="O3405" s="9" t="inlineStr">
        <is>
          <t>라베나 CS샴푸헤어 리커버리 15 리바이탈 샴푸210201</t>
        </is>
      </c>
    </row>
    <row r="3406">
      <c r="B3406" s="10" t="n">
        <v>44337</v>
      </c>
      <c r="C3406" s="9" t="inlineStr">
        <is>
          <t>금</t>
        </is>
      </c>
      <c r="E3406" s="9" t="inlineStr">
        <is>
          <t>샴푸</t>
        </is>
      </c>
      <c r="F3406" s="9" t="inlineStr">
        <is>
          <t>카페24</t>
        </is>
      </c>
      <c r="G3406" s="9" t="inlineStr">
        <is>
          <t>[타임특가] 라베나 리:커버리 3개월 패키지 (샴푸 2+ 트리트먼트 택 1)샴푸2 + 트리트먼트 택 1=샴푸2 + 헤어팩 트리트먼트1</t>
        </is>
      </c>
      <c r="H3406" s="9" t="n">
        <v>3</v>
      </c>
      <c r="I3406" s="9" t="inlineStr">
        <is>
          <t>리바이탈 샴푸2+트리트먼트1</t>
        </is>
      </c>
      <c r="J3406" s="9" t="inlineStr">
        <is>
          <t>210201</t>
        </is>
      </c>
      <c r="L3406" s="9">
        <f>62280*3</f>
        <v/>
      </c>
      <c r="M3406" s="9">
        <f>186840-(186840/5.85)</f>
        <v/>
      </c>
      <c r="N3406" s="9">
        <f>7327*3</f>
        <v/>
      </c>
      <c r="O3406" s="9" t="inlineStr">
        <is>
          <t>카페240[타임특가] 라베나 리:커버리 3개월 패키지 (샴푸 2+ 트리트먼트 택 1)샴푸2 + 트리트먼트 택 1=샴푸2 + 헤어팩 트리트먼트1210201</t>
        </is>
      </c>
    </row>
    <row r="3407">
      <c r="B3407" s="10" t="n">
        <v>44337</v>
      </c>
      <c r="C3407" s="9" t="inlineStr">
        <is>
          <t>금</t>
        </is>
      </c>
      <c r="E3407" s="9" t="inlineStr">
        <is>
          <t>샴푸</t>
        </is>
      </c>
      <c r="F3407" s="9" t="inlineStr">
        <is>
          <t>카페24</t>
        </is>
      </c>
      <c r="G3407" s="9" t="inlineStr">
        <is>
          <t>[타임특가] 라베나 리:커버리 6개월 패키지 (샴푸 5+ 트리트먼트 택 1)샴푸 5 + 트리트먼트 택 1=샴푸 5 + 헤어팩 트리트먼트 1</t>
        </is>
      </c>
      <c r="H3407" s="9" t="n">
        <v>1</v>
      </c>
      <c r="I3407" s="9" t="inlineStr">
        <is>
          <t>리바이탈 샴푸5+트리트먼트1</t>
        </is>
      </c>
      <c r="J3407" s="9" t="inlineStr">
        <is>
          <t>210201</t>
        </is>
      </c>
      <c r="L3407" s="9">
        <f>114840</f>
        <v/>
      </c>
      <c r="M3407" s="9">
        <f>114840-(114840/5.85)</f>
        <v/>
      </c>
      <c r="N3407" s="9">
        <f>15922</f>
        <v/>
      </c>
      <c r="O3407" s="9" t="inlineStr">
        <is>
          <t>카페240[타임특가] 라베나 리:커버리 6개월 패키지 (샴푸 5+ 트리트먼트 택 1)샴푸 5 + 트리트먼트 택 1=샴푸 5 + 헤어팩 트리트먼트 1210201</t>
        </is>
      </c>
    </row>
    <row r="3408">
      <c r="B3408" s="10" t="n">
        <v>44337</v>
      </c>
      <c r="C3408" s="9" t="inlineStr">
        <is>
          <t>금</t>
        </is>
      </c>
      <c r="E3408" s="9" t="inlineStr">
        <is>
          <t>샴푸</t>
        </is>
      </c>
      <c r="F3408" s="9" t="inlineStr">
        <is>
          <t>카페24</t>
        </is>
      </c>
      <c r="G3408" s="9" t="inlineStr">
        <is>
          <t>[타임특가] 라베나 리:커버리 스타터 패키지 (샴푸 1+헤어팩 트리트먼트 1+ 뉴트리셔스 밤 1)</t>
        </is>
      </c>
      <c r="H3408" s="9" t="n">
        <v>1</v>
      </c>
      <c r="I3408" s="9" t="inlineStr">
        <is>
          <t>리바이탈 샴푸1+트리트먼트1+뉴트리셔스밤1</t>
        </is>
      </c>
      <c r="J3408" s="9" t="inlineStr">
        <is>
          <t>210201</t>
        </is>
      </c>
      <c r="L3408" s="9">
        <f>39897</f>
        <v/>
      </c>
      <c r="M3408" s="9">
        <f>39897-(39897/5.85)</f>
        <v/>
      </c>
      <c r="N3408" s="9">
        <f>(2865+1580+1597)</f>
        <v/>
      </c>
      <c r="O3408" s="9" t="inlineStr">
        <is>
          <t>카페240[타임특가] 라베나 리:커버리 스타터 패키지 (샴푸 1+헤어팩 트리트먼트 1+ 뉴트리셔스 밤 1)210201</t>
        </is>
      </c>
    </row>
    <row r="3409">
      <c r="B3409" s="10" t="n">
        <v>44337</v>
      </c>
      <c r="C3409" s="9" t="inlineStr">
        <is>
          <t>금</t>
        </is>
      </c>
      <c r="E3409" s="9" t="inlineStr">
        <is>
          <t>샴푸</t>
        </is>
      </c>
      <c r="F3409" s="9" t="inlineStr">
        <is>
          <t>카페24</t>
        </is>
      </c>
      <c r="G3409" s="9" t="inlineStr">
        <is>
          <t>[타임특가] 라베나 리:커버리 온가족 패키지 (샴푸 3+ 헤어팩 트리트먼트 1+뉴트리셔스 밤 1)</t>
        </is>
      </c>
      <c r="H3409" s="9" t="n">
        <v>3</v>
      </c>
      <c r="I3409" s="9" t="inlineStr">
        <is>
          <t>리바이탈 샴푸3+트리트먼트1+뉴트리셔스밤1</t>
        </is>
      </c>
      <c r="J3409" s="9" t="inlineStr">
        <is>
          <t>210201</t>
        </is>
      </c>
      <c r="L3409" s="9">
        <f>94765*3</f>
        <v/>
      </c>
      <c r="M3409" s="9">
        <f>284295-(284295/5.85)</f>
        <v/>
      </c>
      <c r="N3409" s="9">
        <f>11772*3</f>
        <v/>
      </c>
      <c r="O3409" s="9" t="inlineStr">
        <is>
          <t>카페240[타임특가] 라베나 리:커버리 온가족 패키지 (샴푸 3+ 헤어팩 트리트먼트 1+뉴트리셔스 밤 1)210201</t>
        </is>
      </c>
    </row>
    <row r="3410">
      <c r="B3410" s="10" t="n">
        <v>44337</v>
      </c>
      <c r="C3410" s="9" t="inlineStr">
        <is>
          <t>금</t>
        </is>
      </c>
      <c r="E3410" s="9" t="inlineStr">
        <is>
          <t>뉴트리셔스밤</t>
        </is>
      </c>
      <c r="F3410" s="9" t="inlineStr">
        <is>
          <t>카페24</t>
        </is>
      </c>
      <c r="G3410" s="9" t="inlineStr">
        <is>
          <t>라베나 리커버리 15 뉴트리셔스 밤제품선택=뉴트리셔스 밤 2개 세트 5% 추가할인</t>
        </is>
      </c>
      <c r="H3410" s="9" t="n">
        <v>1</v>
      </c>
      <c r="I3410" s="9" t="inlineStr">
        <is>
          <t>뉴트리셔스밤 2set</t>
        </is>
      </c>
      <c r="J3410" s="9" t="inlineStr">
        <is>
          <t>210201</t>
        </is>
      </c>
      <c r="L3410" s="9" t="n">
        <v>47310</v>
      </c>
      <c r="M3410" s="9">
        <f>47310-(47310/5.85)</f>
        <v/>
      </c>
      <c r="N3410" s="9">
        <f>1580*2</f>
        <v/>
      </c>
      <c r="O3410" s="9" t="inlineStr">
        <is>
          <t>카페240라베나 리커버리 15 뉴트리셔스 밤제품선택=뉴트리셔스 밤 2개 세트 5% 추가할인210201</t>
        </is>
      </c>
    </row>
    <row r="3411">
      <c r="B3411" s="10" t="n">
        <v>44337</v>
      </c>
      <c r="C3411" s="9" t="inlineStr">
        <is>
          <t>금</t>
        </is>
      </c>
      <c r="E3411" s="9" t="inlineStr">
        <is>
          <t>샴푸</t>
        </is>
      </c>
      <c r="F3411" s="9" t="inlineStr">
        <is>
          <t>카페24</t>
        </is>
      </c>
      <c r="G3411" s="9" t="inlineStr">
        <is>
          <t>라베나 리커버리 15 리바이탈 바이오플라보노이드샴푸제품선택=헤어 리커버리 15 리바이탈 샴푸 - 500ml</t>
        </is>
      </c>
      <c r="H3411" s="9" t="n">
        <v>82</v>
      </c>
      <c r="I3411" s="9" t="inlineStr">
        <is>
          <t>리바이탈 샴푸</t>
        </is>
      </c>
      <c r="J3411" s="9" t="inlineStr">
        <is>
          <t>210201</t>
        </is>
      </c>
      <c r="L3411" s="9">
        <f>26900*82</f>
        <v/>
      </c>
      <c r="M3411" s="9">
        <f>2205800-(2205800/5.85)</f>
        <v/>
      </c>
      <c r="N3411" s="9">
        <f>2865*82</f>
        <v/>
      </c>
      <c r="O3411" s="9" t="inlineStr">
        <is>
          <t>카페240라베나 리커버리 15 리바이탈 바이오플라보노이드샴푸제품선택=헤어 리커버리 15 리바이탈 샴푸 - 500ml210201</t>
        </is>
      </c>
    </row>
    <row r="3412">
      <c r="B3412" s="10" t="n">
        <v>44337</v>
      </c>
      <c r="C3412" s="9" t="inlineStr">
        <is>
          <t>금</t>
        </is>
      </c>
      <c r="E3412" s="9" t="inlineStr">
        <is>
          <t>샴푸</t>
        </is>
      </c>
      <c r="F3412" s="9" t="inlineStr">
        <is>
          <t>카페24</t>
        </is>
      </c>
      <c r="G3412" s="9" t="inlineStr">
        <is>
          <t>라베나 리커버리 15 리바이탈 바이오플라보노이드샴푸제품선택=리바이탈 샴푸 2개 세트 5%추가할인</t>
        </is>
      </c>
      <c r="H3412" s="9" t="n">
        <v>21</v>
      </c>
      <c r="I3412" s="9" t="inlineStr">
        <is>
          <t>리바이탈 샴푸 2set</t>
        </is>
      </c>
      <c r="J3412" s="9" t="inlineStr">
        <is>
          <t>210201</t>
        </is>
      </c>
      <c r="L3412" s="9">
        <f>51110*21</f>
        <v/>
      </c>
      <c r="M3412" s="9">
        <f>1073310-(1073310/5.85)</f>
        <v/>
      </c>
      <c r="N3412" s="9">
        <f>2865*42</f>
        <v/>
      </c>
      <c r="O3412" s="9" t="inlineStr">
        <is>
          <t>카페240라베나 리커버리 15 리바이탈 바이오플라보노이드샴푸제품선택=리바이탈 샴푸 2개 세트 5%추가할인210201</t>
        </is>
      </c>
    </row>
    <row r="3413">
      <c r="B3413" s="10" t="n">
        <v>44337</v>
      </c>
      <c r="C3413" s="9" t="inlineStr">
        <is>
          <t>금</t>
        </is>
      </c>
      <c r="E3413" s="9" t="inlineStr">
        <is>
          <t>샴푸</t>
        </is>
      </c>
      <c r="F3413" s="9" t="inlineStr">
        <is>
          <t>카페24</t>
        </is>
      </c>
      <c r="G3413" s="9" t="inlineStr">
        <is>
          <t>라베나 리커버리 15 리바이탈 바이오플라보노이드샴푸제품선택=리바이탈 샴푸 3개 세트 10% 추가할인</t>
        </is>
      </c>
      <c r="H3413" s="9" t="n">
        <v>6</v>
      </c>
      <c r="I3413" s="9" t="inlineStr">
        <is>
          <t>리바이탈 샴푸 3set</t>
        </is>
      </c>
      <c r="J3413" s="9" t="inlineStr">
        <is>
          <t>210201</t>
        </is>
      </c>
      <c r="L3413" s="9">
        <f>72630*6</f>
        <v/>
      </c>
      <c r="M3413" s="9">
        <f>435780-(435780/5.85)</f>
        <v/>
      </c>
      <c r="N3413" s="9">
        <f>2865*18</f>
        <v/>
      </c>
      <c r="O3413" s="9" t="inlineStr">
        <is>
          <t>카페240라베나 리커버리 15 리바이탈 바이오플라보노이드샴푸제품선택=리바이탈 샴푸 3개 세트 10% 추가할인210201</t>
        </is>
      </c>
    </row>
    <row r="3414">
      <c r="B3414" s="10" t="n">
        <v>44337</v>
      </c>
      <c r="C3414" s="9" t="inlineStr">
        <is>
          <t>금</t>
        </is>
      </c>
      <c r="E3414" s="9" t="inlineStr">
        <is>
          <t>트리트먼트</t>
        </is>
      </c>
      <c r="F3414" s="9" t="inlineStr">
        <is>
          <t>카페24</t>
        </is>
      </c>
      <c r="G3414" s="9" t="inlineStr">
        <is>
          <t>라베나 리커버리 15 헤어팩 트리트먼트제품선택=헤어 리커버리 15 헤어팩 트리트먼트</t>
        </is>
      </c>
      <c r="H3414" s="9" t="n">
        <v>3</v>
      </c>
      <c r="I3414" s="9" t="inlineStr">
        <is>
          <t>트리트먼트</t>
        </is>
      </c>
      <c r="J3414" s="9" t="inlineStr">
        <is>
          <t>210201</t>
        </is>
      </c>
      <c r="L3414" s="9">
        <f>26000*3</f>
        <v/>
      </c>
      <c r="M3414" s="9">
        <f>78000-(78000/5.85)</f>
        <v/>
      </c>
      <c r="N3414" s="9">
        <f>1597*3</f>
        <v/>
      </c>
      <c r="O3414" s="9" t="inlineStr">
        <is>
          <t>카페240라베나 리커버리 15 헤어팩 트리트먼트제품선택=헤어 리커버리 15 헤어팩 트리트먼트210201</t>
        </is>
      </c>
    </row>
    <row r="3415">
      <c r="B3415" s="10" t="n">
        <v>44338</v>
      </c>
      <c r="C3415" s="9" t="inlineStr">
        <is>
          <t>토</t>
        </is>
      </c>
      <c r="E3415" s="9" t="inlineStr">
        <is>
          <t>샴푸</t>
        </is>
      </c>
      <c r="F3415" s="9" t="inlineStr">
        <is>
          <t>카페24</t>
        </is>
      </c>
      <c r="G3415" s="9" t="inlineStr">
        <is>
          <t>[타임특가] 라베나 리:커버리 3개월 패키지 (샴푸 2+ 트리트먼트 택 1)샴푸2 + 트리트먼트 택 1=샴푸2 + 뉴트리셔스 밤1</t>
        </is>
      </c>
      <c r="H3415" s="9" t="n">
        <v>3</v>
      </c>
      <c r="I3415" s="9" t="inlineStr">
        <is>
          <t>리바이탈 샴푸2+뉴트리셔스밤1</t>
        </is>
      </c>
      <c r="J3415" s="9" t="inlineStr">
        <is>
          <t>210201</t>
        </is>
      </c>
      <c r="L3415" s="9">
        <f>62280*3</f>
        <v/>
      </c>
      <c r="M3415" s="9">
        <f>186840-(186840/5.85)</f>
        <v/>
      </c>
      <c r="N3415" s="9">
        <f>7310*3</f>
        <v/>
      </c>
      <c r="O3415" s="9" t="inlineStr">
        <is>
          <t>카페240[타임특가] 라베나 리:커버리 3개월 패키지 (샴푸 2+ 트리트먼트 택 1)샴푸2 + 트리트먼트 택 1=샴푸2 + 뉴트리셔스 밤1210201</t>
        </is>
      </c>
    </row>
    <row r="3416">
      <c r="B3416" s="10" t="n">
        <v>44338</v>
      </c>
      <c r="C3416" s="9" t="inlineStr">
        <is>
          <t>토</t>
        </is>
      </c>
      <c r="E3416" s="9" t="inlineStr">
        <is>
          <t>샴푸</t>
        </is>
      </c>
      <c r="F3416" s="9" t="inlineStr">
        <is>
          <t>카페24</t>
        </is>
      </c>
      <c r="G3416" s="9" t="inlineStr">
        <is>
          <t>[타임특가] 라베나 리:커버리 3개월 패키지 (샴푸 2+ 트리트먼트 택 1)샴푸2 + 트리트먼트 택 1=샴푸2 + 헤어팩 트리트먼트1</t>
        </is>
      </c>
      <c r="H3416" s="9" t="n">
        <v>16</v>
      </c>
      <c r="I3416" s="9" t="inlineStr">
        <is>
          <t>리바이탈 샴푸2+트리트먼트1</t>
        </is>
      </c>
      <c r="J3416" s="9" t="inlineStr">
        <is>
          <t>210201</t>
        </is>
      </c>
      <c r="L3416" s="9">
        <f>62280*16</f>
        <v/>
      </c>
      <c r="M3416" s="9">
        <f>996480-(996480/5.85)</f>
        <v/>
      </c>
      <c r="N3416" s="9">
        <f>7327*16</f>
        <v/>
      </c>
      <c r="O3416" s="9" t="inlineStr">
        <is>
          <t>카페240[타임특가] 라베나 리:커버리 3개월 패키지 (샴푸 2+ 트리트먼트 택 1)샴푸2 + 트리트먼트 택 1=샴푸2 + 헤어팩 트리트먼트1210201</t>
        </is>
      </c>
    </row>
    <row r="3417">
      <c r="B3417" s="10" t="n">
        <v>44338</v>
      </c>
      <c r="C3417" s="9" t="inlineStr">
        <is>
          <t>토</t>
        </is>
      </c>
      <c r="E3417" s="9" t="inlineStr">
        <is>
          <t>샴푸</t>
        </is>
      </c>
      <c r="F3417" s="9" t="inlineStr">
        <is>
          <t>카페24</t>
        </is>
      </c>
      <c r="G3417" s="9" t="inlineStr">
        <is>
          <t>[타임특가] 라베나 리:커버리 6개월 패키지 (샴푸 5+ 트리트먼트 택 1)샴푸 5 + 트리트먼트 택 1=샴푸 5 + 뉴트리셔스 밤 1</t>
        </is>
      </c>
      <c r="H3417" s="9" t="n">
        <v>2</v>
      </c>
      <c r="I3417" s="9" t="inlineStr">
        <is>
          <t>리바이탈 샴푸5+뉴트리셔스밤1</t>
        </is>
      </c>
      <c r="J3417" s="9" t="inlineStr">
        <is>
          <t>210201</t>
        </is>
      </c>
      <c r="L3417" s="9">
        <f>114840*2</f>
        <v/>
      </c>
      <c r="M3417" s="9">
        <f>229680-(229680/5.85)</f>
        <v/>
      </c>
      <c r="N3417" s="9">
        <f>15905*2</f>
        <v/>
      </c>
      <c r="O3417" s="9" t="inlineStr">
        <is>
          <t>카페240[타임특가] 라베나 리:커버리 6개월 패키지 (샴푸 5+ 트리트먼트 택 1)샴푸 5 + 트리트먼트 택 1=샴푸 5 + 뉴트리셔스 밤 1210201</t>
        </is>
      </c>
    </row>
    <row r="3418">
      <c r="B3418" s="10" t="n">
        <v>44338</v>
      </c>
      <c r="C3418" s="9" t="inlineStr">
        <is>
          <t>토</t>
        </is>
      </c>
      <c r="E3418" s="9" t="inlineStr">
        <is>
          <t>샴푸</t>
        </is>
      </c>
      <c r="F3418" s="9" t="inlineStr">
        <is>
          <t>카페24</t>
        </is>
      </c>
      <c r="G3418" s="9" t="inlineStr">
        <is>
          <t>[타임특가] 라베나 리:커버리 6개월 패키지 (샴푸 5+ 트리트먼트 택 1)샴푸 5 + 트리트먼트 택 1=샴푸 5 + 헤어팩 트리트먼트 1</t>
        </is>
      </c>
      <c r="H3418" s="9" t="n">
        <v>8</v>
      </c>
      <c r="I3418" s="9" t="inlineStr">
        <is>
          <t>리바이탈 샴푸5+트리트먼트1</t>
        </is>
      </c>
      <c r="J3418" s="9" t="inlineStr">
        <is>
          <t>210201</t>
        </is>
      </c>
      <c r="L3418" s="9">
        <f>114840*8</f>
        <v/>
      </c>
      <c r="M3418" s="9">
        <f>918720-(918720/5.85)</f>
        <v/>
      </c>
      <c r="N3418" s="9">
        <f>15922*8</f>
        <v/>
      </c>
      <c r="O3418" s="9" t="inlineStr">
        <is>
          <t>카페240[타임특가] 라베나 리:커버리 6개월 패키지 (샴푸 5+ 트리트먼트 택 1)샴푸 5 + 트리트먼트 택 1=샴푸 5 + 헤어팩 트리트먼트 1210201</t>
        </is>
      </c>
    </row>
    <row r="3419">
      <c r="B3419" s="10" t="n">
        <v>44338</v>
      </c>
      <c r="C3419" s="9" t="inlineStr">
        <is>
          <t>토</t>
        </is>
      </c>
      <c r="E3419" s="9" t="inlineStr">
        <is>
          <t>샴푸</t>
        </is>
      </c>
      <c r="F3419" s="9" t="inlineStr">
        <is>
          <t>카페24</t>
        </is>
      </c>
      <c r="G3419" s="9" t="inlineStr">
        <is>
          <t>[타임특가] 라베나 리:커버리 스타터 패키지 (샴푸 1+헤어팩 트리트먼트 1+ 뉴트리셔스 밤 1)</t>
        </is>
      </c>
      <c r="H3419" s="9" t="n">
        <v>1</v>
      </c>
      <c r="I3419" s="9" t="inlineStr">
        <is>
          <t>리바이탈 샴푸1+트리트먼트1+뉴트리셔스밤1</t>
        </is>
      </c>
      <c r="J3419" s="9" t="inlineStr">
        <is>
          <t>210201</t>
        </is>
      </c>
      <c r="L3419" s="9">
        <f>39897</f>
        <v/>
      </c>
      <c r="M3419" s="9">
        <f>39897-(39897/5.85)</f>
        <v/>
      </c>
      <c r="N3419" s="9">
        <f>(2865+1580+1597)</f>
        <v/>
      </c>
      <c r="O3419" s="9" t="inlineStr">
        <is>
          <t>카페240[타임특가] 라베나 리:커버리 스타터 패키지 (샴푸 1+헤어팩 트리트먼트 1+ 뉴트리셔스 밤 1)210201</t>
        </is>
      </c>
    </row>
    <row r="3420">
      <c r="B3420" s="10" t="n">
        <v>44338</v>
      </c>
      <c r="C3420" s="9" t="inlineStr">
        <is>
          <t>토</t>
        </is>
      </c>
      <c r="E3420" s="9" t="inlineStr">
        <is>
          <t>샴푸</t>
        </is>
      </c>
      <c r="F3420" s="9" t="inlineStr">
        <is>
          <t>카페24</t>
        </is>
      </c>
      <c r="G3420" s="9" t="inlineStr">
        <is>
          <t>[타임특가] 라베나 리:커버리 온가족 패키지 (샴푸 3+ 헤어팩 트리트먼트 1+뉴트리셔스 밤 1)</t>
        </is>
      </c>
      <c r="H3420" s="9" t="n">
        <v>4</v>
      </c>
      <c r="I3420" s="9" t="inlineStr">
        <is>
          <t>리바이탈 샴푸3+트리트먼트1+뉴트리셔스밤1</t>
        </is>
      </c>
      <c r="J3420" s="9" t="inlineStr">
        <is>
          <t>210201</t>
        </is>
      </c>
      <c r="L3420" s="9">
        <f>94765*4</f>
        <v/>
      </c>
      <c r="M3420" s="9">
        <f>379060-(379060/5.85)</f>
        <v/>
      </c>
      <c r="N3420" s="9">
        <f>11772*4</f>
        <v/>
      </c>
      <c r="O3420" s="9" t="inlineStr">
        <is>
          <t>카페240[타임특가] 라베나 리:커버리 온가족 패키지 (샴푸 3+ 헤어팩 트리트먼트 1+뉴트리셔스 밤 1)210201</t>
        </is>
      </c>
    </row>
    <row r="3421">
      <c r="B3421" s="10" t="n">
        <v>44338</v>
      </c>
      <c r="C3421" s="9" t="inlineStr">
        <is>
          <t>토</t>
        </is>
      </c>
      <c r="E3421" s="9" t="inlineStr">
        <is>
          <t>뉴트리셔스밤</t>
        </is>
      </c>
      <c r="F3421" s="9" t="inlineStr">
        <is>
          <t>카페24</t>
        </is>
      </c>
      <c r="G3421" s="9" t="inlineStr">
        <is>
          <t>라베나 리커버리 15 뉴트리셔스 밤제품선택=헤어 리커버리 15 뉴트리셔스 밤</t>
        </is>
      </c>
      <c r="H3421" s="9" t="n">
        <v>3</v>
      </c>
      <c r="I3421" s="9" t="inlineStr">
        <is>
          <t>뉴트리셔스밤</t>
        </is>
      </c>
      <c r="J3421" s="9" t="inlineStr">
        <is>
          <t>210201</t>
        </is>
      </c>
      <c r="L3421" s="9">
        <f>24900*3</f>
        <v/>
      </c>
      <c r="M3421" s="9">
        <f>74700-(74700/5.85)</f>
        <v/>
      </c>
      <c r="N3421" s="9">
        <f>1580*3</f>
        <v/>
      </c>
      <c r="O3421" s="9" t="inlineStr">
        <is>
          <t>카페240라베나 리커버리 15 뉴트리셔스 밤제품선택=헤어 리커버리 15 뉴트리셔스 밤210201</t>
        </is>
      </c>
    </row>
    <row r="3422">
      <c r="B3422" s="10" t="n">
        <v>44338</v>
      </c>
      <c r="C3422" s="9" t="inlineStr">
        <is>
          <t>토</t>
        </is>
      </c>
      <c r="E3422" s="9" t="inlineStr">
        <is>
          <t>샴푸</t>
        </is>
      </c>
      <c r="F3422" s="9" t="inlineStr">
        <is>
          <t>카페24</t>
        </is>
      </c>
      <c r="G3422" s="9" t="inlineStr">
        <is>
          <t>라베나 리커버리 15 리바이탈 바이오플라보노이드샴푸제품선택=헤어 리커버리 15 리바이탈 샴푸 - 500ml</t>
        </is>
      </c>
      <c r="H3422" s="9" t="n">
        <v>264</v>
      </c>
      <c r="I3422" s="9" t="inlineStr">
        <is>
          <t>리바이탈 샴푸</t>
        </is>
      </c>
      <c r="J3422" s="9" t="inlineStr">
        <is>
          <t>210201</t>
        </is>
      </c>
      <c r="L3422" s="9">
        <f>26900*264</f>
        <v/>
      </c>
      <c r="M3422" s="9">
        <f>7101600-(7101600/5.85)</f>
        <v/>
      </c>
      <c r="N3422" s="9">
        <f>2865*264</f>
        <v/>
      </c>
      <c r="O3422" s="9" t="inlineStr">
        <is>
          <t>카페240라베나 리커버리 15 리바이탈 바이오플라보노이드샴푸제품선택=헤어 리커버리 15 리바이탈 샴푸 - 500ml210201</t>
        </is>
      </c>
    </row>
    <row r="3423">
      <c r="B3423" s="10" t="n">
        <v>44338</v>
      </c>
      <c r="C3423" s="9" t="inlineStr">
        <is>
          <t>토</t>
        </is>
      </c>
      <c r="E3423" s="9" t="inlineStr">
        <is>
          <t>샴푸</t>
        </is>
      </c>
      <c r="F3423" s="9" t="inlineStr">
        <is>
          <t>카페24</t>
        </is>
      </c>
      <c r="G3423" s="9" t="inlineStr">
        <is>
          <t>라베나 리커버리 15 리바이탈 바이오플라보노이드샴푸제품선택=리바이탈 샴푸 2개 세트 5%추가할인</t>
        </is>
      </c>
      <c r="H3423" s="9" t="n">
        <v>72</v>
      </c>
      <c r="I3423" s="9" t="inlineStr">
        <is>
          <t>리바이탈 샴푸 2set</t>
        </is>
      </c>
      <c r="J3423" s="9" t="inlineStr">
        <is>
          <t>210201</t>
        </is>
      </c>
      <c r="L3423" s="9">
        <f>51110*72</f>
        <v/>
      </c>
      <c r="M3423" s="9">
        <f>3679920-(3679920/5.85)</f>
        <v/>
      </c>
      <c r="N3423" s="9">
        <f>2865*144</f>
        <v/>
      </c>
      <c r="O3423" s="9" t="inlineStr">
        <is>
          <t>카페240라베나 리커버리 15 리바이탈 바이오플라보노이드샴푸제품선택=리바이탈 샴푸 2개 세트 5%추가할인210201</t>
        </is>
      </c>
    </row>
    <row r="3424">
      <c r="B3424" s="10" t="n">
        <v>44338</v>
      </c>
      <c r="C3424" s="9" t="inlineStr">
        <is>
          <t>토</t>
        </is>
      </c>
      <c r="E3424" s="9" t="inlineStr">
        <is>
          <t>샴푸</t>
        </is>
      </c>
      <c r="F3424" s="9" t="inlineStr">
        <is>
          <t>카페24</t>
        </is>
      </c>
      <c r="G3424" s="9" t="inlineStr">
        <is>
          <t>라베나 리커버리 15 리바이탈 바이오플라보노이드샴푸제품선택=리바이탈 샴푸 3개 세트 10% 추가할인</t>
        </is>
      </c>
      <c r="H3424" s="9" t="n">
        <v>33</v>
      </c>
      <c r="I3424" s="9" t="inlineStr">
        <is>
          <t>리바이탈 샴푸 3set</t>
        </is>
      </c>
      <c r="J3424" s="9" t="inlineStr">
        <is>
          <t>210201</t>
        </is>
      </c>
      <c r="L3424" s="9">
        <f>72630*33</f>
        <v/>
      </c>
      <c r="M3424" s="9">
        <f>2396790-(2396790/5.85)</f>
        <v/>
      </c>
      <c r="N3424" s="9">
        <f>2865*99</f>
        <v/>
      </c>
      <c r="O3424" s="9" t="inlineStr">
        <is>
          <t>카페240라베나 리커버리 15 리바이탈 바이오플라보노이드샴푸제품선택=리바이탈 샴푸 3개 세트 10% 추가할인210201</t>
        </is>
      </c>
    </row>
    <row r="3425">
      <c r="B3425" s="10" t="n">
        <v>44338</v>
      </c>
      <c r="C3425" s="9" t="inlineStr">
        <is>
          <t>토</t>
        </is>
      </c>
      <c r="E3425" s="9" t="inlineStr">
        <is>
          <t>트리트먼트</t>
        </is>
      </c>
      <c r="F3425" s="9" t="inlineStr">
        <is>
          <t>카페24</t>
        </is>
      </c>
      <c r="G3425" s="9" t="inlineStr">
        <is>
          <t>라베나 리커버리 15 헤어팩 트리트먼트제품선택=헤어 리커버리 15 헤어팩 트리트먼트</t>
        </is>
      </c>
      <c r="H3425" s="9" t="n">
        <v>3</v>
      </c>
      <c r="I3425" s="9" t="inlineStr">
        <is>
          <t>트리트먼트</t>
        </is>
      </c>
      <c r="J3425" s="9" t="inlineStr">
        <is>
          <t>210201</t>
        </is>
      </c>
      <c r="L3425" s="9">
        <f>26000*3</f>
        <v/>
      </c>
      <c r="M3425" s="9">
        <f>78000-(78000/5.85)</f>
        <v/>
      </c>
      <c r="N3425" s="9">
        <f>1597*3</f>
        <v/>
      </c>
      <c r="O3425" s="9" t="inlineStr">
        <is>
          <t>카페240라베나 리커버리 15 헤어팩 트리트먼트제품선택=헤어 리커버리 15 헤어팩 트리트먼트210201</t>
        </is>
      </c>
    </row>
    <row r="3426">
      <c r="B3426" s="10" t="n">
        <v>44338</v>
      </c>
      <c r="C3426" s="9" t="inlineStr">
        <is>
          <t>토</t>
        </is>
      </c>
      <c r="E3426" s="9" t="inlineStr">
        <is>
          <t>트리트먼트</t>
        </is>
      </c>
      <c r="F3426" s="9" t="inlineStr">
        <is>
          <t>카페24</t>
        </is>
      </c>
      <c r="G3426" s="9" t="inlineStr">
        <is>
          <t>라베나 리커버리 15 헤어팩 트리트먼트제품선택=헤어팩 트리트먼트 2개 세트 5% 추가할인</t>
        </is>
      </c>
      <c r="H3426" s="9" t="n">
        <v>2</v>
      </c>
      <c r="I3426" s="9" t="inlineStr">
        <is>
          <t>트리트먼트 2set</t>
        </is>
      </c>
      <c r="J3426" s="9" t="inlineStr">
        <is>
          <t>210201</t>
        </is>
      </c>
      <c r="L3426" s="9">
        <f>49400*2</f>
        <v/>
      </c>
      <c r="M3426" s="9">
        <f>98800-(98800/5.85)</f>
        <v/>
      </c>
      <c r="N3426" s="9">
        <f>1597*4</f>
        <v/>
      </c>
      <c r="O3426" s="9" t="inlineStr">
        <is>
          <t>카페240라베나 리커버리 15 헤어팩 트리트먼트제품선택=헤어팩 트리트먼트 2개 세트 5% 추가할인210201</t>
        </is>
      </c>
    </row>
    <row r="3427">
      <c r="B3427" s="10" t="n">
        <v>44338</v>
      </c>
      <c r="C3427" s="9" t="inlineStr">
        <is>
          <t>토</t>
        </is>
      </c>
      <c r="E3427" s="9" t="inlineStr">
        <is>
          <t>트리트먼트</t>
        </is>
      </c>
      <c r="F3427" s="9" t="inlineStr">
        <is>
          <t>카페24</t>
        </is>
      </c>
      <c r="G3427" s="9" t="inlineStr">
        <is>
          <t>라베나 리커버리 15 헤어팩 트리트먼트제품선택=헤어팩 트리트먼트 1개 + 뉴트리셔스밤 1개 세트 5% 추가할인</t>
        </is>
      </c>
      <c r="H3427" s="9" t="n">
        <v>1</v>
      </c>
      <c r="I3427" s="9" t="inlineStr">
        <is>
          <t>트리트먼트1+뉴트리셔스밤1</t>
        </is>
      </c>
      <c r="J3427" s="9" t="inlineStr">
        <is>
          <t>210201</t>
        </is>
      </c>
      <c r="L3427" s="9">
        <f>48355</f>
        <v/>
      </c>
      <c r="M3427" s="9">
        <f>48355-(48355/5.85)</f>
        <v/>
      </c>
      <c r="N3427" s="9">
        <f>3177</f>
        <v/>
      </c>
      <c r="O3427" s="9" t="inlineStr">
        <is>
          <t>카페240라베나 리커버리 15 헤어팩 트리트먼트제품선택=헤어팩 트리트먼트 1개 + 뉴트리셔스밤 1개 세트 5% 추가할인210201</t>
        </is>
      </c>
    </row>
    <row r="3428">
      <c r="B3428" s="10" t="n">
        <v>44339</v>
      </c>
      <c r="C3428" s="9" t="inlineStr">
        <is>
          <t>일</t>
        </is>
      </c>
      <c r="E3428" s="9" t="inlineStr">
        <is>
          <t>샴푸</t>
        </is>
      </c>
      <c r="F3428" s="9" t="inlineStr">
        <is>
          <t>카페24</t>
        </is>
      </c>
      <c r="G3428" s="9" t="inlineStr">
        <is>
          <t>[손상모 케어] 라베나 리커버리 15 리바이탈 샴푸 [HAIR RÉ:COVERY 15 Revital Shampoo]제품선택=리바이탈 샴푸 2개 세트 5%추가할인</t>
        </is>
      </c>
      <c r="H3428" s="9" t="n">
        <v>1</v>
      </c>
      <c r="I3428" s="9" t="inlineStr">
        <is>
          <t>리바이탈 샴푸 2set</t>
        </is>
      </c>
      <c r="J3428" s="9" t="inlineStr">
        <is>
          <t>210201</t>
        </is>
      </c>
      <c r="L3428" s="9">
        <f>51110</f>
        <v/>
      </c>
      <c r="M3428" s="9">
        <f>51110-(51110/5.85)</f>
        <v/>
      </c>
      <c r="N3428" s="9">
        <f>2865</f>
        <v/>
      </c>
      <c r="O3428" s="9" t="inlineStr">
        <is>
          <t>카페240[손상모 케어] 라베나 리커버리 15 리바이탈 샴푸 [HAIR RÉ:COVERY 15 Revital Shampoo]제품선택=리바이탈 샴푸 2개 세트 5%추가할인210201</t>
        </is>
      </c>
    </row>
    <row r="3429">
      <c r="B3429" s="10" t="n">
        <v>44339</v>
      </c>
      <c r="C3429" s="9" t="inlineStr">
        <is>
          <t>일</t>
        </is>
      </c>
      <c r="E3429" s="9" t="inlineStr">
        <is>
          <t>샴푸</t>
        </is>
      </c>
      <c r="F3429" s="9" t="inlineStr">
        <is>
          <t>카페24</t>
        </is>
      </c>
      <c r="G3429" s="9" t="inlineStr">
        <is>
          <t>[타임특가] 라베나 리:커버리 3개월 패키지 (샴푸 2+ 트리트먼트 택 1)샴푸2 + 트리트먼트 택 1=샴푸2 + 뉴트리셔스 밤1</t>
        </is>
      </c>
      <c r="H3429" s="9" t="n">
        <v>12</v>
      </c>
      <c r="I3429" s="9" t="inlineStr">
        <is>
          <t>리바이탈 샴푸2+뉴트리셔스밤1</t>
        </is>
      </c>
      <c r="J3429" s="9" t="inlineStr">
        <is>
          <t>210201</t>
        </is>
      </c>
      <c r="L3429" s="9">
        <f>62280*12</f>
        <v/>
      </c>
      <c r="M3429" s="9">
        <f>747360-(747360/5.85)</f>
        <v/>
      </c>
      <c r="N3429" s="9">
        <f>7310*12</f>
        <v/>
      </c>
      <c r="O3429" s="9" t="inlineStr">
        <is>
          <t>카페240[타임특가] 라베나 리:커버리 3개월 패키지 (샴푸 2+ 트리트먼트 택 1)샴푸2 + 트리트먼트 택 1=샴푸2 + 뉴트리셔스 밤1210201</t>
        </is>
      </c>
    </row>
    <row r="3430">
      <c r="B3430" s="10" t="n">
        <v>44339</v>
      </c>
      <c r="C3430" s="9" t="inlineStr">
        <is>
          <t>일</t>
        </is>
      </c>
      <c r="E3430" s="9" t="inlineStr">
        <is>
          <t>샴푸</t>
        </is>
      </c>
      <c r="F3430" s="9" t="inlineStr">
        <is>
          <t>카페24</t>
        </is>
      </c>
      <c r="G3430" s="9" t="inlineStr">
        <is>
          <t>[타임특가] 라베나 리:커버리 3개월 패키지 (샴푸 2+ 트리트먼트 택 1)샴푸2 + 트리트먼트 택 1=샴푸2 + 헤어팩 트리트먼트1</t>
        </is>
      </c>
      <c r="H3430" s="9" t="n">
        <v>17</v>
      </c>
      <c r="I3430" s="9" t="inlineStr">
        <is>
          <t>리바이탈 샴푸2+트리트먼트1</t>
        </is>
      </c>
      <c r="J3430" s="9" t="inlineStr">
        <is>
          <t>210201</t>
        </is>
      </c>
      <c r="L3430" s="9">
        <f>62280*17</f>
        <v/>
      </c>
      <c r="M3430" s="9">
        <f>1058760-(1058760/5.85)</f>
        <v/>
      </c>
      <c r="N3430" s="9">
        <f>7327*17</f>
        <v/>
      </c>
      <c r="O3430" s="9" t="inlineStr">
        <is>
          <t>카페240[타임특가] 라베나 리:커버리 3개월 패키지 (샴푸 2+ 트리트먼트 택 1)샴푸2 + 트리트먼트 택 1=샴푸2 + 헤어팩 트리트먼트1210201</t>
        </is>
      </c>
    </row>
    <row r="3431">
      <c r="B3431" s="10" t="n">
        <v>44339</v>
      </c>
      <c r="C3431" s="9" t="inlineStr">
        <is>
          <t>일</t>
        </is>
      </c>
      <c r="E3431" s="9" t="inlineStr">
        <is>
          <t>샴푸</t>
        </is>
      </c>
      <c r="F3431" s="9" t="inlineStr">
        <is>
          <t>카페24</t>
        </is>
      </c>
      <c r="G3431" s="9" t="inlineStr">
        <is>
          <t>[타임특가] 라베나 리:커버리 6개월 패키지 (샴푸 5+ 트리트먼트 택 1)샴푸 5 + 트리트먼트 택 1=샴푸 5 + 뉴트리셔스 밤 1</t>
        </is>
      </c>
      <c r="H3431" s="9" t="n">
        <v>3</v>
      </c>
      <c r="I3431" s="9" t="inlineStr">
        <is>
          <t>리바이탈 샴푸5+뉴트리셔스밤1</t>
        </is>
      </c>
      <c r="J3431" s="9" t="inlineStr">
        <is>
          <t>210201</t>
        </is>
      </c>
      <c r="L3431" s="9">
        <f>114840*3</f>
        <v/>
      </c>
      <c r="M3431" s="9">
        <f>344520-(344520/5.85)</f>
        <v/>
      </c>
      <c r="N3431" s="9">
        <f>15905*3</f>
        <v/>
      </c>
      <c r="O3431" s="9" t="inlineStr">
        <is>
          <t>카페240[타임특가] 라베나 리:커버리 6개월 패키지 (샴푸 5+ 트리트먼트 택 1)샴푸 5 + 트리트먼트 택 1=샴푸 5 + 뉴트리셔스 밤 1210201</t>
        </is>
      </c>
    </row>
    <row r="3432">
      <c r="B3432" s="10" t="n">
        <v>44339</v>
      </c>
      <c r="C3432" s="9" t="inlineStr">
        <is>
          <t>일</t>
        </is>
      </c>
      <c r="E3432" s="9" t="inlineStr">
        <is>
          <t>샴푸</t>
        </is>
      </c>
      <c r="F3432" s="9" t="inlineStr">
        <is>
          <t>카페24</t>
        </is>
      </c>
      <c r="G3432" s="9" t="inlineStr">
        <is>
          <t>[타임특가] 라베나 리:커버리 6개월 패키지 (샴푸 5+ 트리트먼트 택 1)샴푸 5 + 트리트먼트 택 1=샴푸 5 + 헤어팩 트리트먼트 1</t>
        </is>
      </c>
      <c r="H3432" s="9" t="n">
        <v>7</v>
      </c>
      <c r="I3432" s="9" t="inlineStr">
        <is>
          <t>리바이탈 샴푸5+트리트먼트1</t>
        </is>
      </c>
      <c r="J3432" s="9" t="inlineStr">
        <is>
          <t>210201</t>
        </is>
      </c>
      <c r="L3432" s="9">
        <f>114840*7</f>
        <v/>
      </c>
      <c r="M3432" s="9">
        <f>803880-(803880/5.85)</f>
        <v/>
      </c>
      <c r="N3432" s="9">
        <f>15922*7</f>
        <v/>
      </c>
      <c r="O3432" s="9" t="inlineStr">
        <is>
          <t>카페240[타임특가] 라베나 리:커버리 6개월 패키지 (샴푸 5+ 트리트먼트 택 1)샴푸 5 + 트리트먼트 택 1=샴푸 5 + 헤어팩 트리트먼트 1210201</t>
        </is>
      </c>
    </row>
    <row r="3433">
      <c r="B3433" s="10" t="n">
        <v>44339</v>
      </c>
      <c r="C3433" s="9" t="inlineStr">
        <is>
          <t>일</t>
        </is>
      </c>
      <c r="E3433" s="9" t="inlineStr">
        <is>
          <t>샴푸</t>
        </is>
      </c>
      <c r="F3433" s="9" t="inlineStr">
        <is>
          <t>카페24</t>
        </is>
      </c>
      <c r="G3433" s="9" t="inlineStr">
        <is>
          <t>[타임특가] 라베나 리:커버리 스타터 패키지 (샴푸 1+헤어팩 트리트먼트 1+ 뉴트리셔스 밤 1)</t>
        </is>
      </c>
      <c r="H3433" s="9" t="n">
        <v>1</v>
      </c>
      <c r="I3433" s="9" t="inlineStr">
        <is>
          <t>리바이탈 샴푸1+트리트먼트1+뉴트리셔스밤1</t>
        </is>
      </c>
      <c r="J3433" s="9" t="inlineStr">
        <is>
          <t>210201</t>
        </is>
      </c>
      <c r="L3433" s="9">
        <f>39897</f>
        <v/>
      </c>
      <c r="M3433" s="9">
        <f>39897-(39897/5.85)</f>
        <v/>
      </c>
      <c r="N3433" s="9">
        <f>(2865+1580+1597)</f>
        <v/>
      </c>
      <c r="O3433" s="9" t="inlineStr">
        <is>
          <t>카페240[타임특가] 라베나 리:커버리 스타터 패키지 (샴푸 1+헤어팩 트리트먼트 1+ 뉴트리셔스 밤 1)210201</t>
        </is>
      </c>
    </row>
    <row r="3434">
      <c r="B3434" s="10" t="n">
        <v>44339</v>
      </c>
      <c r="C3434" s="9" t="inlineStr">
        <is>
          <t>일</t>
        </is>
      </c>
      <c r="E3434" s="9" t="inlineStr">
        <is>
          <t>샴푸</t>
        </is>
      </c>
      <c r="F3434" s="9" t="inlineStr">
        <is>
          <t>카페24</t>
        </is>
      </c>
      <c r="G3434" s="9" t="inlineStr">
        <is>
          <t>[타임특가] 라베나 리:커버리 온가족 패키지 (샴푸 3+ 헤어팩 트리트먼트 1+뉴트리셔스 밤 1)</t>
        </is>
      </c>
      <c r="H3434" s="9" t="n">
        <v>4</v>
      </c>
      <c r="I3434" s="9" t="inlineStr">
        <is>
          <t>리바이탈 샴푸3+트리트먼트1+뉴트리셔스밤1</t>
        </is>
      </c>
      <c r="J3434" s="9" t="inlineStr">
        <is>
          <t>210201</t>
        </is>
      </c>
      <c r="L3434" s="9">
        <f>94765*4</f>
        <v/>
      </c>
      <c r="M3434" s="9">
        <f>379060-(379060/5.85)</f>
        <v/>
      </c>
      <c r="N3434" s="9">
        <f>11772*4</f>
        <v/>
      </c>
      <c r="O3434" s="9" t="inlineStr">
        <is>
          <t>카페240[타임특가] 라베나 리:커버리 온가족 패키지 (샴푸 3+ 헤어팩 트리트먼트 1+뉴트리셔스 밤 1)210201</t>
        </is>
      </c>
    </row>
    <row r="3435">
      <c r="B3435" s="10" t="n">
        <v>44339</v>
      </c>
      <c r="C3435" s="9" t="inlineStr">
        <is>
          <t>일</t>
        </is>
      </c>
      <c r="E3435" s="9" t="inlineStr">
        <is>
          <t>뉴트리셔스밤</t>
        </is>
      </c>
      <c r="F3435" s="9" t="inlineStr">
        <is>
          <t>카페24</t>
        </is>
      </c>
      <c r="G3435" s="9" t="inlineStr">
        <is>
          <t>라베나 리커버리 15 뉴트리셔스 밤제품선택=헤어 리커버리 15 뉴트리셔스 밤</t>
        </is>
      </c>
      <c r="H3435" s="9" t="n">
        <v>5</v>
      </c>
      <c r="I3435" s="9" t="inlineStr">
        <is>
          <t>뉴트리셔스밤</t>
        </is>
      </c>
      <c r="J3435" s="9" t="inlineStr">
        <is>
          <t>210201</t>
        </is>
      </c>
      <c r="L3435" s="9">
        <f>24900*5</f>
        <v/>
      </c>
      <c r="M3435" s="9">
        <f>124500-(124500/5.85)</f>
        <v/>
      </c>
      <c r="N3435" s="9">
        <f>1580*5</f>
        <v/>
      </c>
      <c r="O3435" s="9" t="inlineStr">
        <is>
          <t>카페240라베나 리커버리 15 뉴트리셔스 밤제품선택=헤어 리커버리 15 뉴트리셔스 밤210201</t>
        </is>
      </c>
    </row>
    <row r="3436">
      <c r="B3436" s="10" t="n">
        <v>44339</v>
      </c>
      <c r="C3436" s="9" t="inlineStr">
        <is>
          <t>일</t>
        </is>
      </c>
      <c r="E3436" s="9" t="inlineStr">
        <is>
          <t>샴푸</t>
        </is>
      </c>
      <c r="F3436" s="9" t="inlineStr">
        <is>
          <t>카페24</t>
        </is>
      </c>
      <c r="G3436" s="9" t="inlineStr">
        <is>
          <t>라베나 리커버리 15 리바이탈 바이오플라보노이드샴푸제품선택=헤어 리커버리 15 리바이탈 샴푸 - 500ml</t>
        </is>
      </c>
      <c r="H3436" s="9" t="n">
        <v>288</v>
      </c>
      <c r="I3436" s="9" t="inlineStr">
        <is>
          <t>리바이탈 샴푸</t>
        </is>
      </c>
      <c r="J3436" s="9" t="inlineStr">
        <is>
          <t>210201</t>
        </is>
      </c>
      <c r="L3436" s="9">
        <f>26900*288</f>
        <v/>
      </c>
      <c r="M3436" s="9">
        <f>7747200-(7747200/5.85)</f>
        <v/>
      </c>
      <c r="N3436" s="9">
        <f>2865*288</f>
        <v/>
      </c>
      <c r="O3436" s="9" t="inlineStr">
        <is>
          <t>카페240라베나 리커버리 15 리바이탈 바이오플라보노이드샴푸제품선택=헤어 리커버리 15 리바이탈 샴푸 - 500ml210201</t>
        </is>
      </c>
    </row>
    <row r="3437">
      <c r="B3437" s="10" t="n">
        <v>44339</v>
      </c>
      <c r="C3437" s="9" t="inlineStr">
        <is>
          <t>일</t>
        </is>
      </c>
      <c r="E3437" s="9" t="inlineStr">
        <is>
          <t>샴푸</t>
        </is>
      </c>
      <c r="F3437" s="9" t="inlineStr">
        <is>
          <t>카페24</t>
        </is>
      </c>
      <c r="G3437" s="9" t="inlineStr">
        <is>
          <t>라베나 리커버리 15 리바이탈 바이오플라보노이드샴푸제품선택=리바이탈 샴푸 2개 세트 5%추가할인</t>
        </is>
      </c>
      <c r="H3437" s="9" t="n">
        <v>99</v>
      </c>
      <c r="I3437" s="9" t="inlineStr">
        <is>
          <t>리바이탈 샴푸 2set</t>
        </is>
      </c>
      <c r="J3437" s="9" t="inlineStr">
        <is>
          <t>210201</t>
        </is>
      </c>
      <c r="L3437" s="9">
        <f>51110*99</f>
        <v/>
      </c>
      <c r="M3437" s="9">
        <f>5059890-(5059890/5.85)</f>
        <v/>
      </c>
      <c r="N3437" s="9">
        <f>2865*198</f>
        <v/>
      </c>
      <c r="O3437" s="9" t="inlineStr">
        <is>
          <t>카페240라베나 리커버리 15 리바이탈 바이오플라보노이드샴푸제품선택=리바이탈 샴푸 2개 세트 5%추가할인210201</t>
        </is>
      </c>
    </row>
    <row r="3438">
      <c r="B3438" s="10" t="n">
        <v>44339</v>
      </c>
      <c r="C3438" s="9" t="inlineStr">
        <is>
          <t>일</t>
        </is>
      </c>
      <c r="E3438" s="9" t="inlineStr">
        <is>
          <t>샴푸</t>
        </is>
      </c>
      <c r="F3438" s="9" t="inlineStr">
        <is>
          <t>카페24</t>
        </is>
      </c>
      <c r="G3438" s="9" t="inlineStr">
        <is>
          <t>라베나 리커버리 15 리바이탈 바이오플라보노이드샴푸제품선택=리바이탈 샴푸 3개 세트 10% 추가할인</t>
        </is>
      </c>
      <c r="H3438" s="9" t="n">
        <v>34</v>
      </c>
      <c r="I3438" s="9" t="inlineStr">
        <is>
          <t>리바이탈 샴푸 3set</t>
        </is>
      </c>
      <c r="J3438" s="9" t="inlineStr">
        <is>
          <t>210201</t>
        </is>
      </c>
      <c r="L3438" s="9">
        <f>72630*34</f>
        <v/>
      </c>
      <c r="M3438" s="9">
        <f>2469420-(2469420/5.85)</f>
        <v/>
      </c>
      <c r="N3438" s="9">
        <f>2865*102</f>
        <v/>
      </c>
      <c r="O3438" s="9" t="inlineStr">
        <is>
          <t>카페240라베나 리커버리 15 리바이탈 바이오플라보노이드샴푸제품선택=리바이탈 샴푸 3개 세트 10% 추가할인210201</t>
        </is>
      </c>
    </row>
    <row r="3439">
      <c r="B3439" s="10" t="n">
        <v>44339</v>
      </c>
      <c r="C3439" s="9" t="inlineStr">
        <is>
          <t>일</t>
        </is>
      </c>
      <c r="E3439" s="9" t="inlineStr">
        <is>
          <t>트리트먼트</t>
        </is>
      </c>
      <c r="F3439" s="9" t="inlineStr">
        <is>
          <t>카페24</t>
        </is>
      </c>
      <c r="G3439" s="9" t="inlineStr">
        <is>
          <t>라베나 리커버리 15 헤어팩 트리트먼트제품선택=헤어 리커버리 15 헤어팩 트리트먼트</t>
        </is>
      </c>
      <c r="H3439" s="9" t="n">
        <v>4</v>
      </c>
      <c r="I3439" s="9" t="inlineStr">
        <is>
          <t>트리트먼트</t>
        </is>
      </c>
      <c r="J3439" s="9" t="inlineStr">
        <is>
          <t>210201</t>
        </is>
      </c>
      <c r="L3439" s="9">
        <f>26000*4</f>
        <v/>
      </c>
      <c r="M3439" s="9">
        <f>104000-(104000/5.85)</f>
        <v/>
      </c>
      <c r="N3439" s="9">
        <f>1597*4</f>
        <v/>
      </c>
      <c r="O3439" s="9" t="inlineStr">
        <is>
          <t>카페240라베나 리커버리 15 헤어팩 트리트먼트제품선택=헤어 리커버리 15 헤어팩 트리트먼트210201</t>
        </is>
      </c>
    </row>
    <row r="3440">
      <c r="B3440" s="10" t="n">
        <v>44339</v>
      </c>
      <c r="C3440" s="9" t="inlineStr">
        <is>
          <t>일</t>
        </is>
      </c>
      <c r="E3440" s="9" t="inlineStr">
        <is>
          <t>트리트먼트</t>
        </is>
      </c>
      <c r="F3440" s="9" t="inlineStr">
        <is>
          <t>카페24</t>
        </is>
      </c>
      <c r="G3440" s="9" t="inlineStr">
        <is>
          <t>라베나 리커버리 15 헤어팩 트리트먼트제품선택=헤어팩 트리트먼트 2개 세트 5% 추가할인</t>
        </is>
      </c>
      <c r="H3440" s="9" t="n">
        <v>1</v>
      </c>
      <c r="I3440" s="9" t="inlineStr">
        <is>
          <t>트리트먼트 2set</t>
        </is>
      </c>
      <c r="J3440" s="9" t="inlineStr">
        <is>
          <t>210201</t>
        </is>
      </c>
      <c r="L3440" s="9">
        <f>49400</f>
        <v/>
      </c>
      <c r="M3440" s="9">
        <f>49400-(49400/5.85)</f>
        <v/>
      </c>
      <c r="N3440" s="9">
        <f>1597*2</f>
        <v/>
      </c>
      <c r="O3440" s="9" t="inlineStr">
        <is>
          <t>카페240라베나 리커버리 15 헤어팩 트리트먼트제품선택=헤어팩 트리트먼트 2개 세트 5% 추가할인210201</t>
        </is>
      </c>
    </row>
    <row r="3441">
      <c r="A3441" s="9" t="inlineStr">
        <is>
          <t>0524_인서_묶은자국_영상_동영상조회</t>
        </is>
      </c>
      <c r="B3441" s="10" t="n">
        <v>44340</v>
      </c>
      <c r="C3441" s="9" t="inlineStr">
        <is>
          <t>월</t>
        </is>
      </c>
      <c r="D3441" s="9" t="inlineStr">
        <is>
          <t>페이스북</t>
        </is>
      </c>
      <c r="E3441" s="9" t="inlineStr">
        <is>
          <t>샴푸</t>
        </is>
      </c>
      <c r="K3441" s="9" t="n">
        <v>23483</v>
      </c>
    </row>
    <row r="3442">
      <c r="A3442" s="9" t="inlineStr">
        <is>
          <t>0514_현빈_샴푸_피지결석_카드뉴스</t>
        </is>
      </c>
      <c r="B3442" s="10" t="n">
        <v>44340</v>
      </c>
      <c r="C3442" s="9" t="inlineStr">
        <is>
          <t>월</t>
        </is>
      </c>
      <c r="D3442" s="9" t="inlineStr">
        <is>
          <t>페이스북</t>
        </is>
      </c>
      <c r="E3442" s="9" t="inlineStr">
        <is>
          <t>샴푸</t>
        </is>
      </c>
      <c r="K3442" s="9" t="n">
        <v>293076</v>
      </c>
    </row>
    <row r="3443">
      <c r="A3443" s="9" t="inlineStr">
        <is>
          <t>0316~영상베리</t>
        </is>
      </c>
      <c r="B3443" s="10" t="n">
        <v>44340</v>
      </c>
      <c r="C3443" s="9" t="inlineStr">
        <is>
          <t>월</t>
        </is>
      </c>
      <c r="D3443" s="9" t="inlineStr">
        <is>
          <t>페이스북</t>
        </is>
      </c>
      <c r="E3443" s="9" t="inlineStr">
        <is>
          <t>샴푸</t>
        </is>
      </c>
      <c r="K3443" s="9" t="n">
        <v>96325</v>
      </c>
    </row>
    <row r="3444">
      <c r="A3444" s="9" t="inlineStr">
        <is>
          <t>0127_GDN_비듬샴푸_잠재고객</t>
        </is>
      </c>
      <c r="B3444" s="10" t="n">
        <v>44340</v>
      </c>
      <c r="C3444" s="9" t="inlineStr">
        <is>
          <t>월</t>
        </is>
      </c>
      <c r="D3444" s="9" t="inlineStr">
        <is>
          <t>GDN</t>
        </is>
      </c>
      <c r="E3444" s="9" t="inlineStr">
        <is>
          <t>샴푸</t>
        </is>
      </c>
      <c r="K3444" s="9" t="n">
        <v>42045</v>
      </c>
    </row>
    <row r="3445">
      <c r="A3445" s="9" t="inlineStr">
        <is>
          <t>0513_샴푸_CPV_피지결석_2차</t>
        </is>
      </c>
      <c r="B3445" s="10" t="n">
        <v>44340</v>
      </c>
      <c r="C3445" s="9" t="inlineStr">
        <is>
          <t>월</t>
        </is>
      </c>
      <c r="D3445" s="9" t="inlineStr">
        <is>
          <t>유튜브</t>
        </is>
      </c>
      <c r="E3445" s="9" t="inlineStr">
        <is>
          <t>샴푸</t>
        </is>
      </c>
      <c r="K3445" s="9" t="n">
        <v>1946</v>
      </c>
    </row>
    <row r="3446">
      <c r="A3446" s="9" t="inlineStr">
        <is>
          <t>0514_샴푸_DA_모낭결석</t>
        </is>
      </c>
      <c r="B3446" s="10" t="n">
        <v>44340</v>
      </c>
      <c r="C3446" s="9" t="inlineStr">
        <is>
          <t>월</t>
        </is>
      </c>
      <c r="D3446" s="9" t="inlineStr">
        <is>
          <t>유튜브</t>
        </is>
      </c>
      <c r="E3446" s="9" t="inlineStr">
        <is>
          <t>샴푸</t>
        </is>
      </c>
      <c r="K3446" s="9" t="n">
        <v>51320</v>
      </c>
    </row>
    <row r="3447">
      <c r="A3447" s="9" t="inlineStr">
        <is>
          <t>0518_샴푸_VAC_피지결석2</t>
        </is>
      </c>
      <c r="B3447" s="10" t="n">
        <v>44340</v>
      </c>
      <c r="C3447" s="9" t="inlineStr">
        <is>
          <t>월</t>
        </is>
      </c>
      <c r="D3447" s="9" t="inlineStr">
        <is>
          <t>유튜브</t>
        </is>
      </c>
      <c r="E3447" s="9" t="inlineStr">
        <is>
          <t>샴푸</t>
        </is>
      </c>
      <c r="K3447" s="9" t="n">
        <v>521282</v>
      </c>
    </row>
    <row r="3448">
      <c r="A3448" s="9" t="inlineStr">
        <is>
          <t>0520_샴푸_CPV_피지결석_4차</t>
        </is>
      </c>
      <c r="B3448" s="10" t="n">
        <v>44340</v>
      </c>
      <c r="C3448" s="9" t="inlineStr">
        <is>
          <t>월</t>
        </is>
      </c>
      <c r="D3448" s="9" t="inlineStr">
        <is>
          <t>유튜브</t>
        </is>
      </c>
      <c r="E3448" s="9" t="inlineStr">
        <is>
          <t>샴푸</t>
        </is>
      </c>
      <c r="K3448" s="9" t="n">
        <v>1890591</v>
      </c>
    </row>
    <row r="3449">
      <c r="A3449" s="9" t="inlineStr">
        <is>
          <t>라베나 파워링크_샴푸_광고그룹#1</t>
        </is>
      </c>
      <c r="B3449" s="10" t="n">
        <v>44340</v>
      </c>
      <c r="C3449" s="9" t="inlineStr">
        <is>
          <t>월</t>
        </is>
      </c>
      <c r="D3449" s="9" t="inlineStr">
        <is>
          <t>네이버 검색</t>
        </is>
      </c>
      <c r="E3449" s="9" t="inlineStr">
        <is>
          <t>샴푸</t>
        </is>
      </c>
      <c r="K3449" s="9" t="n">
        <v>5220</v>
      </c>
    </row>
    <row r="3450">
      <c r="A3450" s="9" t="inlineStr">
        <is>
          <t>라베나 파워링크_샴푸#1_유튜브키워드기반</t>
        </is>
      </c>
      <c r="B3450" s="10" t="n">
        <v>44340</v>
      </c>
      <c r="C3450" s="9" t="inlineStr">
        <is>
          <t>월</t>
        </is>
      </c>
      <c r="D3450" s="9" t="inlineStr">
        <is>
          <t>네이버 검색</t>
        </is>
      </c>
      <c r="E3450" s="9" t="inlineStr">
        <is>
          <t>샴푸</t>
        </is>
      </c>
      <c r="K3450" s="9" t="n">
        <v>2310</v>
      </c>
    </row>
    <row r="3451">
      <c r="A3451" s="9" t="inlineStr">
        <is>
          <t>샴푸_쇼핑검색#1_광고그룹#1</t>
        </is>
      </c>
      <c r="B3451" s="10" t="n">
        <v>44340</v>
      </c>
      <c r="C3451" s="9" t="inlineStr">
        <is>
          <t>월</t>
        </is>
      </c>
      <c r="D3451" s="9" t="inlineStr">
        <is>
          <t>네이버 검색</t>
        </is>
      </c>
      <c r="E3451" s="9" t="inlineStr">
        <is>
          <t>샴푸</t>
        </is>
      </c>
      <c r="K3451" s="9" t="n">
        <v>2380</v>
      </c>
    </row>
    <row r="3452">
      <c r="A3452" s="9" t="inlineStr">
        <is>
          <t>파워컨텐츠#1_비듬샴푸</t>
        </is>
      </c>
      <c r="B3452" s="10" t="n">
        <v>44340</v>
      </c>
      <c r="C3452" s="9" t="inlineStr">
        <is>
          <t>월</t>
        </is>
      </c>
      <c r="D3452" s="9" t="inlineStr">
        <is>
          <t>네이버 검색</t>
        </is>
      </c>
      <c r="E3452" s="9" t="inlineStr">
        <is>
          <t>샴푸</t>
        </is>
      </c>
      <c r="K3452" s="9" t="n">
        <v>140</v>
      </c>
    </row>
    <row r="3453">
      <c r="B3453" s="10" t="n">
        <v>44340</v>
      </c>
      <c r="C3453" s="9" t="inlineStr">
        <is>
          <t>월</t>
        </is>
      </c>
      <c r="E3453" s="9" t="inlineStr">
        <is>
          <t>샴푸</t>
        </is>
      </c>
      <c r="F3453" s="9" t="inlineStr">
        <is>
          <t>라베나 CS</t>
        </is>
      </c>
      <c r="G3453" s="9" t="inlineStr">
        <is>
          <t>헤어 리커버리 15 리바이탈 샴푸</t>
        </is>
      </c>
      <c r="H3453" s="9" t="n">
        <v>2</v>
      </c>
      <c r="I3453" s="9" t="inlineStr">
        <is>
          <t>리바이탈 샴푸</t>
        </is>
      </c>
      <c r="J3453" s="9" t="inlineStr">
        <is>
          <t>210201</t>
        </is>
      </c>
      <c r="L3453" s="9">
        <f>VLOOKUP($O3453,매칭테이블!$G:$J,2,0)*H3453</f>
        <v/>
      </c>
      <c r="M3453" s="9">
        <f>L3453-L3453*VLOOKUP($O3453,매칭테이블!$G:$J,3,0)</f>
        <v/>
      </c>
      <c r="N3453" s="9">
        <f>VLOOKUP($O3453,매칭테이블!$G:$J,4,0)*H3453</f>
        <v/>
      </c>
      <c r="O3453" s="9">
        <f>F3453&amp;E3453&amp;G3453&amp;J3453</f>
        <v/>
      </c>
    </row>
    <row r="3454">
      <c r="B3454" s="10" t="n">
        <v>44340</v>
      </c>
      <c r="C3454" s="9" t="inlineStr">
        <is>
          <t>월</t>
        </is>
      </c>
      <c r="E3454" s="9">
        <f>INDEX(매칭테이블!C:C,MATCH(RD!G3454,매칭테이블!D:D,0))</f>
        <v/>
      </c>
      <c r="F3454" s="9" t="inlineStr">
        <is>
          <t>카페24</t>
        </is>
      </c>
      <c r="G3454" s="9" t="inlineStr">
        <is>
          <t>[타임특가] 라베나 리:커버리 3개월 패키지 (샴푸 2+ 트리트먼트 택 1)샴푸2 + 트리트먼트 택 1=샴푸2 + 뉴트리셔스 밤1</t>
        </is>
      </c>
      <c r="H3454" s="9" t="n">
        <v>5</v>
      </c>
      <c r="I3454" s="9">
        <f>VLOOKUP(G3454,매칭테이블!D:E,2,0)</f>
        <v/>
      </c>
      <c r="J3454" s="9" t="inlineStr">
        <is>
          <t>210201</t>
        </is>
      </c>
      <c r="L3454" s="9">
        <f>VLOOKUP($O3454,매칭테이블!$G:$J,2,0)*H3454</f>
        <v/>
      </c>
      <c r="M3454" s="9">
        <f>L3454-L3454*VLOOKUP($O3454,매칭테이블!$G:$J,3,0)</f>
        <v/>
      </c>
      <c r="N3454" s="9">
        <f>VLOOKUP($O3454,매칭테이블!$G:$J,4,0)*H3454</f>
        <v/>
      </c>
      <c r="O3454" s="9">
        <f>F3454&amp;E3454&amp;G3454&amp;J3454</f>
        <v/>
      </c>
    </row>
    <row r="3455">
      <c r="B3455" s="10" t="n">
        <v>44340</v>
      </c>
      <c r="C3455" s="9" t="inlineStr">
        <is>
          <t>월</t>
        </is>
      </c>
      <c r="E3455" s="9">
        <f>INDEX(매칭테이블!C:C,MATCH(RD!G3455,매칭테이블!D:D,0))</f>
        <v/>
      </c>
      <c r="F3455" s="9" t="inlineStr">
        <is>
          <t>카페24</t>
        </is>
      </c>
      <c r="G3455" s="9" t="inlineStr">
        <is>
          <t>[타임특가] 라베나 리:커버리 3개월 패키지 (샴푸 2+ 트리트먼트 택 1)샴푸2 + 트리트먼트 택 1=샴푸2 + 헤어팩 트리트먼트1</t>
        </is>
      </c>
      <c r="H3455" s="9" t="n">
        <v>10</v>
      </c>
      <c r="I3455" s="9">
        <f>VLOOKUP(G3455,매칭테이블!D:E,2,0)</f>
        <v/>
      </c>
      <c r="J3455" s="9" t="inlineStr">
        <is>
          <t>210201</t>
        </is>
      </c>
      <c r="L3455" s="9">
        <f>VLOOKUP($O3455,매칭테이블!$G:$J,2,0)*H3455</f>
        <v/>
      </c>
      <c r="M3455" s="9">
        <f>L3455-L3455*VLOOKUP($O3455,매칭테이블!$G:$J,3,0)</f>
        <v/>
      </c>
      <c r="N3455" s="9">
        <f>VLOOKUP($O3455,매칭테이블!$G:$J,4,0)*H3455</f>
        <v/>
      </c>
      <c r="O3455" s="9">
        <f>F3455&amp;E3455&amp;G3455&amp;J3455</f>
        <v/>
      </c>
    </row>
    <row r="3456">
      <c r="B3456" s="10" t="n">
        <v>44340</v>
      </c>
      <c r="C3456" s="9" t="inlineStr">
        <is>
          <t>월</t>
        </is>
      </c>
      <c r="E3456" s="9">
        <f>INDEX(매칭테이블!C:C,MATCH(RD!G3456,매칭테이블!D:D,0))</f>
        <v/>
      </c>
      <c r="F3456" s="9" t="inlineStr">
        <is>
          <t>카페24</t>
        </is>
      </c>
      <c r="G3456" s="9" t="inlineStr">
        <is>
          <t>[타임특가] 라베나 리:커버리 6개월 패키지 (샴푸 5+ 트리트먼트 택 1)샴푸 5 + 트리트먼트 택 1=샴푸 5 + 뉴트리셔스 밤 1</t>
        </is>
      </c>
      <c r="H3456" s="9" t="n">
        <v>4</v>
      </c>
      <c r="I3456" s="9">
        <f>VLOOKUP(G3456,매칭테이블!D:E,2,0)</f>
        <v/>
      </c>
      <c r="J3456" s="9" t="inlineStr">
        <is>
          <t>210201</t>
        </is>
      </c>
      <c r="L3456" s="9">
        <f>VLOOKUP($O3456,매칭테이블!$G:$J,2,0)*H3456</f>
        <v/>
      </c>
      <c r="M3456" s="9">
        <f>L3456-L3456*VLOOKUP($O3456,매칭테이블!$G:$J,3,0)</f>
        <v/>
      </c>
      <c r="N3456" s="9">
        <f>VLOOKUP($O3456,매칭테이블!$G:$J,4,0)*H3456</f>
        <v/>
      </c>
      <c r="O3456" s="9">
        <f>F3456&amp;E3456&amp;G3456&amp;J3456</f>
        <v/>
      </c>
    </row>
    <row r="3457">
      <c r="B3457" s="10" t="n">
        <v>44340</v>
      </c>
      <c r="C3457" s="9" t="inlineStr">
        <is>
          <t>월</t>
        </is>
      </c>
      <c r="E3457" s="9">
        <f>INDEX(매칭테이블!C:C,MATCH(RD!G3457,매칭테이블!D:D,0))</f>
        <v/>
      </c>
      <c r="F3457" s="9" t="inlineStr">
        <is>
          <t>카페24</t>
        </is>
      </c>
      <c r="G3457" s="9" t="inlineStr">
        <is>
          <t>[타임특가] 라베나 리:커버리 6개월 패키지 (샴푸 5+ 트리트먼트 택 1)샴푸 5 + 트리트먼트 택 1=샴푸 5 + 헤어팩 트리트먼트 1</t>
        </is>
      </c>
      <c r="H3457" s="9" t="n">
        <v>2</v>
      </c>
      <c r="I3457" s="9">
        <f>VLOOKUP(G3457,매칭테이블!D:E,2,0)</f>
        <v/>
      </c>
      <c r="J3457" s="9" t="inlineStr">
        <is>
          <t>210201</t>
        </is>
      </c>
      <c r="L3457" s="9">
        <f>VLOOKUP($O3457,매칭테이블!$G:$J,2,0)*H3457</f>
        <v/>
      </c>
      <c r="M3457" s="9">
        <f>L3457-L3457*VLOOKUP($O3457,매칭테이블!$G:$J,3,0)</f>
        <v/>
      </c>
      <c r="N3457" s="9">
        <f>VLOOKUP($O3457,매칭테이블!$G:$J,4,0)*H3457</f>
        <v/>
      </c>
      <c r="O3457" s="9">
        <f>F3457&amp;E3457&amp;G3457&amp;J3457</f>
        <v/>
      </c>
    </row>
    <row r="3458">
      <c r="B3458" s="10" t="n">
        <v>44340</v>
      </c>
      <c r="C3458" s="9" t="inlineStr">
        <is>
          <t>월</t>
        </is>
      </c>
      <c r="E3458" s="9">
        <f>INDEX(매칭테이블!C:C,MATCH(RD!G3458,매칭테이블!D:D,0))</f>
        <v/>
      </c>
      <c r="F3458" s="9" t="inlineStr">
        <is>
          <t>카페24</t>
        </is>
      </c>
      <c r="G3458" s="9" t="inlineStr">
        <is>
          <t>[타임특가] 라베나 리:커버리 온가족 패키지 (샴푸 3+ 헤어팩 트리트먼트 1+뉴트리셔스 밤 1)</t>
        </is>
      </c>
      <c r="H3458" s="9" t="n">
        <v>2</v>
      </c>
      <c r="I3458" s="9">
        <f>VLOOKUP(G3458,매칭테이블!D:E,2,0)</f>
        <v/>
      </c>
      <c r="J3458" s="9" t="inlineStr">
        <is>
          <t>210201</t>
        </is>
      </c>
      <c r="L3458" s="9">
        <f>VLOOKUP($O3458,매칭테이블!$G:$J,2,0)*H3458</f>
        <v/>
      </c>
      <c r="M3458" s="9">
        <f>L3458-L3458*VLOOKUP($O3458,매칭테이블!$G:$J,3,0)</f>
        <v/>
      </c>
      <c r="N3458" s="9">
        <f>VLOOKUP($O3458,매칭테이블!$G:$J,4,0)*H3458</f>
        <v/>
      </c>
      <c r="O3458" s="9">
        <f>F3458&amp;E3458&amp;G3458&amp;J3458</f>
        <v/>
      </c>
    </row>
    <row r="3459">
      <c r="B3459" s="10" t="n">
        <v>44340</v>
      </c>
      <c r="C3459" s="9" t="inlineStr">
        <is>
          <t>월</t>
        </is>
      </c>
      <c r="E3459" s="9">
        <f>INDEX(매칭테이블!C:C,MATCH(RD!G3459,매칭테이블!D:D,0))</f>
        <v/>
      </c>
      <c r="F3459" s="9" t="inlineStr">
        <is>
          <t>카페24</t>
        </is>
      </c>
      <c r="G3459" s="9" t="inlineStr">
        <is>
          <t>라베나 리커버리 15 뉴트리셔스 밤제품선택=헤어 리커버리 15 뉴트리셔스 밤</t>
        </is>
      </c>
      <c r="H3459" s="9" t="n">
        <v>2</v>
      </c>
      <c r="I3459" s="9">
        <f>VLOOKUP(G3459,매칭테이블!D:E,2,0)</f>
        <v/>
      </c>
      <c r="J3459" s="9" t="inlineStr">
        <is>
          <t>210201</t>
        </is>
      </c>
      <c r="L3459" s="9">
        <f>VLOOKUP($O3459,매칭테이블!$G:$J,2,0)*H3459</f>
        <v/>
      </c>
      <c r="M3459" s="9">
        <f>L3459-L3459*VLOOKUP($O3459,매칭테이블!$G:$J,3,0)</f>
        <v/>
      </c>
      <c r="N3459" s="9">
        <f>VLOOKUP($O3459,매칭테이블!$G:$J,4,0)*H3459</f>
        <v/>
      </c>
      <c r="O3459" s="9">
        <f>F3459&amp;E3459&amp;G3459&amp;J3459</f>
        <v/>
      </c>
    </row>
    <row r="3460">
      <c r="B3460" s="10" t="n">
        <v>44340</v>
      </c>
      <c r="C3460" s="9" t="inlineStr">
        <is>
          <t>월</t>
        </is>
      </c>
      <c r="E3460" s="9" t="inlineStr">
        <is>
          <t>샴푸</t>
        </is>
      </c>
      <c r="F3460" s="9" t="inlineStr">
        <is>
          <t>카페24</t>
        </is>
      </c>
      <c r="G3460" s="9" t="inlineStr">
        <is>
          <t>라베나 리커버리 15 리바이탈 바이오플라보노이드샴푸제품선택=헤어 리커버리 15 리바이탈 샴푸 - 500ml</t>
        </is>
      </c>
      <c r="H3460" s="9" t="n">
        <v>153</v>
      </c>
      <c r="I3460" s="9">
        <f>VLOOKUP(G3460,매칭테이블!D:E,2,0)</f>
        <v/>
      </c>
      <c r="J3460" s="9" t="inlineStr">
        <is>
          <t>210201</t>
        </is>
      </c>
      <c r="L3460" s="9">
        <f>VLOOKUP($O3460,매칭테이블!$G:$J,2,0)*H3460</f>
        <v/>
      </c>
      <c r="M3460" s="9">
        <f>L3460-L3460*VLOOKUP($O3460,매칭테이블!$G:$J,3,0)</f>
        <v/>
      </c>
      <c r="N3460" s="9">
        <f>VLOOKUP($O3460,매칭테이블!$G:$J,4,0)*H3460</f>
        <v/>
      </c>
      <c r="O3460" s="9">
        <f>F3460&amp;E3460&amp;G3460&amp;J3460</f>
        <v/>
      </c>
    </row>
    <row r="3461">
      <c r="B3461" s="10" t="n">
        <v>44340</v>
      </c>
      <c r="C3461" s="9" t="inlineStr">
        <is>
          <t>월</t>
        </is>
      </c>
      <c r="E3461" s="9" t="inlineStr">
        <is>
          <t>샴푸</t>
        </is>
      </c>
      <c r="F3461" s="9" t="inlineStr">
        <is>
          <t>카페24</t>
        </is>
      </c>
      <c r="G3461" s="9" t="inlineStr">
        <is>
          <t>라베나 리커버리 15 리바이탈 바이오플라보노이드샴푸제품선택=리바이탈 샴푸 2개 세트 5%추가할인</t>
        </is>
      </c>
      <c r="H3461" s="9" t="n">
        <v>53</v>
      </c>
      <c r="I3461" s="9">
        <f>VLOOKUP(G3461,매칭테이블!D:E,2,0)</f>
        <v/>
      </c>
      <c r="J3461" s="9" t="inlineStr">
        <is>
          <t>210201</t>
        </is>
      </c>
      <c r="L3461" s="9">
        <f>VLOOKUP($O3461,매칭테이블!$G:$J,2,0)*H3461</f>
        <v/>
      </c>
      <c r="M3461" s="9">
        <f>L3461-L3461*VLOOKUP($O3461,매칭테이블!$G:$J,3,0)</f>
        <v/>
      </c>
      <c r="N3461" s="9">
        <f>VLOOKUP($O3461,매칭테이블!$G:$J,4,0)*H3461</f>
        <v/>
      </c>
      <c r="O3461" s="9">
        <f>F3461&amp;E3461&amp;G3461&amp;J3461</f>
        <v/>
      </c>
    </row>
    <row r="3462">
      <c r="B3462" s="10" t="n">
        <v>44340</v>
      </c>
      <c r="C3462" s="9" t="inlineStr">
        <is>
          <t>월</t>
        </is>
      </c>
      <c r="E3462" s="9" t="inlineStr">
        <is>
          <t>샴푸</t>
        </is>
      </c>
      <c r="F3462" s="9" t="inlineStr">
        <is>
          <t>카페24</t>
        </is>
      </c>
      <c r="G3462" s="9" t="inlineStr">
        <is>
          <t>라베나 리커버리 15 리바이탈 바이오플라보노이드샴푸제품선택=리바이탈 샴푸 3개 세트 10% 추가할인</t>
        </is>
      </c>
      <c r="H3462" s="9" t="n">
        <v>23</v>
      </c>
      <c r="I3462" s="9">
        <f>VLOOKUP(G3462,매칭테이블!D:E,2,0)</f>
        <v/>
      </c>
      <c r="J3462" s="9" t="inlineStr">
        <is>
          <t>210201</t>
        </is>
      </c>
      <c r="L3462" s="9">
        <f>VLOOKUP($O3462,매칭테이블!$G:$J,2,0)*H3462</f>
        <v/>
      </c>
      <c r="M3462" s="9">
        <f>L3462-L3462*VLOOKUP($O3462,매칭테이블!$G:$J,3,0)</f>
        <v/>
      </c>
      <c r="N3462" s="9">
        <f>VLOOKUP($O3462,매칭테이블!$G:$J,4,0)*H3462</f>
        <v/>
      </c>
      <c r="O3462" s="9">
        <f>F3462&amp;E3462&amp;G3462&amp;J3462</f>
        <v/>
      </c>
    </row>
    <row r="3463">
      <c r="B3463" s="10" t="n">
        <v>44340</v>
      </c>
      <c r="C3463" s="9" t="inlineStr">
        <is>
          <t>월</t>
        </is>
      </c>
      <c r="E3463" s="9" t="inlineStr">
        <is>
          <t>트리트먼트</t>
        </is>
      </c>
      <c r="F3463" s="9" t="inlineStr">
        <is>
          <t>카페24</t>
        </is>
      </c>
      <c r="G3463" s="9" t="inlineStr">
        <is>
          <t>라베나 리커버리 15 헤어팩 트리트먼트제품선택=헤어 리커버리 15 헤어팩 트리트먼트</t>
        </is>
      </c>
      <c r="H3463" s="9" t="n">
        <v>4</v>
      </c>
      <c r="I3463" s="9">
        <f>VLOOKUP(G3463,매칭테이블!D:E,2,0)</f>
        <v/>
      </c>
      <c r="J3463" s="9" t="inlineStr">
        <is>
          <t>210201</t>
        </is>
      </c>
      <c r="L3463" s="9">
        <f>VLOOKUP($O3463,매칭테이블!$G:$J,2,0)*H3463</f>
        <v/>
      </c>
      <c r="M3463" s="9">
        <f>L3463-L3463*VLOOKUP($O3463,매칭테이블!$G:$J,3,0)</f>
        <v/>
      </c>
      <c r="N3463" s="9">
        <f>VLOOKUP($O3463,매칭테이블!$G:$J,4,0)*H3463</f>
        <v/>
      </c>
      <c r="O3463" s="9">
        <f>F3463&amp;E3463&amp;G3463&amp;J3463</f>
        <v/>
      </c>
    </row>
    <row r="3464">
      <c r="B3464" s="10" t="n">
        <v>44340</v>
      </c>
      <c r="C3464" s="9" t="inlineStr">
        <is>
          <t>월</t>
        </is>
      </c>
      <c r="E3464" s="9" t="inlineStr">
        <is>
          <t>트리트먼트</t>
        </is>
      </c>
      <c r="F3464" s="9" t="inlineStr">
        <is>
          <t>카페24</t>
        </is>
      </c>
      <c r="G3464" s="9" t="inlineStr">
        <is>
          <t>라베나 리커버리 15 헤어팩 트리트먼트제품선택=헤어팩 트리트먼트 2개 세트 5% 추가할인</t>
        </is>
      </c>
      <c r="H3464" s="9" t="n">
        <v>2</v>
      </c>
      <c r="I3464" s="9">
        <f>VLOOKUP(G3464,매칭테이블!D:E,2,0)</f>
        <v/>
      </c>
      <c r="J3464" s="9" t="inlineStr">
        <is>
          <t>210201</t>
        </is>
      </c>
      <c r="L3464" s="9">
        <f>VLOOKUP($O3464,매칭테이블!$G:$J,2,0)*H3464</f>
        <v/>
      </c>
      <c r="M3464" s="9">
        <f>L3464-L3464*VLOOKUP($O3464,매칭테이블!$G:$J,3,0)</f>
        <v/>
      </c>
      <c r="N3464" s="9">
        <f>VLOOKUP($O3464,매칭테이블!$G:$J,4,0)*H3464</f>
        <v/>
      </c>
      <c r="O3464" s="9">
        <f>F3464&amp;E3464&amp;G3464&amp;J3464</f>
        <v/>
      </c>
    </row>
    <row r="3465">
      <c r="B3465" s="10" t="n">
        <v>44340</v>
      </c>
      <c r="C3465" s="9" t="inlineStr">
        <is>
          <t>월</t>
        </is>
      </c>
      <c r="E3465" s="9" t="inlineStr">
        <is>
          <t>트리트먼트</t>
        </is>
      </c>
      <c r="F3465" s="9" t="inlineStr">
        <is>
          <t>카페24</t>
        </is>
      </c>
      <c r="G3465" s="9" t="inlineStr">
        <is>
          <t>라베나 리커버리 15 헤어팩 트리트먼트제품선택=헤어팩 트리트먼트 3개 세트 10% 추가할인</t>
        </is>
      </c>
      <c r="H3465" s="9" t="n">
        <v>1</v>
      </c>
      <c r="I3465" s="9">
        <f>VLOOKUP(G3465,매칭테이블!D:E,2,0)</f>
        <v/>
      </c>
      <c r="J3465" s="9" t="inlineStr">
        <is>
          <t>210201</t>
        </is>
      </c>
      <c r="L3465" s="9">
        <f>VLOOKUP($O3465,매칭테이블!$G:$J,2,0)*H3465</f>
        <v/>
      </c>
      <c r="M3465" s="9">
        <f>L3465-L3465*VLOOKUP($O3465,매칭테이블!$G:$J,3,0)</f>
        <v/>
      </c>
      <c r="N3465" s="9">
        <f>VLOOKUP($O3465,매칭테이블!$G:$J,4,0)*H3465</f>
        <v/>
      </c>
      <c r="O3465" s="9">
        <f>F3465&amp;E3465&amp;G3465&amp;J3465</f>
        <v/>
      </c>
    </row>
    <row r="3466">
      <c r="B3466" s="10" t="n">
        <v>44340</v>
      </c>
      <c r="C3466" s="9" t="inlineStr">
        <is>
          <t>월</t>
        </is>
      </c>
      <c r="E3466" s="9" t="inlineStr">
        <is>
          <t>트리트먼트</t>
        </is>
      </c>
      <c r="F3466" s="9" t="inlineStr">
        <is>
          <t>카페24</t>
        </is>
      </c>
      <c r="G3466" s="9" t="inlineStr">
        <is>
          <t>라베나 리커버리 15 헤어팩 트리트먼트제품선택=헤어팩 트리트먼트 1개 + 뉴트리셔스밤 1개 세트 5% 추가할인</t>
        </is>
      </c>
      <c r="H3466" s="9" t="n">
        <v>1</v>
      </c>
      <c r="I3466" s="9">
        <f>VLOOKUP(G3466,매칭테이블!D:E,2,0)</f>
        <v/>
      </c>
      <c r="J3466" s="9" t="inlineStr">
        <is>
          <t>210201</t>
        </is>
      </c>
      <c r="L3466" s="9">
        <f>VLOOKUP($O3466,매칭테이블!$G:$J,2,0)*H3466</f>
        <v/>
      </c>
      <c r="M3466" s="9">
        <f>L3466-L3466*VLOOKUP($O3466,매칭테이블!$G:$J,3,0)</f>
        <v/>
      </c>
      <c r="N3466" s="9">
        <f>VLOOKUP($O3466,매칭테이블!$G:$J,4,0)*H3466</f>
        <v/>
      </c>
      <c r="O3466" s="9">
        <f>F3466&amp;E3466&amp;G3466&amp;J3466</f>
        <v/>
      </c>
    </row>
    <row r="3467">
      <c r="A3467" s="9" t="inlineStr">
        <is>
          <t>0525_인서_샴푸_묶은자국_영상_리</t>
        </is>
      </c>
      <c r="B3467" s="10" t="n">
        <v>44341</v>
      </c>
      <c r="C3467" s="9" t="inlineStr">
        <is>
          <t>화</t>
        </is>
      </c>
      <c r="D3467" s="9" t="inlineStr">
        <is>
          <t>페이스북</t>
        </is>
      </c>
      <c r="E3467" s="9" t="inlineStr">
        <is>
          <t>샴푸</t>
        </is>
      </c>
      <c r="K3467" s="9" t="n">
        <v>21202</v>
      </c>
    </row>
    <row r="3468">
      <c r="A3468" s="9" t="inlineStr">
        <is>
          <t>0514_인서_샴푸_묶은자국_영상_트래픽</t>
        </is>
      </c>
      <c r="B3468" s="10" t="n">
        <v>44341</v>
      </c>
      <c r="C3468" s="9" t="inlineStr">
        <is>
          <t>화</t>
        </is>
      </c>
      <c r="D3468" s="9" t="inlineStr">
        <is>
          <t>페이스북</t>
        </is>
      </c>
      <c r="E3468" s="9" t="inlineStr">
        <is>
          <t>샴푸</t>
        </is>
      </c>
      <c r="K3468" s="9" t="n">
        <v>42101</v>
      </c>
    </row>
    <row r="3469">
      <c r="A3469" s="9" t="inlineStr">
        <is>
          <t>0524_인서_묶은자국_영상_동영상조회</t>
        </is>
      </c>
      <c r="B3469" s="10" t="n">
        <v>44341</v>
      </c>
      <c r="C3469" s="9" t="inlineStr">
        <is>
          <t>화</t>
        </is>
      </c>
      <c r="D3469" s="9" t="inlineStr">
        <is>
          <t>페이스북</t>
        </is>
      </c>
      <c r="E3469" s="9" t="inlineStr">
        <is>
          <t>샴푸</t>
        </is>
      </c>
      <c r="K3469" s="9" t="n">
        <v>48347</v>
      </c>
    </row>
    <row r="3470">
      <c r="A3470" s="9" t="inlineStr">
        <is>
          <t>0514_현빈_샴푸_피지결석_카드뉴스</t>
        </is>
      </c>
      <c r="B3470" s="10" t="n">
        <v>44341</v>
      </c>
      <c r="C3470" s="9" t="inlineStr">
        <is>
          <t>화</t>
        </is>
      </c>
      <c r="D3470" s="9" t="inlineStr">
        <is>
          <t>페이스북</t>
        </is>
      </c>
      <c r="E3470" s="9" t="inlineStr">
        <is>
          <t>샴푸</t>
        </is>
      </c>
      <c r="K3470" s="9" t="n">
        <v>301188</v>
      </c>
    </row>
    <row r="3471">
      <c r="A3471" s="9" t="inlineStr">
        <is>
          <t>0316~영상베리</t>
        </is>
      </c>
      <c r="B3471" s="10" t="n">
        <v>44341</v>
      </c>
      <c r="C3471" s="9" t="inlineStr">
        <is>
          <t>화</t>
        </is>
      </c>
      <c r="D3471" s="9" t="inlineStr">
        <is>
          <t>페이스북</t>
        </is>
      </c>
      <c r="E3471" s="9" t="inlineStr">
        <is>
          <t>샴푸</t>
        </is>
      </c>
      <c r="K3471" s="9" t="n">
        <v>99507</v>
      </c>
    </row>
    <row r="3472">
      <c r="A3472" s="9" t="inlineStr">
        <is>
          <t>0513_샴푸_CPV_피지결석_2차</t>
        </is>
      </c>
      <c r="B3472" s="10" t="n">
        <v>44341</v>
      </c>
      <c r="C3472" s="9" t="inlineStr">
        <is>
          <t>화</t>
        </is>
      </c>
      <c r="D3472" s="9" t="inlineStr">
        <is>
          <t>유튜브</t>
        </is>
      </c>
      <c r="E3472" s="9" t="inlineStr">
        <is>
          <t>샴푸</t>
        </is>
      </c>
      <c r="K3472" s="9" t="n">
        <v>11005</v>
      </c>
    </row>
    <row r="3473">
      <c r="A3473" s="9" t="inlineStr">
        <is>
          <t>0514_샴푸_DA_모낭결석</t>
        </is>
      </c>
      <c r="B3473" s="10" t="n">
        <v>44341</v>
      </c>
      <c r="C3473" s="9" t="inlineStr">
        <is>
          <t>화</t>
        </is>
      </c>
      <c r="D3473" s="9" t="inlineStr">
        <is>
          <t>유튜브</t>
        </is>
      </c>
      <c r="E3473" s="9" t="inlineStr">
        <is>
          <t>샴푸</t>
        </is>
      </c>
      <c r="K3473" s="9" t="n">
        <v>74735</v>
      </c>
    </row>
    <row r="3474">
      <c r="A3474" s="9" t="inlineStr">
        <is>
          <t>0518_샴푸_VAC_피지결석2</t>
        </is>
      </c>
      <c r="B3474" s="10" t="n">
        <v>44341</v>
      </c>
      <c r="C3474" s="9" t="inlineStr">
        <is>
          <t>화</t>
        </is>
      </c>
      <c r="D3474" s="9" t="inlineStr">
        <is>
          <t>유튜브</t>
        </is>
      </c>
      <c r="E3474" s="9" t="inlineStr">
        <is>
          <t>샴푸</t>
        </is>
      </c>
      <c r="K3474" s="9" t="n">
        <v>839775</v>
      </c>
    </row>
    <row r="3475">
      <c r="A3475" s="9" t="inlineStr">
        <is>
          <t>0520_샴푸_CPV_피지결석_4차</t>
        </is>
      </c>
      <c r="B3475" s="10" t="n">
        <v>44341</v>
      </c>
      <c r="C3475" s="9" t="inlineStr">
        <is>
          <t>화</t>
        </is>
      </c>
      <c r="D3475" s="9" t="inlineStr">
        <is>
          <t>유튜브</t>
        </is>
      </c>
      <c r="E3475" s="9" t="inlineStr">
        <is>
          <t>샴푸</t>
        </is>
      </c>
      <c r="K3475" s="9" t="n">
        <v>4610</v>
      </c>
    </row>
    <row r="3476">
      <c r="A3476" s="9" t="inlineStr">
        <is>
          <t>0525_샴푸_CPV_피지결석_6차</t>
        </is>
      </c>
      <c r="B3476" s="10" t="n">
        <v>44341</v>
      </c>
      <c r="C3476" s="9" t="inlineStr">
        <is>
          <t>화</t>
        </is>
      </c>
      <c r="D3476" s="9" t="inlineStr">
        <is>
          <t>유튜브</t>
        </is>
      </c>
      <c r="E3476" s="9" t="inlineStr">
        <is>
          <t>샴푸</t>
        </is>
      </c>
      <c r="K3476" s="9" t="n">
        <v>95</v>
      </c>
    </row>
    <row r="3477">
      <c r="A3477" s="9" t="inlineStr">
        <is>
          <t>라베나 파워링크_샴푸_광고그룹#1</t>
        </is>
      </c>
      <c r="B3477" s="10" t="n">
        <v>44341</v>
      </c>
      <c r="C3477" s="9" t="inlineStr">
        <is>
          <t>화</t>
        </is>
      </c>
      <c r="D3477" s="9" t="inlineStr">
        <is>
          <t>네이버 검색</t>
        </is>
      </c>
      <c r="E3477" s="9" t="inlineStr">
        <is>
          <t>샴푸</t>
        </is>
      </c>
      <c r="K3477" s="9" t="n">
        <v>1900</v>
      </c>
    </row>
    <row r="3478">
      <c r="A3478" s="9" t="inlineStr">
        <is>
          <t>라베나 파워링크_샴푸#1_유튜브키워드기반</t>
        </is>
      </c>
      <c r="B3478" s="10" t="n">
        <v>44341</v>
      </c>
      <c r="C3478" s="9" t="inlineStr">
        <is>
          <t>화</t>
        </is>
      </c>
      <c r="D3478" s="9" t="inlineStr">
        <is>
          <t>네이버 검색</t>
        </is>
      </c>
      <c r="E3478" s="9" t="inlineStr">
        <is>
          <t>샴푸</t>
        </is>
      </c>
      <c r="K3478" s="9" t="n">
        <v>3550</v>
      </c>
    </row>
    <row r="3479">
      <c r="A3479" s="9" t="inlineStr">
        <is>
          <t>샴푸_쇼핑검색#1_광고그룹#1</t>
        </is>
      </c>
      <c r="B3479" s="10" t="n">
        <v>44341</v>
      </c>
      <c r="C3479" s="9" t="inlineStr">
        <is>
          <t>화</t>
        </is>
      </c>
      <c r="D3479" s="9" t="inlineStr">
        <is>
          <t>네이버 검색</t>
        </is>
      </c>
      <c r="E3479" s="9" t="inlineStr">
        <is>
          <t>샴푸</t>
        </is>
      </c>
      <c r="K3479" s="9" t="n">
        <v>5350</v>
      </c>
    </row>
    <row r="3480">
      <c r="A3480" s="9" t="inlineStr">
        <is>
          <t>파워컨텐츠#1_비듬샴푸</t>
        </is>
      </c>
      <c r="B3480" s="10" t="n">
        <v>44341</v>
      </c>
      <c r="C3480" s="9" t="inlineStr">
        <is>
          <t>화</t>
        </is>
      </c>
      <c r="D3480" s="9" t="inlineStr">
        <is>
          <t>네이버 검색</t>
        </is>
      </c>
      <c r="E3480" s="9" t="inlineStr">
        <is>
          <t>샴푸</t>
        </is>
      </c>
      <c r="K3480" s="9" t="n">
        <v>140</v>
      </c>
    </row>
    <row r="3481">
      <c r="A3481" s="9" t="inlineStr">
        <is>
          <t>5월 월간 라베나</t>
        </is>
      </c>
      <c r="B3481" s="10" t="n">
        <v>44341</v>
      </c>
      <c r="C3481" s="9" t="inlineStr">
        <is>
          <t>화</t>
        </is>
      </c>
      <c r="D3481" s="9" t="inlineStr">
        <is>
          <t>카카오 플친</t>
        </is>
      </c>
      <c r="E3481" s="9" t="inlineStr">
        <is>
          <t>가글샴푸</t>
        </is>
      </c>
      <c r="K3481" s="9">
        <f>263852/1.1</f>
        <v/>
      </c>
    </row>
    <row r="3482">
      <c r="B3482" s="10" t="n">
        <v>44341</v>
      </c>
      <c r="C3482" s="9" t="inlineStr">
        <is>
          <t>화</t>
        </is>
      </c>
      <c r="E3482" s="9" t="inlineStr">
        <is>
          <t>샴푸</t>
        </is>
      </c>
      <c r="F3482" s="9" t="inlineStr">
        <is>
          <t>라베나 CS</t>
        </is>
      </c>
      <c r="G3482" s="9" t="inlineStr">
        <is>
          <t>헤어 리커버리 15 리바이탈 샴푸</t>
        </is>
      </c>
      <c r="H3482" s="9" t="n">
        <v>1</v>
      </c>
      <c r="I3482" s="9" t="inlineStr">
        <is>
          <t>리바이탈 샴푸</t>
        </is>
      </c>
      <c r="J3482" s="9" t="n">
        <v>210525</v>
      </c>
      <c r="L3482" s="9">
        <f>VLOOKUP($O3482,매칭테이블!$G:$J,2,0)*H3482</f>
        <v/>
      </c>
      <c r="M3482" s="9">
        <f>L3482-L3482*VLOOKUP($O3482,매칭테이블!$G:$J,3,0)</f>
        <v/>
      </c>
      <c r="N3482" s="9">
        <f>VLOOKUP($O3482,매칭테이블!$G:$J,4,0)*H3482</f>
        <v/>
      </c>
      <c r="O3482" s="9">
        <f>F3482&amp;E3482&amp;G3482&amp;J3482</f>
        <v/>
      </c>
    </row>
    <row r="3483">
      <c r="B3483" s="10" t="n">
        <v>44341</v>
      </c>
      <c r="C3483" s="9" t="inlineStr">
        <is>
          <t>화</t>
        </is>
      </c>
      <c r="E3483" s="9" t="inlineStr">
        <is>
          <t>가글샴푸</t>
        </is>
      </c>
      <c r="F3483" s="9" t="inlineStr">
        <is>
          <t>카페24</t>
        </is>
      </c>
      <c r="G3483" s="9" t="inlineStr">
        <is>
          <t>[얼리버드특가] 라베나 딥클렌징 헤어가글 샴푸 (5월 31일 순차예약배송)</t>
        </is>
      </c>
      <c r="H3483" s="9" t="n">
        <v>36</v>
      </c>
      <c r="I3483" s="9">
        <f>VLOOKUP(G3483,매칭테이블!D:E,2,0)</f>
        <v/>
      </c>
      <c r="J3483" s="9" t="n">
        <v>210525</v>
      </c>
      <c r="L3483" s="9">
        <f>VLOOKUP($O3483,매칭테이블!$G:$J,2,0)*H3483</f>
        <v/>
      </c>
      <c r="M3483" s="9">
        <f>L3483-L3483*VLOOKUP($O3483,매칭테이블!$G:$J,3,0)</f>
        <v/>
      </c>
      <c r="N3483" s="9">
        <f>VLOOKUP($O3483,매칭테이블!$G:$J,4,0)*H3483</f>
        <v/>
      </c>
      <c r="O3483" s="9">
        <f>F3483&amp;E3483&amp;G3483&amp;J3483</f>
        <v/>
      </c>
    </row>
    <row r="3484">
      <c r="B3484" s="10" t="n">
        <v>44341</v>
      </c>
      <c r="C3484" s="9" t="inlineStr">
        <is>
          <t>화</t>
        </is>
      </c>
      <c r="E3484" s="9">
        <f>INDEX(매칭테이블!C:C,MATCH(RD!G3484,매칭테이블!D:D,0))</f>
        <v/>
      </c>
      <c r="F3484" s="9" t="inlineStr">
        <is>
          <t>카페24</t>
        </is>
      </c>
      <c r="G3484" s="9" t="inlineStr">
        <is>
          <t>[얼리버드특가] 라베나 딥클렌징 헤어가글 워터 (5월 31일 순차예약배송)</t>
        </is>
      </c>
      <c r="H3484" s="9" t="n">
        <v>8</v>
      </c>
      <c r="I3484" s="9">
        <f>VLOOKUP(G3484,매칭테이블!D:E,2,0)</f>
        <v/>
      </c>
      <c r="J3484" s="9" t="n">
        <v>210525</v>
      </c>
      <c r="L3484" s="9">
        <f>VLOOKUP($O3484,매칭테이블!$G:$J,2,0)*H3484</f>
        <v/>
      </c>
      <c r="M3484" s="9">
        <f>L3484-L3484*VLOOKUP($O3484,매칭테이블!$G:$J,3,0)</f>
        <v/>
      </c>
      <c r="N3484" s="9">
        <f>VLOOKUP($O3484,매칭테이블!$G:$J,4,0)*H3484</f>
        <v/>
      </c>
      <c r="O3484" s="9">
        <f>F3484&amp;E3484&amp;G3484&amp;J3484</f>
        <v/>
      </c>
    </row>
    <row r="3485">
      <c r="B3485" s="10" t="n">
        <v>44341</v>
      </c>
      <c r="C3485" s="9" t="inlineStr">
        <is>
          <t>화</t>
        </is>
      </c>
      <c r="E3485" s="9">
        <f>INDEX(매칭테이블!C:C,MATCH(RD!G3485,매칭테이블!D:D,0))</f>
        <v/>
      </c>
      <c r="F3485" s="9" t="inlineStr">
        <is>
          <t>카페24</t>
        </is>
      </c>
      <c r="G3485" s="9" t="inlineStr">
        <is>
          <t>[얼리버드특가] 라베나 딥클렌징 헤어가글라인 set (5월 31일 순차예약배송)</t>
        </is>
      </c>
      <c r="H3485" s="9" t="n">
        <v>30</v>
      </c>
      <c r="I3485" s="9">
        <f>VLOOKUP(G3485,매칭테이블!D:E,2,0)</f>
        <v/>
      </c>
      <c r="J3485" s="9" t="n">
        <v>210525</v>
      </c>
      <c r="L3485" s="9">
        <f>VLOOKUP($O3485,매칭테이블!$G:$J,2,0)*H3485</f>
        <v/>
      </c>
      <c r="M3485" s="9">
        <f>L3485-L3485*VLOOKUP($O3485,매칭테이블!$G:$J,3,0)</f>
        <v/>
      </c>
      <c r="N3485" s="9">
        <f>VLOOKUP($O3485,매칭테이블!$G:$J,4,0)*H3485</f>
        <v/>
      </c>
      <c r="O3485" s="9">
        <f>F3485&amp;E3485&amp;G3485&amp;J3485</f>
        <v/>
      </c>
    </row>
    <row r="3486">
      <c r="B3486" s="10" t="n">
        <v>44341</v>
      </c>
      <c r="C3486" s="9" t="inlineStr">
        <is>
          <t>화</t>
        </is>
      </c>
      <c r="E3486" s="9">
        <f>INDEX(매칭테이블!C:C,MATCH(RD!G3486,매칭테이블!D:D,0))</f>
        <v/>
      </c>
      <c r="F3486" s="9" t="inlineStr">
        <is>
          <t>카페24</t>
        </is>
      </c>
      <c r="G3486" s="9" t="inlineStr">
        <is>
          <t>[얼리버드특가] 라베나 패밀리 set: 리커버리 샴푸3+헤어가글라인 택1 (5월 31일 순차예약배송)옵션=헤어가글 샴푸</t>
        </is>
      </c>
      <c r="H3486" s="9" t="n">
        <v>34</v>
      </c>
      <c r="I3486" s="9">
        <f>VLOOKUP(G3486,매칭테이블!D:E,2,0)</f>
        <v/>
      </c>
      <c r="J3486" s="9" t="n">
        <v>210525</v>
      </c>
      <c r="L3486" s="9">
        <f>VLOOKUP($O3486,매칭테이블!$G:$J,2,0)*H3486</f>
        <v/>
      </c>
      <c r="M3486" s="9">
        <f>L3486-L3486*VLOOKUP($O3486,매칭테이블!$G:$J,3,0)</f>
        <v/>
      </c>
      <c r="N3486" s="9">
        <f>VLOOKUP($O3486,매칭테이블!$G:$J,4,0)*H3486</f>
        <v/>
      </c>
      <c r="O3486" s="9">
        <f>F3486&amp;E3486&amp;G3486&amp;J3486</f>
        <v/>
      </c>
    </row>
    <row r="3487">
      <c r="B3487" s="10" t="n">
        <v>44341</v>
      </c>
      <c r="C3487" s="9" t="inlineStr">
        <is>
          <t>화</t>
        </is>
      </c>
      <c r="E3487" s="9">
        <f>INDEX(매칭테이블!C:C,MATCH(RD!G3487,매칭테이블!D:D,0))</f>
        <v/>
      </c>
      <c r="F3487" s="9" t="inlineStr">
        <is>
          <t>카페24</t>
        </is>
      </c>
      <c r="G3487" s="9" t="inlineStr">
        <is>
          <t>[얼리버드특가] 라베나 패밀리 set: 리커버리 샴푸3+헤어가글라인 택1 (5월 31일 순차예약배송)옵션=헤어가글 워터</t>
        </is>
      </c>
      <c r="H3487" s="9" t="n">
        <v>5</v>
      </c>
      <c r="I3487" s="9">
        <f>VLOOKUP(G3487,매칭테이블!D:E,2,0)</f>
        <v/>
      </c>
      <c r="J3487" s="9" t="n">
        <v>210525</v>
      </c>
      <c r="L3487" s="9">
        <f>VLOOKUP($O3487,매칭테이블!$G:$J,2,0)*H3487</f>
        <v/>
      </c>
      <c r="M3487" s="9">
        <f>L3487-L3487*VLOOKUP($O3487,매칭테이블!$G:$J,3,0)</f>
        <v/>
      </c>
      <c r="N3487" s="9">
        <f>VLOOKUP($O3487,매칭테이블!$G:$J,4,0)*H3487</f>
        <v/>
      </c>
      <c r="O3487" s="9">
        <f>F3487&amp;E3487&amp;G3487&amp;J3487</f>
        <v/>
      </c>
    </row>
    <row r="3488">
      <c r="B3488" s="10" t="n">
        <v>44341</v>
      </c>
      <c r="C3488" s="9" t="inlineStr">
        <is>
          <t>화</t>
        </is>
      </c>
      <c r="E3488" s="9" t="inlineStr">
        <is>
          <t>샴푸</t>
        </is>
      </c>
      <c r="F3488" s="9" t="inlineStr">
        <is>
          <t>카페24</t>
        </is>
      </c>
      <c r="G3488" s="9" t="inlineStr">
        <is>
          <t>[타임특가] 라베나 리:커버리 3개월 패키지 (샴푸 2+ 트리트먼트 택 1)샴푸2 + 트리트먼트 택 1=샴푸2 + 뉴트리셔스 밤1</t>
        </is>
      </c>
      <c r="H3488" s="9" t="n">
        <v>1</v>
      </c>
      <c r="I3488" s="9" t="inlineStr">
        <is>
          <t>리바이탈 샴푸2+뉴트리셔스밤1</t>
        </is>
      </c>
      <c r="J3488" s="9" t="n">
        <v>210525</v>
      </c>
      <c r="L3488" s="9">
        <f>VLOOKUP($O3488,매칭테이블!$G:$J,2,0)*H3488</f>
        <v/>
      </c>
      <c r="M3488" s="9">
        <f>L3488-L3488*VLOOKUP($O3488,매칭테이블!$G:$J,3,0)</f>
        <v/>
      </c>
      <c r="N3488" s="9">
        <f>VLOOKUP($O3488,매칭테이블!$G:$J,4,0)*H3488</f>
        <v/>
      </c>
      <c r="O3488" s="9">
        <f>F3488&amp;E3488&amp;G3488&amp;J3488</f>
        <v/>
      </c>
    </row>
    <row r="3489">
      <c r="B3489" s="10" t="n">
        <v>44341</v>
      </c>
      <c r="C3489" s="9" t="inlineStr">
        <is>
          <t>화</t>
        </is>
      </c>
      <c r="E3489" s="9" t="inlineStr">
        <is>
          <t>샴푸</t>
        </is>
      </c>
      <c r="F3489" s="9" t="inlineStr">
        <is>
          <t>카페24</t>
        </is>
      </c>
      <c r="G3489" s="9" t="inlineStr">
        <is>
          <t>[타임특가] 라베나 리:커버리 3개월 패키지 (샴푸 2+ 트리트먼트 택 1)샴푸2 + 트리트먼트 택 1=샴푸2 + 헤어팩 트리트먼트1</t>
        </is>
      </c>
      <c r="H3489" s="9" t="n">
        <v>7</v>
      </c>
      <c r="I3489" s="9" t="inlineStr">
        <is>
          <t>리바이탈 샴푸2+트리트먼트1</t>
        </is>
      </c>
      <c r="J3489" s="9" t="n">
        <v>210525</v>
      </c>
      <c r="L3489" s="9">
        <f>VLOOKUP($O3489,매칭테이블!$G:$J,2,0)*H3489</f>
        <v/>
      </c>
      <c r="M3489" s="9">
        <f>L3489-L3489*VLOOKUP($O3489,매칭테이블!$G:$J,3,0)</f>
        <v/>
      </c>
      <c r="N3489" s="9">
        <f>VLOOKUP($O3489,매칭테이블!$G:$J,4,0)*H3489</f>
        <v/>
      </c>
      <c r="O3489" s="9">
        <f>F3489&amp;E3489&amp;G3489&amp;J3489</f>
        <v/>
      </c>
    </row>
    <row r="3490">
      <c r="B3490" s="10" t="n">
        <v>44341</v>
      </c>
      <c r="C3490" s="9" t="inlineStr">
        <is>
          <t>화</t>
        </is>
      </c>
      <c r="E3490" s="9" t="inlineStr">
        <is>
          <t>샴푸</t>
        </is>
      </c>
      <c r="F3490" s="9" t="inlineStr">
        <is>
          <t>카페24</t>
        </is>
      </c>
      <c r="G3490" s="9" t="inlineStr">
        <is>
          <t>[타임특가] 라베나 리:커버리 6개월 패키지 (샴푸 5+ 트리트먼트 택 1)샴푸 5 + 트리트먼트 택 1=샴푸 5 + 헤어팩 트리트먼트 1</t>
        </is>
      </c>
      <c r="H3490" s="9" t="n">
        <v>6</v>
      </c>
      <c r="I3490" s="9" t="inlineStr">
        <is>
          <t>리바이탈 샴푸5+트리트먼트1</t>
        </is>
      </c>
      <c r="J3490" s="9" t="n">
        <v>210525</v>
      </c>
      <c r="L3490" s="9">
        <f>VLOOKUP($O3490,매칭테이블!$G:$J,2,0)*H3490</f>
        <v/>
      </c>
      <c r="M3490" s="9">
        <f>L3490-L3490*VLOOKUP($O3490,매칭테이블!$G:$J,3,0)</f>
        <v/>
      </c>
      <c r="N3490" s="9">
        <f>VLOOKUP($O3490,매칭테이블!$G:$J,4,0)*H3490</f>
        <v/>
      </c>
      <c r="O3490" s="9">
        <f>F3490&amp;E3490&amp;G3490&amp;J3490</f>
        <v/>
      </c>
    </row>
    <row r="3491">
      <c r="B3491" s="10" t="n">
        <v>44341</v>
      </c>
      <c r="C3491" s="9" t="inlineStr">
        <is>
          <t>화</t>
        </is>
      </c>
      <c r="E3491" s="9" t="inlineStr">
        <is>
          <t>샴푸</t>
        </is>
      </c>
      <c r="F3491" s="9" t="inlineStr">
        <is>
          <t>카페24</t>
        </is>
      </c>
      <c r="G3491" s="9" t="inlineStr">
        <is>
          <t>[타임특가] 라베나 리:커버리 온가족 패키지 (샴푸 3+ 헤어팩 트리트먼트 1+뉴트리셔스 밤 1)</t>
        </is>
      </c>
      <c r="H3491" s="9" t="n">
        <v>2</v>
      </c>
      <c r="I3491" s="9" t="inlineStr">
        <is>
          <t>리바이탈 샴푸3+트리트먼트1+뉴트리셔스밤1</t>
        </is>
      </c>
      <c r="J3491" s="9" t="n">
        <v>210525</v>
      </c>
      <c r="L3491" s="9">
        <f>VLOOKUP($O3491,매칭테이블!$G:$J,2,0)*H3491</f>
        <v/>
      </c>
      <c r="M3491" s="9">
        <f>L3491-L3491*VLOOKUP($O3491,매칭테이블!$G:$J,3,0)</f>
        <v/>
      </c>
      <c r="N3491" s="9">
        <f>VLOOKUP($O3491,매칭테이블!$G:$J,4,0)*H3491</f>
        <v/>
      </c>
      <c r="O3491" s="9">
        <f>F3491&amp;E3491&amp;G3491&amp;J3491</f>
        <v/>
      </c>
    </row>
    <row r="3492">
      <c r="B3492" s="10" t="n">
        <v>44341</v>
      </c>
      <c r="C3492" s="9" t="inlineStr">
        <is>
          <t>화</t>
        </is>
      </c>
      <c r="E3492" s="9" t="inlineStr">
        <is>
          <t>뉴트리셔스밤</t>
        </is>
      </c>
      <c r="F3492" s="9" t="inlineStr">
        <is>
          <t>카페24</t>
        </is>
      </c>
      <c r="G3492" s="9" t="inlineStr">
        <is>
          <t>라베나 리커버리 15 뉴트리셔스 밤제품선택=헤어 리커버리 15 뉴트리셔스 밤</t>
        </is>
      </c>
      <c r="H3492" s="9" t="n">
        <v>5</v>
      </c>
      <c r="I3492" s="9" t="inlineStr">
        <is>
          <t>뉴트리셔스밤</t>
        </is>
      </c>
      <c r="J3492" s="9" t="n">
        <v>210525</v>
      </c>
      <c r="L3492" s="9">
        <f>VLOOKUP($O3492,매칭테이블!$G:$J,2,0)*H3492</f>
        <v/>
      </c>
      <c r="M3492" s="9">
        <f>L3492-L3492*VLOOKUP($O3492,매칭테이블!$G:$J,3,0)</f>
        <v/>
      </c>
      <c r="N3492" s="9">
        <f>VLOOKUP($O3492,매칭테이블!$G:$J,4,0)*H3492</f>
        <v/>
      </c>
      <c r="O3492" s="9">
        <f>F3492&amp;E3492&amp;G3492&amp;J3492</f>
        <v/>
      </c>
    </row>
    <row r="3493">
      <c r="B3493" s="10" t="n">
        <v>44341</v>
      </c>
      <c r="C3493" s="9" t="inlineStr">
        <is>
          <t>화</t>
        </is>
      </c>
      <c r="E3493" s="9" t="inlineStr">
        <is>
          <t>뉴트리셔스밤</t>
        </is>
      </c>
      <c r="F3493" s="9" t="inlineStr">
        <is>
          <t>카페24</t>
        </is>
      </c>
      <c r="G3493" s="9" t="inlineStr">
        <is>
          <t>라베나 리커버리 15 뉴트리셔스 밤제품선택=뉴트리셔스 밤 2개 세트 5% 추가할인</t>
        </is>
      </c>
      <c r="H3493" s="9" t="n">
        <v>1</v>
      </c>
      <c r="I3493" s="9">
        <f>VLOOKUP(G3493,매칭테이블!D:E,2,0)</f>
        <v/>
      </c>
      <c r="J3493" s="9" t="n">
        <v>210525</v>
      </c>
      <c r="L3493" s="9">
        <f>VLOOKUP($O3493,매칭테이블!$G:$J,2,0)*H3493</f>
        <v/>
      </c>
      <c r="M3493" s="9">
        <f>L3493-L3493*VLOOKUP($O3493,매칭테이블!$G:$J,3,0)</f>
        <v/>
      </c>
      <c r="N3493" s="9">
        <f>VLOOKUP($O3493,매칭테이블!$G:$J,4,0)*H3493</f>
        <v/>
      </c>
      <c r="O3493" s="9">
        <f>F3493&amp;E3493&amp;G3493&amp;J3493</f>
        <v/>
      </c>
    </row>
    <row r="3494">
      <c r="B3494" s="10" t="n">
        <v>44341</v>
      </c>
      <c r="C3494" s="9" t="inlineStr">
        <is>
          <t>화</t>
        </is>
      </c>
      <c r="E3494" s="9" t="inlineStr">
        <is>
          <t>뉴트리셔스밤</t>
        </is>
      </c>
      <c r="F3494" s="9" t="inlineStr">
        <is>
          <t>카페24</t>
        </is>
      </c>
      <c r="G3494" s="9" t="inlineStr">
        <is>
          <t>라베나 리커버리 15 뉴트리셔스 밤제품선택=뉴트리셔스 밤 3개 세트 10% 추가할인</t>
        </is>
      </c>
      <c r="H3494" s="9" t="n">
        <v>1</v>
      </c>
      <c r="I3494" s="9">
        <f>VLOOKUP(G3494,매칭테이블!D:E,2,0)</f>
        <v/>
      </c>
      <c r="J3494" s="9" t="n">
        <v>210525</v>
      </c>
      <c r="L3494" s="9">
        <f>VLOOKUP($O3494,매칭테이블!$G:$J,2,0)*H3494</f>
        <v/>
      </c>
      <c r="M3494" s="9">
        <f>L3494-L3494*VLOOKUP($O3494,매칭테이블!$G:$J,3,0)</f>
        <v/>
      </c>
      <c r="N3494" s="9">
        <f>VLOOKUP($O3494,매칭테이블!$G:$J,4,0)*H3494</f>
        <v/>
      </c>
      <c r="O3494" s="9">
        <f>F3494&amp;E3494&amp;G3494&amp;J3494</f>
        <v/>
      </c>
    </row>
    <row r="3495">
      <c r="B3495" s="10" t="n">
        <v>44341</v>
      </c>
      <c r="C3495" s="9" t="inlineStr">
        <is>
          <t>화</t>
        </is>
      </c>
      <c r="E3495" s="9" t="inlineStr">
        <is>
          <t>샴푸</t>
        </is>
      </c>
      <c r="F3495" s="9" t="inlineStr">
        <is>
          <t>카페24</t>
        </is>
      </c>
      <c r="G3495" s="9" t="inlineStr">
        <is>
          <t>라베나 리커버리 15 리바이탈 바이오플라보노이드샴푸제품선택=헤어 리커버리 15 리바이탈 샴푸 - 500ml</t>
        </is>
      </c>
      <c r="H3495" s="9" t="n">
        <v>99</v>
      </c>
      <c r="I3495" s="9" t="inlineStr">
        <is>
          <t>리바이탈 샴푸</t>
        </is>
      </c>
      <c r="J3495" s="9" t="n">
        <v>210525</v>
      </c>
      <c r="L3495" s="9">
        <f>VLOOKUP($O3495,매칭테이블!$G:$J,2,0)*H3495</f>
        <v/>
      </c>
      <c r="M3495" s="9">
        <f>L3495-L3495*VLOOKUP($O3495,매칭테이블!$G:$J,3,0)</f>
        <v/>
      </c>
      <c r="N3495" s="9">
        <f>VLOOKUP($O3495,매칭테이블!$G:$J,4,0)*H3495</f>
        <v/>
      </c>
      <c r="O3495" s="9">
        <f>F3495&amp;E3495&amp;G3495&amp;J3495</f>
        <v/>
      </c>
    </row>
    <row r="3496">
      <c r="B3496" s="10" t="n">
        <v>44341</v>
      </c>
      <c r="C3496" s="9" t="inlineStr">
        <is>
          <t>화</t>
        </is>
      </c>
      <c r="E3496" s="9" t="inlineStr">
        <is>
          <t>샴푸</t>
        </is>
      </c>
      <c r="F3496" s="9" t="inlineStr">
        <is>
          <t>카페24</t>
        </is>
      </c>
      <c r="G3496" s="9" t="inlineStr">
        <is>
          <t>라베나 리커버리 15 리바이탈 바이오플라보노이드샴푸제품선택=리바이탈 샴푸 2개 세트 5%추가할인</t>
        </is>
      </c>
      <c r="H3496" s="9" t="n">
        <v>35</v>
      </c>
      <c r="I3496" s="9" t="inlineStr">
        <is>
          <t>리바이탈 샴푸 2set</t>
        </is>
      </c>
      <c r="J3496" s="9" t="n">
        <v>210525</v>
      </c>
      <c r="L3496" s="9">
        <f>VLOOKUP($O3496,매칭테이블!$G:$J,2,0)*H3496</f>
        <v/>
      </c>
      <c r="M3496" s="9">
        <f>L3496-L3496*VLOOKUP($O3496,매칭테이블!$G:$J,3,0)</f>
        <v/>
      </c>
      <c r="N3496" s="9">
        <f>VLOOKUP($O3496,매칭테이블!$G:$J,4,0)*H3496</f>
        <v/>
      </c>
      <c r="O3496" s="9">
        <f>F3496&amp;E3496&amp;G3496&amp;J3496</f>
        <v/>
      </c>
    </row>
    <row r="3497">
      <c r="B3497" s="10" t="n">
        <v>44341</v>
      </c>
      <c r="C3497" s="9" t="inlineStr">
        <is>
          <t>화</t>
        </is>
      </c>
      <c r="E3497" s="9" t="inlineStr">
        <is>
          <t>샴푸</t>
        </is>
      </c>
      <c r="F3497" s="9" t="inlineStr">
        <is>
          <t>카페24</t>
        </is>
      </c>
      <c r="G3497" s="9" t="inlineStr">
        <is>
          <t>라베나 리커버리 15 리바이탈 바이오플라보노이드샴푸제품선택=리바이탈 샴푸 3개 세트 10% 추가할인</t>
        </is>
      </c>
      <c r="H3497" s="9" t="n">
        <v>13</v>
      </c>
      <c r="I3497" s="9" t="inlineStr">
        <is>
          <t>리바이탈 샴푸 3set</t>
        </is>
      </c>
      <c r="J3497" s="9" t="n">
        <v>210525</v>
      </c>
      <c r="L3497" s="9">
        <f>VLOOKUP($O3497,매칭테이블!$G:$J,2,0)*H3497</f>
        <v/>
      </c>
      <c r="M3497" s="9">
        <f>L3497-L3497*VLOOKUP($O3497,매칭테이블!$G:$J,3,0)</f>
        <v/>
      </c>
      <c r="N3497" s="9">
        <f>VLOOKUP($O3497,매칭테이블!$G:$J,4,0)*H3497</f>
        <v/>
      </c>
      <c r="O3497" s="9">
        <f>F3497&amp;E3497&amp;G3497&amp;J3497</f>
        <v/>
      </c>
    </row>
    <row r="3498">
      <c r="B3498" s="10" t="n">
        <v>44341</v>
      </c>
      <c r="C3498" s="9" t="inlineStr">
        <is>
          <t>화</t>
        </is>
      </c>
      <c r="E3498" s="9" t="inlineStr">
        <is>
          <t>트리트먼트</t>
        </is>
      </c>
      <c r="F3498" s="9" t="inlineStr">
        <is>
          <t>카페24</t>
        </is>
      </c>
      <c r="G3498" s="9" t="inlineStr">
        <is>
          <t>라베나 리커버리 15 헤어팩 트리트먼트제품선택=헤어 리커버리 15 헤어팩 트리트먼트</t>
        </is>
      </c>
      <c r="H3498" s="9" t="n">
        <v>7</v>
      </c>
      <c r="I3498" s="9" t="inlineStr">
        <is>
          <t>트리트먼트</t>
        </is>
      </c>
      <c r="J3498" s="9" t="n">
        <v>210525</v>
      </c>
      <c r="L3498" s="9">
        <f>VLOOKUP($O3498,매칭테이블!$G:$J,2,0)*H3498</f>
        <v/>
      </c>
      <c r="M3498" s="9">
        <f>L3498-L3498*VLOOKUP($O3498,매칭테이블!$G:$J,3,0)</f>
        <v/>
      </c>
      <c r="N3498" s="9">
        <f>VLOOKUP($O3498,매칭테이블!$G:$J,4,0)*H3498</f>
        <v/>
      </c>
      <c r="O3498" s="9">
        <f>F3498&amp;E3498&amp;G3498&amp;J3498</f>
        <v/>
      </c>
    </row>
    <row r="3499">
      <c r="B3499" s="10" t="n">
        <v>44341</v>
      </c>
      <c r="C3499" s="9" t="inlineStr">
        <is>
          <t>화</t>
        </is>
      </c>
      <c r="E3499" s="9" t="inlineStr">
        <is>
          <t>트리트먼트</t>
        </is>
      </c>
      <c r="F3499" s="9" t="inlineStr">
        <is>
          <t>카페24</t>
        </is>
      </c>
      <c r="G3499" s="9" t="inlineStr">
        <is>
          <t>라베나 리커버리 15 헤어팩 트리트먼트제품선택=헤어팩 트리트먼트 2개 세트 5% 추가할인</t>
        </is>
      </c>
      <c r="H3499" s="9" t="n">
        <v>1</v>
      </c>
      <c r="I3499" s="9" t="inlineStr">
        <is>
          <t>트리트먼트 2set</t>
        </is>
      </c>
      <c r="J3499" s="9" t="n">
        <v>210525</v>
      </c>
      <c r="L3499" s="9">
        <f>VLOOKUP($O3499,매칭테이블!$G:$J,2,0)*H3499</f>
        <v/>
      </c>
      <c r="M3499" s="9">
        <f>L3499-L3499*VLOOKUP($O3499,매칭테이블!$G:$J,3,0)</f>
        <v/>
      </c>
      <c r="N3499" s="9">
        <f>VLOOKUP($O3499,매칭테이블!$G:$J,4,0)*H3499</f>
        <v/>
      </c>
      <c r="O3499" s="9">
        <f>F3499&amp;E3499&amp;G3499&amp;J3499</f>
        <v/>
      </c>
    </row>
    <row r="3500">
      <c r="B3500" s="10" t="n">
        <v>44341</v>
      </c>
      <c r="C3500" s="9" t="inlineStr">
        <is>
          <t>화</t>
        </is>
      </c>
      <c r="E3500" s="9" t="inlineStr">
        <is>
          <t>트리트먼트</t>
        </is>
      </c>
      <c r="F3500" s="9" t="inlineStr">
        <is>
          <t>카페24</t>
        </is>
      </c>
      <c r="G3500" s="9" t="inlineStr">
        <is>
          <t>라베나 리커버리 15 헤어팩 트리트먼트제품선택=헤어팩 트리트먼트 3개 세트 10% 추가할인</t>
        </is>
      </c>
      <c r="H3500" s="9" t="n">
        <v>1</v>
      </c>
      <c r="I3500" s="9" t="inlineStr">
        <is>
          <t>트리트먼트 3set</t>
        </is>
      </c>
      <c r="J3500" s="9" t="n">
        <v>210525</v>
      </c>
      <c r="L3500" s="9">
        <f>VLOOKUP($O3500,매칭테이블!$G:$J,2,0)*H3500</f>
        <v/>
      </c>
      <c r="M3500" s="9">
        <f>L3500-L3500*VLOOKUP($O3500,매칭테이블!$G:$J,3,0)</f>
        <v/>
      </c>
      <c r="N3500" s="9">
        <f>VLOOKUP($O3500,매칭테이블!$G:$J,4,0)*H3500</f>
        <v/>
      </c>
      <c r="O3500" s="9">
        <f>F3500&amp;E3500&amp;G3500&amp;J3500</f>
        <v/>
      </c>
    </row>
    <row r="3501">
      <c r="B3501" s="10" t="n">
        <v>44341</v>
      </c>
      <c r="C3501" s="9" t="inlineStr">
        <is>
          <t>화</t>
        </is>
      </c>
      <c r="E3501" s="9" t="inlineStr">
        <is>
          <t>트리트먼트</t>
        </is>
      </c>
      <c r="F3501" s="9" t="inlineStr">
        <is>
          <t>카페24</t>
        </is>
      </c>
      <c r="G3501" s="9" t="inlineStr">
        <is>
          <t>라베나 리커버리 15 헤어팩 트리트먼트제품선택=헤어팩 트리트먼트 1개 + 뉴트리셔스밤 1개 세트 5% 추가할인</t>
        </is>
      </c>
      <c r="H3501" s="9" t="n">
        <v>1</v>
      </c>
      <c r="I3501" s="9" t="inlineStr">
        <is>
          <t>트리트먼트1+뉴트리셔스밤1</t>
        </is>
      </c>
      <c r="J3501" s="9" t="n">
        <v>210525</v>
      </c>
      <c r="L3501" s="9">
        <f>VLOOKUP($O3501,매칭테이블!$G:$J,2,0)*H3501</f>
        <v/>
      </c>
      <c r="M3501" s="9">
        <f>L3501-L3501*VLOOKUP($O3501,매칭테이블!$G:$J,3,0)</f>
        <v/>
      </c>
      <c r="N3501" s="9">
        <f>VLOOKUP($O3501,매칭테이블!$G:$J,4,0)*H3501</f>
        <v/>
      </c>
      <c r="O3501" s="9">
        <f>F3501&amp;E3501&amp;G3501&amp;J3501</f>
        <v/>
      </c>
    </row>
    <row r="3502">
      <c r="A3502" s="9" t="inlineStr">
        <is>
          <t>0525_인서_샴푸_묶은자국_영상_리</t>
        </is>
      </c>
      <c r="B3502" s="10" t="n">
        <v>44342</v>
      </c>
      <c r="C3502" s="9" t="inlineStr">
        <is>
          <t>수</t>
        </is>
      </c>
      <c r="D3502" s="9" t="inlineStr">
        <is>
          <t>페이스북</t>
        </is>
      </c>
      <c r="E3502" s="9" t="inlineStr">
        <is>
          <t>샴푸</t>
        </is>
      </c>
      <c r="K3502" s="9" t="n">
        <v>32411</v>
      </c>
    </row>
    <row r="3503">
      <c r="A3503" s="9" t="inlineStr">
        <is>
          <t>0514_인서_샴푸_묶은자국_영상_트래픽</t>
        </is>
      </c>
      <c r="B3503" s="10" t="n">
        <v>44342</v>
      </c>
      <c r="C3503" s="9" t="inlineStr">
        <is>
          <t>수</t>
        </is>
      </c>
      <c r="D3503" s="9" t="inlineStr">
        <is>
          <t>페이스북</t>
        </is>
      </c>
      <c r="E3503" s="9" t="inlineStr">
        <is>
          <t>샴푸</t>
        </is>
      </c>
      <c r="K3503" s="9" t="n">
        <v>43881</v>
      </c>
    </row>
    <row r="3504">
      <c r="A3504" s="9" t="inlineStr">
        <is>
          <t>0524_인서_묶은자국_영상_동영상조회</t>
        </is>
      </c>
      <c r="B3504" s="10" t="n">
        <v>44342</v>
      </c>
      <c r="C3504" s="9" t="inlineStr">
        <is>
          <t>수</t>
        </is>
      </c>
      <c r="D3504" s="9" t="inlineStr">
        <is>
          <t>페이스북</t>
        </is>
      </c>
      <c r="E3504" s="9" t="inlineStr">
        <is>
          <t>샴푸</t>
        </is>
      </c>
      <c r="K3504" s="9" t="n">
        <v>10344</v>
      </c>
    </row>
    <row r="3505">
      <c r="A3505" s="9" t="inlineStr">
        <is>
          <t>0514_현빈_샴푸_피지결석_카드뉴스</t>
        </is>
      </c>
      <c r="B3505" s="10" t="n">
        <v>44342</v>
      </c>
      <c r="C3505" s="9" t="inlineStr">
        <is>
          <t>수</t>
        </is>
      </c>
      <c r="D3505" s="9" t="inlineStr">
        <is>
          <t>페이스북</t>
        </is>
      </c>
      <c r="E3505" s="9" t="inlineStr">
        <is>
          <t>샴푸</t>
        </is>
      </c>
      <c r="K3505" s="9" t="n">
        <v>295864</v>
      </c>
    </row>
    <row r="3506">
      <c r="A3506" s="9" t="inlineStr">
        <is>
          <t>0316~영상베리</t>
        </is>
      </c>
      <c r="B3506" s="10" t="n">
        <v>44342</v>
      </c>
      <c r="C3506" s="9" t="inlineStr">
        <is>
          <t>수</t>
        </is>
      </c>
      <c r="D3506" s="9" t="inlineStr">
        <is>
          <t>페이스북</t>
        </is>
      </c>
      <c r="E3506" s="9" t="inlineStr">
        <is>
          <t>샴푸</t>
        </is>
      </c>
      <c r="K3506" s="9" t="n">
        <v>98510</v>
      </c>
    </row>
    <row r="3507">
      <c r="A3507" s="9" t="inlineStr">
        <is>
          <t>0513_샴푸_CPV_피지결석_2차</t>
        </is>
      </c>
      <c r="B3507" s="10" t="n">
        <v>44342</v>
      </c>
      <c r="C3507" s="9" t="inlineStr">
        <is>
          <t>수</t>
        </is>
      </c>
      <c r="D3507" s="9" t="inlineStr">
        <is>
          <t>유튜브</t>
        </is>
      </c>
      <c r="E3507" s="9" t="inlineStr">
        <is>
          <t>샴푸</t>
        </is>
      </c>
      <c r="K3507" s="9" t="n">
        <v>1080</v>
      </c>
    </row>
    <row r="3508">
      <c r="A3508" s="9" t="inlineStr">
        <is>
          <t>0514_샴푸_DA_모낭결석</t>
        </is>
      </c>
      <c r="B3508" s="10" t="n">
        <v>44342</v>
      </c>
      <c r="C3508" s="9" t="inlineStr">
        <is>
          <t>수</t>
        </is>
      </c>
      <c r="D3508" s="9" t="inlineStr">
        <is>
          <t>유튜브</t>
        </is>
      </c>
      <c r="E3508" s="9" t="inlineStr">
        <is>
          <t>샴푸</t>
        </is>
      </c>
      <c r="K3508" s="9" t="n">
        <v>12093</v>
      </c>
    </row>
    <row r="3509">
      <c r="A3509" s="9" t="inlineStr">
        <is>
          <t>0518_샴푸_VAC_피지결석2</t>
        </is>
      </c>
      <c r="B3509" s="10" t="n">
        <v>44342</v>
      </c>
      <c r="C3509" s="9" t="inlineStr">
        <is>
          <t>수</t>
        </is>
      </c>
      <c r="D3509" s="9" t="inlineStr">
        <is>
          <t>유튜브</t>
        </is>
      </c>
      <c r="E3509" s="9" t="inlineStr">
        <is>
          <t>샴푸</t>
        </is>
      </c>
      <c r="K3509" s="9" t="n">
        <v>599596</v>
      </c>
    </row>
    <row r="3510">
      <c r="A3510" s="9" t="inlineStr">
        <is>
          <t>0520_샴푸_CPV_피지결석_4차</t>
        </is>
      </c>
      <c r="B3510" s="10" t="n">
        <v>44342</v>
      </c>
      <c r="C3510" s="9" t="inlineStr">
        <is>
          <t>수</t>
        </is>
      </c>
      <c r="D3510" s="9" t="inlineStr">
        <is>
          <t>유튜브</t>
        </is>
      </c>
      <c r="E3510" s="9" t="inlineStr">
        <is>
          <t>샴푸</t>
        </is>
      </c>
      <c r="K3510" s="9" t="n">
        <v>3151244</v>
      </c>
    </row>
    <row r="3511">
      <c r="A3511" s="9" t="inlineStr">
        <is>
          <t>0525_샴푸_CPV_피지결석_5차</t>
        </is>
      </c>
      <c r="B3511" s="10" t="n">
        <v>44342</v>
      </c>
      <c r="C3511" s="9" t="inlineStr">
        <is>
          <t>수</t>
        </is>
      </c>
      <c r="D3511" s="9" t="inlineStr">
        <is>
          <t>유튜브</t>
        </is>
      </c>
      <c r="E3511" s="9" t="inlineStr">
        <is>
          <t>샴푸</t>
        </is>
      </c>
      <c r="K3511" s="9" t="n">
        <v>1623029</v>
      </c>
    </row>
    <row r="3512">
      <c r="A3512" s="9" t="inlineStr">
        <is>
          <t>0525_샴푸_CPV_피지결석_6차</t>
        </is>
      </c>
      <c r="B3512" s="10" t="n">
        <v>44342</v>
      </c>
      <c r="C3512" s="9" t="inlineStr">
        <is>
          <t>수</t>
        </is>
      </c>
      <c r="D3512" s="9" t="inlineStr">
        <is>
          <t>유튜브</t>
        </is>
      </c>
      <c r="E3512" s="9" t="inlineStr">
        <is>
          <t>샴푸</t>
        </is>
      </c>
      <c r="K3512" s="9" t="n">
        <v>123463</v>
      </c>
    </row>
    <row r="3513">
      <c r="A3513" s="9" t="inlineStr">
        <is>
          <t>라베나 파워링크_샴푸_광고그룹#1</t>
        </is>
      </c>
      <c r="B3513" s="10" t="n">
        <v>44342</v>
      </c>
      <c r="C3513" s="9" t="inlineStr">
        <is>
          <t>수</t>
        </is>
      </c>
      <c r="D3513" s="9" t="inlineStr">
        <is>
          <t>네이버 검색</t>
        </is>
      </c>
      <c r="E3513" s="9" t="inlineStr">
        <is>
          <t>샴푸</t>
        </is>
      </c>
      <c r="K3513" s="9" t="n">
        <v>3200</v>
      </c>
    </row>
    <row r="3514">
      <c r="A3514" s="9" t="inlineStr">
        <is>
          <t>라베나 파워링크_샴푸#1_유튜브키워드기반</t>
        </is>
      </c>
      <c r="B3514" s="10" t="n">
        <v>44342</v>
      </c>
      <c r="C3514" s="9" t="inlineStr">
        <is>
          <t>수</t>
        </is>
      </c>
      <c r="D3514" s="9" t="inlineStr">
        <is>
          <t>네이버 검색</t>
        </is>
      </c>
      <c r="E3514" s="9" t="inlineStr">
        <is>
          <t>샴푸</t>
        </is>
      </c>
      <c r="K3514" s="9" t="n">
        <v>3070</v>
      </c>
    </row>
    <row r="3515">
      <c r="A3515" s="9" t="inlineStr">
        <is>
          <t>샴푸_쇼핑검색#1_광고그룹#1</t>
        </is>
      </c>
      <c r="B3515" s="10" t="n">
        <v>44342</v>
      </c>
      <c r="C3515" s="9" t="inlineStr">
        <is>
          <t>수</t>
        </is>
      </c>
      <c r="D3515" s="9" t="inlineStr">
        <is>
          <t>네이버 검색</t>
        </is>
      </c>
      <c r="E3515" s="9" t="inlineStr">
        <is>
          <t>샴푸</t>
        </is>
      </c>
      <c r="K3515" s="9" t="n">
        <v>2800</v>
      </c>
    </row>
    <row r="3516">
      <c r="A3516" s="9" t="inlineStr">
        <is>
          <t>파워컨텐츠#1_비듬샴푸</t>
        </is>
      </c>
      <c r="B3516" s="10" t="n">
        <v>44342</v>
      </c>
      <c r="C3516" s="9" t="inlineStr">
        <is>
          <t>수</t>
        </is>
      </c>
      <c r="D3516" s="9" t="inlineStr">
        <is>
          <t>네이버 검색</t>
        </is>
      </c>
      <c r="E3516" s="9" t="inlineStr">
        <is>
          <t>샴푸</t>
        </is>
      </c>
      <c r="K3516" s="9" t="n">
        <v>350</v>
      </c>
    </row>
    <row r="3517">
      <c r="A3517" s="9" t="inlineStr">
        <is>
          <t>5월 월간 라베나</t>
        </is>
      </c>
      <c r="B3517" s="10" t="n">
        <v>44342</v>
      </c>
      <c r="C3517" s="9" t="inlineStr">
        <is>
          <t>수</t>
        </is>
      </c>
      <c r="D3517" s="9" t="inlineStr">
        <is>
          <t>카카오 플친</t>
        </is>
      </c>
      <c r="E3517" s="9" t="inlineStr">
        <is>
          <t>가글샴푸</t>
        </is>
      </c>
      <c r="K3517" s="9">
        <f>561/1.1</f>
        <v/>
      </c>
    </row>
    <row r="3518">
      <c r="B3518" s="10" t="n">
        <v>44342</v>
      </c>
      <c r="C3518" s="9" t="inlineStr">
        <is>
          <t>수</t>
        </is>
      </c>
      <c r="E3518" s="9" t="inlineStr">
        <is>
          <t>가글샴푸</t>
        </is>
      </c>
      <c r="F3518" s="9" t="inlineStr">
        <is>
          <t>카페24</t>
        </is>
      </c>
      <c r="G3518" s="9" t="inlineStr">
        <is>
          <t>[얼리버드특가] 라베나 딥클렌징 헤어가글 샴푸 (5월 31일 순차예약배송)</t>
        </is>
      </c>
      <c r="H3518" s="9" t="n">
        <v>3</v>
      </c>
      <c r="I3518" s="9" t="inlineStr">
        <is>
          <t>헤어가글 샴푸</t>
        </is>
      </c>
      <c r="J3518" s="9" t="inlineStr">
        <is>
          <t>210525</t>
        </is>
      </c>
      <c r="L3518" s="9" t="n">
        <v>65700</v>
      </c>
      <c r="M3518" s="9" t="n">
        <v>61856.55</v>
      </c>
      <c r="N3518" s="9" t="n">
        <v>10065</v>
      </c>
      <c r="O3518" s="9" t="inlineStr">
        <is>
          <t>카페24가글샴푸[얼리버드특가] 라베나 딥클렌징 헤어가글 샴푸 (5월 31일 순차예약배송)210525</t>
        </is>
      </c>
    </row>
    <row r="3519">
      <c r="B3519" s="10" t="n">
        <v>44342</v>
      </c>
      <c r="C3519" s="9" t="inlineStr">
        <is>
          <t>수</t>
        </is>
      </c>
      <c r="E3519" s="9" t="inlineStr">
        <is>
          <t>가글워터</t>
        </is>
      </c>
      <c r="F3519" s="9" t="inlineStr">
        <is>
          <t>카페24</t>
        </is>
      </c>
      <c r="G3519" s="9" t="inlineStr">
        <is>
          <t>[얼리버드특가] 라베나 딥클렌징 헤어가글 워터 (5월 31일 순차예약배송)</t>
        </is>
      </c>
      <c r="H3519" s="9" t="n">
        <v>1</v>
      </c>
      <c r="I3519" s="9" t="inlineStr">
        <is>
          <t>헤어가글 워터</t>
        </is>
      </c>
      <c r="J3519" s="9" t="inlineStr">
        <is>
          <t>210525</t>
        </is>
      </c>
      <c r="L3519" s="9" t="n">
        <v>19800</v>
      </c>
      <c r="M3519" s="9" t="n">
        <v>18641.7</v>
      </c>
      <c r="N3519" s="9" t="n">
        <v>2320</v>
      </c>
      <c r="O3519" s="9" t="inlineStr">
        <is>
          <t>카페24가글워터[얼리버드특가] 라베나 딥클렌징 헤어가글 워터 (5월 31일 순차예약배송)210525</t>
        </is>
      </c>
    </row>
    <row r="3520">
      <c r="B3520" s="10" t="n">
        <v>44342</v>
      </c>
      <c r="C3520" s="9" t="inlineStr">
        <is>
          <t>수</t>
        </is>
      </c>
      <c r="E3520" s="9" t="inlineStr">
        <is>
          <t>가글샴푸</t>
        </is>
      </c>
      <c r="F3520" s="9" t="inlineStr">
        <is>
          <t>카페24</t>
        </is>
      </c>
      <c r="G3520" s="9" t="inlineStr">
        <is>
          <t>[얼리버드특가] 라베나 딥클렌징 헤어가글라인 set (5월 31일 순차예약배송)</t>
        </is>
      </c>
      <c r="H3520" s="9" t="n">
        <v>4</v>
      </c>
      <c r="I3520" s="9" t="inlineStr">
        <is>
          <t>헤어가글 샴푸1+헤어가글 워터1</t>
        </is>
      </c>
      <c r="J3520" s="9" t="inlineStr">
        <is>
          <t>210525</t>
        </is>
      </c>
      <c r="L3520" s="9" t="n">
        <v>141780</v>
      </c>
      <c r="M3520" s="9" t="n">
        <v>133485.87</v>
      </c>
      <c r="N3520" s="9" t="n">
        <v>22560</v>
      </c>
      <c r="O3520" s="9" t="inlineStr">
        <is>
          <t>카페24가글샴푸[얼리버드특가] 라베나 딥클렌징 헤어가글라인 set (5월 31일 순차예약배송)210525</t>
        </is>
      </c>
    </row>
    <row r="3521">
      <c r="B3521" s="10" t="n">
        <v>44342</v>
      </c>
      <c r="C3521" s="9" t="inlineStr">
        <is>
          <t>수</t>
        </is>
      </c>
      <c r="E3521" s="9" t="inlineStr">
        <is>
          <t>샴푸</t>
        </is>
      </c>
      <c r="F3521" s="9" t="inlineStr">
        <is>
          <t>카페24</t>
        </is>
      </c>
      <c r="G3521" s="9" t="inlineStr">
        <is>
          <t>[얼리버드특가] 라베나 패밀리 set: 리커버리 샴푸3+헤어가글라인 택1 (5월 31일 순차예약배송)옵션=헤어가글 샴푸</t>
        </is>
      </c>
      <c r="H3521" s="9" t="n">
        <v>10</v>
      </c>
      <c r="I3521" s="9" t="inlineStr">
        <is>
          <t>리바이탈 샴푸3+헤어가글 샴푸1</t>
        </is>
      </c>
      <c r="J3521" s="9" t="inlineStr">
        <is>
          <t>210525</t>
        </is>
      </c>
      <c r="L3521" s="9" t="n">
        <v>813000</v>
      </c>
      <c r="M3521" s="9" t="n">
        <v>765439.5</v>
      </c>
      <c r="N3521" s="9" t="n">
        <v>119500</v>
      </c>
      <c r="O3521" s="9" t="inlineStr">
        <is>
          <t>카페24샴푸[얼리버드특가] 라베나 패밀리 set: 리커버리 샴푸3+헤어가글라인 택1 (5월 31일 순차예약배송)옵션=헤어가글 샴푸210525</t>
        </is>
      </c>
    </row>
    <row r="3522">
      <c r="B3522" s="10" t="n">
        <v>44342</v>
      </c>
      <c r="C3522" s="9" t="inlineStr">
        <is>
          <t>수</t>
        </is>
      </c>
      <c r="E3522" s="9" t="inlineStr">
        <is>
          <t>샴푸</t>
        </is>
      </c>
      <c r="F3522" s="9" t="inlineStr">
        <is>
          <t>카페24</t>
        </is>
      </c>
      <c r="G3522" s="9" t="inlineStr">
        <is>
          <t>[얼리버드특가] 라베나 패밀리 set: 리커버리 샴푸3+헤어가글라인 택1 (5월 31일 순차예약배송)옵션=헤어가글 워터</t>
        </is>
      </c>
      <c r="H3522" s="9" t="n">
        <v>1</v>
      </c>
      <c r="I3522" s="9" t="inlineStr">
        <is>
          <t>리바이탈 샴푸3+헤어가글 워터1</t>
        </is>
      </c>
      <c r="J3522" s="9" t="inlineStr">
        <is>
          <t>210525</t>
        </is>
      </c>
      <c r="L3522" s="9" t="n">
        <v>79200</v>
      </c>
      <c r="M3522" s="9" t="n">
        <v>74566.8</v>
      </c>
      <c r="N3522" s="9" t="n">
        <v>10915</v>
      </c>
      <c r="O3522" s="9" t="inlineStr">
        <is>
          <t>카페24샴푸[얼리버드특가] 라베나 패밀리 set: 리커버리 샴푸3+헤어가글라인 택1 (5월 31일 순차예약배송)옵션=헤어가글 워터210525</t>
        </is>
      </c>
    </row>
    <row r="3523">
      <c r="B3523" s="10" t="n">
        <v>44342</v>
      </c>
      <c r="C3523" s="9" t="inlineStr">
        <is>
          <t>수</t>
        </is>
      </c>
      <c r="E3523" s="9" t="inlineStr">
        <is>
          <t>샴푸</t>
        </is>
      </c>
      <c r="F3523" s="9" t="inlineStr">
        <is>
          <t>카페24</t>
        </is>
      </c>
      <c r="G3523" s="9" t="inlineStr">
        <is>
          <t>[타임특가] 라베나 리:커버리 3개월 패키지 (샴푸 2+ 트리트먼트 택 1)샴푸2 + 트리트먼트 택 1=샴푸2 + 뉴트리셔스 밤1</t>
        </is>
      </c>
      <c r="H3523" s="9" t="n">
        <v>4</v>
      </c>
      <c r="I3523" s="9" t="inlineStr">
        <is>
          <t>리바이탈 샴푸2+뉴트리셔스밤1</t>
        </is>
      </c>
      <c r="J3523" s="9" t="inlineStr">
        <is>
          <t>210525</t>
        </is>
      </c>
      <c r="L3523" s="9" t="n">
        <v>249120</v>
      </c>
      <c r="M3523" s="9" t="n">
        <v>234546.48</v>
      </c>
      <c r="N3523" s="9" t="n">
        <v>29240</v>
      </c>
      <c r="O3523" s="9" t="inlineStr">
        <is>
          <t>카페24샴푸[타임특가] 라베나 리:커버리 3개월 패키지 (샴푸 2+ 트리트먼트 택 1)샴푸2 + 트리트먼트 택 1=샴푸2 + 뉴트리셔스 밤1210525</t>
        </is>
      </c>
    </row>
    <row r="3524">
      <c r="B3524" s="10" t="n">
        <v>44342</v>
      </c>
      <c r="C3524" s="9" t="inlineStr">
        <is>
          <t>수</t>
        </is>
      </c>
      <c r="E3524" s="9" t="inlineStr">
        <is>
          <t>샴푸</t>
        </is>
      </c>
      <c r="F3524" s="9" t="inlineStr">
        <is>
          <t>카페24</t>
        </is>
      </c>
      <c r="G3524" s="9" t="inlineStr">
        <is>
          <t>[타임특가] 라베나 리:커버리 3개월 패키지 (샴푸 2+ 트리트먼트 택 1)샴푸2 + 트리트먼트 택 1=샴푸2 + 헤어팩 트리트먼트1</t>
        </is>
      </c>
      <c r="H3524" s="9" t="n">
        <v>9</v>
      </c>
      <c r="I3524" s="9" t="inlineStr">
        <is>
          <t>리바이탈 샴푸2+트리트먼트1</t>
        </is>
      </c>
      <c r="J3524" s="9" t="inlineStr">
        <is>
          <t>210525</t>
        </is>
      </c>
      <c r="L3524" s="9" t="n">
        <v>560520</v>
      </c>
      <c r="M3524" s="9" t="n">
        <v>527729.58</v>
      </c>
      <c r="N3524" s="9" t="n">
        <v>65943</v>
      </c>
      <c r="O3524" s="9" t="inlineStr">
        <is>
          <t>카페24샴푸[타임특가] 라베나 리:커버리 3개월 패키지 (샴푸 2+ 트리트먼트 택 1)샴푸2 + 트리트먼트 택 1=샴푸2 + 헤어팩 트리트먼트1210525</t>
        </is>
      </c>
    </row>
    <row r="3525">
      <c r="B3525" s="10" t="n">
        <v>44342</v>
      </c>
      <c r="C3525" s="9" t="inlineStr">
        <is>
          <t>수</t>
        </is>
      </c>
      <c r="E3525" s="9" t="inlineStr">
        <is>
          <t>샴푸</t>
        </is>
      </c>
      <c r="F3525" s="9" t="inlineStr">
        <is>
          <t>카페24</t>
        </is>
      </c>
      <c r="G3525" s="9" t="inlineStr">
        <is>
          <t>[타임특가] 라베나 리:커버리 6개월 패키지 (샴푸 5+ 트리트먼트 택 1)샴푸 5 + 트리트먼트 택 1=샴푸 5 + 뉴트리셔스 밤 1</t>
        </is>
      </c>
      <c r="H3525" s="9" t="n">
        <v>1</v>
      </c>
      <c r="I3525" s="9" t="inlineStr">
        <is>
          <t>리바이탈 샴푸5+뉴트리셔스밤1</t>
        </is>
      </c>
      <c r="J3525" s="9" t="inlineStr">
        <is>
          <t>210525</t>
        </is>
      </c>
      <c r="L3525" s="9" t="n">
        <v>114840</v>
      </c>
      <c r="M3525" s="9" t="n">
        <v>108121.86</v>
      </c>
      <c r="N3525" s="9" t="n">
        <v>15905</v>
      </c>
      <c r="O3525" s="9" t="inlineStr">
        <is>
          <t>카페24샴푸[타임특가] 라베나 리:커버리 6개월 패키지 (샴푸 5+ 트리트먼트 택 1)샴푸 5 + 트리트먼트 택 1=샴푸 5 + 뉴트리셔스 밤 1210525</t>
        </is>
      </c>
    </row>
    <row r="3526">
      <c r="B3526" s="10" t="n">
        <v>44342</v>
      </c>
      <c r="C3526" s="9" t="inlineStr">
        <is>
          <t>수</t>
        </is>
      </c>
      <c r="E3526" s="9" t="inlineStr">
        <is>
          <t>샴푸</t>
        </is>
      </c>
      <c r="F3526" s="9" t="inlineStr">
        <is>
          <t>카페24</t>
        </is>
      </c>
      <c r="G3526" s="9" t="inlineStr">
        <is>
          <t>[타임특가] 라베나 리:커버리 6개월 패키지 (샴푸 5+ 트리트먼트 택 1)샴푸 5 + 트리트먼트 택 1=샴푸 5 + 헤어팩 트리트먼트 1</t>
        </is>
      </c>
      <c r="H3526" s="9" t="n">
        <v>2</v>
      </c>
      <c r="I3526" s="9" t="inlineStr">
        <is>
          <t>리바이탈 샴푸5+트리트먼트1</t>
        </is>
      </c>
      <c r="J3526" s="9" t="inlineStr">
        <is>
          <t>210525</t>
        </is>
      </c>
      <c r="L3526" s="9" t="n">
        <v>229680</v>
      </c>
      <c r="M3526" s="9" t="n">
        <v>216243.72</v>
      </c>
      <c r="N3526" s="9" t="n">
        <v>31844</v>
      </c>
      <c r="O3526" s="9" t="inlineStr">
        <is>
          <t>카페24샴푸[타임특가] 라베나 리:커버리 6개월 패키지 (샴푸 5+ 트리트먼트 택 1)샴푸 5 + 트리트먼트 택 1=샴푸 5 + 헤어팩 트리트먼트 1210525</t>
        </is>
      </c>
    </row>
    <row r="3527">
      <c r="B3527" s="10" t="n">
        <v>44342</v>
      </c>
      <c r="C3527" s="9" t="inlineStr">
        <is>
          <t>수</t>
        </is>
      </c>
      <c r="E3527" s="9" t="inlineStr">
        <is>
          <t>샴푸</t>
        </is>
      </c>
      <c r="F3527" s="9" t="inlineStr">
        <is>
          <t>카페24</t>
        </is>
      </c>
      <c r="G3527" s="9" t="inlineStr">
        <is>
          <t>[타임특가] 라베나 리:커버리 온가족 패키지 (샴푸 3+ 헤어팩 트리트먼트 1+뉴트리셔스 밤 1)</t>
        </is>
      </c>
      <c r="H3527" s="9" t="n">
        <v>3</v>
      </c>
      <c r="I3527" s="9" t="inlineStr">
        <is>
          <t>리바이탈 샴푸3+트리트먼트1+뉴트리셔스밤1</t>
        </is>
      </c>
      <c r="J3527" s="9" t="inlineStr">
        <is>
          <t>210525</t>
        </is>
      </c>
      <c r="L3527" s="9" t="n">
        <v>284295</v>
      </c>
      <c r="M3527" s="9" t="n">
        <v>267663.7425</v>
      </c>
      <c r="N3527" s="9" t="n">
        <v>35316</v>
      </c>
      <c r="O3527" s="9" t="inlineStr">
        <is>
          <t>카페24샴푸[타임특가] 라베나 리:커버리 온가족 패키지 (샴푸 3+ 헤어팩 트리트먼트 1+뉴트리셔스 밤 1)210525</t>
        </is>
      </c>
    </row>
    <row r="3528">
      <c r="B3528" s="10" t="n">
        <v>44342</v>
      </c>
      <c r="C3528" s="9" t="inlineStr">
        <is>
          <t>수</t>
        </is>
      </c>
      <c r="E3528" s="9" t="inlineStr">
        <is>
          <t>뉴트리셔스밤</t>
        </is>
      </c>
      <c r="F3528" s="9" t="inlineStr">
        <is>
          <t>카페24</t>
        </is>
      </c>
      <c r="G3528" s="9" t="inlineStr">
        <is>
          <t>라베나 리커버리 15 뉴트리셔스 밤제품선택=헤어 리커버리 15 뉴트리셔스 밤</t>
        </is>
      </c>
      <c r="H3528" s="9" t="n">
        <v>3</v>
      </c>
      <c r="I3528" s="9" t="inlineStr">
        <is>
          <t>뉴트리셔스밤</t>
        </is>
      </c>
      <c r="J3528" s="9" t="inlineStr">
        <is>
          <t>210525</t>
        </is>
      </c>
      <c r="L3528" s="9" t="n">
        <v>74700</v>
      </c>
      <c r="M3528" s="9" t="n">
        <v>70330.05</v>
      </c>
      <c r="N3528" s="9" t="n">
        <v>4740</v>
      </c>
      <c r="O3528" s="9" t="inlineStr">
        <is>
          <t>카페24뉴트리셔스밤라베나 리커버리 15 뉴트리셔스 밤제품선택=헤어 리커버리 15 뉴트리셔스 밤210525</t>
        </is>
      </c>
    </row>
    <row r="3529">
      <c r="B3529" s="10" t="n">
        <v>44342</v>
      </c>
      <c r="C3529" s="9" t="inlineStr">
        <is>
          <t>수</t>
        </is>
      </c>
      <c r="E3529" s="9" t="inlineStr">
        <is>
          <t>샴푸</t>
        </is>
      </c>
      <c r="F3529" s="9" t="inlineStr">
        <is>
          <t>카페24</t>
        </is>
      </c>
      <c r="G3529" s="9" t="inlineStr">
        <is>
          <t>라베나 리커버리 15 리바이탈 바이오플라보노이드샴푸제품선택=헤어 리커버리 15 리바이탈 샴푸 - 500ml</t>
        </is>
      </c>
      <c r="H3529" s="9" t="n">
        <v>167</v>
      </c>
      <c r="I3529" s="9" t="inlineStr">
        <is>
          <t>리바이탈 샴푸</t>
        </is>
      </c>
      <c r="J3529" s="9" t="inlineStr">
        <is>
          <t>210525</t>
        </is>
      </c>
      <c r="L3529" s="9" t="n">
        <v>4492300</v>
      </c>
      <c r="M3529" s="9" t="n">
        <v>4229500.45</v>
      </c>
      <c r="N3529" s="9" t="n">
        <v>478455</v>
      </c>
      <c r="O3529" s="9" t="inlineStr">
        <is>
          <t>카페24샴푸라베나 리커버리 15 리바이탈 바이오플라보노이드샴푸제품선택=헤어 리커버리 15 리바이탈 샴푸 - 500ml210525</t>
        </is>
      </c>
    </row>
    <row r="3530">
      <c r="B3530" s="10" t="n">
        <v>44342</v>
      </c>
      <c r="C3530" s="9" t="inlineStr">
        <is>
          <t>수</t>
        </is>
      </c>
      <c r="E3530" s="9" t="inlineStr">
        <is>
          <t>샴푸</t>
        </is>
      </c>
      <c r="F3530" s="9" t="inlineStr">
        <is>
          <t>카페24</t>
        </is>
      </c>
      <c r="G3530" s="9" t="inlineStr">
        <is>
          <t>라베나 리커버리 15 리바이탈 바이오플라보노이드샴푸제품선택=리바이탈 샴푸 2개 세트 5%추가할인</t>
        </is>
      </c>
      <c r="H3530" s="9" t="n">
        <v>53</v>
      </c>
      <c r="I3530" s="9" t="inlineStr">
        <is>
          <t>리바이탈 샴푸 2set</t>
        </is>
      </c>
      <c r="J3530" s="9" t="inlineStr">
        <is>
          <t>210525</t>
        </is>
      </c>
      <c r="L3530" s="9" t="n">
        <v>2708830</v>
      </c>
      <c r="M3530" s="9" t="n">
        <v>2550363.445</v>
      </c>
      <c r="N3530" s="9" t="n">
        <v>303690</v>
      </c>
      <c r="O3530" s="9" t="inlineStr">
        <is>
          <t>카페24샴푸라베나 리커버리 15 리바이탈 바이오플라보노이드샴푸제품선택=리바이탈 샴푸 2개 세트 5%추가할인210525</t>
        </is>
      </c>
    </row>
    <row r="3531">
      <c r="B3531" s="10" t="n">
        <v>44342</v>
      </c>
      <c r="C3531" s="9" t="inlineStr">
        <is>
          <t>수</t>
        </is>
      </c>
      <c r="E3531" s="9" t="inlineStr">
        <is>
          <t>샴푸</t>
        </is>
      </c>
      <c r="F3531" s="9" t="inlineStr">
        <is>
          <t>카페24</t>
        </is>
      </c>
      <c r="G3531" s="9" t="inlineStr">
        <is>
          <t>라베나 리커버리 15 리바이탈 바이오플라보노이드샴푸제품선택=리바이탈 샴푸 3개 세트 10% 추가할인</t>
        </is>
      </c>
      <c r="H3531" s="9" t="n">
        <v>18</v>
      </c>
      <c r="I3531" s="9" t="inlineStr">
        <is>
          <t>리바이탈 샴푸 3set</t>
        </is>
      </c>
      <c r="J3531" s="9" t="inlineStr">
        <is>
          <t>210525</t>
        </is>
      </c>
      <c r="L3531" s="9" t="n">
        <v>1307340</v>
      </c>
      <c r="M3531" s="9" t="n">
        <v>1230860.61</v>
      </c>
      <c r="N3531" s="9" t="n">
        <v>154710</v>
      </c>
      <c r="O3531" s="9" t="inlineStr">
        <is>
          <t>카페24샴푸라베나 리커버리 15 리바이탈 바이오플라보노이드샴푸제품선택=리바이탈 샴푸 3개 세트 10% 추가할인210525</t>
        </is>
      </c>
    </row>
    <row r="3532">
      <c r="B3532" s="10" t="n">
        <v>44342</v>
      </c>
      <c r="C3532" s="9" t="inlineStr">
        <is>
          <t>수</t>
        </is>
      </c>
      <c r="E3532" s="9" t="inlineStr">
        <is>
          <t>트리트먼트</t>
        </is>
      </c>
      <c r="F3532" s="9" t="inlineStr">
        <is>
          <t>카페24</t>
        </is>
      </c>
      <c r="G3532" s="9" t="inlineStr">
        <is>
          <t>라베나 리커버리 15 헤어팩 트리트먼트제품선택=헤어 리커버리 15 헤어팩 트리트먼트</t>
        </is>
      </c>
      <c r="H3532" s="9" t="n">
        <v>1</v>
      </c>
      <c r="I3532" s="9" t="inlineStr">
        <is>
          <t>트리트먼트</t>
        </is>
      </c>
      <c r="J3532" s="9" t="inlineStr">
        <is>
          <t>210525</t>
        </is>
      </c>
      <c r="L3532" s="9" t="n">
        <v>26000</v>
      </c>
      <c r="M3532" s="9" t="n">
        <v>24479</v>
      </c>
      <c r="N3532" s="9" t="n">
        <v>1597</v>
      </c>
      <c r="O3532" s="9" t="inlineStr">
        <is>
          <t>카페24트리트먼트라베나 리커버리 15 헤어팩 트리트먼트제품선택=헤어 리커버리 15 헤어팩 트리트먼트210525</t>
        </is>
      </c>
    </row>
    <row r="3533">
      <c r="A3533" s="9" t="inlineStr">
        <is>
          <t>0514_현빈_샴푸_피지결석_카드뉴스</t>
        </is>
      </c>
      <c r="B3533" s="10" t="n">
        <v>44343</v>
      </c>
      <c r="C3533" s="9" t="inlineStr">
        <is>
          <t>목</t>
        </is>
      </c>
      <c r="D3533" s="9" t="inlineStr">
        <is>
          <t>페이스북</t>
        </is>
      </c>
      <c r="E3533" s="9" t="inlineStr">
        <is>
          <t>샴푸</t>
        </is>
      </c>
      <c r="K3533" s="9" t="n">
        <v>310853</v>
      </c>
    </row>
    <row r="3534">
      <c r="A3534" s="9" t="inlineStr">
        <is>
          <t>0316~영상베리</t>
        </is>
      </c>
      <c r="B3534" s="10" t="n">
        <v>44343</v>
      </c>
      <c r="C3534" s="9" t="inlineStr">
        <is>
          <t>목</t>
        </is>
      </c>
      <c r="D3534" s="9" t="inlineStr">
        <is>
          <t>페이스북</t>
        </is>
      </c>
      <c r="E3534" s="9" t="inlineStr">
        <is>
          <t>샴푸</t>
        </is>
      </c>
      <c r="K3534" s="9" t="n">
        <v>100260</v>
      </c>
    </row>
    <row r="3535">
      <c r="A3535" s="9" t="inlineStr">
        <is>
          <t>0518_샴푸_VAC_피지결석2</t>
        </is>
      </c>
      <c r="B3535" s="10" t="n">
        <v>44343</v>
      </c>
      <c r="C3535" s="9" t="inlineStr">
        <is>
          <t>목</t>
        </is>
      </c>
      <c r="D3535" s="9" t="inlineStr">
        <is>
          <t>유튜브</t>
        </is>
      </c>
      <c r="E3535" s="9" t="inlineStr">
        <is>
          <t>샴푸</t>
        </is>
      </c>
      <c r="K3535" s="9" t="n">
        <v>2099429</v>
      </c>
    </row>
    <row r="3536">
      <c r="A3536" s="9" t="inlineStr">
        <is>
          <t>0520_샴푸_CPV_피지결석_4차</t>
        </is>
      </c>
      <c r="B3536" s="10" t="n">
        <v>44343</v>
      </c>
      <c r="C3536" s="9" t="inlineStr">
        <is>
          <t>목</t>
        </is>
      </c>
      <c r="D3536" s="9" t="inlineStr">
        <is>
          <t>유튜브</t>
        </is>
      </c>
      <c r="E3536" s="9" t="inlineStr">
        <is>
          <t>샴푸</t>
        </is>
      </c>
      <c r="K3536" s="9" t="n">
        <v>2101915</v>
      </c>
    </row>
    <row r="3537">
      <c r="A3537" s="9" t="inlineStr">
        <is>
          <t>라베나 파워링크_샴푸_광고그룹#1</t>
        </is>
      </c>
      <c r="B3537" s="10" t="n">
        <v>44343</v>
      </c>
      <c r="C3537" s="9" t="inlineStr">
        <is>
          <t>목</t>
        </is>
      </c>
      <c r="D3537" s="9" t="inlineStr">
        <is>
          <t>네이버 검색</t>
        </is>
      </c>
      <c r="E3537" s="9" t="inlineStr">
        <is>
          <t>샴푸</t>
        </is>
      </c>
      <c r="K3537" s="9" t="n">
        <v>2790</v>
      </c>
    </row>
    <row r="3538">
      <c r="A3538" s="9" t="inlineStr">
        <is>
          <t>라베나 파워링크_샴푸#1_유튜브키워드기반</t>
        </is>
      </c>
      <c r="B3538" s="10" t="n">
        <v>44343</v>
      </c>
      <c r="C3538" s="9" t="inlineStr">
        <is>
          <t>목</t>
        </is>
      </c>
      <c r="D3538" s="9" t="inlineStr">
        <is>
          <t>네이버 검색</t>
        </is>
      </c>
      <c r="E3538" s="9" t="inlineStr">
        <is>
          <t>샴푸</t>
        </is>
      </c>
      <c r="K3538" s="9" t="n">
        <v>2970</v>
      </c>
    </row>
    <row r="3539">
      <c r="A3539" s="9" t="inlineStr">
        <is>
          <t>샴푸_쇼핑검색#1_광고그룹#1</t>
        </is>
      </c>
      <c r="B3539" s="10" t="n">
        <v>44343</v>
      </c>
      <c r="C3539" s="9" t="inlineStr">
        <is>
          <t>목</t>
        </is>
      </c>
      <c r="D3539" s="9" t="inlineStr">
        <is>
          <t>네이버 검색</t>
        </is>
      </c>
      <c r="E3539" s="9" t="inlineStr">
        <is>
          <t>샴푸</t>
        </is>
      </c>
      <c r="K3539" s="9" t="n">
        <v>949.9999999999999</v>
      </c>
    </row>
    <row r="3540">
      <c r="A3540" s="9" t="inlineStr">
        <is>
          <t>파워컨텐츠#1_비듬샴푸</t>
        </is>
      </c>
      <c r="B3540" s="10" t="n">
        <v>44343</v>
      </c>
      <c r="C3540" s="9" t="inlineStr">
        <is>
          <t>목</t>
        </is>
      </c>
      <c r="D3540" s="9" t="inlineStr">
        <is>
          <t>네이버 검색</t>
        </is>
      </c>
      <c r="E3540" s="9" t="inlineStr">
        <is>
          <t>샴푸</t>
        </is>
      </c>
      <c r="K3540" s="9" t="n">
        <v>140</v>
      </c>
    </row>
    <row r="3541">
      <c r="A3541" s="9" t="inlineStr">
        <is>
          <t>5월 월간 라베나</t>
        </is>
      </c>
      <c r="B3541" s="10" t="n">
        <v>44343</v>
      </c>
      <c r="C3541" s="9" t="inlineStr">
        <is>
          <t>목</t>
        </is>
      </c>
      <c r="D3541" s="9" t="inlineStr">
        <is>
          <t>카카오 플친</t>
        </is>
      </c>
      <c r="E3541" s="9" t="inlineStr">
        <is>
          <t>가글샴푸</t>
        </is>
      </c>
      <c r="K3541" s="9">
        <f>266738/1.1</f>
        <v/>
      </c>
    </row>
    <row r="3542">
      <c r="B3542" s="10" t="n">
        <v>44343</v>
      </c>
      <c r="C3542" s="9" t="inlineStr">
        <is>
          <t>목</t>
        </is>
      </c>
      <c r="E3542" s="9" t="inlineStr">
        <is>
          <t>샴푸</t>
        </is>
      </c>
      <c r="F3542" s="9" t="inlineStr">
        <is>
          <t>라베나 CS</t>
        </is>
      </c>
      <c r="G3542" s="9" t="inlineStr">
        <is>
          <t>헤어 리커버리 15 리바이탈 샴푸</t>
        </is>
      </c>
      <c r="H3542" s="9" t="n">
        <v>3</v>
      </c>
      <c r="I3542" s="9" t="inlineStr">
        <is>
          <t>리바이탈 샴푸</t>
        </is>
      </c>
      <c r="J3542" s="9" t="inlineStr">
        <is>
          <t>210525</t>
        </is>
      </c>
      <c r="L3542" s="9" t="n">
        <v>0</v>
      </c>
      <c r="M3542" s="9" t="n">
        <v>0</v>
      </c>
      <c r="N3542" s="9" t="n">
        <v>8595</v>
      </c>
      <c r="O3542" s="9" t="inlineStr">
        <is>
          <t>라베나 CS샴푸헤어 리커버리 15 리바이탈 샴푸210525</t>
        </is>
      </c>
    </row>
    <row r="3543">
      <c r="B3543" s="10" t="n">
        <v>44343</v>
      </c>
      <c r="C3543" s="9" t="inlineStr">
        <is>
          <t>목</t>
        </is>
      </c>
      <c r="E3543" s="9" t="inlineStr">
        <is>
          <t>가글샴푸</t>
        </is>
      </c>
      <c r="F3543" s="9" t="inlineStr">
        <is>
          <t>카페24</t>
        </is>
      </c>
      <c r="G3543" s="9" t="inlineStr">
        <is>
          <t>[얼리버드특가] 라베나 딥클렌징 헤어가글 샴푸 (5월 31일 순차예약배송)</t>
        </is>
      </c>
      <c r="H3543" s="9" t="n">
        <v>30</v>
      </c>
      <c r="I3543" s="9" t="inlineStr">
        <is>
          <t>헤어가글 샴푸</t>
        </is>
      </c>
      <c r="J3543" s="9" t="inlineStr">
        <is>
          <t>210525</t>
        </is>
      </c>
      <c r="L3543" s="9" t="n">
        <v>657000</v>
      </c>
      <c r="M3543" s="9" t="n">
        <v>618565.5</v>
      </c>
      <c r="N3543" s="9" t="n">
        <v>100650</v>
      </c>
      <c r="O3543" s="9" t="inlineStr">
        <is>
          <t>카페24가글샴푸[얼리버드특가] 라베나 딥클렌징 헤어가글 샴푸 (5월 31일 순차예약배송)210525</t>
        </is>
      </c>
    </row>
    <row r="3544">
      <c r="B3544" s="10" t="n">
        <v>44343</v>
      </c>
      <c r="C3544" s="9" t="inlineStr">
        <is>
          <t>목</t>
        </is>
      </c>
      <c r="E3544" s="9" t="inlineStr">
        <is>
          <t>가글워터</t>
        </is>
      </c>
      <c r="F3544" s="9" t="inlineStr">
        <is>
          <t>카페24</t>
        </is>
      </c>
      <c r="G3544" s="9" t="inlineStr">
        <is>
          <t>[얼리버드특가] 라베나 딥클렌징 헤어가글 워터 (5월 31일 순차예약배송)</t>
        </is>
      </c>
      <c r="H3544" s="9" t="n">
        <v>10</v>
      </c>
      <c r="I3544" s="9" t="inlineStr">
        <is>
          <t>헤어가글 워터</t>
        </is>
      </c>
      <c r="J3544" s="9" t="inlineStr">
        <is>
          <t>210525</t>
        </is>
      </c>
      <c r="L3544" s="9" t="n">
        <v>198000</v>
      </c>
      <c r="M3544" s="9" t="n">
        <v>186417</v>
      </c>
      <c r="N3544" s="9" t="n">
        <v>23200</v>
      </c>
      <c r="O3544" s="9" t="inlineStr">
        <is>
          <t>카페24가글워터[얼리버드특가] 라베나 딥클렌징 헤어가글 워터 (5월 31일 순차예약배송)210525</t>
        </is>
      </c>
    </row>
    <row r="3545">
      <c r="B3545" s="10" t="n">
        <v>44343</v>
      </c>
      <c r="C3545" s="9" t="inlineStr">
        <is>
          <t>목</t>
        </is>
      </c>
      <c r="E3545" s="9" t="inlineStr">
        <is>
          <t>가글샴푸</t>
        </is>
      </c>
      <c r="F3545" s="9" t="inlineStr">
        <is>
          <t>카페24</t>
        </is>
      </c>
      <c r="G3545" s="9" t="inlineStr">
        <is>
          <t>[얼리버드특가] 라베나 딥클렌징 헤어가글라인 set (5월 31일 순차예약배송)</t>
        </is>
      </c>
      <c r="H3545" s="9" t="n">
        <v>44</v>
      </c>
      <c r="I3545" s="9" t="inlineStr">
        <is>
          <t>헤어가글 샴푸1+헤어가글 워터1</t>
        </is>
      </c>
      <c r="J3545" s="9" t="inlineStr">
        <is>
          <t>210525</t>
        </is>
      </c>
      <c r="L3545" s="9" t="n">
        <v>1559580</v>
      </c>
      <c r="M3545" s="9" t="n">
        <v>1468344.57</v>
      </c>
      <c r="N3545" s="9">
        <f>VLOOKUP($O3545,매칭테이블!$G:$J,4,0)*H3545</f>
        <v/>
      </c>
      <c r="O3545" s="9">
        <f>F3545&amp;E3545&amp;G3545&amp;J3545</f>
        <v/>
      </c>
    </row>
    <row r="3546">
      <c r="B3546" s="10" t="n">
        <v>44343</v>
      </c>
      <c r="C3546" s="9" t="inlineStr">
        <is>
          <t>목</t>
        </is>
      </c>
      <c r="E3546" s="9" t="inlineStr">
        <is>
          <t>샴푸</t>
        </is>
      </c>
      <c r="F3546" s="9" t="inlineStr">
        <is>
          <t>카페24</t>
        </is>
      </c>
      <c r="G3546" s="9" t="inlineStr">
        <is>
          <t>[얼리버드특가] 라베나 패밀리 set: 리커버리 샴푸3+헤어가글라인 택1 (5월 31일 순차예약배송)옵션=헤어가글 샴푸</t>
        </is>
      </c>
      <c r="H3546" s="9" t="n">
        <v>37</v>
      </c>
      <c r="I3546" s="9" t="inlineStr">
        <is>
          <t>리바이탈 샴푸3+헤어가글 샴푸1</t>
        </is>
      </c>
      <c r="J3546" s="9" t="inlineStr">
        <is>
          <t>210525</t>
        </is>
      </c>
      <c r="L3546" s="9" t="n">
        <v>3008100</v>
      </c>
      <c r="M3546" s="9" t="n">
        <v>2832126.15</v>
      </c>
      <c r="N3546" s="9">
        <f>VLOOKUP($O3546,매칭테이블!$G:$J,4,0)*H3546</f>
        <v/>
      </c>
      <c r="O3546" s="9">
        <f>F3546&amp;E3546&amp;G3546&amp;J3546</f>
        <v/>
      </c>
    </row>
    <row r="3547">
      <c r="B3547" s="10" t="n">
        <v>44343</v>
      </c>
      <c r="C3547" s="9" t="inlineStr">
        <is>
          <t>목</t>
        </is>
      </c>
      <c r="E3547" s="9" t="inlineStr">
        <is>
          <t>샴푸</t>
        </is>
      </c>
      <c r="F3547" s="9" t="inlineStr">
        <is>
          <t>카페24</t>
        </is>
      </c>
      <c r="G3547" s="9" t="inlineStr">
        <is>
          <t>[얼리버드특가] 라베나 패밀리 set: 리커버리 샴푸3+헤어가글라인 택1 (5월 31일 순차예약배송)옵션=헤어가글 워터</t>
        </is>
      </c>
      <c r="H3547" s="9" t="n">
        <v>5</v>
      </c>
      <c r="I3547" s="9" t="inlineStr">
        <is>
          <t>리바이탈 샴푸3+헤어가글 워터1</t>
        </is>
      </c>
      <c r="J3547" s="9" t="inlineStr">
        <is>
          <t>210525</t>
        </is>
      </c>
      <c r="L3547" s="9" t="n">
        <v>396000</v>
      </c>
      <c r="M3547" s="9" t="n">
        <v>372834</v>
      </c>
      <c r="N3547" s="9">
        <f>VLOOKUP($O3547,매칭테이블!$G:$J,4,0)*H3547</f>
        <v/>
      </c>
      <c r="O3547" s="9">
        <f>F3547&amp;E3547&amp;G3547&amp;J3547</f>
        <v/>
      </c>
    </row>
    <row r="3548">
      <c r="B3548" s="10" t="n">
        <v>44343</v>
      </c>
      <c r="C3548" s="9" t="inlineStr">
        <is>
          <t>목</t>
        </is>
      </c>
      <c r="E3548" s="9" t="inlineStr">
        <is>
          <t>샴푸</t>
        </is>
      </c>
      <c r="F3548" s="9" t="inlineStr">
        <is>
          <t>카페24</t>
        </is>
      </c>
      <c r="G3548" s="9" t="inlineStr">
        <is>
          <t>[타임특가] 라베나 리:커버리 3개월 패키지 (샴푸 2+ 트리트먼트 택 1)샴푸2 + 트리트먼트 택 1=샴푸2 + 뉴트리셔스 밤1</t>
        </is>
      </c>
      <c r="H3548" s="9" t="n">
        <v>4</v>
      </c>
      <c r="I3548" s="9" t="inlineStr">
        <is>
          <t>리바이탈 샴푸2+뉴트리셔스밤1</t>
        </is>
      </c>
      <c r="J3548" s="9" t="inlineStr">
        <is>
          <t>210525</t>
        </is>
      </c>
      <c r="L3548" s="9">
        <f>VLOOKUP($O3548,매칭테이블!$G:$J,2,0)*H3548</f>
        <v/>
      </c>
      <c r="M3548" s="9">
        <f>L3548-L3548*VLOOKUP($O3548,매칭테이블!$G:$J,3,0)</f>
        <v/>
      </c>
      <c r="N3548" s="9">
        <f>VLOOKUP($O3548,매칭테이블!$G:$J,4,0)*H3548</f>
        <v/>
      </c>
      <c r="O3548" s="9">
        <f>F3548&amp;E3548&amp;G3548&amp;J3548</f>
        <v/>
      </c>
    </row>
    <row r="3549">
      <c r="B3549" s="10" t="n">
        <v>44343</v>
      </c>
      <c r="C3549" s="9" t="inlineStr">
        <is>
          <t>목</t>
        </is>
      </c>
      <c r="E3549" s="9" t="inlineStr">
        <is>
          <t>샴푸</t>
        </is>
      </c>
      <c r="F3549" s="9" t="inlineStr">
        <is>
          <t>카페24</t>
        </is>
      </c>
      <c r="G3549" s="9" t="inlineStr">
        <is>
          <t>[타임특가] 라베나 리:커버리 3개월 패키지 (샴푸 2+ 트리트먼트 택 1)샴푸2 + 트리트먼트 택 1=샴푸2 + 헤어팩 트리트먼트1</t>
        </is>
      </c>
      <c r="H3549" s="9" t="n">
        <v>11</v>
      </c>
      <c r="I3549" s="9" t="inlineStr">
        <is>
          <t>리바이탈 샴푸2+트리트먼트1</t>
        </is>
      </c>
      <c r="J3549" s="9" t="inlineStr">
        <is>
          <t>210525</t>
        </is>
      </c>
      <c r="L3549" s="9">
        <f>VLOOKUP($O3549,매칭테이블!$G:$J,2,0)*H3549</f>
        <v/>
      </c>
      <c r="M3549" s="9">
        <f>L3549-L3549*VLOOKUP($O3549,매칭테이블!$G:$J,3,0)</f>
        <v/>
      </c>
      <c r="N3549" s="9">
        <f>VLOOKUP($O3549,매칭테이블!$G:$J,4,0)*H3549</f>
        <v/>
      </c>
      <c r="O3549" s="9">
        <f>F3549&amp;E3549&amp;G3549&amp;J3549</f>
        <v/>
      </c>
    </row>
    <row r="3550">
      <c r="B3550" s="10" t="n">
        <v>44343</v>
      </c>
      <c r="C3550" s="9" t="inlineStr">
        <is>
          <t>목</t>
        </is>
      </c>
      <c r="E3550" s="9" t="inlineStr">
        <is>
          <t>샴푸</t>
        </is>
      </c>
      <c r="F3550" s="9" t="inlineStr">
        <is>
          <t>카페24</t>
        </is>
      </c>
      <c r="G3550" s="9" t="inlineStr">
        <is>
          <t>[타임특가] 라베나 리:커버리 6개월 패키지 (샴푸 5+ 트리트먼트 택 1)샴푸 5 + 트리트먼트 택 1=샴푸 5 + 뉴트리셔스 밤 1</t>
        </is>
      </c>
      <c r="H3550" s="9" t="n">
        <v>3</v>
      </c>
      <c r="I3550" s="9" t="inlineStr">
        <is>
          <t>리바이탈 샴푸5+뉴트리셔스밤1</t>
        </is>
      </c>
      <c r="J3550" s="9" t="inlineStr">
        <is>
          <t>210525</t>
        </is>
      </c>
      <c r="L3550" s="9">
        <f>VLOOKUP($O3550,매칭테이블!$G:$J,2,0)*H3550</f>
        <v/>
      </c>
      <c r="M3550" s="9">
        <f>L3550-L3550*VLOOKUP($O3550,매칭테이블!$G:$J,3,0)</f>
        <v/>
      </c>
      <c r="N3550" s="9">
        <f>VLOOKUP($O3550,매칭테이블!$G:$J,4,0)*H3550</f>
        <v/>
      </c>
      <c r="O3550" s="9">
        <f>F3550&amp;E3550&amp;G3550&amp;J3550</f>
        <v/>
      </c>
    </row>
    <row r="3551">
      <c r="B3551" s="10" t="n">
        <v>44343</v>
      </c>
      <c r="C3551" s="9" t="inlineStr">
        <is>
          <t>목</t>
        </is>
      </c>
      <c r="E3551" s="9" t="inlineStr">
        <is>
          <t>샴푸</t>
        </is>
      </c>
      <c r="F3551" s="9" t="inlineStr">
        <is>
          <t>카페24</t>
        </is>
      </c>
      <c r="G3551" s="9" t="inlineStr">
        <is>
          <t>[타임특가] 라베나 리:커버리 6개월 패키지 (샴푸 5+ 트리트먼트 택 1)샴푸 5 + 트리트먼트 택 1=샴푸 5 + 헤어팩 트리트먼트 1</t>
        </is>
      </c>
      <c r="H3551" s="9" t="n">
        <v>6</v>
      </c>
      <c r="I3551" s="9" t="inlineStr">
        <is>
          <t>리바이탈 샴푸5+트리트먼트1</t>
        </is>
      </c>
      <c r="J3551" s="9" t="inlineStr">
        <is>
          <t>210525</t>
        </is>
      </c>
      <c r="L3551" s="9">
        <f>VLOOKUP($O3551,매칭테이블!$G:$J,2,0)*H3551</f>
        <v/>
      </c>
      <c r="M3551" s="9">
        <f>L3551-L3551*VLOOKUP($O3551,매칭테이블!$G:$J,3,0)</f>
        <v/>
      </c>
      <c r="N3551" s="9">
        <f>VLOOKUP($O3551,매칭테이블!$G:$J,4,0)*H3551</f>
        <v/>
      </c>
      <c r="O3551" s="9">
        <f>F3551&amp;E3551&amp;G3551&amp;J3551</f>
        <v/>
      </c>
    </row>
    <row r="3552">
      <c r="B3552" s="10" t="n">
        <v>44343</v>
      </c>
      <c r="C3552" s="9" t="inlineStr">
        <is>
          <t>목</t>
        </is>
      </c>
      <c r="E3552" s="9" t="inlineStr">
        <is>
          <t>샴푸</t>
        </is>
      </c>
      <c r="F3552" s="9" t="inlineStr">
        <is>
          <t>카페24</t>
        </is>
      </c>
      <c r="G3552" s="9" t="inlineStr">
        <is>
          <t>[타임특가] 라베나 리:커버리 온가족 패키지 (샴푸 3+ 헤어팩 트리트먼트 1+뉴트리셔스 밤 1)</t>
        </is>
      </c>
      <c r="H3552" s="9" t="n">
        <v>4</v>
      </c>
      <c r="I3552" s="9" t="inlineStr">
        <is>
          <t>리바이탈 샴푸3+트리트먼트1+뉴트리셔스밤1</t>
        </is>
      </c>
      <c r="J3552" s="9" t="inlineStr">
        <is>
          <t>210525</t>
        </is>
      </c>
      <c r="L3552" s="9">
        <f>VLOOKUP($O3552,매칭테이블!$G:$J,2,0)*H3552</f>
        <v/>
      </c>
      <c r="M3552" s="9">
        <f>L3552-L3552*VLOOKUP($O3552,매칭테이블!$G:$J,3,0)</f>
        <v/>
      </c>
      <c r="N3552" s="9">
        <f>VLOOKUP($O3552,매칭테이블!$G:$J,4,0)*H3552</f>
        <v/>
      </c>
      <c r="O3552" s="9">
        <f>F3552&amp;E3552&amp;G3552&amp;J3552</f>
        <v/>
      </c>
    </row>
    <row r="3553">
      <c r="B3553" s="10" t="n">
        <v>44343</v>
      </c>
      <c r="C3553" s="9" t="inlineStr">
        <is>
          <t>목</t>
        </is>
      </c>
      <c r="E3553" s="9" t="inlineStr">
        <is>
          <t>뉴트리셔스밤</t>
        </is>
      </c>
      <c r="F3553" s="9" t="inlineStr">
        <is>
          <t>카페24</t>
        </is>
      </c>
      <c r="G3553" s="9" t="inlineStr">
        <is>
          <t>라베나 리커버리 15 뉴트리셔스 밤제품선택=헤어 리커버리 15 뉴트리셔스 밤</t>
        </is>
      </c>
      <c r="H3553" s="9" t="n">
        <v>3</v>
      </c>
      <c r="I3553" s="9" t="inlineStr">
        <is>
          <t>뉴트리셔스밤</t>
        </is>
      </c>
      <c r="J3553" s="9" t="inlineStr">
        <is>
          <t>210525</t>
        </is>
      </c>
      <c r="L3553" s="9" t="n">
        <v>74700</v>
      </c>
      <c r="M3553" s="9" t="n">
        <v>70330.04999999999</v>
      </c>
      <c r="N3553" s="9" t="n">
        <v>4740</v>
      </c>
      <c r="O3553" s="9" t="inlineStr">
        <is>
          <t>카페24뉴트리셔스밤라베나 리커버리 15 뉴트리셔스 밤제품선택=헤어 리커버리 15 뉴트리셔스 밤210525</t>
        </is>
      </c>
    </row>
    <row r="3554">
      <c r="B3554" s="10" t="n">
        <v>44343</v>
      </c>
      <c r="C3554" s="9" t="inlineStr">
        <is>
          <t>목</t>
        </is>
      </c>
      <c r="E3554" s="9" t="inlineStr">
        <is>
          <t>뉴트리셔스밤</t>
        </is>
      </c>
      <c r="F3554" s="9" t="inlineStr">
        <is>
          <t>카페24</t>
        </is>
      </c>
      <c r="G3554" s="9" t="inlineStr">
        <is>
          <t>라베나 리커버리 15 뉴트리셔스 밤제품선택=뉴트리셔스 밤 2개 세트 5% 추가할인</t>
        </is>
      </c>
      <c r="H3554" s="9" t="n">
        <v>1</v>
      </c>
      <c r="I3554" s="9" t="inlineStr">
        <is>
          <t>뉴트리셔스밤 2set</t>
        </is>
      </c>
      <c r="J3554" s="9" t="inlineStr">
        <is>
          <t>210525</t>
        </is>
      </c>
      <c r="L3554" s="9" t="n">
        <v>47310</v>
      </c>
      <c r="M3554" s="9" t="n">
        <v>44542.365</v>
      </c>
      <c r="N3554" s="9" t="n">
        <v>3160</v>
      </c>
      <c r="O3554" s="9" t="inlineStr">
        <is>
          <t>카페24뉴트리셔스밤라베나 리커버리 15 뉴트리셔스 밤제품선택=뉴트리셔스 밤 2개 세트 5% 추가할인210525</t>
        </is>
      </c>
    </row>
    <row r="3555">
      <c r="B3555" s="10" t="n">
        <v>44343</v>
      </c>
      <c r="C3555" s="9" t="inlineStr">
        <is>
          <t>목</t>
        </is>
      </c>
      <c r="E3555" s="9" t="inlineStr">
        <is>
          <t>뉴트리셔스밤</t>
        </is>
      </c>
      <c r="F3555" s="9" t="inlineStr">
        <is>
          <t>카페24</t>
        </is>
      </c>
      <c r="G3555" s="9" t="inlineStr">
        <is>
          <t>라베나 리커버리 15 뉴트리셔스 밤제품선택=뉴트리셔스밤 1개 + 헤어팩 트리트먼트 1개 세트 5%추가할인</t>
        </is>
      </c>
      <c r="H3555" s="9" t="n">
        <v>1</v>
      </c>
      <c r="I3555" s="9" t="inlineStr">
        <is>
          <t>뉴트리셔스밤1+트리트먼트1</t>
        </is>
      </c>
      <c r="J3555" s="9" t="inlineStr">
        <is>
          <t>210525</t>
        </is>
      </c>
      <c r="L3555" s="9" t="n">
        <v>48355</v>
      </c>
      <c r="M3555" s="9">
        <f>48355-(48355*0.0585)</f>
        <v/>
      </c>
      <c r="N3555" s="9">
        <f>1580+1597</f>
        <v/>
      </c>
      <c r="O3555" s="9" t="inlineStr">
        <is>
          <t>카페240라베나 리커버리 15 뉴트리셔스 밤제품선택=뉴트리셔스밤 1개 + 헤어팩 트리트먼트 1개 세트 5%추가할인210525</t>
        </is>
      </c>
    </row>
    <row r="3556">
      <c r="B3556" s="10" t="n">
        <v>44343</v>
      </c>
      <c r="C3556" s="9" t="inlineStr">
        <is>
          <t>목</t>
        </is>
      </c>
      <c r="E3556" s="9" t="inlineStr">
        <is>
          <t>샴푸</t>
        </is>
      </c>
      <c r="F3556" s="9" t="inlineStr">
        <is>
          <t>카페24</t>
        </is>
      </c>
      <c r="G3556" s="9" t="inlineStr">
        <is>
          <t>라베나 리커버리 15 리바이탈 바이오플라보노이드샴푸제품선택=헤어 리커버리 15 리바이탈 샴푸 - 500ml</t>
        </is>
      </c>
      <c r="H3556" s="9" t="n">
        <v>172</v>
      </c>
      <c r="I3556" s="9" t="inlineStr">
        <is>
          <t>리바이탈 샴푸</t>
        </is>
      </c>
      <c r="J3556" s="9" t="inlineStr">
        <is>
          <t>210525</t>
        </is>
      </c>
      <c r="L3556" s="9" t="n">
        <v>4626800</v>
      </c>
      <c r="M3556" s="9" t="n">
        <v>4356132.2</v>
      </c>
      <c r="N3556" s="9" t="n">
        <v>492780</v>
      </c>
      <c r="O3556" s="9" t="inlineStr">
        <is>
          <t>카페24샴푸라베나 리커버리 15 리바이탈 바이오플라보노이드샴푸제품선택=헤어 리커버리 15 리바이탈 샴푸 - 500ml210525</t>
        </is>
      </c>
    </row>
    <row r="3557">
      <c r="B3557" s="10" t="n">
        <v>44343</v>
      </c>
      <c r="C3557" s="9" t="inlineStr">
        <is>
          <t>목</t>
        </is>
      </c>
      <c r="E3557" s="9" t="inlineStr">
        <is>
          <t>샴푸</t>
        </is>
      </c>
      <c r="F3557" s="9" t="inlineStr">
        <is>
          <t>카페24</t>
        </is>
      </c>
      <c r="G3557" s="9" t="inlineStr">
        <is>
          <t>라베나 리커버리 15 리바이탈 바이오플라보노이드샴푸제품선택=리바이탈 샴푸 2개 세트 5%추가할인</t>
        </is>
      </c>
      <c r="H3557" s="9" t="n">
        <v>45</v>
      </c>
      <c r="I3557" s="9" t="inlineStr">
        <is>
          <t>리바이탈 샴푸 2set</t>
        </is>
      </c>
      <c r="J3557" s="9" t="inlineStr">
        <is>
          <t>210525</t>
        </is>
      </c>
      <c r="L3557" s="9" t="n">
        <v>2299950</v>
      </c>
      <c r="M3557" s="9" t="n">
        <v>2165402.925</v>
      </c>
      <c r="N3557" s="9" t="n">
        <v>257850</v>
      </c>
      <c r="O3557" s="9" t="inlineStr">
        <is>
          <t>카페24샴푸라베나 리커버리 15 리바이탈 바이오플라보노이드샴푸제품선택=리바이탈 샴푸 2개 세트 5%추가할인210525</t>
        </is>
      </c>
    </row>
    <row r="3558">
      <c r="B3558" s="10" t="n">
        <v>44343</v>
      </c>
      <c r="C3558" s="9" t="inlineStr">
        <is>
          <t>목</t>
        </is>
      </c>
      <c r="E3558" s="9" t="inlineStr">
        <is>
          <t>샴푸</t>
        </is>
      </c>
      <c r="F3558" s="9" t="inlineStr">
        <is>
          <t>카페24</t>
        </is>
      </c>
      <c r="G3558" s="9" t="inlineStr">
        <is>
          <t>라베나 리커버리 15 리바이탈 바이오플라보노이드샴푸제품선택=리바이탈 샴푸 3개 세트 10% 추가할인</t>
        </is>
      </c>
      <c r="H3558" s="9" t="n">
        <v>19</v>
      </c>
      <c r="I3558" s="9" t="inlineStr">
        <is>
          <t>리바이탈 샴푸 3set</t>
        </is>
      </c>
      <c r="J3558" s="9" t="inlineStr">
        <is>
          <t>210525</t>
        </is>
      </c>
      <c r="L3558" s="9" t="n">
        <v>1379970</v>
      </c>
      <c r="M3558" s="9" t="n">
        <v>1299241.755</v>
      </c>
      <c r="N3558" s="9" t="n">
        <v>163305</v>
      </c>
      <c r="O3558" s="9" t="inlineStr">
        <is>
          <t>카페24샴푸라베나 리커버리 15 리바이탈 바이오플라보노이드샴푸제품선택=리바이탈 샴푸 3개 세트 10% 추가할인210525</t>
        </is>
      </c>
    </row>
    <row r="3559">
      <c r="B3559" s="10" t="n">
        <v>44343</v>
      </c>
      <c r="C3559" s="9" t="inlineStr">
        <is>
          <t>목</t>
        </is>
      </c>
      <c r="E3559" s="9" t="inlineStr">
        <is>
          <t>트리트먼트</t>
        </is>
      </c>
      <c r="F3559" s="9" t="inlineStr">
        <is>
          <t>카페24</t>
        </is>
      </c>
      <c r="G3559" s="9" t="inlineStr">
        <is>
          <t>라베나 리커버리 15 헤어팩 트리트먼트제품선택=헤어 리커버리 15 헤어팩 트리트먼트</t>
        </is>
      </c>
      <c r="H3559" s="9" t="n">
        <v>4</v>
      </c>
      <c r="I3559" s="9" t="inlineStr">
        <is>
          <t>트리트먼트</t>
        </is>
      </c>
      <c r="J3559" s="9" t="inlineStr">
        <is>
          <t>210525</t>
        </is>
      </c>
      <c r="L3559" s="9" t="n">
        <v>104000</v>
      </c>
      <c r="M3559" s="9" t="n">
        <v>97916</v>
      </c>
      <c r="N3559" s="9" t="n">
        <v>6388</v>
      </c>
      <c r="O3559" s="9" t="inlineStr">
        <is>
          <t>카페24트리트먼트라베나 리커버리 15 헤어팩 트리트먼트제품선택=헤어 리커버리 15 헤어팩 트리트먼트210525</t>
        </is>
      </c>
    </row>
    <row r="3560">
      <c r="A3560" s="9" t="inlineStr">
        <is>
          <t>0514_현빈_샴푸_피지결석_카드뉴스</t>
        </is>
      </c>
      <c r="B3560" s="10" t="n">
        <v>44344</v>
      </c>
      <c r="C3560" s="9" t="inlineStr">
        <is>
          <t>금</t>
        </is>
      </c>
      <c r="D3560" s="9" t="inlineStr">
        <is>
          <t>페이스북</t>
        </is>
      </c>
      <c r="E3560" s="9" t="inlineStr">
        <is>
          <t>샴푸</t>
        </is>
      </c>
      <c r="K3560" s="9" t="n">
        <v>194911</v>
      </c>
    </row>
    <row r="3561">
      <c r="A3561" s="9" t="inlineStr">
        <is>
          <t>0316~영상베리</t>
        </is>
      </c>
      <c r="B3561" s="10" t="n">
        <v>44344</v>
      </c>
      <c r="C3561" s="9" t="inlineStr">
        <is>
          <t>금</t>
        </is>
      </c>
      <c r="D3561" s="9" t="inlineStr">
        <is>
          <t>페이스북</t>
        </is>
      </c>
      <c r="E3561" s="9" t="inlineStr">
        <is>
          <t>샴푸</t>
        </is>
      </c>
      <c r="K3561" s="9" t="n">
        <v>99041</v>
      </c>
    </row>
    <row r="3562">
      <c r="A3562" s="9" t="inlineStr">
        <is>
          <t>0316~영상베리</t>
        </is>
      </c>
      <c r="B3562" s="10" t="n">
        <v>44345</v>
      </c>
      <c r="C3562" s="9" t="inlineStr">
        <is>
          <t>토</t>
        </is>
      </c>
      <c r="D3562" s="9" t="inlineStr">
        <is>
          <t>페이스북</t>
        </is>
      </c>
      <c r="E3562" s="9" t="inlineStr">
        <is>
          <t>샴푸</t>
        </is>
      </c>
      <c r="K3562" s="9" t="n">
        <v>105726</v>
      </c>
    </row>
    <row r="3563">
      <c r="A3563" s="9" t="inlineStr">
        <is>
          <t>0316~영상베리</t>
        </is>
      </c>
      <c r="B3563" s="10" t="n">
        <v>44346</v>
      </c>
      <c r="C3563" s="9" t="inlineStr">
        <is>
          <t>일</t>
        </is>
      </c>
      <c r="D3563" s="9" t="inlineStr">
        <is>
          <t>페이스북</t>
        </is>
      </c>
      <c r="E3563" s="9" t="inlineStr">
        <is>
          <t>샴푸</t>
        </is>
      </c>
      <c r="K3563" s="9" t="n">
        <v>100223</v>
      </c>
    </row>
    <row r="3564">
      <c r="A3564" s="9" t="inlineStr">
        <is>
          <t>0518_샴푸_VAC_피지결석2</t>
        </is>
      </c>
      <c r="B3564" s="10" t="n">
        <v>44344</v>
      </c>
      <c r="C3564" s="9" t="inlineStr">
        <is>
          <t>금</t>
        </is>
      </c>
      <c r="D3564" s="9" t="inlineStr">
        <is>
          <t>유튜브</t>
        </is>
      </c>
      <c r="E3564" s="9" t="inlineStr">
        <is>
          <t>샴푸</t>
        </is>
      </c>
      <c r="K3564" s="9" t="n">
        <v>2033657</v>
      </c>
    </row>
    <row r="3565">
      <c r="A3565" s="9" t="inlineStr">
        <is>
          <t>0520_샴푸_CPV_피지결석_4차</t>
        </is>
      </c>
      <c r="B3565" s="10" t="n">
        <v>44344</v>
      </c>
      <c r="C3565" s="9" t="inlineStr">
        <is>
          <t>금</t>
        </is>
      </c>
      <c r="D3565" s="9" t="inlineStr">
        <is>
          <t>유튜브</t>
        </is>
      </c>
      <c r="E3565" s="9" t="inlineStr">
        <is>
          <t>샴푸</t>
        </is>
      </c>
      <c r="K3565" s="9" t="n">
        <v>2034778</v>
      </c>
    </row>
    <row r="3566">
      <c r="A3566" s="9" t="inlineStr">
        <is>
          <t>0518_샴푸_VAC_피지결석2</t>
        </is>
      </c>
      <c r="B3566" s="10" t="n">
        <v>44345</v>
      </c>
      <c r="C3566" s="9" t="inlineStr">
        <is>
          <t>토</t>
        </is>
      </c>
      <c r="D3566" s="9" t="inlineStr">
        <is>
          <t>유튜브</t>
        </is>
      </c>
      <c r="E3566" s="9" t="inlineStr">
        <is>
          <t>샴푸</t>
        </is>
      </c>
      <c r="K3566" s="9" t="n">
        <v>817590</v>
      </c>
    </row>
    <row r="3567">
      <c r="A3567" s="9" t="inlineStr">
        <is>
          <t>0520_샴푸_CPV_피지결석_4차</t>
        </is>
      </c>
      <c r="B3567" s="10" t="n">
        <v>44345</v>
      </c>
      <c r="C3567" s="9" t="inlineStr">
        <is>
          <t>토</t>
        </is>
      </c>
      <c r="D3567" s="9" t="inlineStr">
        <is>
          <t>유튜브</t>
        </is>
      </c>
      <c r="E3567" s="9" t="inlineStr">
        <is>
          <t>샴푸</t>
        </is>
      </c>
      <c r="K3567" s="9" t="n">
        <v>2498649</v>
      </c>
    </row>
    <row r="3568">
      <c r="A3568" s="9" t="inlineStr">
        <is>
          <t>0528_샴푸_GDN</t>
        </is>
      </c>
      <c r="B3568" s="10" t="n">
        <v>44345</v>
      </c>
      <c r="C3568" s="9" t="inlineStr">
        <is>
          <t>토</t>
        </is>
      </c>
      <c r="D3568" s="9" t="inlineStr">
        <is>
          <t>GDN</t>
        </is>
      </c>
      <c r="E3568" s="9" t="inlineStr">
        <is>
          <t>샴푸</t>
        </is>
      </c>
      <c r="K3568" s="9" t="n">
        <v>32775</v>
      </c>
    </row>
    <row r="3569">
      <c r="A3569" s="9" t="inlineStr">
        <is>
          <t>0520_샴푸_CPV_피지결석_4차</t>
        </is>
      </c>
      <c r="B3569" s="10" t="n">
        <v>44346</v>
      </c>
      <c r="C3569" s="9" t="inlineStr">
        <is>
          <t>일</t>
        </is>
      </c>
      <c r="D3569" s="9" t="inlineStr">
        <is>
          <t>유튜브</t>
        </is>
      </c>
      <c r="E3569" s="9" t="inlineStr">
        <is>
          <t>샴푸</t>
        </is>
      </c>
      <c r="K3569" s="9" t="n">
        <v>3003137</v>
      </c>
    </row>
    <row r="3570">
      <c r="A3570" s="9" t="inlineStr">
        <is>
          <t>0528_샴푸_GDN</t>
        </is>
      </c>
      <c r="B3570" s="10" t="n">
        <v>44346</v>
      </c>
      <c r="C3570" s="9" t="inlineStr">
        <is>
          <t>일</t>
        </is>
      </c>
      <c r="D3570" s="9" t="inlineStr">
        <is>
          <t>GDN</t>
        </is>
      </c>
      <c r="E3570" s="9" t="inlineStr">
        <is>
          <t>샴푸</t>
        </is>
      </c>
      <c r="K3570" s="9" t="n">
        <v>171611</v>
      </c>
    </row>
    <row r="3571">
      <c r="A3571" s="9" t="inlineStr">
        <is>
          <t>라베나 파워링크_샴푸_광고그룹#1</t>
        </is>
      </c>
      <c r="B3571" s="10" t="n">
        <v>44346</v>
      </c>
      <c r="C3571" s="9" t="inlineStr">
        <is>
          <t>일</t>
        </is>
      </c>
      <c r="D3571" s="9" t="inlineStr">
        <is>
          <t>네이버 검색</t>
        </is>
      </c>
      <c r="E3571" s="9" t="inlineStr">
        <is>
          <t>샴푸</t>
        </is>
      </c>
      <c r="K3571" s="9" t="n">
        <v>3380</v>
      </c>
    </row>
    <row r="3572">
      <c r="A3572" s="9" t="inlineStr">
        <is>
          <t>라베나 파워링크_샴푸#1_유튜브키워드기반</t>
        </is>
      </c>
      <c r="B3572" s="10" t="n">
        <v>44346</v>
      </c>
      <c r="C3572" s="9" t="inlineStr">
        <is>
          <t>일</t>
        </is>
      </c>
      <c r="D3572" s="9" t="inlineStr">
        <is>
          <t>네이버 검색</t>
        </is>
      </c>
      <c r="E3572" s="9" t="inlineStr">
        <is>
          <t>샴푸</t>
        </is>
      </c>
      <c r="K3572" s="9" t="n">
        <v>3570</v>
      </c>
    </row>
    <row r="3573">
      <c r="A3573" s="9" t="inlineStr">
        <is>
          <t>샴푸_쇼핑검색#1_광고그룹#1</t>
        </is>
      </c>
      <c r="B3573" s="10" t="n">
        <v>44346</v>
      </c>
      <c r="C3573" s="9" t="inlineStr">
        <is>
          <t>일</t>
        </is>
      </c>
      <c r="D3573" s="9" t="inlineStr">
        <is>
          <t>네이버 검색</t>
        </is>
      </c>
      <c r="E3573" s="9" t="inlineStr">
        <is>
          <t>샴푸</t>
        </is>
      </c>
      <c r="K3573" s="9" t="n">
        <v>2620</v>
      </c>
    </row>
    <row r="3574">
      <c r="A3574" s="9" t="inlineStr">
        <is>
          <t>파워컨텐츠#1_비듬샴푸</t>
        </is>
      </c>
      <c r="B3574" s="10" t="n">
        <v>44346</v>
      </c>
      <c r="C3574" s="9" t="inlineStr">
        <is>
          <t>일</t>
        </is>
      </c>
      <c r="D3574" s="9" t="inlineStr">
        <is>
          <t>네이버 검색</t>
        </is>
      </c>
      <c r="E3574" s="9" t="inlineStr">
        <is>
          <t>샴푸</t>
        </is>
      </c>
      <c r="K3574" s="9" t="n">
        <v>70</v>
      </c>
    </row>
    <row r="3575" ht="16.5" customHeight="1" s="12">
      <c r="A3575" s="9" t="inlineStr">
        <is>
          <t>라베나 파워링크_샴푸_광고그룹#1</t>
        </is>
      </c>
      <c r="B3575" s="10" t="n">
        <v>44345</v>
      </c>
      <c r="C3575" s="9" t="inlineStr">
        <is>
          <t>토</t>
        </is>
      </c>
      <c r="D3575" s="9" t="inlineStr">
        <is>
          <t>네이버 검색</t>
        </is>
      </c>
      <c r="E3575" s="9" t="inlineStr">
        <is>
          <t>샴푸</t>
        </is>
      </c>
      <c r="K3575" s="9" t="n">
        <v>3180</v>
      </c>
    </row>
    <row r="3576">
      <c r="A3576" s="9" t="inlineStr">
        <is>
          <t>라베나 파워링크_샴푸#1_유튜브키워드기반</t>
        </is>
      </c>
      <c r="B3576" s="10" t="n">
        <v>44345</v>
      </c>
      <c r="C3576" s="9" t="inlineStr">
        <is>
          <t>토</t>
        </is>
      </c>
      <c r="D3576" s="9" t="inlineStr">
        <is>
          <t>네이버 검색</t>
        </is>
      </c>
      <c r="E3576" s="9" t="inlineStr">
        <is>
          <t>샴푸</t>
        </is>
      </c>
      <c r="K3576" s="9" t="n">
        <v>3460</v>
      </c>
    </row>
    <row r="3577">
      <c r="A3577" s="9" t="inlineStr">
        <is>
          <t>샴푸_쇼핑검색#1_광고그룹#1</t>
        </is>
      </c>
      <c r="B3577" s="10" t="n">
        <v>44345</v>
      </c>
      <c r="C3577" s="9" t="inlineStr">
        <is>
          <t>토</t>
        </is>
      </c>
      <c r="D3577" s="9" t="inlineStr">
        <is>
          <t>네이버 검색</t>
        </is>
      </c>
      <c r="E3577" s="9" t="inlineStr">
        <is>
          <t>샴푸</t>
        </is>
      </c>
      <c r="K3577" s="9" t="n">
        <v>2430</v>
      </c>
    </row>
    <row r="3578">
      <c r="A3578" s="9" t="inlineStr">
        <is>
          <t>파워컨텐츠#1_비듬샴푸</t>
        </is>
      </c>
      <c r="B3578" s="10" t="n">
        <v>44345</v>
      </c>
      <c r="C3578" s="9" t="inlineStr">
        <is>
          <t>토</t>
        </is>
      </c>
      <c r="D3578" s="9" t="inlineStr">
        <is>
          <t>네이버 검색</t>
        </is>
      </c>
      <c r="E3578" s="9" t="inlineStr">
        <is>
          <t>샴푸</t>
        </is>
      </c>
      <c r="K3578" s="9" t="n">
        <v>70</v>
      </c>
    </row>
    <row r="3579">
      <c r="A3579" s="9" t="inlineStr">
        <is>
          <t>라베나 파워링크_샴푸_광고그룹#1</t>
        </is>
      </c>
      <c r="B3579" s="10" t="n">
        <v>44344</v>
      </c>
      <c r="C3579" s="9" t="inlineStr">
        <is>
          <t>금</t>
        </is>
      </c>
      <c r="D3579" s="9" t="inlineStr">
        <is>
          <t>네이버 검색</t>
        </is>
      </c>
      <c r="E3579" s="9" t="inlineStr">
        <is>
          <t>샴푸</t>
        </is>
      </c>
      <c r="K3579" s="9" t="n">
        <v>2750</v>
      </c>
    </row>
    <row r="3580">
      <c r="A3580" s="9" t="inlineStr">
        <is>
          <t>라베나 파워링크_샴푸#1_유튜브키워드기반</t>
        </is>
      </c>
      <c r="B3580" s="10" t="n">
        <v>44344</v>
      </c>
      <c r="C3580" s="9" t="inlineStr">
        <is>
          <t>금</t>
        </is>
      </c>
      <c r="D3580" s="9" t="inlineStr">
        <is>
          <t>네이버 검색</t>
        </is>
      </c>
      <c r="E3580" s="9" t="inlineStr">
        <is>
          <t>샴푸</t>
        </is>
      </c>
      <c r="K3580" s="9" t="n">
        <v>2470</v>
      </c>
    </row>
    <row r="3581">
      <c r="A3581" s="9" t="inlineStr">
        <is>
          <t>샴푸_쇼핑검색#1_광고그룹#1</t>
        </is>
      </c>
      <c r="B3581" s="10" t="n">
        <v>44344</v>
      </c>
      <c r="C3581" s="9" t="inlineStr">
        <is>
          <t>금</t>
        </is>
      </c>
      <c r="D3581" s="9" t="inlineStr">
        <is>
          <t>네이버 검색</t>
        </is>
      </c>
      <c r="E3581" s="9" t="inlineStr">
        <is>
          <t>샴푸</t>
        </is>
      </c>
      <c r="K3581" s="9" t="n">
        <v>1350</v>
      </c>
    </row>
    <row r="3582">
      <c r="A3582" s="9" t="inlineStr">
        <is>
          <t>파워컨텐츠#1_비듬샴푸</t>
        </is>
      </c>
      <c r="B3582" s="10" t="n">
        <v>44344</v>
      </c>
      <c r="C3582" s="9" t="inlineStr">
        <is>
          <t>금</t>
        </is>
      </c>
      <c r="D3582" s="9" t="inlineStr">
        <is>
          <t>네이버 검색</t>
        </is>
      </c>
      <c r="E3582" s="9" t="inlineStr">
        <is>
          <t>샴푸</t>
        </is>
      </c>
      <c r="K3582" s="9" t="n">
        <v>59.99999999999999</v>
      </c>
    </row>
    <row r="3583">
      <c r="B3583" s="10" t="n">
        <v>44344</v>
      </c>
      <c r="C3583" s="9" t="inlineStr">
        <is>
          <t>금</t>
        </is>
      </c>
      <c r="E3583" s="9" t="inlineStr">
        <is>
          <t>샴푸</t>
        </is>
      </c>
      <c r="F3583" s="9" t="inlineStr">
        <is>
          <t>라베나 CS</t>
        </is>
      </c>
      <c r="G3583" s="9" t="inlineStr">
        <is>
          <t>헤어 리커버리 15 리바이탈 샴푸</t>
        </is>
      </c>
      <c r="H3583" s="9" t="n">
        <v>1</v>
      </c>
      <c r="I3583" s="9" t="inlineStr">
        <is>
          <t>리바이탈 샴푸</t>
        </is>
      </c>
      <c r="J3583" s="9" t="inlineStr">
        <is>
          <t>210525</t>
        </is>
      </c>
      <c r="L3583" s="9" t="n">
        <v>0</v>
      </c>
      <c r="M3583" s="9" t="n">
        <v>0</v>
      </c>
      <c r="N3583" s="9" t="n">
        <v>2865</v>
      </c>
      <c r="O3583" s="9" t="inlineStr">
        <is>
          <t>라베나 CS샴푸헤어 리커버리 15 리바이탈 샴푸210525</t>
        </is>
      </c>
    </row>
    <row r="3584">
      <c r="B3584" s="10" t="n">
        <v>44344</v>
      </c>
      <c r="C3584" s="9" t="inlineStr">
        <is>
          <t>금</t>
        </is>
      </c>
      <c r="E3584" s="9" t="inlineStr">
        <is>
          <t>가글샴푸</t>
        </is>
      </c>
      <c r="F3584" s="9" t="inlineStr">
        <is>
          <t>카페24</t>
        </is>
      </c>
      <c r="G3584" s="9" t="inlineStr">
        <is>
          <t>[얼리버드특가2차] 라베나 딥클렌징 헤어가글 샴푸 (5월 31일 순차예약배송)</t>
        </is>
      </c>
      <c r="H3584" s="9" t="n">
        <v>2</v>
      </c>
      <c r="I3584" s="9">
        <f>VLOOKUP(G3584,매칭테이블!D:E,2,0)</f>
        <v/>
      </c>
      <c r="J3584" s="9" t="inlineStr">
        <is>
          <t>210525</t>
        </is>
      </c>
      <c r="L3584" s="9">
        <f>VLOOKUP($O3584,매칭테이블!$G:$J,2,0)*H3584</f>
        <v/>
      </c>
      <c r="M3584" s="9">
        <f>L3584-L3584*VLOOKUP($O3584,매칭테이블!$G:$J,3,0)</f>
        <v/>
      </c>
      <c r="N3584" s="9">
        <f>VLOOKUP($O3584,매칭테이블!$G:$J,4,0)*H3584</f>
        <v/>
      </c>
      <c r="O3584" s="9">
        <f>F3584&amp;E3584&amp;G3584&amp;J3584</f>
        <v/>
      </c>
    </row>
    <row r="3585">
      <c r="B3585" s="10" t="n">
        <v>44344</v>
      </c>
      <c r="C3585" s="9" t="inlineStr">
        <is>
          <t>금</t>
        </is>
      </c>
      <c r="E3585" s="9" t="inlineStr">
        <is>
          <t>가글샴푸</t>
        </is>
      </c>
      <c r="F3585" s="9" t="inlineStr">
        <is>
          <t>카페24</t>
        </is>
      </c>
      <c r="G3585" s="9" t="inlineStr">
        <is>
          <t>[얼리버드특가2차] 라베나 딥클렌징 헤어가글라인 set (5월 31일 순차예약배송)</t>
        </is>
      </c>
      <c r="H3585" s="9" t="n">
        <v>3</v>
      </c>
      <c r="I3585" s="9">
        <f>VLOOKUP(G3585,매칭테이블!D:E,2,0)</f>
        <v/>
      </c>
      <c r="J3585" s="9" t="inlineStr">
        <is>
          <t>210525</t>
        </is>
      </c>
      <c r="L3585" s="9">
        <f>VLOOKUP($O3585,매칭테이블!$G:$J,2,0)*H3585</f>
        <v/>
      </c>
      <c r="M3585" s="9">
        <f>L3585-L3585*VLOOKUP($O3585,매칭테이블!$G:$J,3,0)</f>
        <v/>
      </c>
      <c r="N3585" s="9">
        <f>VLOOKUP($O3585,매칭테이블!$G:$J,4,0)*H3585</f>
        <v/>
      </c>
      <c r="O3585" s="9">
        <f>F3585&amp;E3585&amp;G3585&amp;J3585</f>
        <v/>
      </c>
    </row>
    <row r="3586">
      <c r="B3586" s="10" t="n">
        <v>44344</v>
      </c>
      <c r="C3586" s="9" t="inlineStr">
        <is>
          <t>금</t>
        </is>
      </c>
      <c r="E3586" s="9" t="inlineStr">
        <is>
          <t>가글샴푸</t>
        </is>
      </c>
      <c r="F3586" s="9" t="inlineStr">
        <is>
          <t>카페24</t>
        </is>
      </c>
      <c r="G3586" s="9" t="inlineStr">
        <is>
          <t>[얼리버드특가] 라베나 딥클렌징 헤어가글 샴푸 (5월 31일 순차예약배송)</t>
        </is>
      </c>
      <c r="H3586" s="9" t="n">
        <v>1</v>
      </c>
      <c r="I3586" s="9" t="inlineStr">
        <is>
          <t>헤어가글 샴푸</t>
        </is>
      </c>
      <c r="J3586" s="9" t="inlineStr">
        <is>
          <t>210525</t>
        </is>
      </c>
      <c r="L3586" s="9" t="n">
        <v>21900</v>
      </c>
      <c r="M3586" s="9" t="n">
        <v>20618.85</v>
      </c>
      <c r="N3586" s="9" t="n">
        <v>3355</v>
      </c>
      <c r="O3586" s="9" t="inlineStr">
        <is>
          <t>카페24가글샴푸[얼리버드특가] 라베나 딥클렌징 헤어가글 샴푸 (5월 31일 순차예약배송)210525</t>
        </is>
      </c>
    </row>
    <row r="3587">
      <c r="B3587" s="10" t="n">
        <v>44344</v>
      </c>
      <c r="C3587" s="9" t="inlineStr">
        <is>
          <t>금</t>
        </is>
      </c>
      <c r="E3587" s="9" t="inlineStr">
        <is>
          <t>샴푸</t>
        </is>
      </c>
      <c r="F3587" s="9" t="inlineStr">
        <is>
          <t>카페24</t>
        </is>
      </c>
      <c r="G3587" s="9" t="inlineStr">
        <is>
          <t>[타임특가] 라베나 리:커버리 3개월 패키지 (샴푸 2+ 트리트먼트 택 1)샴푸2 + 트리트먼트 택 1=샴푸2 + 뉴트리셔스 밤1</t>
        </is>
      </c>
      <c r="H3587" s="9" t="n">
        <v>4</v>
      </c>
      <c r="I3587" s="9" t="inlineStr">
        <is>
          <t>리바이탈 샴푸2+뉴트리셔스밤1</t>
        </is>
      </c>
      <c r="J3587" s="9" t="inlineStr">
        <is>
          <t>210525</t>
        </is>
      </c>
      <c r="L3587" s="9">
        <f>VLOOKUP($O3587,매칭테이블!$G:$J,2,0)*H3587</f>
        <v/>
      </c>
      <c r="M3587" s="9">
        <f>L3587-L3587*VLOOKUP($O3587,매칭테이블!$G:$J,3,0)</f>
        <v/>
      </c>
      <c r="N3587" s="9">
        <f>VLOOKUP($O3587,매칭테이블!$G:$J,4,0)*H3587</f>
        <v/>
      </c>
      <c r="O3587" s="9">
        <f>F3587&amp;E3587&amp;G3587&amp;J3587</f>
        <v/>
      </c>
    </row>
    <row r="3588">
      <c r="B3588" s="10" t="n">
        <v>44344</v>
      </c>
      <c r="C3588" s="9" t="inlineStr">
        <is>
          <t>금</t>
        </is>
      </c>
      <c r="E3588" s="9" t="inlineStr">
        <is>
          <t>샴푸</t>
        </is>
      </c>
      <c r="F3588" s="9" t="inlineStr">
        <is>
          <t>카페24</t>
        </is>
      </c>
      <c r="G3588" s="9" t="inlineStr">
        <is>
          <t>[타임특가] 라베나 리:커버리 3개월 패키지 (샴푸 2+ 트리트먼트 택 1)샴푸2 + 트리트먼트 택 1=샴푸2 + 헤어팩 트리트먼트1</t>
        </is>
      </c>
      <c r="H3588" s="9" t="n">
        <v>11</v>
      </c>
      <c r="I3588" s="9" t="inlineStr">
        <is>
          <t>리바이탈 샴푸2+트리트먼트1</t>
        </is>
      </c>
      <c r="J3588" s="9" t="inlineStr">
        <is>
          <t>210525</t>
        </is>
      </c>
      <c r="L3588" s="9">
        <f>VLOOKUP($O3588,매칭테이블!$G:$J,2,0)*H3588</f>
        <v/>
      </c>
      <c r="M3588" s="9">
        <f>L3588-L3588*VLOOKUP($O3588,매칭테이블!$G:$J,3,0)</f>
        <v/>
      </c>
      <c r="N3588" s="9">
        <f>VLOOKUP($O3588,매칭테이블!$G:$J,4,0)*H3588</f>
        <v/>
      </c>
      <c r="O3588" s="9">
        <f>F3588&amp;E3588&amp;G3588&amp;J3588</f>
        <v/>
      </c>
    </row>
    <row r="3589">
      <c r="B3589" s="10" t="n">
        <v>44344</v>
      </c>
      <c r="C3589" s="9" t="inlineStr">
        <is>
          <t>금</t>
        </is>
      </c>
      <c r="E3589" s="9" t="inlineStr">
        <is>
          <t>샴푸</t>
        </is>
      </c>
      <c r="F3589" s="9" t="inlineStr">
        <is>
          <t>카페24</t>
        </is>
      </c>
      <c r="G3589" s="9" t="inlineStr">
        <is>
          <t>[타임특가] 라베나 리:커버리 6개월 패키지 (샴푸 5+ 트리트먼트 택 1)샴푸 5 + 트리트먼트 택 1=샴푸 5 + 뉴트리셔스 밤 1</t>
        </is>
      </c>
      <c r="H3589" s="9" t="n">
        <v>3</v>
      </c>
      <c r="I3589" s="9" t="inlineStr">
        <is>
          <t>리바이탈 샴푸5+뉴트리셔스밤1</t>
        </is>
      </c>
      <c r="J3589" s="9" t="inlineStr">
        <is>
          <t>210525</t>
        </is>
      </c>
      <c r="L3589" s="9">
        <f>VLOOKUP($O3589,매칭테이블!$G:$J,2,0)*H3589</f>
        <v/>
      </c>
      <c r="M3589" s="9">
        <f>L3589-L3589*VLOOKUP($O3589,매칭테이블!$G:$J,3,0)</f>
        <v/>
      </c>
      <c r="N3589" s="9">
        <f>VLOOKUP($O3589,매칭테이블!$G:$J,4,0)*H3589</f>
        <v/>
      </c>
      <c r="O3589" s="9">
        <f>F3589&amp;E3589&amp;G3589&amp;J3589</f>
        <v/>
      </c>
    </row>
    <row r="3590">
      <c r="B3590" s="10" t="n">
        <v>44344</v>
      </c>
      <c r="C3590" s="9" t="inlineStr">
        <is>
          <t>금</t>
        </is>
      </c>
      <c r="E3590" s="9" t="inlineStr">
        <is>
          <t>샴푸</t>
        </is>
      </c>
      <c r="F3590" s="9" t="inlineStr">
        <is>
          <t>카페24</t>
        </is>
      </c>
      <c r="G3590" s="9" t="inlineStr">
        <is>
          <t>[타임특가] 라베나 리:커버리 6개월 패키지 (샴푸 5+ 트리트먼트 택 1)샴푸 5 + 트리트먼트 택 1=샴푸 5 + 헤어팩 트리트먼트 1</t>
        </is>
      </c>
      <c r="H3590" s="9" t="n">
        <v>2</v>
      </c>
      <c r="I3590" s="9" t="inlineStr">
        <is>
          <t>리바이탈 샴푸5+트리트먼트1</t>
        </is>
      </c>
      <c r="J3590" s="9" t="inlineStr">
        <is>
          <t>210525</t>
        </is>
      </c>
      <c r="L3590" s="9">
        <f>VLOOKUP($O3590,매칭테이블!$G:$J,2,0)*H3590</f>
        <v/>
      </c>
      <c r="M3590" s="9">
        <f>L3590-L3590*VLOOKUP($O3590,매칭테이블!$G:$J,3,0)</f>
        <v/>
      </c>
      <c r="N3590" s="9">
        <f>VLOOKUP($O3590,매칭테이블!$G:$J,4,0)*H3590</f>
        <v/>
      </c>
      <c r="O3590" s="9">
        <f>F3590&amp;E3590&amp;G3590&amp;J3590</f>
        <v/>
      </c>
    </row>
    <row r="3591">
      <c r="B3591" s="10" t="n">
        <v>44344</v>
      </c>
      <c r="C3591" s="9" t="inlineStr">
        <is>
          <t>금</t>
        </is>
      </c>
      <c r="E3591" s="9" t="inlineStr">
        <is>
          <t>샴푸</t>
        </is>
      </c>
      <c r="F3591" s="9" t="inlineStr">
        <is>
          <t>카페24</t>
        </is>
      </c>
      <c r="G3591" s="9" t="inlineStr">
        <is>
          <t>[타임특가] 라베나 리:커버리 온가족 패키지 (샴푸 3+ 헤어팩 트리트먼트 1+뉴트리셔스 밤 1)</t>
        </is>
      </c>
      <c r="H3591" s="9" t="n">
        <v>5</v>
      </c>
      <c r="I3591" s="9" t="inlineStr">
        <is>
          <t>리바이탈 샴푸3+트리트먼트1+뉴트리셔스밤1</t>
        </is>
      </c>
      <c r="J3591" s="9" t="inlineStr">
        <is>
          <t>210525</t>
        </is>
      </c>
      <c r="L3591" s="9">
        <f>VLOOKUP($O3591,매칭테이블!$G:$J,2,0)*H3591</f>
        <v/>
      </c>
      <c r="M3591" s="9">
        <f>L3591-L3591*VLOOKUP($O3591,매칭테이블!$G:$J,3,0)</f>
        <v/>
      </c>
      <c r="N3591" s="9">
        <f>VLOOKUP($O3591,매칭테이블!$G:$J,4,0)*H3591</f>
        <v/>
      </c>
      <c r="O3591" s="9">
        <f>F3591&amp;E3591&amp;G3591&amp;J3591</f>
        <v/>
      </c>
    </row>
    <row r="3592">
      <c r="B3592" s="10" t="n">
        <v>44344</v>
      </c>
      <c r="C3592" s="9" t="inlineStr">
        <is>
          <t>금</t>
        </is>
      </c>
      <c r="E3592" s="9" t="inlineStr">
        <is>
          <t>뉴트리셔스밤</t>
        </is>
      </c>
      <c r="F3592" s="9" t="inlineStr">
        <is>
          <t>카페24</t>
        </is>
      </c>
      <c r="G3592" s="9" t="inlineStr">
        <is>
          <t>라베나 리커버리 15 뉴트리셔스 밤제품선택=뉴트리셔스 밤 3개 세트 10% 추가할인</t>
        </is>
      </c>
      <c r="H3592" s="9" t="n">
        <v>1</v>
      </c>
      <c r="I3592" s="9" t="inlineStr">
        <is>
          <t>뉴트리셔스밤 3set</t>
        </is>
      </c>
      <c r="J3592" s="9" t="inlineStr">
        <is>
          <t>210525</t>
        </is>
      </c>
      <c r="L3592" s="9" t="n">
        <v>67230</v>
      </c>
      <c r="M3592" s="9" t="n">
        <v>63297.045</v>
      </c>
      <c r="N3592" s="9" t="n">
        <v>4740</v>
      </c>
      <c r="O3592" s="9" t="inlineStr">
        <is>
          <t>카페24뉴트리셔스밤라베나 리커버리 15 뉴트리셔스 밤제품선택=뉴트리셔스 밤 3개 세트 10% 추가할인210525</t>
        </is>
      </c>
    </row>
    <row r="3593">
      <c r="B3593" s="10" t="n">
        <v>44344</v>
      </c>
      <c r="C3593" s="9" t="inlineStr">
        <is>
          <t>금</t>
        </is>
      </c>
      <c r="E3593" s="9" t="inlineStr">
        <is>
          <t>샴푸</t>
        </is>
      </c>
      <c r="F3593" s="9" t="inlineStr">
        <is>
          <t>카페24</t>
        </is>
      </c>
      <c r="G3593" s="9" t="inlineStr">
        <is>
          <t>라베나 리커버리 15 리바이탈 바이오플라보노이드샴푸제품선택=헤어 리커버리 15 리바이탈 샴푸 - 500ml</t>
        </is>
      </c>
      <c r="H3593" s="9" t="n">
        <v>134</v>
      </c>
      <c r="I3593" s="9" t="inlineStr">
        <is>
          <t>리바이탈 샴푸</t>
        </is>
      </c>
      <c r="J3593" s="9" t="inlineStr">
        <is>
          <t>210525</t>
        </is>
      </c>
      <c r="L3593" s="9" t="n">
        <v>3604600</v>
      </c>
      <c r="M3593" s="9" t="n">
        <v>3393730.9</v>
      </c>
      <c r="N3593" s="9" t="n">
        <v>383910</v>
      </c>
      <c r="O3593" s="9" t="inlineStr">
        <is>
          <t>카페24샴푸라베나 리커버리 15 리바이탈 바이오플라보노이드샴푸제품선택=헤어 리커버리 15 리바이탈 샴푸 - 500ml210525</t>
        </is>
      </c>
    </row>
    <row r="3594">
      <c r="B3594" s="10" t="n">
        <v>44344</v>
      </c>
      <c r="C3594" s="9" t="inlineStr">
        <is>
          <t>금</t>
        </is>
      </c>
      <c r="E3594" s="9" t="inlineStr">
        <is>
          <t>샴푸</t>
        </is>
      </c>
      <c r="F3594" s="9" t="inlineStr">
        <is>
          <t>카페24</t>
        </is>
      </c>
      <c r="G3594" s="9" t="inlineStr">
        <is>
          <t>라베나 리커버리 15 리바이탈 바이오플라보노이드샴푸제품선택=리바이탈 샴푸 2개 세트 5%추가할인</t>
        </is>
      </c>
      <c r="H3594" s="9" t="n">
        <v>29</v>
      </c>
      <c r="I3594" s="9" t="inlineStr">
        <is>
          <t>리바이탈 샴푸 2set</t>
        </is>
      </c>
      <c r="J3594" s="9" t="inlineStr">
        <is>
          <t>210525</t>
        </is>
      </c>
      <c r="L3594" s="9" t="n">
        <v>1482190</v>
      </c>
      <c r="M3594" s="9" t="n">
        <v>1395481.885</v>
      </c>
      <c r="N3594" s="9" t="n">
        <v>166170</v>
      </c>
      <c r="O3594" s="9" t="inlineStr">
        <is>
          <t>카페24샴푸라베나 리커버리 15 리바이탈 바이오플라보노이드샴푸제품선택=리바이탈 샴푸 2개 세트 5%추가할인210525</t>
        </is>
      </c>
    </row>
    <row r="3595">
      <c r="B3595" s="10" t="n">
        <v>44344</v>
      </c>
      <c r="C3595" s="9" t="inlineStr">
        <is>
          <t>금</t>
        </is>
      </c>
      <c r="E3595" s="9" t="inlineStr">
        <is>
          <t>샴푸</t>
        </is>
      </c>
      <c r="F3595" s="9" t="inlineStr">
        <is>
          <t>카페24</t>
        </is>
      </c>
      <c r="G3595" s="9" t="inlineStr">
        <is>
          <t>라베나 리커버리 15 리바이탈 바이오플라보노이드샴푸제품선택=리바이탈 샴푸 3개 세트 10% 추가할인</t>
        </is>
      </c>
      <c r="H3595" s="9" t="n">
        <v>18</v>
      </c>
      <c r="I3595" s="9" t="inlineStr">
        <is>
          <t>리바이탈 샴푸 3set</t>
        </is>
      </c>
      <c r="J3595" s="9" t="inlineStr">
        <is>
          <t>210525</t>
        </is>
      </c>
      <c r="L3595" s="9" t="n">
        <v>1307340</v>
      </c>
      <c r="M3595" s="9" t="n">
        <v>1230860.61</v>
      </c>
      <c r="N3595" s="9" t="n">
        <v>154710</v>
      </c>
      <c r="O3595" s="9" t="inlineStr">
        <is>
          <t>카페24샴푸라베나 리커버리 15 리바이탈 바이오플라보노이드샴푸제품선택=리바이탈 샴푸 3개 세트 10% 추가할인210525</t>
        </is>
      </c>
    </row>
    <row r="3596">
      <c r="B3596" s="10" t="n">
        <v>44344</v>
      </c>
      <c r="C3596" s="9" t="inlineStr">
        <is>
          <t>금</t>
        </is>
      </c>
      <c r="E3596" s="9" t="inlineStr">
        <is>
          <t>트리트먼트</t>
        </is>
      </c>
      <c r="F3596" s="9" t="inlineStr">
        <is>
          <t>카페24</t>
        </is>
      </c>
      <c r="G3596" s="9" t="inlineStr">
        <is>
          <t>라베나 리커버리 15 헤어팩 트리트먼트제품선택=헤어 리커버리 15 헤어팩 트리트먼트</t>
        </is>
      </c>
      <c r="H3596" s="9" t="n">
        <v>3</v>
      </c>
      <c r="I3596" s="9" t="inlineStr">
        <is>
          <t>트리트먼트</t>
        </is>
      </c>
      <c r="J3596" s="9" t="inlineStr">
        <is>
          <t>210525</t>
        </is>
      </c>
      <c r="L3596" s="9" t="n">
        <v>78000</v>
      </c>
      <c r="M3596" s="9" t="n">
        <v>73437</v>
      </c>
      <c r="N3596" s="9" t="n">
        <v>4791</v>
      </c>
      <c r="O3596" s="9" t="inlineStr">
        <is>
          <t>카페24트리트먼트라베나 리커버리 15 헤어팩 트리트먼트제품선택=헤어 리커버리 15 헤어팩 트리트먼트210525</t>
        </is>
      </c>
    </row>
    <row r="3597">
      <c r="B3597" s="10" t="n">
        <v>44345</v>
      </c>
      <c r="C3597" s="9" t="inlineStr">
        <is>
          <t>토</t>
        </is>
      </c>
      <c r="E3597" s="9">
        <f>INDEX(매칭테이블!C:C,MATCH(RD!G3597,매칭테이블!D:D,0))</f>
        <v/>
      </c>
      <c r="F3597" s="9" t="inlineStr">
        <is>
          <t>카페24</t>
        </is>
      </c>
      <c r="G3597" s="9" t="inlineStr">
        <is>
          <t>[얼리버드특가 2차] 라베나 딥클렌징 헤어가글 워터 (5월 31일 순차예약배송)</t>
        </is>
      </c>
      <c r="H3597" s="9" t="n">
        <v>1</v>
      </c>
      <c r="I3597" s="9">
        <f>VLOOKUP(G3597,매칭테이블!D:E,2,0)</f>
        <v/>
      </c>
      <c r="J3597" s="9" t="inlineStr">
        <is>
          <t>210525</t>
        </is>
      </c>
      <c r="L3597" s="9">
        <f>VLOOKUP($O3597,매칭테이블!$G:$J,2,0)*H3597</f>
        <v/>
      </c>
      <c r="M3597" s="9">
        <f>L3597-L3597*VLOOKUP($O3597,매칭테이블!$G:$J,3,0)</f>
        <v/>
      </c>
      <c r="N3597" s="9">
        <f>VLOOKUP($O3597,매칭테이블!$G:$J,4,0)*H3597</f>
        <v/>
      </c>
      <c r="O3597" s="9">
        <f>F3597&amp;E3597&amp;G3597&amp;J3597</f>
        <v/>
      </c>
    </row>
    <row r="3598">
      <c r="B3598" s="10" t="n">
        <v>44345</v>
      </c>
      <c r="C3598" s="9" t="inlineStr">
        <is>
          <t>토</t>
        </is>
      </c>
      <c r="E3598" s="9">
        <f>INDEX(매칭테이블!C:C,MATCH(RD!G3598,매칭테이블!D:D,0))</f>
        <v/>
      </c>
      <c r="F3598" s="9" t="inlineStr">
        <is>
          <t>카페24</t>
        </is>
      </c>
      <c r="G3598" s="9" t="inlineStr">
        <is>
          <t>[얼리버드특가2차] 라베나 딥클렌징 헤어가글 샴푸 (5월 31일 순차예약배송)</t>
        </is>
      </c>
      <c r="H3598" s="9" t="n">
        <v>7</v>
      </c>
      <c r="I3598" s="9">
        <f>VLOOKUP(G3598,매칭테이블!D:E,2,0)</f>
        <v/>
      </c>
      <c r="J3598" s="9" t="inlineStr">
        <is>
          <t>210525</t>
        </is>
      </c>
      <c r="L3598" s="9">
        <f>VLOOKUP($O3598,매칭테이블!$G:$J,2,0)*H3598</f>
        <v/>
      </c>
      <c r="M3598" s="9">
        <f>L3598-L3598*VLOOKUP($O3598,매칭테이블!$G:$J,3,0)</f>
        <v/>
      </c>
      <c r="N3598" s="9">
        <f>VLOOKUP($O3598,매칭테이블!$G:$J,4,0)*H3598</f>
        <v/>
      </c>
      <c r="O3598" s="9">
        <f>F3598&amp;E3598&amp;G3598&amp;J3598</f>
        <v/>
      </c>
    </row>
    <row r="3599">
      <c r="B3599" s="10" t="n">
        <v>44345</v>
      </c>
      <c r="C3599" s="9" t="inlineStr">
        <is>
          <t>토</t>
        </is>
      </c>
      <c r="E3599" s="9">
        <f>INDEX(매칭테이블!C:C,MATCH(RD!G3599,매칭테이블!D:D,0))</f>
        <v/>
      </c>
      <c r="F3599" s="9" t="inlineStr">
        <is>
          <t>카페24</t>
        </is>
      </c>
      <c r="G3599" s="9" t="inlineStr">
        <is>
          <t>[얼리버드특가2차] 라베나 딥클렌징 헤어가글라인 set (5월 31일 순차예약배송)</t>
        </is>
      </c>
      <c r="H3599" s="9" t="n">
        <v>3</v>
      </c>
      <c r="I3599" s="9">
        <f>VLOOKUP(G3599,매칭테이블!D:E,2,0)</f>
        <v/>
      </c>
      <c r="J3599" s="9" t="inlineStr">
        <is>
          <t>210525</t>
        </is>
      </c>
      <c r="L3599" s="9">
        <f>VLOOKUP($O3599,매칭테이블!$G:$J,2,0)*H3599</f>
        <v/>
      </c>
      <c r="M3599" s="9">
        <f>L3599-L3599*VLOOKUP($O3599,매칭테이블!$G:$J,3,0)</f>
        <v/>
      </c>
      <c r="N3599" s="9">
        <f>VLOOKUP($O3599,매칭테이블!$G:$J,4,0)*H3599</f>
        <v/>
      </c>
      <c r="O3599" s="9">
        <f>F3599&amp;E3599&amp;G3599&amp;J3599</f>
        <v/>
      </c>
    </row>
    <row r="3600">
      <c r="B3600" s="10" t="n">
        <v>44345</v>
      </c>
      <c r="C3600" s="9" t="inlineStr">
        <is>
          <t>토</t>
        </is>
      </c>
      <c r="E3600" s="9" t="inlineStr">
        <is>
          <t>가글샴푸</t>
        </is>
      </c>
      <c r="F3600" s="9" t="inlineStr">
        <is>
          <t>카페24</t>
        </is>
      </c>
      <c r="G3600" s="9" t="inlineStr">
        <is>
          <t>[얼리버드특가] 라베나 딥클렌징 헤어가글라인 set (5월 31일 순차예약배송)</t>
        </is>
      </c>
      <c r="H3600" s="9" t="n">
        <v>1</v>
      </c>
      <c r="I3600" s="9" t="inlineStr">
        <is>
          <t>헤어가글 샴푸1+헤어가글 워터1</t>
        </is>
      </c>
      <c r="J3600" s="9" t="inlineStr">
        <is>
          <t>210525</t>
        </is>
      </c>
      <c r="L3600" s="9" t="n">
        <v>35445</v>
      </c>
      <c r="M3600" s="9" t="n">
        <v>33371.4675</v>
      </c>
      <c r="N3600" s="9">
        <f>VLOOKUP($O3600,매칭테이블!$G:$J,4,0)*H3600</f>
        <v/>
      </c>
      <c r="O3600" s="9">
        <f>F3600&amp;E3600&amp;G3600&amp;J3600</f>
        <v/>
      </c>
    </row>
    <row r="3601">
      <c r="B3601" s="10" t="n">
        <v>44345</v>
      </c>
      <c r="C3601" s="9" t="inlineStr">
        <is>
          <t>토</t>
        </is>
      </c>
      <c r="E3601" s="9" t="inlineStr">
        <is>
          <t>샴푸</t>
        </is>
      </c>
      <c r="F3601" s="9" t="inlineStr">
        <is>
          <t>카페24</t>
        </is>
      </c>
      <c r="G3601" s="9" t="inlineStr">
        <is>
          <t>[타임특가] 라베나 리:커버리 3개월 패키지 (샴푸 2+ 트리트먼트 택 1)샴푸2 + 트리트먼트 택 1=샴푸2 + 뉴트리셔스 밤1</t>
        </is>
      </c>
      <c r="H3601" s="9" t="n">
        <v>4</v>
      </c>
      <c r="I3601" s="9" t="inlineStr">
        <is>
          <t>리바이탈 샴푸2+뉴트리셔스밤1</t>
        </is>
      </c>
      <c r="J3601" s="9" t="inlineStr">
        <is>
          <t>210525</t>
        </is>
      </c>
      <c r="L3601" s="9">
        <f>VLOOKUP($O3601,매칭테이블!$G:$J,2,0)*H3601</f>
        <v/>
      </c>
      <c r="M3601" s="9">
        <f>L3601-L3601*VLOOKUP($O3601,매칭테이블!$G:$J,3,0)</f>
        <v/>
      </c>
      <c r="N3601" s="9">
        <f>VLOOKUP($O3601,매칭테이블!$G:$J,4,0)*H3601</f>
        <v/>
      </c>
      <c r="O3601" s="9">
        <f>F3601&amp;E3601&amp;G3601&amp;J3601</f>
        <v/>
      </c>
    </row>
    <row r="3602">
      <c r="B3602" s="10" t="n">
        <v>44345</v>
      </c>
      <c r="C3602" s="9" t="inlineStr">
        <is>
          <t>토</t>
        </is>
      </c>
      <c r="E3602" s="9" t="inlineStr">
        <is>
          <t>샴푸</t>
        </is>
      </c>
      <c r="F3602" s="9" t="inlineStr">
        <is>
          <t>카페24</t>
        </is>
      </c>
      <c r="G3602" s="9" t="inlineStr">
        <is>
          <t>[타임특가] 라베나 리:커버리 3개월 패키지 (샴푸 2+ 트리트먼트 택 1)샴푸2 + 트리트먼트 택 1=샴푸2 + 헤어팩 트리트먼트1</t>
        </is>
      </c>
      <c r="H3602" s="9" t="n">
        <v>6</v>
      </c>
      <c r="I3602" s="9" t="inlineStr">
        <is>
          <t>리바이탈 샴푸2+트리트먼트1</t>
        </is>
      </c>
      <c r="J3602" s="9" t="inlineStr">
        <is>
          <t>210525</t>
        </is>
      </c>
      <c r="L3602" s="9">
        <f>VLOOKUP($O3602,매칭테이블!$G:$J,2,0)*H3602</f>
        <v/>
      </c>
      <c r="M3602" s="9">
        <f>L3602-L3602*VLOOKUP($O3602,매칭테이블!$G:$J,3,0)</f>
        <v/>
      </c>
      <c r="N3602" s="9">
        <f>VLOOKUP($O3602,매칭테이블!$G:$J,4,0)*H3602</f>
        <v/>
      </c>
      <c r="O3602" s="9">
        <f>F3602&amp;E3602&amp;G3602&amp;J3602</f>
        <v/>
      </c>
    </row>
    <row r="3603">
      <c r="B3603" s="10" t="n">
        <v>44345</v>
      </c>
      <c r="C3603" s="9" t="inlineStr">
        <is>
          <t>토</t>
        </is>
      </c>
      <c r="E3603" s="9" t="inlineStr">
        <is>
          <t>샴푸</t>
        </is>
      </c>
      <c r="F3603" s="9" t="inlineStr">
        <is>
          <t>카페24</t>
        </is>
      </c>
      <c r="G3603" s="9" t="inlineStr">
        <is>
          <t>[타임특가] 라베나 리:커버리 6개월 패키지 (샴푸 5+ 트리트먼트 택 1)샴푸 5 + 트리트먼트 택 1=샴푸 5 + 뉴트리셔스 밤 1</t>
        </is>
      </c>
      <c r="H3603" s="9" t="n">
        <v>2</v>
      </c>
      <c r="I3603" s="9" t="inlineStr">
        <is>
          <t>리바이탈 샴푸5+뉴트리셔스밤1</t>
        </is>
      </c>
      <c r="J3603" s="9" t="inlineStr">
        <is>
          <t>210525</t>
        </is>
      </c>
      <c r="L3603" s="9">
        <f>VLOOKUP($O3603,매칭테이블!$G:$J,2,0)*H3603</f>
        <v/>
      </c>
      <c r="M3603" s="9">
        <f>L3603-L3603*VLOOKUP($O3603,매칭테이블!$G:$J,3,0)</f>
        <v/>
      </c>
      <c r="N3603" s="9">
        <f>VLOOKUP($O3603,매칭테이블!$G:$J,4,0)*H3603</f>
        <v/>
      </c>
      <c r="O3603" s="9">
        <f>F3603&amp;E3603&amp;G3603&amp;J3603</f>
        <v/>
      </c>
    </row>
    <row r="3604">
      <c r="B3604" s="10" t="n">
        <v>44345</v>
      </c>
      <c r="C3604" s="9" t="inlineStr">
        <is>
          <t>토</t>
        </is>
      </c>
      <c r="E3604" s="9" t="inlineStr">
        <is>
          <t>샴푸</t>
        </is>
      </c>
      <c r="F3604" s="9" t="inlineStr">
        <is>
          <t>카페24</t>
        </is>
      </c>
      <c r="G3604" s="9" t="inlineStr">
        <is>
          <t>[타임특가] 라베나 리:커버리 6개월 패키지 (샴푸 5+ 트리트먼트 택 1)샴푸 5 + 트리트먼트 택 1=샴푸 5 + 헤어팩 트리트먼트 1</t>
        </is>
      </c>
      <c r="H3604" s="9" t="n">
        <v>1</v>
      </c>
      <c r="I3604" s="9" t="inlineStr">
        <is>
          <t>리바이탈 샴푸5+트리트먼트1</t>
        </is>
      </c>
      <c r="J3604" s="9" t="inlineStr">
        <is>
          <t>210525</t>
        </is>
      </c>
      <c r="L3604" s="9">
        <f>VLOOKUP($O3604,매칭테이블!$G:$J,2,0)*H3604</f>
        <v/>
      </c>
      <c r="M3604" s="9">
        <f>L3604-L3604*VLOOKUP($O3604,매칭테이블!$G:$J,3,0)</f>
        <v/>
      </c>
      <c r="N3604" s="9">
        <f>VLOOKUP($O3604,매칭테이블!$G:$J,4,0)*H3604</f>
        <v/>
      </c>
      <c r="O3604" s="9">
        <f>F3604&amp;E3604&amp;G3604&amp;J3604</f>
        <v/>
      </c>
    </row>
    <row r="3605">
      <c r="B3605" s="10" t="n">
        <v>44345</v>
      </c>
      <c r="C3605" s="9" t="inlineStr">
        <is>
          <t>토</t>
        </is>
      </c>
      <c r="E3605" s="9" t="inlineStr">
        <is>
          <t>샴푸</t>
        </is>
      </c>
      <c r="F3605" s="9" t="inlineStr">
        <is>
          <t>카페24</t>
        </is>
      </c>
      <c r="G3605" s="9" t="inlineStr">
        <is>
          <t>[타임특가] 라베나 리:커버리 온가족 패키지 (샴푸 3+ 헤어팩 트리트먼트 1+뉴트리셔스 밤 1)</t>
        </is>
      </c>
      <c r="H3605" s="9" t="n">
        <v>3</v>
      </c>
      <c r="I3605" s="9" t="inlineStr">
        <is>
          <t>리바이탈 샴푸3+트리트먼트1+뉴트리셔스밤1</t>
        </is>
      </c>
      <c r="J3605" s="9" t="inlineStr">
        <is>
          <t>210525</t>
        </is>
      </c>
      <c r="L3605" s="9">
        <f>VLOOKUP($O3605,매칭테이블!$G:$J,2,0)*H3605</f>
        <v/>
      </c>
      <c r="M3605" s="9">
        <f>L3605-L3605*VLOOKUP($O3605,매칭테이블!$G:$J,3,0)</f>
        <v/>
      </c>
      <c r="N3605" s="9">
        <f>VLOOKUP($O3605,매칭테이블!$G:$J,4,0)*H3605</f>
        <v/>
      </c>
      <c r="O3605" s="9">
        <f>F3605&amp;E3605&amp;G3605&amp;J3605</f>
        <v/>
      </c>
    </row>
    <row r="3606">
      <c r="B3606" s="10" t="n">
        <v>44345</v>
      </c>
      <c r="C3606" s="9" t="inlineStr">
        <is>
          <t>토</t>
        </is>
      </c>
      <c r="E3606" s="9" t="inlineStr">
        <is>
          <t>뉴트리셔스밤</t>
        </is>
      </c>
      <c r="F3606" s="9" t="inlineStr">
        <is>
          <t>카페24</t>
        </is>
      </c>
      <c r="G3606" s="9" t="inlineStr">
        <is>
          <t>라베나 리커버리 15 뉴트리셔스 밤제품선택=헤어 리커버리 15 뉴트리셔스 밤</t>
        </is>
      </c>
      <c r="H3606" s="9" t="n">
        <v>1</v>
      </c>
      <c r="I3606" s="9" t="inlineStr">
        <is>
          <t>뉴트리셔스밤</t>
        </is>
      </c>
      <c r="J3606" s="9" t="inlineStr">
        <is>
          <t>210525</t>
        </is>
      </c>
      <c r="L3606" s="9" t="n">
        <v>24900</v>
      </c>
      <c r="M3606" s="9" t="n">
        <v>23443.35</v>
      </c>
      <c r="N3606" s="9" t="n">
        <v>1580</v>
      </c>
      <c r="O3606" s="9" t="inlineStr">
        <is>
          <t>카페24뉴트리셔스밤라베나 리커버리 15 뉴트리셔스 밤제품선택=헤어 리커버리 15 뉴트리셔스 밤210525</t>
        </is>
      </c>
    </row>
    <row r="3607">
      <c r="B3607" s="10" t="n">
        <v>44345</v>
      </c>
      <c r="C3607" s="9" t="inlineStr">
        <is>
          <t>토</t>
        </is>
      </c>
      <c r="E3607" s="9" t="inlineStr">
        <is>
          <t>샴푸</t>
        </is>
      </c>
      <c r="F3607" s="9" t="inlineStr">
        <is>
          <t>카페24</t>
        </is>
      </c>
      <c r="G3607" s="9" t="inlineStr">
        <is>
          <t>라베나 리커버리 15 리바이탈 바이오플라보노이드샴푸제품선택=헤어 리커버리 15 리바이탈 샴푸 - 500ml</t>
        </is>
      </c>
      <c r="H3607" s="9" t="n">
        <v>127</v>
      </c>
      <c r="I3607" s="9" t="inlineStr">
        <is>
          <t>리바이탈 샴푸</t>
        </is>
      </c>
      <c r="J3607" s="9" t="inlineStr">
        <is>
          <t>210525</t>
        </is>
      </c>
      <c r="L3607" s="9" t="n">
        <v>3416300</v>
      </c>
      <c r="M3607" s="9" t="n">
        <v>3216446.45</v>
      </c>
      <c r="N3607" s="9" t="n">
        <v>363855</v>
      </c>
      <c r="O3607" s="9" t="inlineStr">
        <is>
          <t>카페24샴푸라베나 리커버리 15 리바이탈 바이오플라보노이드샴푸제품선택=헤어 리커버리 15 리바이탈 샴푸 - 500ml210525</t>
        </is>
      </c>
    </row>
    <row r="3608">
      <c r="B3608" s="10" t="n">
        <v>44345</v>
      </c>
      <c r="C3608" s="9" t="inlineStr">
        <is>
          <t>토</t>
        </is>
      </c>
      <c r="E3608" s="9" t="inlineStr">
        <is>
          <t>샴푸</t>
        </is>
      </c>
      <c r="F3608" s="9" t="inlineStr">
        <is>
          <t>카페24</t>
        </is>
      </c>
      <c r="G3608" s="9" t="inlineStr">
        <is>
          <t>라베나 리커버리 15 리바이탈 바이오플라보노이드샴푸제품선택=리바이탈 샴푸 2개 세트 5%추가할인</t>
        </is>
      </c>
      <c r="H3608" s="9" t="n">
        <v>27</v>
      </c>
      <c r="I3608" s="9" t="inlineStr">
        <is>
          <t>리바이탈 샴푸 2set</t>
        </is>
      </c>
      <c r="J3608" s="9" t="inlineStr">
        <is>
          <t>210525</t>
        </is>
      </c>
      <c r="L3608" s="9" t="n">
        <v>1379970</v>
      </c>
      <c r="M3608" s="9" t="n">
        <v>1299241.755</v>
      </c>
      <c r="N3608" s="9" t="n">
        <v>154710</v>
      </c>
      <c r="O3608" s="9" t="inlineStr">
        <is>
          <t>카페24샴푸라베나 리커버리 15 리바이탈 바이오플라보노이드샴푸제품선택=리바이탈 샴푸 2개 세트 5%추가할인210525</t>
        </is>
      </c>
    </row>
    <row r="3609">
      <c r="B3609" s="10" t="n">
        <v>44345</v>
      </c>
      <c r="C3609" s="9" t="inlineStr">
        <is>
          <t>토</t>
        </is>
      </c>
      <c r="E3609" s="9" t="inlineStr">
        <is>
          <t>샴푸</t>
        </is>
      </c>
      <c r="F3609" s="9" t="inlineStr">
        <is>
          <t>카페24</t>
        </is>
      </c>
      <c r="G3609" s="9" t="inlineStr">
        <is>
          <t>라베나 리커버리 15 리바이탈 바이오플라보노이드샴푸제품선택=리바이탈 샴푸 3개 세트 10% 추가할인</t>
        </is>
      </c>
      <c r="H3609" s="9" t="n">
        <v>9</v>
      </c>
      <c r="I3609" s="9" t="inlineStr">
        <is>
          <t>리바이탈 샴푸 3set</t>
        </is>
      </c>
      <c r="J3609" s="9" t="inlineStr">
        <is>
          <t>210525</t>
        </is>
      </c>
      <c r="L3609" s="9" t="n">
        <v>653670</v>
      </c>
      <c r="M3609" s="9" t="n">
        <v>615430.3050000001</v>
      </c>
      <c r="N3609" s="9" t="n">
        <v>77355</v>
      </c>
      <c r="O3609" s="9" t="inlineStr">
        <is>
          <t>카페24샴푸라베나 리커버리 15 리바이탈 바이오플라보노이드샴푸제품선택=리바이탈 샴푸 3개 세트 10% 추가할인210525</t>
        </is>
      </c>
    </row>
    <row r="3610">
      <c r="B3610" s="10" t="n">
        <v>44345</v>
      </c>
      <c r="C3610" s="9" t="inlineStr">
        <is>
          <t>토</t>
        </is>
      </c>
      <c r="E3610" s="9" t="inlineStr">
        <is>
          <t>트리트먼트</t>
        </is>
      </c>
      <c r="F3610" s="9" t="inlineStr">
        <is>
          <t>카페24</t>
        </is>
      </c>
      <c r="G3610" s="9" t="inlineStr">
        <is>
          <t>라베나 리커버리 15 헤어팩 트리트먼트제품선택=헤어 리커버리 15 헤어팩 트리트먼트</t>
        </is>
      </c>
      <c r="H3610" s="9" t="n">
        <v>2</v>
      </c>
      <c r="I3610" s="9" t="inlineStr">
        <is>
          <t>트리트먼트</t>
        </is>
      </c>
      <c r="J3610" s="9" t="inlineStr">
        <is>
          <t>210525</t>
        </is>
      </c>
      <c r="L3610" s="9" t="n">
        <v>52000</v>
      </c>
      <c r="M3610" s="9" t="n">
        <v>48958</v>
      </c>
      <c r="N3610" s="9" t="n">
        <v>3194</v>
      </c>
      <c r="O3610" s="9" t="inlineStr">
        <is>
          <t>카페24트리트먼트라베나 리커버리 15 헤어팩 트리트먼트제품선택=헤어 리커버리 15 헤어팩 트리트먼트210525</t>
        </is>
      </c>
    </row>
    <row r="3611">
      <c r="B3611" s="10" t="n">
        <v>44346</v>
      </c>
      <c r="C3611" s="9" t="inlineStr">
        <is>
          <t>일</t>
        </is>
      </c>
      <c r="E3611" s="9">
        <f>INDEX(매칭테이블!C:C,MATCH(RD!G3611,매칭테이블!D:D,0))</f>
        <v/>
      </c>
      <c r="F3611" s="9" t="inlineStr">
        <is>
          <t>카페24</t>
        </is>
      </c>
      <c r="G3611" s="9" t="inlineStr">
        <is>
          <t>[얼리버드특가2차] 라베나 딥클렌징 헤어가글 샴푸 (5월 31일 순차예약배송)</t>
        </is>
      </c>
      <c r="H3611" s="9" t="n">
        <v>4</v>
      </c>
      <c r="I3611" s="9">
        <f>VLOOKUP(G3611,매칭테이블!D:E,2,0)</f>
        <v/>
      </c>
      <c r="J3611" s="9" t="inlineStr">
        <is>
          <t>210525</t>
        </is>
      </c>
      <c r="L3611" s="9">
        <f>VLOOKUP($O3611,매칭테이블!$G:$J,2,0)*H3611</f>
        <v/>
      </c>
      <c r="M3611" s="9">
        <f>L3611-L3611*VLOOKUP($O3611,매칭테이블!$G:$J,3,0)</f>
        <v/>
      </c>
      <c r="N3611" s="9">
        <f>VLOOKUP($O3611,매칭테이블!$G:$J,4,0)*H3611</f>
        <v/>
      </c>
      <c r="O3611" s="9">
        <f>F3611&amp;E3611&amp;G3611&amp;J3611</f>
        <v/>
      </c>
    </row>
    <row r="3612">
      <c r="B3612" s="10" t="n">
        <v>44346</v>
      </c>
      <c r="C3612" s="9" t="inlineStr">
        <is>
          <t>일</t>
        </is>
      </c>
      <c r="E3612" s="9">
        <f>INDEX(매칭테이블!C:C,MATCH(RD!G3612,매칭테이블!D:D,0))</f>
        <v/>
      </c>
      <c r="F3612" s="9" t="inlineStr">
        <is>
          <t>카페24</t>
        </is>
      </c>
      <c r="G3612" s="9" t="inlineStr">
        <is>
          <t>[얼리버드특가2차] 라베나 딥클렌징 헤어가글라인 set (5월 31일 순차예약배송)</t>
        </is>
      </c>
      <c r="H3612" s="9" t="n">
        <v>1</v>
      </c>
      <c r="I3612" s="9">
        <f>VLOOKUP(G3612,매칭테이블!D:E,2,0)</f>
        <v/>
      </c>
      <c r="J3612" s="9" t="inlineStr">
        <is>
          <t>210525</t>
        </is>
      </c>
      <c r="L3612" s="9">
        <f>VLOOKUP($O3612,매칭테이블!$G:$J,2,0)*H3612</f>
        <v/>
      </c>
      <c r="M3612" s="9">
        <f>L3612-L3612*VLOOKUP($O3612,매칭테이블!$G:$J,3,0)</f>
        <v/>
      </c>
      <c r="N3612" s="9">
        <f>VLOOKUP($O3612,매칭테이블!$G:$J,4,0)*H3612</f>
        <v/>
      </c>
      <c r="O3612" s="9">
        <f>F3612&amp;E3612&amp;G3612&amp;J3612</f>
        <v/>
      </c>
    </row>
    <row r="3613">
      <c r="B3613" s="10" t="n">
        <v>44346</v>
      </c>
      <c r="C3613" s="9" t="inlineStr">
        <is>
          <t>일</t>
        </is>
      </c>
      <c r="E3613" s="9" t="inlineStr">
        <is>
          <t>샴푸</t>
        </is>
      </c>
      <c r="F3613" s="9" t="inlineStr">
        <is>
          <t>카페24</t>
        </is>
      </c>
      <c r="G3613" s="9" t="inlineStr">
        <is>
          <t>[타임특가] 라베나 리:커버리 3개월 패키지 (샴푸 2+ 트리트먼트 택 1)샴푸2 + 트리트먼트 택 1=샴푸2 + 뉴트리셔스 밤1</t>
        </is>
      </c>
      <c r="H3613" s="9" t="n">
        <v>4</v>
      </c>
      <c r="I3613" s="9" t="inlineStr">
        <is>
          <t>리바이탈 샴푸2+뉴트리셔스밤1</t>
        </is>
      </c>
      <c r="J3613" s="9" t="inlineStr">
        <is>
          <t>210525</t>
        </is>
      </c>
      <c r="L3613" s="9">
        <f>VLOOKUP($O3613,매칭테이블!$G:$J,2,0)*H3613</f>
        <v/>
      </c>
      <c r="M3613" s="9">
        <f>L3613-L3613*VLOOKUP($O3613,매칭테이블!$G:$J,3,0)</f>
        <v/>
      </c>
      <c r="N3613" s="9">
        <f>VLOOKUP($O3613,매칭테이블!$G:$J,4,0)*H3613</f>
        <v/>
      </c>
      <c r="O3613" s="9">
        <f>F3613&amp;E3613&amp;G3613&amp;J3613</f>
        <v/>
      </c>
    </row>
    <row r="3614">
      <c r="B3614" s="10" t="n">
        <v>44346</v>
      </c>
      <c r="C3614" s="9" t="inlineStr">
        <is>
          <t>일</t>
        </is>
      </c>
      <c r="E3614" s="9" t="inlineStr">
        <is>
          <t>샴푸</t>
        </is>
      </c>
      <c r="F3614" s="9" t="inlineStr">
        <is>
          <t>카페24</t>
        </is>
      </c>
      <c r="G3614" s="9" t="inlineStr">
        <is>
          <t>[타임특가] 라베나 리:커버리 3개월 패키지 (샴푸 2+ 트리트먼트 택 1)샴푸2 + 트리트먼트 택 1=샴푸2 + 헤어팩 트리트먼트1</t>
        </is>
      </c>
      <c r="H3614" s="9" t="n">
        <v>6</v>
      </c>
      <c r="I3614" s="9" t="inlineStr">
        <is>
          <t>리바이탈 샴푸2+트리트먼트1</t>
        </is>
      </c>
      <c r="J3614" s="9" t="inlineStr">
        <is>
          <t>210525</t>
        </is>
      </c>
      <c r="L3614" s="9">
        <f>VLOOKUP($O3614,매칭테이블!$G:$J,2,0)*H3614</f>
        <v/>
      </c>
      <c r="M3614" s="9">
        <f>L3614-L3614*VLOOKUP($O3614,매칭테이블!$G:$J,3,0)</f>
        <v/>
      </c>
      <c r="N3614" s="9">
        <f>VLOOKUP($O3614,매칭테이블!$G:$J,4,0)*H3614</f>
        <v/>
      </c>
      <c r="O3614" s="9">
        <f>F3614&amp;E3614&amp;G3614&amp;J3614</f>
        <v/>
      </c>
    </row>
    <row r="3615">
      <c r="B3615" s="10" t="n">
        <v>44346</v>
      </c>
      <c r="C3615" s="9" t="inlineStr">
        <is>
          <t>일</t>
        </is>
      </c>
      <c r="E3615" s="9" t="inlineStr">
        <is>
          <t>샴푸</t>
        </is>
      </c>
      <c r="F3615" s="9" t="inlineStr">
        <is>
          <t>카페24</t>
        </is>
      </c>
      <c r="G3615" s="9" t="inlineStr">
        <is>
          <t>[타임특가] 라베나 리:커버리 6개월 패키지 (샴푸 5+ 트리트먼트 택 1)샴푸 5 + 트리트먼트 택 1=샴푸 5 + 뉴트리셔스 밤 1</t>
        </is>
      </c>
      <c r="H3615" s="9" t="n">
        <v>1</v>
      </c>
      <c r="I3615" s="9" t="inlineStr">
        <is>
          <t>리바이탈 샴푸5+뉴트리셔스밤1</t>
        </is>
      </c>
      <c r="J3615" s="9" t="inlineStr">
        <is>
          <t>210525</t>
        </is>
      </c>
      <c r="L3615" s="9">
        <f>VLOOKUP($O3615,매칭테이블!$G:$J,2,0)*H3615</f>
        <v/>
      </c>
      <c r="M3615" s="9">
        <f>L3615-L3615*VLOOKUP($O3615,매칭테이블!$G:$J,3,0)</f>
        <v/>
      </c>
      <c r="N3615" s="9">
        <f>VLOOKUP($O3615,매칭테이블!$G:$J,4,0)*H3615</f>
        <v/>
      </c>
      <c r="O3615" s="9">
        <f>F3615&amp;E3615&amp;G3615&amp;J3615</f>
        <v/>
      </c>
    </row>
    <row r="3616">
      <c r="B3616" s="10" t="n">
        <v>44346</v>
      </c>
      <c r="C3616" s="9" t="inlineStr">
        <is>
          <t>일</t>
        </is>
      </c>
      <c r="E3616" s="9" t="inlineStr">
        <is>
          <t>샴푸</t>
        </is>
      </c>
      <c r="F3616" s="9" t="inlineStr">
        <is>
          <t>카페24</t>
        </is>
      </c>
      <c r="G3616" s="9" t="inlineStr">
        <is>
          <t>[타임특가] 라베나 리:커버리 6개월 패키지 (샴푸 5+ 트리트먼트 택 1)샴푸 5 + 트리트먼트 택 1=샴푸 5 + 헤어팩 트리트먼트 1</t>
        </is>
      </c>
      <c r="H3616" s="9" t="n">
        <v>1</v>
      </c>
      <c r="I3616" s="9" t="inlineStr">
        <is>
          <t>리바이탈 샴푸5+트리트먼트1</t>
        </is>
      </c>
      <c r="J3616" s="9" t="inlineStr">
        <is>
          <t>210525</t>
        </is>
      </c>
      <c r="L3616" s="9">
        <f>VLOOKUP($O3616,매칭테이블!$G:$J,2,0)*H3616</f>
        <v/>
      </c>
      <c r="M3616" s="9">
        <f>L3616-L3616*VLOOKUP($O3616,매칭테이블!$G:$J,3,0)</f>
        <v/>
      </c>
      <c r="N3616" s="9">
        <f>VLOOKUP($O3616,매칭테이블!$G:$J,4,0)*H3616</f>
        <v/>
      </c>
      <c r="O3616" s="9">
        <f>F3616&amp;E3616&amp;G3616&amp;J3616</f>
        <v/>
      </c>
    </row>
    <row r="3617">
      <c r="B3617" s="10" t="n">
        <v>44346</v>
      </c>
      <c r="C3617" s="9" t="inlineStr">
        <is>
          <t>일</t>
        </is>
      </c>
      <c r="E3617" s="9" t="inlineStr">
        <is>
          <t>샴푸</t>
        </is>
      </c>
      <c r="F3617" s="9" t="inlineStr">
        <is>
          <t>카페24</t>
        </is>
      </c>
      <c r="G3617" s="9" t="inlineStr">
        <is>
          <t>[타임특가] 라베나 리:커버리 온가족 패키지 (샴푸 3+ 헤어팩 트리트먼트 1+뉴트리셔스 밤 1)</t>
        </is>
      </c>
      <c r="H3617" s="9" t="n">
        <v>1</v>
      </c>
      <c r="I3617" s="9" t="inlineStr">
        <is>
          <t>리바이탈 샴푸3+트리트먼트1+뉴트리셔스밤1</t>
        </is>
      </c>
      <c r="J3617" s="9" t="inlineStr">
        <is>
          <t>210525</t>
        </is>
      </c>
      <c r="L3617" s="9">
        <f>VLOOKUP($O3617,매칭테이블!$G:$J,2,0)*H3617</f>
        <v/>
      </c>
      <c r="M3617" s="9">
        <f>L3617-L3617*VLOOKUP($O3617,매칭테이블!$G:$J,3,0)</f>
        <v/>
      </c>
      <c r="N3617" s="9">
        <f>VLOOKUP($O3617,매칭테이블!$G:$J,4,0)*H3617</f>
        <v/>
      </c>
      <c r="O3617" s="9">
        <f>F3617&amp;E3617&amp;G3617&amp;J3617</f>
        <v/>
      </c>
    </row>
    <row r="3618">
      <c r="B3618" s="10" t="n">
        <v>44346</v>
      </c>
      <c r="C3618" s="9" t="inlineStr">
        <is>
          <t>일</t>
        </is>
      </c>
      <c r="E3618" s="9">
        <f>INDEX(매칭테이블!C:C,MATCH(RD!G3618,매칭테이블!D:D,0))</f>
        <v/>
      </c>
      <c r="F3618" s="9" t="inlineStr">
        <is>
          <t>카페24</t>
        </is>
      </c>
      <c r="G3618" s="9" t="inlineStr">
        <is>
          <t>라베나 리커버리 15 뉴트리셔스 밤제품선택=뉴트리셔스밤 1개 + 헤어팩 트리트먼트 1개 세트 5%추가할인</t>
        </is>
      </c>
      <c r="H3618" s="9" t="n">
        <v>1</v>
      </c>
      <c r="I3618" s="9">
        <f>VLOOKUP(G3618,매칭테이블!D:E,2,0)</f>
        <v/>
      </c>
      <c r="J3618" s="9" t="inlineStr">
        <is>
          <t>210525</t>
        </is>
      </c>
      <c r="L3618" s="9">
        <f>VLOOKUP($O3618,매칭테이블!$G:$J,2,0)*H3618</f>
        <v/>
      </c>
      <c r="M3618" s="9">
        <f>L3618-L3618*VLOOKUP($O3618,매칭테이블!$G:$J,3,0)</f>
        <v/>
      </c>
      <c r="N3618" s="9">
        <f>VLOOKUP($O3618,매칭테이블!$G:$J,4,0)*H3618</f>
        <v/>
      </c>
      <c r="O3618" s="9">
        <f>F3618&amp;E3618&amp;G3618&amp;J3618</f>
        <v/>
      </c>
    </row>
    <row r="3619">
      <c r="B3619" s="10" t="n">
        <v>44346</v>
      </c>
      <c r="C3619" s="9" t="inlineStr">
        <is>
          <t>일</t>
        </is>
      </c>
      <c r="E3619" s="9" t="inlineStr">
        <is>
          <t>샴푸</t>
        </is>
      </c>
      <c r="F3619" s="9" t="inlineStr">
        <is>
          <t>카페24</t>
        </is>
      </c>
      <c r="G3619" s="9" t="inlineStr">
        <is>
          <t>라베나 리커버리 15 리바이탈 바이오플라보노이드샴푸제품선택=헤어 리커버리 15 리바이탈 샴푸 - 500ml</t>
        </is>
      </c>
      <c r="H3619" s="9" t="n">
        <v>121</v>
      </c>
      <c r="I3619" s="9" t="inlineStr">
        <is>
          <t>리바이탈 샴푸</t>
        </is>
      </c>
      <c r="J3619" s="9" t="inlineStr">
        <is>
          <t>210525</t>
        </is>
      </c>
      <c r="L3619" s="9" t="n">
        <v>3254900</v>
      </c>
      <c r="M3619" s="9" t="n">
        <v>3064488.35</v>
      </c>
      <c r="N3619" s="9" t="n">
        <v>346665</v>
      </c>
      <c r="O3619" s="9" t="inlineStr">
        <is>
          <t>카페24샴푸라베나 리커버리 15 리바이탈 바이오플라보노이드샴푸제품선택=헤어 리커버리 15 리바이탈 샴푸 - 500ml210525</t>
        </is>
      </c>
    </row>
    <row r="3620">
      <c r="B3620" s="10" t="n">
        <v>44346</v>
      </c>
      <c r="C3620" s="9" t="inlineStr">
        <is>
          <t>일</t>
        </is>
      </c>
      <c r="E3620" s="9" t="inlineStr">
        <is>
          <t>샴푸</t>
        </is>
      </c>
      <c r="F3620" s="9" t="inlineStr">
        <is>
          <t>카페24</t>
        </is>
      </c>
      <c r="G3620" s="9" t="inlineStr">
        <is>
          <t>라베나 리커버리 15 리바이탈 바이오플라보노이드샴푸제품선택=리바이탈 샴푸 2개 세트 5%추가할인</t>
        </is>
      </c>
      <c r="H3620" s="9" t="n">
        <v>31</v>
      </c>
      <c r="I3620" s="9" t="inlineStr">
        <is>
          <t>리바이탈 샴푸 2set</t>
        </is>
      </c>
      <c r="J3620" s="9" t="inlineStr">
        <is>
          <t>210525</t>
        </is>
      </c>
      <c r="L3620" s="9" t="n">
        <v>1584410</v>
      </c>
      <c r="M3620" s="9" t="n">
        <v>1491722.015</v>
      </c>
      <c r="N3620" s="9" t="n">
        <v>177630</v>
      </c>
      <c r="O3620" s="9" t="inlineStr">
        <is>
          <t>카페24샴푸라베나 리커버리 15 리바이탈 바이오플라보노이드샴푸제품선택=리바이탈 샴푸 2개 세트 5%추가할인210525</t>
        </is>
      </c>
    </row>
    <row r="3621">
      <c r="B3621" s="10" t="n">
        <v>44346</v>
      </c>
      <c r="C3621" s="9" t="inlineStr">
        <is>
          <t>일</t>
        </is>
      </c>
      <c r="E3621" s="9" t="inlineStr">
        <is>
          <t>샴푸</t>
        </is>
      </c>
      <c r="F3621" s="9" t="inlineStr">
        <is>
          <t>카페24</t>
        </is>
      </c>
      <c r="G3621" s="9" t="inlineStr">
        <is>
          <t>라베나 리커버리 15 리바이탈 바이오플라보노이드샴푸제품선택=리바이탈 샴푸 3개 세트 10% 추가할인</t>
        </is>
      </c>
      <c r="H3621" s="9" t="n">
        <v>8</v>
      </c>
      <c r="I3621" s="9" t="inlineStr">
        <is>
          <t>리바이탈 샴푸 3set</t>
        </is>
      </c>
      <c r="J3621" s="9" t="inlineStr">
        <is>
          <t>210525</t>
        </is>
      </c>
      <c r="L3621" s="9" t="n">
        <v>581040</v>
      </c>
      <c r="M3621" s="9" t="n">
        <v>547049.16</v>
      </c>
      <c r="N3621" s="9" t="n">
        <v>68760</v>
      </c>
      <c r="O3621" s="9" t="inlineStr">
        <is>
          <t>카페24샴푸라베나 리커버리 15 리바이탈 바이오플라보노이드샴푸제품선택=리바이탈 샴푸 3개 세트 10% 추가할인210525</t>
        </is>
      </c>
    </row>
    <row r="3622">
      <c r="B3622" s="10" t="n">
        <v>44346</v>
      </c>
      <c r="C3622" s="9" t="inlineStr">
        <is>
          <t>일</t>
        </is>
      </c>
      <c r="E3622" s="9" t="inlineStr">
        <is>
          <t>트리트먼트</t>
        </is>
      </c>
      <c r="F3622" s="9" t="inlineStr">
        <is>
          <t>카페24</t>
        </is>
      </c>
      <c r="G3622" s="9" t="inlineStr">
        <is>
          <t>라베나 리커버리 15 헤어팩 트리트먼트제품선택=헤어 리커버리 15 헤어팩 트리트먼트</t>
        </is>
      </c>
      <c r="H3622" s="9" t="n">
        <v>1</v>
      </c>
      <c r="I3622" s="9" t="inlineStr">
        <is>
          <t>트리트먼트</t>
        </is>
      </c>
      <c r="J3622" s="9" t="inlineStr">
        <is>
          <t>210525</t>
        </is>
      </c>
      <c r="L3622" s="9" t="n">
        <v>26000</v>
      </c>
      <c r="M3622" s="9" t="n">
        <v>24479</v>
      </c>
      <c r="N3622" s="9" t="n">
        <v>1597</v>
      </c>
      <c r="O3622" s="9" t="inlineStr">
        <is>
          <t>카페24트리트먼트라베나 리커버리 15 헤어팩 트리트먼트제품선택=헤어 리커버리 15 헤어팩 트리트먼트210525</t>
        </is>
      </c>
    </row>
    <row r="3623">
      <c r="A3623" s="9" t="inlineStr">
        <is>
          <t>0531_현빈_샴푸_피지결석_카드뉴스_인스타</t>
        </is>
      </c>
      <c r="B3623" s="10" t="n">
        <v>44347</v>
      </c>
      <c r="C3623" s="9" t="inlineStr">
        <is>
          <t>월</t>
        </is>
      </c>
      <c r="D3623" s="9">
        <f>VLOOKUP($A3623,매칭테이블!$B$123:$D$1048576,2,0)</f>
        <v/>
      </c>
      <c r="K3623" s="9" t="n">
        <v>117672</v>
      </c>
    </row>
    <row r="3624">
      <c r="A3624" s="9" t="inlineStr">
        <is>
          <t>0531_현빈_샴푸_피지결석_카드뉴스_페북</t>
        </is>
      </c>
      <c r="B3624" s="10" t="n">
        <v>44347</v>
      </c>
      <c r="C3624" s="9" t="inlineStr">
        <is>
          <t>월</t>
        </is>
      </c>
      <c r="D3624" s="9">
        <f>VLOOKUP($A3624,매칭테이블!$B$123:$D$1048576,2,0)</f>
        <v/>
      </c>
      <c r="K3624" s="9" t="n">
        <v>108096</v>
      </c>
    </row>
    <row r="3625">
      <c r="A3625" s="9" t="inlineStr">
        <is>
          <t>0316~영상베리</t>
        </is>
      </c>
      <c r="B3625" s="10" t="n">
        <v>44347</v>
      </c>
      <c r="C3625" s="9" t="inlineStr">
        <is>
          <t>월</t>
        </is>
      </c>
      <c r="D3625" s="9" t="inlineStr">
        <is>
          <t>페이스북</t>
        </is>
      </c>
      <c r="K3625" s="9" t="n">
        <v>97971</v>
      </c>
    </row>
    <row r="3626">
      <c r="A3626" s="9" t="inlineStr">
        <is>
          <t>0520_샴푸_CPV_피지결석_4차</t>
        </is>
      </c>
      <c r="B3626" s="10" t="n">
        <v>44347</v>
      </c>
      <c r="C3626" s="9" t="inlineStr">
        <is>
          <t>월</t>
        </is>
      </c>
      <c r="D3626" s="9">
        <f>VLOOKUP($A3626,매칭테이블!$B$123:$D$1048576,2,0)</f>
        <v/>
      </c>
      <c r="K3626" s="9" t="n">
        <v>3527195</v>
      </c>
    </row>
    <row r="3627">
      <c r="A3627" s="9" t="inlineStr">
        <is>
          <t>0528_샴푸_GDN</t>
        </is>
      </c>
      <c r="B3627" s="10" t="n">
        <v>44347</v>
      </c>
      <c r="C3627" s="9" t="inlineStr">
        <is>
          <t>월</t>
        </is>
      </c>
      <c r="D3627" s="9">
        <f>VLOOKUP($A3627,매칭테이블!$B$123:$D$1048576,2,0)</f>
        <v/>
      </c>
      <c r="K3627" s="9" t="n">
        <v>196192</v>
      </c>
    </row>
    <row r="3628">
      <c r="A3628" s="9" t="inlineStr">
        <is>
          <t>라베나 파워링크_샴푸_광고그룹#1</t>
        </is>
      </c>
      <c r="B3628" s="10" t="n">
        <v>44347</v>
      </c>
      <c r="C3628" s="9" t="inlineStr">
        <is>
          <t>월</t>
        </is>
      </c>
      <c r="D3628" s="9">
        <f>VLOOKUP($A3628,매칭테이블!$B$123:$D$1048576,2,0)</f>
        <v/>
      </c>
      <c r="K3628" s="9" t="n">
        <v>3240</v>
      </c>
    </row>
    <row r="3629">
      <c r="A3629" s="9" t="inlineStr">
        <is>
          <t>라베나 파워링크_샴푸#1_유튜브키워드기반</t>
        </is>
      </c>
      <c r="B3629" s="10" t="n">
        <v>44347</v>
      </c>
      <c r="C3629" s="9" t="inlineStr">
        <is>
          <t>월</t>
        </is>
      </c>
      <c r="D3629" s="9" t="inlineStr">
        <is>
          <t>네이버 검색</t>
        </is>
      </c>
      <c r="E3629" s="9" t="inlineStr">
        <is>
          <t>샴푸</t>
        </is>
      </c>
      <c r="K3629" s="9" t="n">
        <v>2870</v>
      </c>
    </row>
    <row r="3630">
      <c r="A3630" s="9" t="inlineStr">
        <is>
          <t>샴푸_쇼핑검색#1_광고그룹#1</t>
        </is>
      </c>
      <c r="B3630" s="10" t="n">
        <v>44347</v>
      </c>
      <c r="C3630" s="9" t="inlineStr">
        <is>
          <t>월</t>
        </is>
      </c>
      <c r="D3630" s="9" t="inlineStr">
        <is>
          <t>네이버 검색</t>
        </is>
      </c>
      <c r="E3630" s="9" t="inlineStr">
        <is>
          <t>샴푸</t>
        </is>
      </c>
      <c r="K3630" s="9" t="n">
        <v>3330</v>
      </c>
    </row>
    <row r="3631">
      <c r="A3631" s="9" t="inlineStr">
        <is>
          <t>파워컨텐츠#1_비듬샴푸</t>
        </is>
      </c>
      <c r="B3631" s="10" t="n">
        <v>44347</v>
      </c>
      <c r="C3631" s="9" t="inlineStr">
        <is>
          <t>월</t>
        </is>
      </c>
      <c r="D3631" s="9" t="inlineStr">
        <is>
          <t>네이버 검색</t>
        </is>
      </c>
      <c r="E3631" s="9" t="inlineStr">
        <is>
          <t>샴푸</t>
        </is>
      </c>
      <c r="K3631" s="9" t="n">
        <v>140</v>
      </c>
    </row>
    <row r="3632">
      <c r="B3632" s="10" t="n">
        <v>44347</v>
      </c>
      <c r="C3632" s="9" t="inlineStr">
        <is>
          <t>월</t>
        </is>
      </c>
      <c r="E3632" s="9" t="inlineStr">
        <is>
          <t>가글샴푸</t>
        </is>
      </c>
      <c r="F3632" s="9" t="inlineStr">
        <is>
          <t>라베나 CS</t>
        </is>
      </c>
      <c r="G3632" s="9" t="inlineStr">
        <is>
          <t>딥클렌징 헤어가글 샴푸 500ml</t>
        </is>
      </c>
      <c r="H3632" s="9" t="n">
        <v>30</v>
      </c>
      <c r="I3632" s="9" t="inlineStr">
        <is>
          <t>헤어가글 샴푸</t>
        </is>
      </c>
      <c r="J3632" s="9" t="inlineStr">
        <is>
          <t>210525</t>
        </is>
      </c>
      <c r="L3632" s="9" t="n">
        <v>0</v>
      </c>
      <c r="M3632" s="9" t="n">
        <v>0</v>
      </c>
      <c r="N3632" s="9" t="n">
        <v>3355</v>
      </c>
      <c r="O3632" s="9" t="inlineStr">
        <is>
          <t>라베나 CS0딥클렌징 헤어가글 샴푸 500ml210525</t>
        </is>
      </c>
    </row>
    <row r="3633">
      <c r="B3633" s="10" t="n">
        <v>44347</v>
      </c>
      <c r="C3633" s="9" t="inlineStr">
        <is>
          <t>월</t>
        </is>
      </c>
      <c r="E3633" s="9" t="inlineStr">
        <is>
          <t>가글워터</t>
        </is>
      </c>
      <c r="F3633" s="9" t="inlineStr">
        <is>
          <t>라베나 CS</t>
        </is>
      </c>
      <c r="G3633" s="9" t="inlineStr">
        <is>
          <t>딥클렌징 헤어가글 워터 300ml</t>
        </is>
      </c>
      <c r="H3633" s="9" t="n">
        <v>1</v>
      </c>
      <c r="I3633" s="9" t="inlineStr">
        <is>
          <t>헤어가글 워터</t>
        </is>
      </c>
      <c r="J3633" s="9" t="inlineStr">
        <is>
          <t>210525</t>
        </is>
      </c>
      <c r="L3633" s="9" t="n">
        <v>0</v>
      </c>
      <c r="M3633" s="9" t="n">
        <v>0</v>
      </c>
      <c r="N3633" s="9" t="n">
        <v>2320</v>
      </c>
      <c r="O3633" s="9" t="inlineStr">
        <is>
          <t>라베나 CS0딥클렌징 헤어가글 워터 300ml210525</t>
        </is>
      </c>
    </row>
    <row r="3634">
      <c r="B3634" s="10" t="n">
        <v>44347</v>
      </c>
      <c r="C3634" s="9" t="inlineStr">
        <is>
          <t>월</t>
        </is>
      </c>
      <c r="E3634" s="9" t="inlineStr">
        <is>
          <t>샴푸</t>
        </is>
      </c>
      <c r="F3634" s="9" t="inlineStr">
        <is>
          <t>라베나 CS</t>
        </is>
      </c>
      <c r="G3634" s="9" t="inlineStr">
        <is>
          <t>헤어 리커버리 15 리바이탈 샴푸</t>
        </is>
      </c>
      <c r="H3634" s="9" t="n">
        <v>1</v>
      </c>
      <c r="I3634" s="9" t="inlineStr">
        <is>
          <t>리바이탈 샴푸</t>
        </is>
      </c>
      <c r="J3634" s="9" t="inlineStr">
        <is>
          <t>210525</t>
        </is>
      </c>
      <c r="L3634" s="9" t="n">
        <v>0</v>
      </c>
      <c r="M3634" s="9" t="n">
        <v>0</v>
      </c>
      <c r="N3634" s="9" t="n">
        <v>2865</v>
      </c>
      <c r="O3634" s="9" t="inlineStr">
        <is>
          <t>라베나 CS샴푸헤어 리커버리 15 리바이탈 샴푸210525</t>
        </is>
      </c>
    </row>
    <row r="3635">
      <c r="B3635" s="10" t="n">
        <v>44347</v>
      </c>
      <c r="C3635" s="9" t="inlineStr">
        <is>
          <t>월</t>
        </is>
      </c>
      <c r="E3635" s="9" t="inlineStr">
        <is>
          <t>샴푸</t>
        </is>
      </c>
      <c r="F3635" s="9" t="inlineStr">
        <is>
          <t>카페24</t>
        </is>
      </c>
      <c r="G3635" s="9" t="inlineStr">
        <is>
          <t>[타임특가] 라베나 리:커버리 3개월 패키지 (샴푸 2+ 트리트먼트 택 1)샴푸2 + 트리트먼트 택 1=샴푸2 + 뉴트리셔스 밤1</t>
        </is>
      </c>
      <c r="H3635" s="9" t="n">
        <v>3</v>
      </c>
      <c r="I3635" s="9" t="inlineStr">
        <is>
          <t>리바이탈 샴푸2+뉴트리셔스밤1</t>
        </is>
      </c>
      <c r="J3635" s="9" t="inlineStr">
        <is>
          <t>210525</t>
        </is>
      </c>
      <c r="L3635" s="9">
        <f>VLOOKUP($O3635,매칭테이블!$G:$J,2,0)*H3635</f>
        <v/>
      </c>
      <c r="M3635" s="9">
        <f>L3635-L3635*VLOOKUP($O3635,매칭테이블!$G:$J,3,0)</f>
        <v/>
      </c>
      <c r="N3635" s="9">
        <f>VLOOKUP($O3635,매칭테이블!$G:$J,4,0)*H3635</f>
        <v/>
      </c>
      <c r="O3635" s="9">
        <f>F3635&amp;E3635&amp;G3635&amp;J3635</f>
        <v/>
      </c>
    </row>
    <row r="3636">
      <c r="B3636" s="10" t="n">
        <v>44347</v>
      </c>
      <c r="C3636" s="9" t="inlineStr">
        <is>
          <t>월</t>
        </is>
      </c>
      <c r="E3636" s="9" t="inlineStr">
        <is>
          <t>샴푸</t>
        </is>
      </c>
      <c r="F3636" s="9" t="inlineStr">
        <is>
          <t>카페24</t>
        </is>
      </c>
      <c r="G3636" s="9" t="inlineStr">
        <is>
          <t>[타임특가] 라베나 리:커버리 3개월 패키지 (샴푸 2+ 트리트먼트 택 1)샴푸2 + 트리트먼트 택 1=샴푸2 + 헤어팩 트리트먼트1</t>
        </is>
      </c>
      <c r="H3636" s="9" t="n">
        <v>8</v>
      </c>
      <c r="I3636" s="9" t="inlineStr">
        <is>
          <t>리바이탈 샴푸2+트리트먼트1</t>
        </is>
      </c>
      <c r="J3636" s="9" t="inlineStr">
        <is>
          <t>210525</t>
        </is>
      </c>
      <c r="L3636" s="9">
        <f>VLOOKUP($O3636,매칭테이블!$G:$J,2,0)*H3636</f>
        <v/>
      </c>
      <c r="M3636" s="9">
        <f>L3636-L3636*VLOOKUP($O3636,매칭테이블!$G:$J,3,0)</f>
        <v/>
      </c>
      <c r="N3636" s="9">
        <f>VLOOKUP($O3636,매칭테이블!$G:$J,4,0)*H3636</f>
        <v/>
      </c>
      <c r="O3636" s="9">
        <f>F3636&amp;E3636&amp;G3636&amp;J3636</f>
        <v/>
      </c>
    </row>
    <row r="3637">
      <c r="B3637" s="10" t="n">
        <v>44347</v>
      </c>
      <c r="C3637" s="9" t="inlineStr">
        <is>
          <t>월</t>
        </is>
      </c>
      <c r="E3637" s="9" t="inlineStr">
        <is>
          <t>샴푸</t>
        </is>
      </c>
      <c r="F3637" s="9" t="inlineStr">
        <is>
          <t>카페24</t>
        </is>
      </c>
      <c r="G3637" s="9" t="inlineStr">
        <is>
          <t>[타임특가] 라베나 리:커버리 6개월 패키지 (샴푸 5+ 트리트먼트 택 1)샴푸 5 + 트리트먼트 택 1=샴푸 5 + 헤어팩 트리트먼트 1</t>
        </is>
      </c>
      <c r="H3637" s="9" t="n">
        <v>3</v>
      </c>
      <c r="I3637" s="9" t="inlineStr">
        <is>
          <t>리바이탈 샴푸5+트리트먼트1</t>
        </is>
      </c>
      <c r="J3637" s="9" t="inlineStr">
        <is>
          <t>210525</t>
        </is>
      </c>
      <c r="L3637" s="9">
        <f>VLOOKUP($O3637,매칭테이블!$G:$J,2,0)*H3637</f>
        <v/>
      </c>
      <c r="M3637" s="9">
        <f>L3637-L3637*VLOOKUP($O3637,매칭테이블!$G:$J,3,0)</f>
        <v/>
      </c>
      <c r="N3637" s="9">
        <f>VLOOKUP($O3637,매칭테이블!$G:$J,4,0)*H3637</f>
        <v/>
      </c>
      <c r="O3637" s="9">
        <f>F3637&amp;E3637&amp;G3637&amp;J3637</f>
        <v/>
      </c>
    </row>
    <row r="3638">
      <c r="B3638" s="10" t="n">
        <v>44347</v>
      </c>
      <c r="C3638" s="9" t="inlineStr">
        <is>
          <t>월</t>
        </is>
      </c>
      <c r="E3638" s="9" t="inlineStr">
        <is>
          <t>샴푸</t>
        </is>
      </c>
      <c r="F3638" s="9" t="inlineStr">
        <is>
          <t>카페24</t>
        </is>
      </c>
      <c r="G3638" s="9" t="inlineStr">
        <is>
          <t>[타임특가] 라베나 리:커버리 온가족 패키지 (샴푸 3+ 헤어팩 트리트먼트 1+뉴트리셔스 밤 1)</t>
        </is>
      </c>
      <c r="H3638" s="9" t="n">
        <v>2</v>
      </c>
      <c r="I3638" s="9" t="inlineStr">
        <is>
          <t>리바이탈 샴푸3+트리트먼트1+뉴트리셔스밤1</t>
        </is>
      </c>
      <c r="J3638" s="9" t="inlineStr">
        <is>
          <t>210525</t>
        </is>
      </c>
      <c r="L3638" s="9">
        <f>VLOOKUP($O3638,매칭테이블!$G:$J,2,0)*H3638</f>
        <v/>
      </c>
      <c r="M3638" s="9">
        <f>L3638-L3638*VLOOKUP($O3638,매칭테이블!$G:$J,3,0)</f>
        <v/>
      </c>
      <c r="N3638" s="9">
        <f>VLOOKUP($O3638,매칭테이블!$G:$J,4,0)*H3638</f>
        <v/>
      </c>
      <c r="O3638" s="9">
        <f>F3638&amp;E3638&amp;G3638&amp;J3638</f>
        <v/>
      </c>
    </row>
    <row r="3639">
      <c r="B3639" s="10" t="n">
        <v>44347</v>
      </c>
      <c r="C3639" s="9" t="inlineStr">
        <is>
          <t>월</t>
        </is>
      </c>
      <c r="E3639" s="9" t="inlineStr">
        <is>
          <t>샴푸</t>
        </is>
      </c>
      <c r="F3639" s="9" t="inlineStr">
        <is>
          <t>카페24</t>
        </is>
      </c>
      <c r="G3639" s="9" t="inlineStr">
        <is>
          <t>라베나 리커버리 15 리바이탈 바이오플라보노이드샴푸제품선택=헤어 리커버리 15 리바이탈 샴푸 - 500ml</t>
        </is>
      </c>
      <c r="H3639" s="9" t="n">
        <v>131</v>
      </c>
      <c r="I3639" s="9" t="inlineStr">
        <is>
          <t>리바이탈 샴푸</t>
        </is>
      </c>
      <c r="J3639" s="9" t="inlineStr">
        <is>
          <t>210525</t>
        </is>
      </c>
      <c r="L3639" s="9" t="n">
        <v>3523900</v>
      </c>
      <c r="M3639" s="9" t="n">
        <v>3317751.85</v>
      </c>
      <c r="N3639" s="9" t="n">
        <v>375315</v>
      </c>
      <c r="O3639" s="9" t="inlineStr">
        <is>
          <t>카페24샴푸라베나 리커버리 15 리바이탈 바이오플라보노이드샴푸제품선택=헤어 리커버리 15 리바이탈 샴푸 - 500ml210525</t>
        </is>
      </c>
    </row>
    <row r="3640">
      <c r="B3640" s="10" t="n">
        <v>44347</v>
      </c>
      <c r="C3640" s="9" t="inlineStr">
        <is>
          <t>월</t>
        </is>
      </c>
      <c r="E3640" s="9" t="inlineStr">
        <is>
          <t>샴푸</t>
        </is>
      </c>
      <c r="F3640" s="9" t="inlineStr">
        <is>
          <t>카페24</t>
        </is>
      </c>
      <c r="G3640" s="9" t="inlineStr">
        <is>
          <t>라베나 리커버리 15 리바이탈 바이오플라보노이드샴푸제품선택=리바이탈 샴푸 2개 세트 5%추가할인</t>
        </is>
      </c>
      <c r="H3640" s="9" t="n">
        <v>49</v>
      </c>
      <c r="I3640" s="9" t="inlineStr">
        <is>
          <t>리바이탈 샴푸 2set</t>
        </is>
      </c>
      <c r="J3640" s="9" t="inlineStr">
        <is>
          <t>210525</t>
        </is>
      </c>
      <c r="L3640" s="9" t="n">
        <v>2504390</v>
      </c>
      <c r="M3640" s="9" t="n">
        <v>2357883.185</v>
      </c>
      <c r="N3640" s="9" t="n">
        <v>280770</v>
      </c>
      <c r="O3640" s="9" t="inlineStr">
        <is>
          <t>카페24샴푸라베나 리커버리 15 리바이탈 바이오플라보노이드샴푸제품선택=리바이탈 샴푸 2개 세트 5%추가할인210525</t>
        </is>
      </c>
    </row>
    <row r="3641">
      <c r="B3641" s="10" t="n">
        <v>44347</v>
      </c>
      <c r="C3641" s="9" t="inlineStr">
        <is>
          <t>월</t>
        </is>
      </c>
      <c r="E3641" s="9" t="inlineStr">
        <is>
          <t>샴푸</t>
        </is>
      </c>
      <c r="F3641" s="9" t="inlineStr">
        <is>
          <t>카페24</t>
        </is>
      </c>
      <c r="G3641" s="9" t="inlineStr">
        <is>
          <t>라베나 리커버리 15 리바이탈 바이오플라보노이드샴푸제품선택=리바이탈 샴푸 3개 세트 10% 추가할인</t>
        </is>
      </c>
      <c r="H3641" s="9" t="n">
        <v>11</v>
      </c>
      <c r="I3641" s="9" t="inlineStr">
        <is>
          <t>리바이탈 샴푸 3set</t>
        </is>
      </c>
      <c r="J3641" s="9" t="inlineStr">
        <is>
          <t>210525</t>
        </is>
      </c>
      <c r="L3641" s="9" t="n">
        <v>798930</v>
      </c>
      <c r="M3641" s="9" t="n">
        <v>752192.5950000001</v>
      </c>
      <c r="N3641" s="9" t="n">
        <v>94545</v>
      </c>
      <c r="O3641" s="9" t="inlineStr">
        <is>
          <t>카페24샴푸라베나 리커버리 15 리바이탈 바이오플라보노이드샴푸제품선택=리바이탈 샴푸 3개 세트 10% 추가할인210525</t>
        </is>
      </c>
    </row>
    <row r="3642">
      <c r="B3642" s="10" t="n">
        <v>44347</v>
      </c>
      <c r="C3642" s="9" t="inlineStr">
        <is>
          <t>월</t>
        </is>
      </c>
      <c r="E3642" s="9" t="inlineStr">
        <is>
          <t>트리트먼트</t>
        </is>
      </c>
      <c r="F3642" s="9" t="inlineStr">
        <is>
          <t>카페24</t>
        </is>
      </c>
      <c r="G3642" s="9" t="inlineStr">
        <is>
          <t>라베나 리커버리 15 헤어팩 트리트먼트제품선택=헤어 리커버리 15 헤어팩 트리트먼트</t>
        </is>
      </c>
      <c r="H3642" s="9" t="n">
        <v>3</v>
      </c>
      <c r="I3642" s="9" t="inlineStr">
        <is>
          <t>트리트먼트</t>
        </is>
      </c>
      <c r="J3642" s="9" t="inlineStr">
        <is>
          <t>210525</t>
        </is>
      </c>
      <c r="L3642" s="9" t="n">
        <v>78000</v>
      </c>
      <c r="M3642" s="9" t="n">
        <v>73437</v>
      </c>
      <c r="N3642" s="9" t="n">
        <v>4791</v>
      </c>
      <c r="O3642" s="9" t="inlineStr">
        <is>
          <t>카페24트리트먼트라베나 리커버리 15 헤어팩 트리트먼트제품선택=헤어 리커버리 15 헤어팩 트리트먼트210525</t>
        </is>
      </c>
    </row>
    <row r="3643">
      <c r="B3643" s="10" t="n">
        <v>44347</v>
      </c>
      <c r="C3643" s="9" t="inlineStr">
        <is>
          <t>월</t>
        </is>
      </c>
      <c r="E3643" s="9" t="inlineStr">
        <is>
          <t>트리트먼트</t>
        </is>
      </c>
      <c r="F3643" s="9" t="inlineStr">
        <is>
          <t>카페24</t>
        </is>
      </c>
      <c r="G3643" s="9" t="inlineStr">
        <is>
          <t>라베나 리커버리 15 헤어팩 트리트먼트제품선택=헤어팩 트리트먼트 2개 세트 5% 추가할인</t>
        </is>
      </c>
      <c r="H3643" s="9" t="n">
        <v>1</v>
      </c>
      <c r="I3643" s="9" t="inlineStr">
        <is>
          <t>트리트먼트 2set</t>
        </is>
      </c>
      <c r="J3643" s="9" t="inlineStr">
        <is>
          <t>210525</t>
        </is>
      </c>
      <c r="L3643" s="9" t="n">
        <v>49400</v>
      </c>
      <c r="M3643" s="9" t="n">
        <v>46510.1</v>
      </c>
      <c r="N3643" s="9" t="n">
        <v>3194</v>
      </c>
      <c r="O3643" s="9" t="inlineStr">
        <is>
          <t>카페24트리트먼트라베나 리커버리 15 헤어팩 트리트먼트제품선택=헤어팩 트리트먼트 2개 세트 5% 추가할인210525</t>
        </is>
      </c>
    </row>
    <row r="3644">
      <c r="A3644" s="9" t="inlineStr">
        <is>
          <t>0601_에스더_가글샴푸_실험</t>
        </is>
      </c>
      <c r="B3644" s="10" t="n">
        <v>44348</v>
      </c>
      <c r="C3644" s="9" t="inlineStr">
        <is>
          <t>화</t>
        </is>
      </c>
      <c r="D3644" s="9" t="inlineStr">
        <is>
          <t>페이스북</t>
        </is>
      </c>
      <c r="E3644" s="9" t="inlineStr">
        <is>
          <t>가글샴푸</t>
        </is>
      </c>
      <c r="K3644" s="9" t="n">
        <v>116827</v>
      </c>
    </row>
    <row r="3645">
      <c r="A3645" s="9" t="inlineStr">
        <is>
          <t>0531_현빈_샴푸_피지결석_카드뉴스_인스타</t>
        </is>
      </c>
      <c r="B3645" s="10" t="n">
        <v>44348</v>
      </c>
      <c r="C3645" s="9" t="inlineStr">
        <is>
          <t>화</t>
        </is>
      </c>
      <c r="D3645" s="9" t="inlineStr">
        <is>
          <t>페이스북</t>
        </is>
      </c>
      <c r="E3645" s="9" t="inlineStr">
        <is>
          <t>샴푸</t>
        </is>
      </c>
      <c r="K3645" s="9" t="n">
        <v>291636</v>
      </c>
    </row>
    <row r="3646">
      <c r="A3646" s="9" t="inlineStr">
        <is>
          <t>0531_현빈_샴푸_피지결석_카드뉴스_페북</t>
        </is>
      </c>
      <c r="B3646" s="10" t="n">
        <v>44348</v>
      </c>
      <c r="C3646" s="9" t="inlineStr">
        <is>
          <t>화</t>
        </is>
      </c>
      <c r="D3646" s="9" t="inlineStr">
        <is>
          <t>페이스북</t>
        </is>
      </c>
      <c r="E3646" s="9" t="inlineStr">
        <is>
          <t>샴푸</t>
        </is>
      </c>
      <c r="K3646" s="9" t="n">
        <v>291107</v>
      </c>
    </row>
    <row r="3647">
      <c r="A3647" s="9" t="inlineStr">
        <is>
          <t>0316~영상베리</t>
        </is>
      </c>
      <c r="B3647" s="10" t="n">
        <v>44348</v>
      </c>
      <c r="C3647" s="9" t="inlineStr">
        <is>
          <t>화</t>
        </is>
      </c>
      <c r="D3647" s="9" t="inlineStr">
        <is>
          <t>페이스북</t>
        </is>
      </c>
      <c r="E3647" s="9" t="inlineStr">
        <is>
          <t>샴푸</t>
        </is>
      </c>
      <c r="K3647" s="9" t="n">
        <v>97870</v>
      </c>
    </row>
    <row r="3648">
      <c r="A3648" s="9" t="inlineStr">
        <is>
          <t>0520_샴푸_CPV_피지결석_4차</t>
        </is>
      </c>
      <c r="B3648" s="10" t="n">
        <v>44348</v>
      </c>
      <c r="C3648" s="9" t="inlineStr">
        <is>
          <t>화</t>
        </is>
      </c>
      <c r="D3648" s="9" t="inlineStr">
        <is>
          <t>유튜브</t>
        </is>
      </c>
      <c r="E3648" s="9" t="inlineStr">
        <is>
          <t>샴푸</t>
        </is>
      </c>
      <c r="K3648" s="9" t="n">
        <v>3097153</v>
      </c>
    </row>
    <row r="3649">
      <c r="A3649" s="9" t="inlineStr">
        <is>
          <t>0528_샴푸_GDN</t>
        </is>
      </c>
      <c r="B3649" s="10" t="n">
        <v>44348</v>
      </c>
      <c r="C3649" s="9" t="inlineStr">
        <is>
          <t>화</t>
        </is>
      </c>
      <c r="D3649" s="9" t="inlineStr">
        <is>
          <t>GDN</t>
        </is>
      </c>
      <c r="E3649" s="9" t="inlineStr">
        <is>
          <t>샴푸</t>
        </is>
      </c>
      <c r="K3649" s="9" t="n">
        <v>105772</v>
      </c>
    </row>
    <row r="3650">
      <c r="A3650" s="9" t="inlineStr">
        <is>
          <t>0601_샴푸_인스트림_피지결석</t>
        </is>
      </c>
      <c r="B3650" s="10" t="n">
        <v>44348</v>
      </c>
      <c r="C3650" s="9" t="inlineStr">
        <is>
          <t>화</t>
        </is>
      </c>
      <c r="D3650" s="9" t="inlineStr">
        <is>
          <t>유튜브</t>
        </is>
      </c>
      <c r="E3650" s="9" t="inlineStr">
        <is>
          <t>샴푸</t>
        </is>
      </c>
      <c r="K3650" s="9" t="n">
        <v>202</v>
      </c>
    </row>
    <row r="3651">
      <c r="A3651" s="9" t="inlineStr">
        <is>
          <t>0601_샴푸_인스트림_피지결석re</t>
        </is>
      </c>
      <c r="B3651" s="10" t="n">
        <v>44348</v>
      </c>
      <c r="C3651" s="9" t="inlineStr">
        <is>
          <t>화</t>
        </is>
      </c>
      <c r="D3651" s="9" t="inlineStr">
        <is>
          <t>유튜브</t>
        </is>
      </c>
      <c r="E3651" s="9" t="inlineStr">
        <is>
          <t>샴푸</t>
        </is>
      </c>
      <c r="K3651" s="9" t="n">
        <v>1039459</v>
      </c>
    </row>
    <row r="3652">
      <c r="A3652" s="9" t="inlineStr">
        <is>
          <t>라베나 파워링크_샴푸_광고그룹#1</t>
        </is>
      </c>
      <c r="B3652" s="10" t="n">
        <v>44348</v>
      </c>
      <c r="C3652" s="9" t="inlineStr">
        <is>
          <t>화</t>
        </is>
      </c>
      <c r="D3652" s="9" t="inlineStr">
        <is>
          <t>네이버 검색</t>
        </is>
      </c>
      <c r="E3652" s="9" t="inlineStr">
        <is>
          <t>샴푸</t>
        </is>
      </c>
      <c r="K3652" s="9" t="n">
        <v>3170</v>
      </c>
    </row>
    <row r="3653">
      <c r="A3653" s="9" t="inlineStr">
        <is>
          <t>라베나 파워링크_샴푸#1_유튜브키워드기반</t>
        </is>
      </c>
      <c r="B3653" s="10" t="n">
        <v>44348</v>
      </c>
      <c r="C3653" s="9" t="inlineStr">
        <is>
          <t>화</t>
        </is>
      </c>
      <c r="D3653" s="9" t="inlineStr">
        <is>
          <t>네이버 검색</t>
        </is>
      </c>
      <c r="E3653" s="9" t="inlineStr">
        <is>
          <t>샴푸</t>
        </is>
      </c>
      <c r="K3653" s="9" t="n">
        <v>2210</v>
      </c>
    </row>
    <row r="3654">
      <c r="A3654" s="9" t="inlineStr">
        <is>
          <t>샴푸_쇼핑검색#1_광고그룹#1</t>
        </is>
      </c>
      <c r="B3654" s="10" t="n">
        <v>44348</v>
      </c>
      <c r="C3654" s="9" t="inlineStr">
        <is>
          <t>화</t>
        </is>
      </c>
      <c r="D3654" s="9" t="inlineStr">
        <is>
          <t>네이버 검색</t>
        </is>
      </c>
      <c r="E3654" s="9" t="inlineStr">
        <is>
          <t>샴푸</t>
        </is>
      </c>
      <c r="K3654" s="9" t="n">
        <v>3330</v>
      </c>
    </row>
    <row r="3655">
      <c r="A3655" s="9" t="inlineStr">
        <is>
          <t>파워컨텐츠#1_비듬샴푸</t>
        </is>
      </c>
      <c r="B3655" s="10" t="n">
        <v>44348</v>
      </c>
      <c r="C3655" s="9" t="inlineStr">
        <is>
          <t>화</t>
        </is>
      </c>
      <c r="D3655" s="9" t="inlineStr">
        <is>
          <t>네이버 검색</t>
        </is>
      </c>
      <c r="E3655" s="9" t="inlineStr">
        <is>
          <t>샴푸</t>
        </is>
      </c>
      <c r="K3655" s="9" t="n">
        <v>140</v>
      </c>
    </row>
    <row r="3656">
      <c r="B3656" s="10" t="n">
        <v>44348</v>
      </c>
      <c r="C3656" s="9" t="inlineStr">
        <is>
          <t>화</t>
        </is>
      </c>
      <c r="E3656" s="9" t="inlineStr">
        <is>
          <t>가글샴푸</t>
        </is>
      </c>
      <c r="F3656" s="9" t="inlineStr">
        <is>
          <t>카페24</t>
        </is>
      </c>
      <c r="G3656" s="9" t="inlineStr">
        <is>
          <t>[오픈한정] 라베나 딥 클렌징 헤어 가글 샴푸제품선택=딥클렌징 헤어가글 샴푸- 490ml</t>
        </is>
      </c>
      <c r="H3656" s="9" t="n">
        <v>1</v>
      </c>
      <c r="I3656" s="9">
        <f>VLOOKUP(G3656,매칭테이블!D:E,2,0)</f>
        <v/>
      </c>
      <c r="J3656" s="9" t="inlineStr">
        <is>
          <t>210525</t>
        </is>
      </c>
      <c r="L3656" s="9">
        <f>VLOOKUP($O3656,매칭테이블!$G:$J,2,0)*H3656</f>
        <v/>
      </c>
      <c r="M3656" s="9">
        <f>L3656-L3656*VLOOKUP($O3656,매칭테이블!$G:$J,3,0)</f>
        <v/>
      </c>
      <c r="N3656" s="9">
        <f>VLOOKUP($O3656,매칭테이블!$G:$J,4,0)*H3656</f>
        <v/>
      </c>
      <c r="O3656" s="9">
        <f>F3656&amp;E3656&amp;G3656&amp;J3656</f>
        <v/>
      </c>
    </row>
    <row r="3657">
      <c r="B3657" s="10" t="n">
        <v>44348</v>
      </c>
      <c r="C3657" s="9" t="inlineStr">
        <is>
          <t>화</t>
        </is>
      </c>
      <c r="E3657" s="9" t="inlineStr">
        <is>
          <t>가글샴푸</t>
        </is>
      </c>
      <c r="F3657" s="9" t="inlineStr">
        <is>
          <t>카페24</t>
        </is>
      </c>
      <c r="G3657" s="9" t="inlineStr">
        <is>
          <t>[오픈한정] 라베나 딥 클렌징 헤어 가글 샴푸제품선택=헤어가글 샴푸 2개 세트 10%추가 할인</t>
        </is>
      </c>
      <c r="H3657" s="9" t="n">
        <v>1</v>
      </c>
      <c r="I3657" s="9">
        <f>VLOOKUP(G3657,매칭테이블!D:E,2,0)</f>
        <v/>
      </c>
      <c r="J3657" s="9" t="inlineStr">
        <is>
          <t>210525</t>
        </is>
      </c>
      <c r="L3657" s="9">
        <f>VLOOKUP($O3657,매칭테이블!$G:$J,2,0)*H3657</f>
        <v/>
      </c>
      <c r="M3657" s="9">
        <f>L3657-L3657*VLOOKUP($O3657,매칭테이블!$G:$J,3,0)</f>
        <v/>
      </c>
      <c r="N3657" s="9">
        <f>VLOOKUP($O3657,매칭테이블!$G:$J,4,0)*H3657</f>
        <v/>
      </c>
      <c r="O3657" s="9">
        <f>F3657&amp;E3657&amp;G3657&amp;J3657</f>
        <v/>
      </c>
    </row>
    <row r="3658">
      <c r="B3658" s="10" t="n">
        <v>44348</v>
      </c>
      <c r="C3658" s="9" t="inlineStr">
        <is>
          <t>화</t>
        </is>
      </c>
      <c r="E3658" s="9" t="inlineStr">
        <is>
          <t>가글샴푸</t>
        </is>
      </c>
      <c r="F3658" s="9" t="inlineStr">
        <is>
          <t>카페24</t>
        </is>
      </c>
      <c r="G3658" s="9" t="inlineStr">
        <is>
          <t>[오픈한정] 라베나 딥 클렌징 헤어 가글 샴푸제품선택=헤어가글 샴푸 3개 세트 20% 추가 할인</t>
        </is>
      </c>
      <c r="H3658" s="9" t="n">
        <v>1</v>
      </c>
      <c r="I3658" s="9">
        <f>VLOOKUP(G3658,매칭테이블!D:E,2,0)</f>
        <v/>
      </c>
      <c r="J3658" s="9" t="inlineStr">
        <is>
          <t>210525</t>
        </is>
      </c>
      <c r="L3658" s="9">
        <f>VLOOKUP($O3658,매칭테이블!$G:$J,2,0)*H3658</f>
        <v/>
      </c>
      <c r="M3658" s="9">
        <f>L3658-L3658*VLOOKUP($O3658,매칭테이블!$G:$J,3,0)</f>
        <v/>
      </c>
      <c r="N3658" s="9">
        <f>VLOOKUP($O3658,매칭테이블!$G:$J,4,0)*H3658</f>
        <v/>
      </c>
      <c r="O3658" s="9">
        <f>F3658&amp;E3658&amp;G3658&amp;J3658</f>
        <v/>
      </c>
    </row>
    <row r="3659">
      <c r="B3659" s="10" t="n">
        <v>44348</v>
      </c>
      <c r="C3659" s="9" t="inlineStr">
        <is>
          <t>화</t>
        </is>
      </c>
      <c r="E3659" s="9" t="inlineStr">
        <is>
          <t>가글샴푸</t>
        </is>
      </c>
      <c r="F3659" s="9" t="inlineStr">
        <is>
          <t>카페24</t>
        </is>
      </c>
      <c r="G3659" s="9" t="inlineStr">
        <is>
          <t>[오픈한정] 라베나 딥클렌징 헤어가글라인 SET</t>
        </is>
      </c>
      <c r="H3659" s="9" t="n">
        <v>6</v>
      </c>
      <c r="I3659" s="9">
        <f>VLOOKUP(G3659,매칭테이블!D:E,2,0)</f>
        <v/>
      </c>
      <c r="J3659" s="9" t="inlineStr">
        <is>
          <t>210525</t>
        </is>
      </c>
      <c r="L3659" s="9">
        <f>VLOOKUP($O3659,매칭테이블!$G:$J,2,0)*H3659</f>
        <v/>
      </c>
      <c r="M3659" s="9">
        <f>L3659-L3659*VLOOKUP($O3659,매칭테이블!$G:$J,3,0)</f>
        <v/>
      </c>
      <c r="N3659" s="9">
        <f>VLOOKUP($O3659,매칭테이블!$G:$J,4,0)*H3659</f>
        <v/>
      </c>
      <c r="O3659" s="9">
        <f>F3659&amp;E3659&amp;G3659&amp;J3659</f>
        <v/>
      </c>
    </row>
    <row r="3660">
      <c r="B3660" s="10" t="n">
        <v>44348</v>
      </c>
      <c r="C3660" s="9" t="inlineStr">
        <is>
          <t>화</t>
        </is>
      </c>
      <c r="E3660" s="9" t="inlineStr">
        <is>
          <t>샴푸</t>
        </is>
      </c>
      <c r="F3660" s="9" t="inlineStr">
        <is>
          <t>카페24</t>
        </is>
      </c>
      <c r="G3660" s="9" t="inlineStr">
        <is>
          <t>[타임특가] 라베나 리:커버리 3개월 패키지 (샴푸 2+ 트리트먼트 택 1)샴푸2 + 트리트먼트 택 1=샴푸2 + 뉴트리셔스 밤1</t>
        </is>
      </c>
      <c r="H3660" s="9" t="n">
        <v>2</v>
      </c>
      <c r="I3660" s="9" t="inlineStr">
        <is>
          <t>리바이탈 샴푸2+뉴트리셔스밤1</t>
        </is>
      </c>
      <c r="J3660" s="9" t="inlineStr">
        <is>
          <t>210525</t>
        </is>
      </c>
      <c r="L3660" s="9">
        <f>VLOOKUP($O3660,매칭테이블!$G:$J,2,0)*H3660</f>
        <v/>
      </c>
      <c r="M3660" s="9">
        <f>L3660-L3660*VLOOKUP($O3660,매칭테이블!$G:$J,3,0)</f>
        <v/>
      </c>
      <c r="N3660" s="9">
        <f>VLOOKUP($O3660,매칭테이블!$G:$J,4,0)*H3660</f>
        <v/>
      </c>
      <c r="O3660" s="9">
        <f>F3660&amp;E3660&amp;G3660&amp;J3660</f>
        <v/>
      </c>
    </row>
    <row r="3661">
      <c r="B3661" s="10" t="n">
        <v>44348</v>
      </c>
      <c r="C3661" s="9" t="inlineStr">
        <is>
          <t>화</t>
        </is>
      </c>
      <c r="E3661" s="9" t="inlineStr">
        <is>
          <t>샴푸</t>
        </is>
      </c>
      <c r="F3661" s="9" t="inlineStr">
        <is>
          <t>카페24</t>
        </is>
      </c>
      <c r="G3661" s="9" t="inlineStr">
        <is>
          <t>[타임특가] 라베나 리:커버리 3개월 패키지 (샴푸 2+ 트리트먼트 택 1)샴푸2 + 트리트먼트 택 1=샴푸2 + 헤어팩 트리트먼트1</t>
        </is>
      </c>
      <c r="H3661" s="9" t="n">
        <v>6</v>
      </c>
      <c r="I3661" s="9" t="inlineStr">
        <is>
          <t>리바이탈 샴푸2+트리트먼트1</t>
        </is>
      </c>
      <c r="J3661" s="9" t="inlineStr">
        <is>
          <t>210525</t>
        </is>
      </c>
      <c r="L3661" s="9">
        <f>VLOOKUP($O3661,매칭테이블!$G:$J,2,0)*H3661</f>
        <v/>
      </c>
      <c r="M3661" s="9">
        <f>L3661-L3661*VLOOKUP($O3661,매칭테이블!$G:$J,3,0)</f>
        <v/>
      </c>
      <c r="N3661" s="9">
        <f>VLOOKUP($O3661,매칭테이블!$G:$J,4,0)*H3661</f>
        <v/>
      </c>
      <c r="O3661" s="9">
        <f>F3661&amp;E3661&amp;G3661&amp;J3661</f>
        <v/>
      </c>
    </row>
    <row r="3662">
      <c r="B3662" s="10" t="n">
        <v>44348</v>
      </c>
      <c r="C3662" s="9" t="inlineStr">
        <is>
          <t>화</t>
        </is>
      </c>
      <c r="E3662" s="9" t="inlineStr">
        <is>
          <t>샴푸</t>
        </is>
      </c>
      <c r="F3662" s="9" t="inlineStr">
        <is>
          <t>카페24</t>
        </is>
      </c>
      <c r="G3662" s="9" t="inlineStr">
        <is>
          <t>[타임특가] 라베나 리:커버리 6개월 패키지 (샴푸 5+ 트리트먼트 택 1)샴푸 5 + 트리트먼트 택 1=샴푸 5 + 뉴트리셔스 밤 1</t>
        </is>
      </c>
      <c r="H3662" s="9" t="n">
        <v>2</v>
      </c>
      <c r="I3662" s="9" t="inlineStr">
        <is>
          <t>리바이탈 샴푸5+뉴트리셔스밤1</t>
        </is>
      </c>
      <c r="J3662" s="9" t="inlineStr">
        <is>
          <t>210525</t>
        </is>
      </c>
      <c r="L3662" s="9">
        <f>VLOOKUP($O3662,매칭테이블!$G:$J,2,0)*H3662</f>
        <v/>
      </c>
      <c r="M3662" s="9">
        <f>L3662-L3662*VLOOKUP($O3662,매칭테이블!$G:$J,3,0)</f>
        <v/>
      </c>
      <c r="N3662" s="9">
        <f>VLOOKUP($O3662,매칭테이블!$G:$J,4,0)*H3662</f>
        <v/>
      </c>
      <c r="O3662" s="9">
        <f>F3662&amp;E3662&amp;G3662&amp;J3662</f>
        <v/>
      </c>
    </row>
    <row r="3663">
      <c r="B3663" s="10" t="n">
        <v>44348</v>
      </c>
      <c r="C3663" s="9" t="inlineStr">
        <is>
          <t>화</t>
        </is>
      </c>
      <c r="E3663" s="9" t="inlineStr">
        <is>
          <t>샴푸</t>
        </is>
      </c>
      <c r="F3663" s="9" t="inlineStr">
        <is>
          <t>카페24</t>
        </is>
      </c>
      <c r="G3663" s="9" t="inlineStr">
        <is>
          <t>[타임특가] 라베나 리:커버리 6개월 패키지 (샴푸 5+ 트리트먼트 택 1)샴푸 5 + 트리트먼트 택 1=샴푸 5 + 헤어팩 트리트먼트 1</t>
        </is>
      </c>
      <c r="H3663" s="9" t="n">
        <v>1</v>
      </c>
      <c r="I3663" s="9" t="inlineStr">
        <is>
          <t>리바이탈 샴푸5+트리트먼트1</t>
        </is>
      </c>
      <c r="J3663" s="9" t="inlineStr">
        <is>
          <t>210525</t>
        </is>
      </c>
      <c r="L3663" s="9">
        <f>VLOOKUP($O3663,매칭테이블!$G:$J,2,0)*H3663</f>
        <v/>
      </c>
      <c r="M3663" s="9">
        <f>L3663-L3663*VLOOKUP($O3663,매칭테이블!$G:$J,3,0)</f>
        <v/>
      </c>
      <c r="N3663" s="9">
        <f>VLOOKUP($O3663,매칭테이블!$G:$J,4,0)*H3663</f>
        <v/>
      </c>
      <c r="O3663" s="9">
        <f>F3663&amp;E3663&amp;G3663&amp;J3663</f>
        <v/>
      </c>
    </row>
    <row r="3664">
      <c r="B3664" s="10" t="n">
        <v>44348</v>
      </c>
      <c r="C3664" s="9" t="inlineStr">
        <is>
          <t>화</t>
        </is>
      </c>
      <c r="E3664" s="9" t="inlineStr">
        <is>
          <t>샴푸</t>
        </is>
      </c>
      <c r="F3664" s="9" t="inlineStr">
        <is>
          <t>카페24</t>
        </is>
      </c>
      <c r="G3664" s="9" t="inlineStr">
        <is>
          <t>[타임특가] 라베나 리:커버리 온가족 패키지 (샴푸 3+ 헤어팩 트리트먼트 1+뉴트리셔스 밤 1)</t>
        </is>
      </c>
      <c r="H3664" s="9" t="n">
        <v>4</v>
      </c>
      <c r="I3664" s="9" t="inlineStr">
        <is>
          <t>리바이탈 샴푸3+트리트먼트1+뉴트리셔스밤1</t>
        </is>
      </c>
      <c r="J3664" s="9" t="inlineStr">
        <is>
          <t>210525</t>
        </is>
      </c>
      <c r="L3664" s="9">
        <f>VLOOKUP($O3664,매칭테이블!$G:$J,2,0)*H3664</f>
        <v/>
      </c>
      <c r="M3664" s="9">
        <f>L3664-L3664*VLOOKUP($O3664,매칭테이블!$G:$J,3,0)</f>
        <v/>
      </c>
      <c r="N3664" s="9">
        <f>VLOOKUP($O3664,매칭테이블!$G:$J,4,0)*H3664</f>
        <v/>
      </c>
      <c r="O3664" s="9">
        <f>F3664&amp;E3664&amp;G3664&amp;J3664</f>
        <v/>
      </c>
    </row>
    <row r="3665">
      <c r="B3665" s="10" t="n">
        <v>44348</v>
      </c>
      <c r="C3665" s="9" t="inlineStr">
        <is>
          <t>화</t>
        </is>
      </c>
      <c r="E3665" s="9" t="inlineStr">
        <is>
          <t>뉴트리셔스밤</t>
        </is>
      </c>
      <c r="F3665" s="9" t="inlineStr">
        <is>
          <t>카페24</t>
        </is>
      </c>
      <c r="G3665" s="9" t="inlineStr">
        <is>
          <t>라베나 리커버리 15 뉴트리셔스 밤제품선택=뉴트리셔스 밤 3개 세트 10% 추가할인</t>
        </is>
      </c>
      <c r="H3665" s="9" t="n">
        <v>1</v>
      </c>
      <c r="I3665" s="9" t="inlineStr">
        <is>
          <t>뉴트리셔스밤 3set</t>
        </is>
      </c>
      <c r="J3665" s="9" t="inlineStr">
        <is>
          <t>210525</t>
        </is>
      </c>
      <c r="L3665" s="9" t="n">
        <v>67230</v>
      </c>
      <c r="M3665" s="9" t="n">
        <v>63297.045</v>
      </c>
      <c r="N3665" s="9" t="n">
        <v>4740</v>
      </c>
      <c r="O3665" s="9" t="inlineStr">
        <is>
          <t>카페24뉴트리셔스밤라베나 리커버리 15 뉴트리셔스 밤제품선택=뉴트리셔스 밤 3개 세트 10% 추가할인210525</t>
        </is>
      </c>
    </row>
    <row r="3666">
      <c r="B3666" s="10" t="n">
        <v>44348</v>
      </c>
      <c r="C3666" s="9" t="inlineStr">
        <is>
          <t>화</t>
        </is>
      </c>
      <c r="E3666" s="9" t="inlineStr">
        <is>
          <t>샴푸</t>
        </is>
      </c>
      <c r="F3666" s="9" t="inlineStr">
        <is>
          <t>카페24</t>
        </is>
      </c>
      <c r="G3666" s="9" t="inlineStr">
        <is>
          <t>라베나 리커버리 15 리바이탈 바이오플라보노이드샴푸제품선택=헤어 리커버리 15 리바이탈 샴푸 - 500ml</t>
        </is>
      </c>
      <c r="H3666" s="9" t="n">
        <v>160</v>
      </c>
      <c r="I3666" s="9" t="inlineStr">
        <is>
          <t>리바이탈 샴푸</t>
        </is>
      </c>
      <c r="J3666" s="9" t="inlineStr">
        <is>
          <t>210525</t>
        </is>
      </c>
      <c r="L3666" s="9" t="n">
        <v>4304000</v>
      </c>
      <c r="M3666" s="9" t="n">
        <v>4052216</v>
      </c>
      <c r="N3666" s="9" t="n">
        <v>458400</v>
      </c>
      <c r="O3666" s="9" t="inlineStr">
        <is>
          <t>카페24샴푸라베나 리커버리 15 리바이탈 바이오플라보노이드샴푸제품선택=헤어 리커버리 15 리바이탈 샴푸 - 500ml210525</t>
        </is>
      </c>
    </row>
    <row r="3667">
      <c r="B3667" s="10" t="n">
        <v>44348</v>
      </c>
      <c r="C3667" s="9" t="inlineStr">
        <is>
          <t>화</t>
        </is>
      </c>
      <c r="E3667" s="9" t="inlineStr">
        <is>
          <t>샴푸</t>
        </is>
      </c>
      <c r="F3667" s="9" t="inlineStr">
        <is>
          <t>카페24</t>
        </is>
      </c>
      <c r="G3667" s="9" t="inlineStr">
        <is>
          <t>라베나 리커버리 15 리바이탈 바이오플라보노이드샴푸제품선택=리바이탈 샴푸 2개 세트 5%추가할인</t>
        </is>
      </c>
      <c r="H3667" s="9" t="n">
        <v>43</v>
      </c>
      <c r="I3667" s="9" t="inlineStr">
        <is>
          <t>리바이탈 샴푸 2set</t>
        </is>
      </c>
      <c r="J3667" s="9" t="inlineStr">
        <is>
          <t>210525</t>
        </is>
      </c>
      <c r="L3667" s="9" t="n">
        <v>2197730</v>
      </c>
      <c r="M3667" s="9" t="n">
        <v>2069162.795</v>
      </c>
      <c r="N3667" s="9" t="n">
        <v>246390</v>
      </c>
      <c r="O3667" s="9" t="inlineStr">
        <is>
          <t>카페24샴푸라베나 리커버리 15 리바이탈 바이오플라보노이드샴푸제품선택=리바이탈 샴푸 2개 세트 5%추가할인210525</t>
        </is>
      </c>
    </row>
    <row r="3668">
      <c r="B3668" s="10" t="n">
        <v>44348</v>
      </c>
      <c r="C3668" s="9" t="inlineStr">
        <is>
          <t>화</t>
        </is>
      </c>
      <c r="E3668" s="9" t="inlineStr">
        <is>
          <t>샴푸</t>
        </is>
      </c>
      <c r="F3668" s="9" t="inlineStr">
        <is>
          <t>카페24</t>
        </is>
      </c>
      <c r="G3668" s="9" t="inlineStr">
        <is>
          <t>라베나 리커버리 15 리바이탈 바이오플라보노이드샴푸제품선택=리바이탈 샴푸 3개 세트 10% 추가할인</t>
        </is>
      </c>
      <c r="H3668" s="9" t="n">
        <v>13</v>
      </c>
      <c r="I3668" s="9" t="inlineStr">
        <is>
          <t>리바이탈 샴푸 3set</t>
        </is>
      </c>
      <c r="J3668" s="9" t="inlineStr">
        <is>
          <t>210525</t>
        </is>
      </c>
      <c r="L3668" s="9" t="n">
        <v>944190</v>
      </c>
      <c r="M3668" s="9" t="n">
        <v>888954.885</v>
      </c>
      <c r="N3668" s="9" t="n">
        <v>111735</v>
      </c>
      <c r="O3668" s="9" t="inlineStr">
        <is>
          <t>카페24샴푸라베나 리커버리 15 리바이탈 바이오플라보노이드샴푸제품선택=리바이탈 샴푸 3개 세트 10% 추가할인210525</t>
        </is>
      </c>
    </row>
    <row r="3669">
      <c r="B3669" s="10" t="n">
        <v>44348</v>
      </c>
      <c r="C3669" s="9" t="inlineStr">
        <is>
          <t>화</t>
        </is>
      </c>
      <c r="E3669" s="9" t="inlineStr">
        <is>
          <t>트리트먼트</t>
        </is>
      </c>
      <c r="F3669" s="9" t="inlineStr">
        <is>
          <t>카페24</t>
        </is>
      </c>
      <c r="G3669" s="9" t="inlineStr">
        <is>
          <t>라베나 리커버리 15 헤어팩 트리트먼트제품선택=헤어 리커버리 15 헤어팩 트리트먼트</t>
        </is>
      </c>
      <c r="H3669" s="9" t="n">
        <v>2</v>
      </c>
      <c r="I3669" s="9" t="inlineStr">
        <is>
          <t>트리트먼트</t>
        </is>
      </c>
      <c r="J3669" s="9" t="inlineStr">
        <is>
          <t>210525</t>
        </is>
      </c>
      <c r="L3669" s="9" t="n">
        <v>52000</v>
      </c>
      <c r="M3669" s="9" t="n">
        <v>48958</v>
      </c>
      <c r="N3669" s="9" t="n">
        <v>3194</v>
      </c>
      <c r="O3669" s="9" t="inlineStr">
        <is>
          <t>카페24트리트먼트라베나 리커버리 15 헤어팩 트리트먼트제품선택=헤어 리커버리 15 헤어팩 트리트먼트210525</t>
        </is>
      </c>
    </row>
    <row r="3670">
      <c r="B3670" s="10" t="n">
        <v>44348</v>
      </c>
      <c r="C3670" s="9" t="inlineStr">
        <is>
          <t>화</t>
        </is>
      </c>
      <c r="E3670" s="9" t="inlineStr">
        <is>
          <t>트리트먼트</t>
        </is>
      </c>
      <c r="F3670" s="9" t="inlineStr">
        <is>
          <t>카페24</t>
        </is>
      </c>
      <c r="G3670" s="9" t="inlineStr">
        <is>
          <t>라베나 리커버리 15 헤어팩 트리트먼트제품선택=헤어팩 트리트먼트 3개 세트 10% 추가할인</t>
        </is>
      </c>
      <c r="H3670" s="9" t="n">
        <v>2</v>
      </c>
      <c r="I3670" s="9" t="inlineStr">
        <is>
          <t>트리트먼트 3set</t>
        </is>
      </c>
      <c r="J3670" s="9" t="inlineStr">
        <is>
          <t>210525</t>
        </is>
      </c>
      <c r="L3670" s="9" t="n">
        <v>140400</v>
      </c>
      <c r="M3670" s="9" t="n">
        <v>132186.6</v>
      </c>
      <c r="N3670" s="9" t="n">
        <v>9582</v>
      </c>
      <c r="O3670" s="9" t="inlineStr">
        <is>
          <t>카페24트리트먼트라베나 리커버리 15 헤어팩 트리트먼트제품선택=헤어팩 트리트먼트 3개 세트 10% 추가할인210525</t>
        </is>
      </c>
    </row>
    <row r="3671">
      <c r="A3671" s="9" t="inlineStr">
        <is>
          <t>0601_에스더_가글샴푸_실험</t>
        </is>
      </c>
      <c r="B3671" s="10" t="n">
        <v>44349</v>
      </c>
      <c r="C3671" s="9" t="inlineStr">
        <is>
          <t>수</t>
        </is>
      </c>
      <c r="D3671" s="9" t="inlineStr">
        <is>
          <t>페이스북</t>
        </is>
      </c>
      <c r="E3671" s="9" t="inlineStr">
        <is>
          <t>샴푸</t>
        </is>
      </c>
      <c r="K3671" s="9" t="n">
        <v>396833</v>
      </c>
    </row>
    <row r="3672">
      <c r="A3672" s="9" t="inlineStr">
        <is>
          <t>0531_현빈_샴푸_피지결석_카드뉴스_인스타</t>
        </is>
      </c>
      <c r="B3672" s="10" t="n">
        <v>44349</v>
      </c>
      <c r="C3672" s="9" t="inlineStr">
        <is>
          <t>수</t>
        </is>
      </c>
      <c r="D3672" s="9" t="inlineStr">
        <is>
          <t>페이스북</t>
        </is>
      </c>
      <c r="E3672" s="9" t="inlineStr">
        <is>
          <t>샴푸</t>
        </is>
      </c>
      <c r="K3672" s="9" t="n">
        <v>67326</v>
      </c>
    </row>
    <row r="3673">
      <c r="A3673" s="9" t="inlineStr">
        <is>
          <t>0531_현빈_샴푸_피지결석_카드뉴스_페북</t>
        </is>
      </c>
      <c r="B3673" s="10" t="n">
        <v>44349</v>
      </c>
      <c r="C3673" s="9" t="inlineStr">
        <is>
          <t>수</t>
        </is>
      </c>
      <c r="D3673" s="9" t="inlineStr">
        <is>
          <t>페이스북</t>
        </is>
      </c>
      <c r="E3673" s="9" t="inlineStr">
        <is>
          <t>샴푸</t>
        </is>
      </c>
      <c r="K3673" s="9" t="n">
        <v>297702</v>
      </c>
    </row>
    <row r="3674">
      <c r="A3674" s="9" t="inlineStr">
        <is>
          <t>0316~영상베리</t>
        </is>
      </c>
      <c r="B3674" s="10" t="n">
        <v>44349</v>
      </c>
      <c r="C3674" s="9" t="inlineStr">
        <is>
          <t>수</t>
        </is>
      </c>
      <c r="D3674" s="9" t="inlineStr">
        <is>
          <t>페이스북</t>
        </is>
      </c>
      <c r="E3674" s="9" t="inlineStr">
        <is>
          <t>샴푸</t>
        </is>
      </c>
      <c r="K3674" s="9" t="n">
        <v>99028</v>
      </c>
    </row>
    <row r="3675">
      <c r="A3675" s="9" t="inlineStr">
        <is>
          <t>0518_샴푸_VAC_피지결석2</t>
        </is>
      </c>
      <c r="B3675" s="10" t="n">
        <v>44349</v>
      </c>
      <c r="C3675" s="9" t="inlineStr">
        <is>
          <t>수</t>
        </is>
      </c>
      <c r="D3675" s="9" t="inlineStr">
        <is>
          <t>유튜브</t>
        </is>
      </c>
      <c r="E3675" s="9" t="inlineStr">
        <is>
          <t>샴푸</t>
        </is>
      </c>
      <c r="K3675" s="9" t="n">
        <v>1019176</v>
      </c>
    </row>
    <row r="3676">
      <c r="A3676" s="9" t="inlineStr">
        <is>
          <t>0520_샴푸_CPV_피지결석_4차</t>
        </is>
      </c>
      <c r="B3676" s="10" t="n">
        <v>44349</v>
      </c>
      <c r="C3676" s="9" t="inlineStr">
        <is>
          <t>수</t>
        </is>
      </c>
      <c r="D3676" s="9" t="inlineStr">
        <is>
          <t>유튜브</t>
        </is>
      </c>
      <c r="E3676" s="9" t="inlineStr">
        <is>
          <t>샴푸</t>
        </is>
      </c>
      <c r="K3676" s="9" t="n">
        <v>2048216</v>
      </c>
    </row>
    <row r="3677">
      <c r="A3677" s="9" t="inlineStr">
        <is>
          <t>0528_샴푸_GDN</t>
        </is>
      </c>
      <c r="B3677" s="10" t="n">
        <v>44349</v>
      </c>
      <c r="C3677" s="9" t="inlineStr">
        <is>
          <t>수</t>
        </is>
      </c>
      <c r="D3677" s="9" t="inlineStr">
        <is>
          <t>GDN</t>
        </is>
      </c>
      <c r="E3677" s="9" t="inlineStr">
        <is>
          <t>샴푸</t>
        </is>
      </c>
      <c r="K3677" s="9" t="n">
        <v>103689</v>
      </c>
    </row>
    <row r="3678">
      <c r="A3678" s="9" t="inlineStr">
        <is>
          <t>0601_샴푸_인스트림_피지결석re</t>
        </is>
      </c>
      <c r="B3678" s="10" t="n">
        <v>44349</v>
      </c>
      <c r="C3678" s="9" t="inlineStr">
        <is>
          <t>수</t>
        </is>
      </c>
      <c r="D3678" s="9" t="inlineStr">
        <is>
          <t>유튜브</t>
        </is>
      </c>
      <c r="E3678" s="9" t="inlineStr">
        <is>
          <t>샴푸</t>
        </is>
      </c>
      <c r="K3678" s="9" t="n">
        <v>1017764</v>
      </c>
    </row>
    <row r="3679">
      <c r="A3679" s="9" t="inlineStr">
        <is>
          <t>0602_샴푸_VAC_리타겟팅</t>
        </is>
      </c>
      <c r="B3679" s="10" t="n">
        <v>44349</v>
      </c>
      <c r="C3679" s="9" t="inlineStr">
        <is>
          <t>수</t>
        </is>
      </c>
      <c r="D3679" s="9" t="inlineStr">
        <is>
          <t>유튜브</t>
        </is>
      </c>
      <c r="E3679" s="9" t="inlineStr">
        <is>
          <t>샴푸</t>
        </is>
      </c>
      <c r="K3679" s="9" t="n">
        <v>540870</v>
      </c>
    </row>
    <row r="3680">
      <c r="A3680" s="9" t="inlineStr">
        <is>
          <t>라베나 파워링크_샴푸_광고그룹#1</t>
        </is>
      </c>
      <c r="B3680" s="10" t="n">
        <v>44349</v>
      </c>
      <c r="C3680" s="9" t="inlineStr">
        <is>
          <t>수</t>
        </is>
      </c>
      <c r="D3680" s="9" t="inlineStr">
        <is>
          <t>네이버 검색</t>
        </is>
      </c>
      <c r="E3680" s="9" t="inlineStr">
        <is>
          <t>샴푸</t>
        </is>
      </c>
      <c r="K3680" s="9" t="n">
        <v>2150</v>
      </c>
    </row>
    <row r="3681">
      <c r="A3681" s="9" t="inlineStr">
        <is>
          <t>라베나 파워링크_샴푸#1_유튜브키워드기반</t>
        </is>
      </c>
      <c r="B3681" s="10" t="n">
        <v>44349</v>
      </c>
      <c r="C3681" s="9" t="inlineStr">
        <is>
          <t>수</t>
        </is>
      </c>
      <c r="D3681" s="9" t="inlineStr">
        <is>
          <t>네이버 검색</t>
        </is>
      </c>
      <c r="E3681" s="9" t="inlineStr">
        <is>
          <t>샴푸</t>
        </is>
      </c>
      <c r="K3681" s="9" t="n">
        <v>4230</v>
      </c>
    </row>
    <row r="3682">
      <c r="A3682" s="9" t="inlineStr">
        <is>
          <t>샴푸_쇼핑검색#1_광고그룹#1</t>
        </is>
      </c>
      <c r="B3682" s="10" t="n">
        <v>44349</v>
      </c>
      <c r="C3682" s="9" t="inlineStr">
        <is>
          <t>수</t>
        </is>
      </c>
      <c r="D3682" s="9" t="inlineStr">
        <is>
          <t>네이버 검색</t>
        </is>
      </c>
      <c r="E3682" s="9" t="inlineStr">
        <is>
          <t>샴푸</t>
        </is>
      </c>
      <c r="K3682" s="9" t="n">
        <v>3140</v>
      </c>
    </row>
    <row r="3683">
      <c r="A3683" s="9" t="inlineStr">
        <is>
          <t>파워컨텐츠#1_비듬샴푸</t>
        </is>
      </c>
      <c r="B3683" s="10" t="n">
        <v>44349</v>
      </c>
      <c r="C3683" s="9" t="inlineStr">
        <is>
          <t>수</t>
        </is>
      </c>
      <c r="D3683" s="9" t="inlineStr">
        <is>
          <t>네이버 검색</t>
        </is>
      </c>
      <c r="E3683" s="9" t="inlineStr">
        <is>
          <t>샴푸</t>
        </is>
      </c>
      <c r="K3683" s="9" t="n">
        <v>210</v>
      </c>
    </row>
    <row r="3684">
      <c r="B3684" s="10" t="n">
        <v>44349</v>
      </c>
      <c r="C3684" s="9" t="inlineStr">
        <is>
          <t>수</t>
        </is>
      </c>
      <c r="E3684" s="9" t="inlineStr">
        <is>
          <t>가글샴푸</t>
        </is>
      </c>
      <c r="F3684" s="9" t="inlineStr">
        <is>
          <t>라베나 CS</t>
        </is>
      </c>
      <c r="G3684" s="9" t="inlineStr">
        <is>
          <t>딥클렌징 헤어가글 샴푸 490ml</t>
        </is>
      </c>
      <c r="H3684" s="9" t="n">
        <v>4</v>
      </c>
      <c r="I3684" s="9" t="inlineStr">
        <is>
          <t>0</t>
        </is>
      </c>
      <c r="J3684" s="9" t="inlineStr">
        <is>
          <t>210525</t>
        </is>
      </c>
      <c r="L3684" s="9" t="n">
        <v>0</v>
      </c>
      <c r="M3684" s="9" t="n">
        <v>0</v>
      </c>
      <c r="N3684" s="9" t="n">
        <v>3355</v>
      </c>
      <c r="O3684" s="9" t="inlineStr">
        <is>
          <t>라베나 CS0딥클렌징 헤어가글 샴푸 490ml210525</t>
        </is>
      </c>
    </row>
    <row r="3685">
      <c r="B3685" s="10" t="n">
        <v>44349</v>
      </c>
      <c r="C3685" s="9" t="inlineStr">
        <is>
          <t>수</t>
        </is>
      </c>
      <c r="E3685" s="9" t="inlineStr">
        <is>
          <t>가글샴푸</t>
        </is>
      </c>
      <c r="F3685" s="9" t="inlineStr">
        <is>
          <t>카페24</t>
        </is>
      </c>
      <c r="G3685" s="9" t="inlineStr">
        <is>
          <t>[오픈한정] 라베나 딥 클렌징 헤어 가글 샴푸제품선택=딥클렌징 헤어가글 샴푸- 490ml</t>
        </is>
      </c>
      <c r="H3685" s="9" t="n">
        <v>16</v>
      </c>
      <c r="I3685" s="9" t="inlineStr">
        <is>
          <t>헤어가글 샴푸</t>
        </is>
      </c>
      <c r="J3685" s="9" t="inlineStr">
        <is>
          <t>210525</t>
        </is>
      </c>
      <c r="L3685" s="9" t="n">
        <v>430400</v>
      </c>
      <c r="M3685" s="9" t="n">
        <v>405221.6</v>
      </c>
      <c r="N3685" s="9" t="n">
        <v>53680</v>
      </c>
      <c r="O3685" s="9" t="inlineStr">
        <is>
          <t>카페24가글샴푸[오픈한정] 라베나 딥 클렌징 헤어 가글 샴푸제품선택=딥클렌징 헤어가글 샴푸- 490ml210525</t>
        </is>
      </c>
    </row>
    <row r="3686">
      <c r="B3686" s="10" t="n">
        <v>44349</v>
      </c>
      <c r="C3686" s="9" t="inlineStr">
        <is>
          <t>수</t>
        </is>
      </c>
      <c r="E3686" s="9" t="inlineStr">
        <is>
          <t>가글샴푸</t>
        </is>
      </c>
      <c r="F3686" s="9" t="inlineStr">
        <is>
          <t>카페24</t>
        </is>
      </c>
      <c r="G3686" s="9" t="inlineStr">
        <is>
          <t>[오픈한정] 라베나 딥 클렌징 헤어 가글 샴푸제품선택=헤어가글 샴푸 2개 세트 10%추가 할인</t>
        </is>
      </c>
      <c r="H3686" s="9" t="n">
        <v>5</v>
      </c>
      <c r="I3686" s="9" t="inlineStr">
        <is>
          <t>헤어가글 샴푸 2set</t>
        </is>
      </c>
      <c r="J3686" s="9" t="inlineStr">
        <is>
          <t>210525</t>
        </is>
      </c>
      <c r="L3686" s="9" t="n">
        <v>242100</v>
      </c>
      <c r="M3686" s="9" t="n">
        <v>227937.15</v>
      </c>
      <c r="N3686" s="9">
        <f>VLOOKUP($O3686,매칭테이블!$G:$J,4,0)*H3686</f>
        <v/>
      </c>
      <c r="O3686" s="9">
        <f>F3686&amp;E3686&amp;G3686&amp;J3686</f>
        <v/>
      </c>
    </row>
    <row r="3687">
      <c r="B3687" s="10" t="n">
        <v>44349</v>
      </c>
      <c r="C3687" s="9" t="inlineStr">
        <is>
          <t>수</t>
        </is>
      </c>
      <c r="E3687" s="9" t="inlineStr">
        <is>
          <t>가글샴푸</t>
        </is>
      </c>
      <c r="F3687" s="9" t="inlineStr">
        <is>
          <t>카페24</t>
        </is>
      </c>
      <c r="G3687" s="9" t="inlineStr">
        <is>
          <t>[오픈한정] 라베나 딥 클렌징 헤어 가글 샴푸제품선택=헤어가글 샴푸 3개 세트 20% 추가 할인</t>
        </is>
      </c>
      <c r="H3687" s="9" t="n">
        <v>1</v>
      </c>
      <c r="I3687" s="9" t="inlineStr">
        <is>
          <t>헤어가글 샴푸 3set</t>
        </is>
      </c>
      <c r="J3687" s="9" t="inlineStr">
        <is>
          <t>210525</t>
        </is>
      </c>
      <c r="L3687" s="9" t="n">
        <v>64560</v>
      </c>
      <c r="M3687" s="9" t="n">
        <v>60783.24</v>
      </c>
      <c r="N3687" s="9">
        <f>VLOOKUP($O3687,매칭테이블!$G:$J,4,0)*H3687</f>
        <v/>
      </c>
      <c r="O3687" s="9">
        <f>F3687&amp;E3687&amp;G3687&amp;J3687</f>
        <v/>
      </c>
    </row>
    <row r="3688">
      <c r="B3688" s="10" t="n">
        <v>44349</v>
      </c>
      <c r="C3688" s="9" t="inlineStr">
        <is>
          <t>수</t>
        </is>
      </c>
      <c r="E3688" s="9">
        <f>INDEX(매칭테이블!C:C,MATCH(RD!G3688,매칭테이블!D:D,0))</f>
        <v/>
      </c>
      <c r="F3688" s="9" t="inlineStr">
        <is>
          <t>카페24</t>
        </is>
      </c>
      <c r="G3688" s="9" t="inlineStr">
        <is>
          <t>[오픈한정] 라베나 딥 클렌징 헤어 가글 워터제품선택=딥클렌징 헤어가글 워터- 300ml</t>
        </is>
      </c>
      <c r="H3688" s="9" t="n">
        <v>2</v>
      </c>
      <c r="I3688" s="9" t="inlineStr">
        <is>
          <t>헤어가글 워터</t>
        </is>
      </c>
      <c r="J3688" s="9" t="inlineStr">
        <is>
          <t>210525</t>
        </is>
      </c>
      <c r="L3688" s="9">
        <f>VLOOKUP($O3688,매칭테이블!$G:$J,2,0)*H3688</f>
        <v/>
      </c>
      <c r="M3688" s="9">
        <f>L3688-L3688*VLOOKUP($O3688,매칭테이블!$G:$J,3,0)</f>
        <v/>
      </c>
      <c r="N3688" s="9">
        <f>VLOOKUP($O3688,매칭테이블!$G:$J,4,0)*H3688</f>
        <v/>
      </c>
      <c r="O3688" s="9">
        <f>F3688&amp;E3688&amp;G3688&amp;J3688</f>
        <v/>
      </c>
    </row>
    <row r="3689">
      <c r="B3689" s="10" t="n">
        <v>44349</v>
      </c>
      <c r="C3689" s="9" t="inlineStr">
        <is>
          <t>수</t>
        </is>
      </c>
      <c r="E3689" s="9">
        <f>INDEX(매칭테이블!C:C,MATCH(RD!G3689,매칭테이블!D:D,0))</f>
        <v/>
      </c>
      <c r="F3689" s="9" t="inlineStr">
        <is>
          <t>카페24</t>
        </is>
      </c>
      <c r="G3689" s="9" t="inlineStr">
        <is>
          <t>[오픈한정] 라베나 딥 클렌징 헤어 가글 워터제품선택=헤어가글 워터 3개 세트 20% 추가 할인</t>
        </is>
      </c>
      <c r="H3689" s="9" t="n">
        <v>2</v>
      </c>
      <c r="I3689" s="9" t="inlineStr">
        <is>
          <t>헤어가글 워터 3set</t>
        </is>
      </c>
      <c r="J3689" s="9" t="inlineStr">
        <is>
          <t>210525</t>
        </is>
      </c>
      <c r="L3689" s="9">
        <f>VLOOKUP($O3689,매칭테이블!$G:$J,2,0)*H3689</f>
        <v/>
      </c>
      <c r="M3689" s="9">
        <f>L3689-L3689*VLOOKUP($O3689,매칭테이블!$G:$J,3,0)</f>
        <v/>
      </c>
      <c r="N3689" s="9">
        <f>VLOOKUP($O3689,매칭테이블!$G:$J,4,0)*H3689</f>
        <v/>
      </c>
      <c r="O3689" s="9">
        <f>F3689&amp;E3689&amp;G3689&amp;J3689</f>
        <v/>
      </c>
    </row>
    <row r="3690">
      <c r="B3690" s="10" t="n">
        <v>44349</v>
      </c>
      <c r="C3690" s="9" t="inlineStr">
        <is>
          <t>수</t>
        </is>
      </c>
      <c r="E3690" s="9" t="inlineStr">
        <is>
          <t>가글샴푸</t>
        </is>
      </c>
      <c r="F3690" s="9" t="inlineStr">
        <is>
          <t>카페24</t>
        </is>
      </c>
      <c r="G3690" s="9" t="inlineStr">
        <is>
          <t>[오픈한정] 라베나 딥클렌징 헤어가글라인 SET</t>
        </is>
      </c>
      <c r="H3690" s="9" t="n">
        <v>7</v>
      </c>
      <c r="I3690" s="9" t="inlineStr">
        <is>
          <t>헤어가글 샴푸1+헤어가글 워터1</t>
        </is>
      </c>
      <c r="J3690" s="9" t="inlineStr">
        <is>
          <t>210525</t>
        </is>
      </c>
      <c r="L3690" s="9" t="n">
        <v>316260</v>
      </c>
      <c r="M3690" s="9" t="n">
        <v>297758.79</v>
      </c>
      <c r="N3690" s="9">
        <f>VLOOKUP($O3690,매칭테이블!$G:$J,4,0)*H3690</f>
        <v/>
      </c>
      <c r="O3690" s="9">
        <f>F3690&amp;E3690&amp;G3690&amp;J3690</f>
        <v/>
      </c>
    </row>
    <row r="3691">
      <c r="B3691" s="10" t="n">
        <v>44349</v>
      </c>
      <c r="C3691" s="9" t="inlineStr">
        <is>
          <t>수</t>
        </is>
      </c>
      <c r="E3691" s="9" t="inlineStr">
        <is>
          <t>샴푸</t>
        </is>
      </c>
      <c r="F3691" s="9" t="inlineStr">
        <is>
          <t>카페24</t>
        </is>
      </c>
      <c r="G3691" s="9" t="inlineStr">
        <is>
          <t>[타임특가] 라베나 리:커버리 3개월 패키지 (샴푸 2+ 트리트먼트 택 1)샴푸2 + 트리트먼트 택 1=샴푸2 + 뉴트리셔스 밤1</t>
        </is>
      </c>
      <c r="H3691" s="9" t="n">
        <v>3</v>
      </c>
      <c r="I3691" s="9" t="inlineStr">
        <is>
          <t>리바이탈 샴푸2+뉴트리셔스밤1</t>
        </is>
      </c>
      <c r="J3691" s="9" t="inlineStr">
        <is>
          <t>210525</t>
        </is>
      </c>
      <c r="L3691" s="9">
        <f>VLOOKUP($O3691,매칭테이블!$G:$J,2,0)*H3691</f>
        <v/>
      </c>
      <c r="M3691" s="9">
        <f>L3691-L3691*VLOOKUP($O3691,매칭테이블!$G:$J,3,0)</f>
        <v/>
      </c>
      <c r="N3691" s="9">
        <f>VLOOKUP($O3691,매칭테이블!$G:$J,4,0)*H3691</f>
        <v/>
      </c>
      <c r="O3691" s="9">
        <f>F3691&amp;E3691&amp;G3691&amp;J3691</f>
        <v/>
      </c>
    </row>
    <row r="3692">
      <c r="B3692" s="10" t="n">
        <v>44349</v>
      </c>
      <c r="C3692" s="9" t="inlineStr">
        <is>
          <t>수</t>
        </is>
      </c>
      <c r="E3692" s="9" t="inlineStr">
        <is>
          <t>샴푸</t>
        </is>
      </c>
      <c r="F3692" s="9" t="inlineStr">
        <is>
          <t>카페24</t>
        </is>
      </c>
      <c r="G3692" s="9" t="inlineStr">
        <is>
          <t>[타임특가] 라베나 리:커버리 3개월 패키지 (샴푸 2+ 트리트먼트 택 1)샴푸2 + 트리트먼트 택 1=샴푸2 + 헤어팩 트리트먼트1</t>
        </is>
      </c>
      <c r="H3692" s="9" t="n">
        <v>4</v>
      </c>
      <c r="I3692" s="9" t="inlineStr">
        <is>
          <t>리바이탈 샴푸2+트리트먼트1</t>
        </is>
      </c>
      <c r="J3692" s="9" t="inlineStr">
        <is>
          <t>210525</t>
        </is>
      </c>
      <c r="L3692" s="9">
        <f>VLOOKUP($O3692,매칭테이블!$G:$J,2,0)*H3692</f>
        <v/>
      </c>
      <c r="M3692" s="9">
        <f>L3692-L3692*VLOOKUP($O3692,매칭테이블!$G:$J,3,0)</f>
        <v/>
      </c>
      <c r="N3692" s="9">
        <f>VLOOKUP($O3692,매칭테이블!$G:$J,4,0)*H3692</f>
        <v/>
      </c>
      <c r="O3692" s="9">
        <f>F3692&amp;E3692&amp;G3692&amp;J3692</f>
        <v/>
      </c>
    </row>
    <row r="3693">
      <c r="B3693" s="10" t="n">
        <v>44349</v>
      </c>
      <c r="C3693" s="9" t="inlineStr">
        <is>
          <t>수</t>
        </is>
      </c>
      <c r="E3693" s="9" t="inlineStr">
        <is>
          <t>샴푸</t>
        </is>
      </c>
      <c r="F3693" s="9" t="inlineStr">
        <is>
          <t>카페24</t>
        </is>
      </c>
      <c r="G3693" s="9" t="inlineStr">
        <is>
          <t>[타임특가] 라베나 리:커버리 6개월 패키지 (샴푸 5+ 트리트먼트 택 1)샴푸 5 + 트리트먼트 택 1=샴푸 5 + 뉴트리셔스 밤 1</t>
        </is>
      </c>
      <c r="H3693" s="9" t="n">
        <v>1</v>
      </c>
      <c r="I3693" s="9" t="inlineStr">
        <is>
          <t>리바이탈 샴푸5+뉴트리셔스밤1</t>
        </is>
      </c>
      <c r="J3693" s="9" t="inlineStr">
        <is>
          <t>210525</t>
        </is>
      </c>
      <c r="L3693" s="9">
        <f>VLOOKUP($O3693,매칭테이블!$G:$J,2,0)*H3693</f>
        <v/>
      </c>
      <c r="M3693" s="9">
        <f>L3693-L3693*VLOOKUP($O3693,매칭테이블!$G:$J,3,0)</f>
        <v/>
      </c>
      <c r="N3693" s="9">
        <f>VLOOKUP($O3693,매칭테이블!$G:$J,4,0)*H3693</f>
        <v/>
      </c>
      <c r="O3693" s="9">
        <f>F3693&amp;E3693&amp;G3693&amp;J3693</f>
        <v/>
      </c>
    </row>
    <row r="3694">
      <c r="B3694" s="10" t="n">
        <v>44349</v>
      </c>
      <c r="C3694" s="9" t="inlineStr">
        <is>
          <t>수</t>
        </is>
      </c>
      <c r="E3694" s="9" t="inlineStr">
        <is>
          <t>샴푸</t>
        </is>
      </c>
      <c r="F3694" s="9" t="inlineStr">
        <is>
          <t>카페24</t>
        </is>
      </c>
      <c r="G3694" s="9" t="inlineStr">
        <is>
          <t>[타임특가] 라베나 리:커버리 6개월 패키지 (샴푸 5+ 트리트먼트 택 1)샴푸 5 + 트리트먼트 택 1=샴푸 5 + 헤어팩 트리트먼트 1</t>
        </is>
      </c>
      <c r="H3694" s="9" t="n">
        <v>1</v>
      </c>
      <c r="I3694" s="9" t="inlineStr">
        <is>
          <t>리바이탈 샴푸5+트리트먼트1</t>
        </is>
      </c>
      <c r="J3694" s="9" t="inlineStr">
        <is>
          <t>210525</t>
        </is>
      </c>
      <c r="L3694" s="9">
        <f>VLOOKUP($O3694,매칭테이블!$G:$J,2,0)*H3694</f>
        <v/>
      </c>
      <c r="M3694" s="9">
        <f>L3694-L3694*VLOOKUP($O3694,매칭테이블!$G:$J,3,0)</f>
        <v/>
      </c>
      <c r="N3694" s="9">
        <f>VLOOKUP($O3694,매칭테이블!$G:$J,4,0)*H3694</f>
        <v/>
      </c>
      <c r="O3694" s="9">
        <f>F3694&amp;E3694&amp;G3694&amp;J3694</f>
        <v/>
      </c>
    </row>
    <row r="3695">
      <c r="B3695" s="10" t="n">
        <v>44349</v>
      </c>
      <c r="C3695" s="9" t="inlineStr">
        <is>
          <t>수</t>
        </is>
      </c>
      <c r="E3695" s="9" t="inlineStr">
        <is>
          <t>샴푸</t>
        </is>
      </c>
      <c r="F3695" s="9" t="inlineStr">
        <is>
          <t>카페24</t>
        </is>
      </c>
      <c r="G3695" s="9" t="inlineStr">
        <is>
          <t>[타임특가] 라베나 리:커버리 온가족 패키지 (샴푸 3+ 헤어팩 트리트먼트 1+뉴트리셔스 밤 1)</t>
        </is>
      </c>
      <c r="H3695" s="9" t="n">
        <v>3</v>
      </c>
      <c r="I3695" s="9" t="inlineStr">
        <is>
          <t>리바이탈 샴푸3+트리트먼트1+뉴트리셔스밤1</t>
        </is>
      </c>
      <c r="J3695" s="9" t="inlineStr">
        <is>
          <t>210525</t>
        </is>
      </c>
      <c r="L3695" s="9">
        <f>VLOOKUP($O3695,매칭테이블!$G:$J,2,0)*H3695</f>
        <v/>
      </c>
      <c r="M3695" s="9">
        <f>L3695-L3695*VLOOKUP($O3695,매칭테이블!$G:$J,3,0)</f>
        <v/>
      </c>
      <c r="N3695" s="9">
        <f>VLOOKUP($O3695,매칭테이블!$G:$J,4,0)*H3695</f>
        <v/>
      </c>
      <c r="O3695" s="9">
        <f>F3695&amp;E3695&amp;G3695&amp;J3695</f>
        <v/>
      </c>
    </row>
    <row r="3696">
      <c r="B3696" s="10" t="n">
        <v>44349</v>
      </c>
      <c r="C3696" s="9" t="inlineStr">
        <is>
          <t>수</t>
        </is>
      </c>
      <c r="E3696" s="9" t="inlineStr">
        <is>
          <t>뉴트리셔스밤</t>
        </is>
      </c>
      <c r="F3696" s="9" t="inlineStr">
        <is>
          <t>카페24</t>
        </is>
      </c>
      <c r="G3696" s="9" t="inlineStr">
        <is>
          <t>라베나 리커버리 15 뉴트리셔스 밤제품선택=헤어 리커버리 15 뉴트리셔스 밤</t>
        </is>
      </c>
      <c r="H3696" s="9" t="n">
        <v>5</v>
      </c>
      <c r="I3696" s="9" t="inlineStr">
        <is>
          <t>뉴트리셔스밤</t>
        </is>
      </c>
      <c r="J3696" s="9" t="inlineStr">
        <is>
          <t>210525</t>
        </is>
      </c>
      <c r="L3696" s="9" t="n">
        <v>124500</v>
      </c>
      <c r="M3696" s="9" t="n">
        <v>117216.75</v>
      </c>
      <c r="N3696" s="9" t="n">
        <v>7900</v>
      </c>
      <c r="O3696" s="9" t="inlineStr">
        <is>
          <t>카페24뉴트리셔스밤라베나 리커버리 15 뉴트리셔스 밤제품선택=헤어 리커버리 15 뉴트리셔스 밤210525</t>
        </is>
      </c>
    </row>
    <row r="3697">
      <c r="B3697" s="10" t="n">
        <v>44349</v>
      </c>
      <c r="C3697" s="9" t="inlineStr">
        <is>
          <t>수</t>
        </is>
      </c>
      <c r="E3697" s="9" t="inlineStr">
        <is>
          <t>샴푸</t>
        </is>
      </c>
      <c r="F3697" s="9" t="inlineStr">
        <is>
          <t>카페24</t>
        </is>
      </c>
      <c r="G3697" s="9" t="inlineStr">
        <is>
          <t>라베나 리커버리 15 리바이탈 바이오플라보노이드샴푸제품선택=헤어 리커버리 15 리바이탈 샴푸 - 500ml</t>
        </is>
      </c>
      <c r="H3697" s="9" t="n">
        <v>144</v>
      </c>
      <c r="I3697" s="9" t="inlineStr">
        <is>
          <t>리바이탈 샴푸</t>
        </is>
      </c>
      <c r="J3697" s="9" t="inlineStr">
        <is>
          <t>210525</t>
        </is>
      </c>
      <c r="L3697" s="9" t="n">
        <v>3873600</v>
      </c>
      <c r="M3697" s="9" t="n">
        <v>3646994.4</v>
      </c>
      <c r="N3697" s="9" t="n">
        <v>412560</v>
      </c>
      <c r="O3697" s="9" t="inlineStr">
        <is>
          <t>카페24샴푸라베나 리커버리 15 리바이탈 바이오플라보노이드샴푸제품선택=헤어 리커버리 15 리바이탈 샴푸 - 500ml210525</t>
        </is>
      </c>
    </row>
    <row r="3698">
      <c r="B3698" s="10" t="n">
        <v>44349</v>
      </c>
      <c r="C3698" s="9" t="inlineStr">
        <is>
          <t>수</t>
        </is>
      </c>
      <c r="E3698" s="9" t="inlineStr">
        <is>
          <t>샴푸</t>
        </is>
      </c>
      <c r="F3698" s="9" t="inlineStr">
        <is>
          <t>카페24</t>
        </is>
      </c>
      <c r="G3698" s="9" t="inlineStr">
        <is>
          <t>라베나 리커버리 15 리바이탈 바이오플라보노이드샴푸제품선택=리바이탈 샴푸 2개 세트 5%추가할인</t>
        </is>
      </c>
      <c r="H3698" s="9" t="n">
        <v>48</v>
      </c>
      <c r="I3698" s="9" t="inlineStr">
        <is>
          <t>리바이탈 샴푸 2set</t>
        </is>
      </c>
      <c r="J3698" s="9" t="inlineStr">
        <is>
          <t>210525</t>
        </is>
      </c>
      <c r="L3698" s="9" t="n">
        <v>2453280</v>
      </c>
      <c r="M3698" s="9" t="n">
        <v>2309763.12</v>
      </c>
      <c r="N3698" s="9" t="n">
        <v>275040</v>
      </c>
      <c r="O3698" s="9" t="inlineStr">
        <is>
          <t>카페24샴푸라베나 리커버리 15 리바이탈 바이오플라보노이드샴푸제품선택=리바이탈 샴푸 2개 세트 5%추가할인210525</t>
        </is>
      </c>
    </row>
    <row r="3699">
      <c r="B3699" s="10" t="n">
        <v>44349</v>
      </c>
      <c r="C3699" s="9" t="inlineStr">
        <is>
          <t>수</t>
        </is>
      </c>
      <c r="E3699" s="9" t="inlineStr">
        <is>
          <t>샴푸</t>
        </is>
      </c>
      <c r="F3699" s="9" t="inlineStr">
        <is>
          <t>카페24</t>
        </is>
      </c>
      <c r="G3699" s="9" t="inlineStr">
        <is>
          <t>라베나 리커버리 15 리바이탈 바이오플라보노이드샴푸제품선택=리바이탈 샴푸 3개 세트 10% 추가할인</t>
        </is>
      </c>
      <c r="H3699" s="9" t="n">
        <v>18</v>
      </c>
      <c r="I3699" s="9" t="inlineStr">
        <is>
          <t>리바이탈 샴푸 3set</t>
        </is>
      </c>
      <c r="J3699" s="9" t="inlineStr">
        <is>
          <t>210525</t>
        </is>
      </c>
      <c r="L3699" s="9" t="n">
        <v>1307340</v>
      </c>
      <c r="M3699" s="9" t="n">
        <v>1230860.61</v>
      </c>
      <c r="N3699" s="9" t="n">
        <v>154710</v>
      </c>
      <c r="O3699" s="9" t="inlineStr">
        <is>
          <t>카페24샴푸라베나 리커버리 15 리바이탈 바이오플라보노이드샴푸제품선택=리바이탈 샴푸 3개 세트 10% 추가할인210525</t>
        </is>
      </c>
    </row>
    <row r="3700">
      <c r="B3700" s="10" t="n">
        <v>44349</v>
      </c>
      <c r="C3700" s="9" t="inlineStr">
        <is>
          <t>수</t>
        </is>
      </c>
      <c r="E3700" s="9" t="inlineStr">
        <is>
          <t>트리트먼트</t>
        </is>
      </c>
      <c r="F3700" s="9" t="inlineStr">
        <is>
          <t>카페24</t>
        </is>
      </c>
      <c r="G3700" s="9" t="inlineStr">
        <is>
          <t>라베나 리커버리 15 헤어팩 트리트먼트제품선택=헤어 리커버리 15 헤어팩 트리트먼트</t>
        </is>
      </c>
      <c r="H3700" s="9" t="n">
        <v>2</v>
      </c>
      <c r="I3700" s="9" t="inlineStr">
        <is>
          <t>트리트먼트</t>
        </is>
      </c>
      <c r="J3700" s="9" t="inlineStr">
        <is>
          <t>210525</t>
        </is>
      </c>
      <c r="L3700" s="9" t="n">
        <v>52000</v>
      </c>
      <c r="M3700" s="9" t="n">
        <v>48958</v>
      </c>
      <c r="N3700" s="9" t="n">
        <v>3194</v>
      </c>
      <c r="O3700" s="9" t="inlineStr">
        <is>
          <t>카페24트리트먼트라베나 리커버리 15 헤어팩 트리트먼트제품선택=헤어 리커버리 15 헤어팩 트리트먼트210525</t>
        </is>
      </c>
    </row>
    <row r="3701">
      <c r="B3701" s="10" t="n">
        <v>44349</v>
      </c>
      <c r="C3701" s="9" t="inlineStr">
        <is>
          <t>수</t>
        </is>
      </c>
      <c r="E3701" s="9" t="inlineStr">
        <is>
          <t>트리트먼트</t>
        </is>
      </c>
      <c r="F3701" s="9" t="inlineStr">
        <is>
          <t>카페24</t>
        </is>
      </c>
      <c r="G3701" s="9" t="inlineStr">
        <is>
          <t>라베나 리커버리 15 헤어팩 트리트먼트제품선택=헤어팩 트리트먼트 2개 세트 5% 추가할인</t>
        </is>
      </c>
      <c r="H3701" s="9" t="n">
        <v>1</v>
      </c>
      <c r="I3701" s="9" t="inlineStr">
        <is>
          <t>트리트먼트 2set</t>
        </is>
      </c>
      <c r="J3701" s="9" t="inlineStr">
        <is>
          <t>210525</t>
        </is>
      </c>
      <c r="L3701" s="9" t="n">
        <v>49400</v>
      </c>
      <c r="M3701" s="9" t="n">
        <v>46510.1</v>
      </c>
      <c r="N3701" s="9" t="n">
        <v>3194</v>
      </c>
      <c r="O3701" s="9" t="inlineStr">
        <is>
          <t>카페24트리트먼트라베나 리커버리 15 헤어팩 트리트먼트제품선택=헤어팩 트리트먼트 2개 세트 5% 추가할인210525</t>
        </is>
      </c>
    </row>
    <row r="3702">
      <c r="B3702" s="10" t="n">
        <v>44349</v>
      </c>
      <c r="C3702" s="9" t="inlineStr">
        <is>
          <t>수</t>
        </is>
      </c>
      <c r="E3702" s="9" t="inlineStr">
        <is>
          <t>트리트먼트</t>
        </is>
      </c>
      <c r="F3702" s="9" t="inlineStr">
        <is>
          <t>카페24</t>
        </is>
      </c>
      <c r="G3702" s="9" t="inlineStr">
        <is>
          <t>라베나 리커버리 15 헤어팩 트리트먼트제품선택=헤어팩 트리트먼트 1개 + 뉴트리셔스밤 1개 세트 5% 추가할인</t>
        </is>
      </c>
      <c r="H3702" s="9" t="n">
        <v>1</v>
      </c>
      <c r="I3702" s="9" t="inlineStr">
        <is>
          <t>트리트먼트1+뉴트리셔스밤1</t>
        </is>
      </c>
      <c r="J3702" s="9" t="inlineStr">
        <is>
          <t>210525</t>
        </is>
      </c>
      <c r="L3702" s="9" t="n">
        <v>48355</v>
      </c>
      <c r="M3702" s="9" t="n">
        <v>45526.2325</v>
      </c>
      <c r="N3702" s="9" t="n">
        <v>3177</v>
      </c>
      <c r="O3702" s="9" t="inlineStr">
        <is>
          <t>카페24트리트먼트라베나 리커버리 15 헤어팩 트리트먼트제품선택=헤어팩 트리트먼트 1개 + 뉴트리셔스밤 1개 세트 5% 추가할인210525</t>
        </is>
      </c>
    </row>
    <row r="3703">
      <c r="A3703" t="inlineStr">
        <is>
          <t>0601_에스더_가글샴푸_실험</t>
        </is>
      </c>
      <c r="B3703" s="15" t="n">
        <v>44350</v>
      </c>
      <c r="C3703" t="inlineStr">
        <is>
          <t>목</t>
        </is>
      </c>
      <c r="D3703" t="inlineStr"/>
      <c r="E3703" t="inlineStr"/>
      <c r="K3703" t="n">
        <v>390575</v>
      </c>
    </row>
    <row r="3704">
      <c r="A3704" t="inlineStr">
        <is>
          <t>0531_현빈_샴푸_피지결석_카드뉴스_페북</t>
        </is>
      </c>
      <c r="B3704" s="15" t="n">
        <v>44350</v>
      </c>
      <c r="C3704" t="inlineStr">
        <is>
          <t>목</t>
        </is>
      </c>
      <c r="D3704" t="inlineStr">
        <is>
          <t>페이스북</t>
        </is>
      </c>
      <c r="E3704" t="inlineStr">
        <is>
          <t>샴푸</t>
        </is>
      </c>
      <c r="K3704" t="n">
        <v>273049</v>
      </c>
    </row>
    <row r="3705">
      <c r="A3705" t="inlineStr">
        <is>
          <t>0316~영상베리</t>
        </is>
      </c>
      <c r="B3705" s="15" t="n">
        <v>44350</v>
      </c>
      <c r="C3705" t="inlineStr">
        <is>
          <t>목</t>
        </is>
      </c>
      <c r="D3705" t="inlineStr">
        <is>
          <t>페이스북</t>
        </is>
      </c>
      <c r="E3705" t="inlineStr">
        <is>
          <t>샴푸</t>
        </is>
      </c>
      <c r="K3705" t="n">
        <v>102209</v>
      </c>
    </row>
    <row r="3706">
      <c r="A3706" t="inlineStr">
        <is>
          <t>0518_샴푸_VAC_피지결석2</t>
        </is>
      </c>
      <c r="B3706" s="15" t="n">
        <v>44350</v>
      </c>
      <c r="C3706" t="inlineStr">
        <is>
          <t>목</t>
        </is>
      </c>
      <c r="D3706" t="inlineStr"/>
      <c r="E3706" t="inlineStr"/>
      <c r="K3706" t="n">
        <v>1010216</v>
      </c>
    </row>
    <row r="3707">
      <c r="A3707" t="inlineStr">
        <is>
          <t>0520_샴푸_CPV_피지결석_4차</t>
        </is>
      </c>
      <c r="B3707" s="15" t="n">
        <v>44350</v>
      </c>
      <c r="C3707" t="inlineStr">
        <is>
          <t>목</t>
        </is>
      </c>
      <c r="D3707" t="inlineStr">
        <is>
          <t>유튜브</t>
        </is>
      </c>
      <c r="E3707" t="inlineStr">
        <is>
          <t>샴푸</t>
        </is>
      </c>
      <c r="K3707" t="n">
        <v>2021763</v>
      </c>
    </row>
    <row r="3708">
      <c r="A3708" t="inlineStr">
        <is>
          <t>0528_샴푸_GDN</t>
        </is>
      </c>
      <c r="B3708" s="15" t="n">
        <v>44350</v>
      </c>
      <c r="C3708" t="inlineStr">
        <is>
          <t>목</t>
        </is>
      </c>
      <c r="D3708" t="inlineStr">
        <is>
          <t>GDN</t>
        </is>
      </c>
      <c r="E3708" t="inlineStr">
        <is>
          <t>샴푸</t>
        </is>
      </c>
      <c r="K3708" t="n">
        <v>103216</v>
      </c>
    </row>
    <row r="3709">
      <c r="A3709" t="inlineStr">
        <is>
          <t>0601_샴푸_인스트림_피지결석re</t>
        </is>
      </c>
      <c r="B3709" s="15" t="n">
        <v>44350</v>
      </c>
      <c r="C3709" t="inlineStr">
        <is>
          <t>목</t>
        </is>
      </c>
      <c r="D3709" t="inlineStr"/>
      <c r="E3709" t="inlineStr"/>
      <c r="K3709" t="n">
        <v>1007429</v>
      </c>
    </row>
    <row r="3710">
      <c r="A3710" t="inlineStr">
        <is>
          <t>라베나 파워링크_샴푸_광고그룹#1</t>
        </is>
      </c>
      <c r="B3710" s="15" t="n">
        <v>44350</v>
      </c>
      <c r="C3710" t="inlineStr">
        <is>
          <t>목</t>
        </is>
      </c>
      <c r="D3710" t="inlineStr">
        <is>
          <t>네이버 검색</t>
        </is>
      </c>
      <c r="E3710" t="inlineStr">
        <is>
          <t>샴푸</t>
        </is>
      </c>
      <c r="K3710" t="n">
        <v>1830</v>
      </c>
    </row>
    <row r="3711">
      <c r="A3711" t="inlineStr">
        <is>
          <t>라베나 파워링크_샴푸#1_유튜브키워드기반</t>
        </is>
      </c>
      <c r="B3711" s="15" t="n">
        <v>44350</v>
      </c>
      <c r="C3711" t="inlineStr">
        <is>
          <t>목</t>
        </is>
      </c>
      <c r="D3711" t="inlineStr">
        <is>
          <t>네이버 검색</t>
        </is>
      </c>
      <c r="E3711" t="inlineStr">
        <is>
          <t>샴푸</t>
        </is>
      </c>
      <c r="K3711" t="n">
        <v>4710</v>
      </c>
    </row>
    <row r="3712">
      <c r="A3712" t="inlineStr">
        <is>
          <t>샴푸_쇼핑검색#1_광고그룹#1</t>
        </is>
      </c>
      <c r="B3712" s="15" t="n">
        <v>44350</v>
      </c>
      <c r="C3712" t="inlineStr">
        <is>
          <t>목</t>
        </is>
      </c>
      <c r="D3712" t="inlineStr">
        <is>
          <t>네이버 검색</t>
        </is>
      </c>
      <c r="E3712" t="inlineStr">
        <is>
          <t>샴푸</t>
        </is>
      </c>
      <c r="K3712" t="n">
        <v>4570</v>
      </c>
    </row>
    <row r="3713">
      <c r="A3713" t="inlineStr">
        <is>
          <t>파워컨텐츠#1_비듬샴푸</t>
        </is>
      </c>
      <c r="B3713" s="15" t="n">
        <v>44350</v>
      </c>
      <c r="C3713" t="inlineStr">
        <is>
          <t>목</t>
        </is>
      </c>
      <c r="D3713" t="inlineStr">
        <is>
          <t>네이버 검색</t>
        </is>
      </c>
      <c r="E3713" t="inlineStr">
        <is>
          <t>샴푸</t>
        </is>
      </c>
      <c r="K3713" t="n">
        <v>70</v>
      </c>
    </row>
  </sheetData>
  <autoFilter ref="B1:O38">
    <sortState ref="B2:O38">
      <sortCondition ref="B1:B38"/>
    </sortState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5:H9"/>
  <sheetViews>
    <sheetView showGridLines="0" zoomScale="78" zoomScaleNormal="70" workbookViewId="0">
      <selection activeCell="I6" sqref="I6"/>
    </sheetView>
  </sheetViews>
  <sheetFormatPr baseColWidth="8" defaultRowHeight="17.4"/>
  <cols>
    <col width="13.09765625" bestFit="1" customWidth="1" style="12" min="1" max="3"/>
    <col width="9.3984375" bestFit="1" customWidth="1" style="12" min="4" max="4"/>
    <col width="13.19921875" bestFit="1" customWidth="1" style="12" min="5" max="5"/>
    <col width="10.8984375" bestFit="1" customWidth="1" style="12" min="6" max="6"/>
    <col width="11.19921875" bestFit="1" customWidth="1" style="12" min="7" max="7"/>
    <col width="10.8984375" bestFit="1" customWidth="1" style="12" min="8" max="8"/>
    <col width="12" bestFit="1" customWidth="1" style="12" min="9" max="9"/>
    <col width="11" bestFit="1" customWidth="1" style="12" min="10" max="10"/>
    <col width="11.59765625" bestFit="1" customWidth="1" style="12" min="11" max="11"/>
    <col width="16.19921875" bestFit="1" customWidth="1" style="12" min="12" max="12"/>
  </cols>
  <sheetData>
    <row r="5">
      <c r="B5" s="1" t="inlineStr">
        <is>
          <t>합계 : 판매액</t>
        </is>
      </c>
      <c r="C5" s="1" t="inlineStr">
        <is>
          <t>열 레이블</t>
        </is>
      </c>
    </row>
    <row r="6">
      <c r="B6" s="1" t="inlineStr">
        <is>
          <t>행 레이블</t>
        </is>
      </c>
      <c r="C6" s="9" t="inlineStr">
        <is>
          <t>가글샴푸</t>
        </is>
      </c>
      <c r="D6" s="9" t="inlineStr">
        <is>
          <t>가글워터</t>
        </is>
      </c>
      <c r="E6" s="9" t="inlineStr">
        <is>
          <t>뉴트리셔스밤</t>
        </is>
      </c>
      <c r="F6" s="9" t="inlineStr">
        <is>
          <t>샴푸</t>
        </is>
      </c>
      <c r="G6" s="9" t="inlineStr">
        <is>
          <t>트리트먼트</t>
        </is>
      </c>
      <c r="H6" s="9" t="inlineStr">
        <is>
          <t>총합계</t>
        </is>
      </c>
    </row>
    <row r="7">
      <c r="B7" s="2" t="n">
        <v>44348</v>
      </c>
      <c r="C7" s="9" t="n">
        <v>410960</v>
      </c>
      <c r="E7" s="9" t="n">
        <v>67230</v>
      </c>
      <c r="F7" s="9" t="n">
        <v>8667740</v>
      </c>
      <c r="G7" s="9" t="n">
        <v>192400</v>
      </c>
      <c r="H7" s="9" t="n">
        <v>9338330</v>
      </c>
    </row>
    <row r="8">
      <c r="B8" s="2" t="n">
        <v>44349</v>
      </c>
      <c r="C8" s="9" t="n">
        <v>1053320</v>
      </c>
      <c r="D8" s="9" t="n">
        <v>158500</v>
      </c>
      <c r="E8" s="9" t="n">
        <v>124500</v>
      </c>
      <c r="F8" s="9" t="n">
        <v>8584155</v>
      </c>
      <c r="G8" s="9" t="n">
        <v>149755</v>
      </c>
      <c r="H8" s="9" t="n">
        <v>10070230</v>
      </c>
    </row>
    <row r="9">
      <c r="B9" s="2" t="inlineStr">
        <is>
          <t>총합계</t>
        </is>
      </c>
      <c r="C9" s="9" t="n">
        <v>1464280</v>
      </c>
      <c r="D9" s="9" t="n">
        <v>158500</v>
      </c>
      <c r="E9" s="9" t="n">
        <v>191730</v>
      </c>
      <c r="F9" s="9" t="n">
        <v>17251895</v>
      </c>
      <c r="G9" s="9" t="n">
        <v>342155</v>
      </c>
      <c r="H9" s="9" t="n">
        <v>19408560</v>
      </c>
    </row>
    <row r="16" ht="16.5" customHeight="1" s="12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D102"/>
  <sheetViews>
    <sheetView topLeftCell="A52" workbookViewId="0">
      <selection activeCell="D21" sqref="D21"/>
    </sheetView>
  </sheetViews>
  <sheetFormatPr baseColWidth="8" defaultRowHeight="17.4"/>
  <cols>
    <col width="10.8984375" bestFit="1" customWidth="1" style="12" min="2" max="2"/>
    <col width="12.19921875" bestFit="1" customWidth="1" style="14" min="3" max="3"/>
    <col width="23.19921875" bestFit="1" customWidth="1" style="14" min="4" max="4"/>
    <col width="25" bestFit="1" customWidth="1" style="12" min="5" max="5"/>
    <col width="11.19921875" bestFit="1" customWidth="1" style="12" min="6" max="6"/>
    <col width="18" bestFit="1" customWidth="1" style="12" min="7" max="7"/>
    <col width="29.69921875" bestFit="1" customWidth="1" style="12" min="8" max="8"/>
  </cols>
  <sheetData>
    <row r="1">
      <c r="B1" s="1" t="inlineStr">
        <is>
          <t>상품1</t>
        </is>
      </c>
      <c r="C1" s="9" t="inlineStr">
        <is>
          <t>(모두)</t>
        </is>
      </c>
    </row>
    <row r="3">
      <c r="B3" s="1" t="inlineStr">
        <is>
          <t>행 레이블</t>
        </is>
      </c>
      <c r="C3" s="9" t="inlineStr">
        <is>
          <t>합계 : 판매액</t>
        </is>
      </c>
      <c r="D3" s="9" t="inlineStr">
        <is>
          <t>합계 : 판매액(VAT미포함)</t>
        </is>
      </c>
    </row>
    <row r="4">
      <c r="B4" s="2" t="n">
        <v>44144</v>
      </c>
      <c r="C4" s="9" t="n">
        <v>53800</v>
      </c>
      <c r="D4" s="9" t="n">
        <v>48909.0909090909</v>
      </c>
    </row>
    <row r="5">
      <c r="B5" s="2" t="n">
        <v>44148</v>
      </c>
      <c r="C5" s="9" t="n">
        <v>26900</v>
      </c>
      <c r="D5" s="9" t="n">
        <v>24454.54545454545</v>
      </c>
    </row>
    <row r="6">
      <c r="B6" s="2" t="n">
        <v>44149</v>
      </c>
      <c r="C6" s="9" t="n">
        <v>201750</v>
      </c>
      <c r="D6" s="9" t="n">
        <v>183409.0909090909</v>
      </c>
    </row>
    <row r="7">
      <c r="B7" s="2" t="n">
        <v>44150</v>
      </c>
      <c r="C7" s="9" t="n">
        <v>225960</v>
      </c>
      <c r="D7" s="9" t="n">
        <v>205418.1818181818</v>
      </c>
    </row>
    <row r="8">
      <c r="B8" s="2" t="inlineStr">
        <is>
          <t>(비어 있음)</t>
        </is>
      </c>
      <c r="C8" s="9" t="n"/>
      <c r="D8" s="9" t="n"/>
    </row>
    <row r="9">
      <c r="B9" s="2" t="n">
        <v>44151</v>
      </c>
      <c r="C9" s="9" t="n">
        <v>126430</v>
      </c>
      <c r="D9" s="9" t="n">
        <v>114936.3636363636</v>
      </c>
    </row>
    <row r="10">
      <c r="B10" s="2" t="n">
        <v>44152</v>
      </c>
      <c r="C10" s="9" t="n">
        <v>204440</v>
      </c>
      <c r="D10" s="9" t="n">
        <v>185854.5454545454</v>
      </c>
    </row>
    <row r="11">
      <c r="B11" s="2" t="n">
        <v>44153</v>
      </c>
      <c r="C11" s="9" t="n">
        <v>524550</v>
      </c>
      <c r="D11" s="9" t="n">
        <v>476863.6363636364</v>
      </c>
    </row>
    <row r="12">
      <c r="B12" s="2" t="n">
        <v>44154</v>
      </c>
      <c r="C12" s="9" t="n">
        <v>312040</v>
      </c>
      <c r="D12" s="9" t="n">
        <v>283672.7272727272</v>
      </c>
    </row>
    <row r="13">
      <c r="B13" s="2" t="n">
        <v>44155</v>
      </c>
      <c r="C13" s="9" t="n">
        <v>564900</v>
      </c>
      <c r="D13" s="9" t="n">
        <v>513545.4545454545</v>
      </c>
    </row>
    <row r="14">
      <c r="B14" s="2" t="n">
        <v>44156</v>
      </c>
      <c r="C14" s="9" t="n">
        <v>1834580</v>
      </c>
      <c r="D14" s="9" t="n">
        <v>1667800</v>
      </c>
    </row>
    <row r="15">
      <c r="B15" s="2" t="n">
        <v>44157</v>
      </c>
      <c r="C15" s="9" t="n">
        <v>1848030</v>
      </c>
      <c r="D15" s="9" t="n">
        <v>1680027.272727272</v>
      </c>
    </row>
    <row r="16">
      <c r="B16" s="2" t="n">
        <v>44158</v>
      </c>
      <c r="C16" s="9" t="n">
        <v>1646280</v>
      </c>
      <c r="D16" s="9" t="n">
        <v>1496618.181818182</v>
      </c>
    </row>
    <row r="17">
      <c r="B17" s="2" t="n">
        <v>44159</v>
      </c>
      <c r="C17" s="9" t="n">
        <v>1923350</v>
      </c>
      <c r="D17" s="9" t="n">
        <v>1748500</v>
      </c>
    </row>
    <row r="18">
      <c r="B18" s="2" t="n">
        <v>44160</v>
      </c>
      <c r="C18" s="9" t="n">
        <v>1291200</v>
      </c>
      <c r="D18" s="9" t="n">
        <v>1173818.181818182</v>
      </c>
    </row>
    <row r="19">
      <c r="B19" s="2" t="n">
        <v>44161</v>
      </c>
      <c r="C19" s="9" t="n">
        <v>1250850</v>
      </c>
      <c r="D19" s="9" t="n">
        <v>1137136.363636364</v>
      </c>
    </row>
    <row r="20">
      <c r="B20" s="2" t="n">
        <v>44162</v>
      </c>
      <c r="C20" s="9" t="n">
        <v>1022200</v>
      </c>
      <c r="D20" s="9" t="n">
        <v>929272.7272727271</v>
      </c>
    </row>
    <row r="21">
      <c r="B21" s="2" t="n">
        <v>44163</v>
      </c>
      <c r="C21" s="9" t="n">
        <v>960330</v>
      </c>
      <c r="D21" s="9" t="n">
        <v>873027.2727272727</v>
      </c>
    </row>
    <row r="22">
      <c r="B22" s="2" t="n">
        <v>44164</v>
      </c>
      <c r="C22" s="9" t="n">
        <v>1899140</v>
      </c>
      <c r="D22" s="9" t="n">
        <v>1726490.909090909</v>
      </c>
    </row>
    <row r="23">
      <c r="B23" s="2" t="n">
        <v>44165</v>
      </c>
      <c r="C23" s="9" t="n">
        <v>2049780</v>
      </c>
      <c r="D23" s="9" t="n">
        <v>1863436.363636363</v>
      </c>
    </row>
    <row r="24">
      <c r="B24" s="2" t="n">
        <v>44166</v>
      </c>
      <c r="C24" s="9" t="n">
        <v>2055160</v>
      </c>
      <c r="D24" s="9" t="n">
        <v>1868327.272727272</v>
      </c>
    </row>
    <row r="25">
      <c r="B25" s="2" t="n">
        <v>44167</v>
      </c>
      <c r="C25" s="9" t="n">
        <v>1654350</v>
      </c>
      <c r="D25" s="9" t="n">
        <v>1503954.545454545</v>
      </c>
    </row>
    <row r="26">
      <c r="B26" s="2" t="n">
        <v>44168</v>
      </c>
      <c r="C26" s="9" t="n">
        <v>2001360</v>
      </c>
      <c r="D26" s="9" t="n">
        <v>1819418.181818182</v>
      </c>
    </row>
    <row r="27">
      <c r="B27" s="2" t="n">
        <v>44169</v>
      </c>
      <c r="C27" s="9" t="n">
        <v>1436460</v>
      </c>
      <c r="D27" s="9" t="n">
        <v>1305872.727272727</v>
      </c>
    </row>
    <row r="28">
      <c r="B28" s="2" t="n">
        <v>44170</v>
      </c>
      <c r="C28" s="9" t="n">
        <v>2558190</v>
      </c>
      <c r="D28" s="9" t="n">
        <v>2325627.272727272</v>
      </c>
    </row>
    <row r="29">
      <c r="B29" s="2" t="n">
        <v>44171</v>
      </c>
      <c r="C29" s="9" t="n">
        <v>2329540</v>
      </c>
      <c r="D29" s="9" t="n">
        <v>2117763.636363636</v>
      </c>
    </row>
    <row r="30">
      <c r="B30" s="2" t="n">
        <v>44172</v>
      </c>
      <c r="C30" s="9" t="n">
        <v>1630140</v>
      </c>
      <c r="D30" s="9" t="n">
        <v>1481945.454545454</v>
      </c>
    </row>
    <row r="31">
      <c r="B31" s="2" t="n">
        <v>44173</v>
      </c>
      <c r="C31" s="9" t="n">
        <v>3080383</v>
      </c>
      <c r="D31" s="9" t="n">
        <v>2800348.181818182</v>
      </c>
    </row>
    <row r="32">
      <c r="B32" s="2" t="n">
        <v>44174</v>
      </c>
      <c r="C32" s="9" t="n">
        <v>2184002</v>
      </c>
      <c r="D32" s="9" t="n">
        <v>1985456.363636363</v>
      </c>
    </row>
    <row r="33">
      <c r="B33" s="2" t="n">
        <v>44175</v>
      </c>
      <c r="C33" s="9" t="n">
        <v>2010677</v>
      </c>
      <c r="D33" s="9" t="n">
        <v>1827888.181818182</v>
      </c>
    </row>
    <row r="34">
      <c r="B34" s="2" t="n">
        <v>44176</v>
      </c>
      <c r="C34" s="9" t="n">
        <v>2521509</v>
      </c>
      <c r="D34" s="9" t="n">
        <v>2292280.909090909</v>
      </c>
    </row>
    <row r="35">
      <c r="B35" s="2" t="n">
        <v>44177</v>
      </c>
      <c r="C35" s="9" t="n">
        <v>1606125</v>
      </c>
      <c r="D35" s="9" t="n">
        <v>1460113.636363636</v>
      </c>
    </row>
    <row r="36">
      <c r="B36" s="2" t="n">
        <v>44178</v>
      </c>
      <c r="C36" s="9" t="n">
        <v>1132745</v>
      </c>
      <c r="D36" s="9" t="n">
        <v>1029768.181818182</v>
      </c>
    </row>
    <row r="37">
      <c r="B37" s="2" t="n">
        <v>44179</v>
      </c>
      <c r="C37" s="9" t="n">
        <v>1876630</v>
      </c>
      <c r="D37" s="9" t="n">
        <v>1706027.272727272</v>
      </c>
    </row>
    <row r="38">
      <c r="B38" s="2" t="n">
        <v>44180</v>
      </c>
      <c r="C38" s="9" t="n">
        <v>1247830</v>
      </c>
      <c r="D38" s="9" t="n">
        <v>1134390.909090909</v>
      </c>
    </row>
    <row r="39">
      <c r="B39" s="2" t="n">
        <v>44181</v>
      </c>
      <c r="C39" s="9" t="n">
        <v>1562300</v>
      </c>
      <c r="D39" s="9" t="n">
        <v>1420272.727272727</v>
      </c>
    </row>
    <row r="40">
      <c r="B40" s="2" t="n">
        <v>44182</v>
      </c>
      <c r="C40" s="9" t="n">
        <v>3293990</v>
      </c>
      <c r="D40" s="9" t="n">
        <v>2994536.363636363</v>
      </c>
    </row>
    <row r="41">
      <c r="B41" s="2" t="n">
        <v>44185</v>
      </c>
      <c r="C41" s="9" t="n">
        <v>6215290</v>
      </c>
      <c r="D41" s="9" t="n">
        <v>5650263.636363636</v>
      </c>
    </row>
    <row r="42">
      <c r="B42" s="2" t="n">
        <v>44184</v>
      </c>
      <c r="C42" s="9" t="n">
        <v>3419315</v>
      </c>
      <c r="D42" s="9" t="n">
        <v>3108468.181818182</v>
      </c>
    </row>
    <row r="43">
      <c r="B43" s="2" t="n">
        <v>44183</v>
      </c>
      <c r="C43" s="9" t="n">
        <v>5382450</v>
      </c>
      <c r="D43" s="9" t="n">
        <v>4893136.363636363</v>
      </c>
    </row>
    <row r="44">
      <c r="B44" s="2" t="n">
        <v>44186</v>
      </c>
      <c r="C44" s="9" t="n">
        <v>5450325</v>
      </c>
      <c r="D44" s="9" t="n">
        <v>4954840.909090908</v>
      </c>
    </row>
    <row r="45">
      <c r="B45" s="2" t="n">
        <v>44187</v>
      </c>
      <c r="C45" s="9" t="n">
        <v>2722615</v>
      </c>
      <c r="D45" s="9" t="n">
        <v>2475104.545454545</v>
      </c>
    </row>
    <row r="46">
      <c r="B46" s="2" t="n">
        <v>44188</v>
      </c>
      <c r="C46" s="9" t="n">
        <v>3427625</v>
      </c>
      <c r="D46" s="9" t="n">
        <v>3116022.727272727</v>
      </c>
    </row>
    <row r="47">
      <c r="B47" s="2" t="n">
        <v>44189</v>
      </c>
      <c r="C47" s="9" t="n">
        <v>2494345</v>
      </c>
      <c r="D47" s="9" t="n">
        <v>2267586.363636363</v>
      </c>
    </row>
    <row r="48">
      <c r="B48" s="2" t="n">
        <v>44190</v>
      </c>
      <c r="C48" s="9" t="n">
        <v>2457060</v>
      </c>
      <c r="D48" s="9" t="n">
        <v>2233690.909090909</v>
      </c>
    </row>
    <row r="49">
      <c r="B49" s="2" t="n">
        <v>44191</v>
      </c>
      <c r="C49" s="9" t="n">
        <v>1105800</v>
      </c>
      <c r="D49" s="9" t="n">
        <v>1005272.727272727</v>
      </c>
    </row>
    <row r="50">
      <c r="B50" s="2" t="n">
        <v>44192</v>
      </c>
      <c r="C50" s="9" t="n">
        <v>2729475</v>
      </c>
      <c r="D50" s="9" t="n">
        <v>2481340.90909091</v>
      </c>
    </row>
    <row r="51">
      <c r="B51" s="2" t="n">
        <v>44193</v>
      </c>
      <c r="C51" s="9" t="n">
        <v>2984405</v>
      </c>
      <c r="D51" s="9" t="n">
        <v>2713095.454545455</v>
      </c>
    </row>
    <row r="52">
      <c r="B52" s="2" t="n">
        <v>44194</v>
      </c>
      <c r="C52" s="9" t="n">
        <v>1904845</v>
      </c>
      <c r="D52" s="9" t="n">
        <v>1731677.272727273</v>
      </c>
    </row>
    <row r="53">
      <c r="B53" s="2" t="n">
        <v>44195</v>
      </c>
      <c r="C53" s="9" t="n">
        <v>1456190</v>
      </c>
      <c r="D53" s="9" t="n">
        <v>1323809.090909091</v>
      </c>
    </row>
    <row r="54">
      <c r="B54" s="2" t="n">
        <v>44196</v>
      </c>
      <c r="C54" s="9" t="n">
        <v>1242930</v>
      </c>
      <c r="D54" s="9" t="n">
        <v>1129936.363636364</v>
      </c>
    </row>
    <row r="55">
      <c r="B55" s="2" t="n">
        <v>44197</v>
      </c>
      <c r="C55" s="9" t="n">
        <v>1482315</v>
      </c>
      <c r="D55" s="9" t="n">
        <v>1347559.090909091</v>
      </c>
    </row>
    <row r="56">
      <c r="B56" s="2" t="n">
        <v>44198</v>
      </c>
      <c r="C56" s="9" t="n">
        <v>1992640</v>
      </c>
      <c r="D56" s="9" t="n">
        <v>1811490.909090909</v>
      </c>
    </row>
    <row r="57">
      <c r="B57" s="2" t="n">
        <v>44199</v>
      </c>
      <c r="C57" s="9" t="n">
        <v>2561125</v>
      </c>
      <c r="D57" s="9" t="n">
        <v>2328295.454545454</v>
      </c>
    </row>
    <row r="58">
      <c r="B58" s="2" t="n">
        <v>44200</v>
      </c>
      <c r="C58" s="9" t="n">
        <v>2013140</v>
      </c>
      <c r="D58" s="9" t="n">
        <v>1830127.272727272</v>
      </c>
    </row>
    <row r="59">
      <c r="B59" s="2" t="n">
        <v>44201</v>
      </c>
      <c r="C59" s="9" t="n">
        <v>1710500</v>
      </c>
      <c r="D59" s="9" t="n">
        <v>1555000</v>
      </c>
    </row>
    <row r="60">
      <c r="B60" s="2" t="n">
        <v>44202</v>
      </c>
      <c r="C60" s="9" t="n">
        <v>1659335</v>
      </c>
      <c r="D60" s="9" t="n">
        <v>1508486.363636364</v>
      </c>
    </row>
    <row r="61">
      <c r="B61" s="2" t="n">
        <v>44203</v>
      </c>
      <c r="C61" s="9" t="n">
        <v>2493470</v>
      </c>
      <c r="D61" s="9" t="n">
        <v>2266790.909090909</v>
      </c>
    </row>
    <row r="62">
      <c r="B62" s="2" t="n">
        <v>44204</v>
      </c>
      <c r="C62" s="9" t="n">
        <v>1242025</v>
      </c>
      <c r="D62" s="9" t="n">
        <v>1129113.636363636</v>
      </c>
    </row>
    <row r="63">
      <c r="B63" s="2" t="n">
        <v>44205</v>
      </c>
      <c r="C63" s="9" t="n">
        <v>1631035</v>
      </c>
      <c r="D63" s="9" t="n">
        <v>1482759.090909091</v>
      </c>
    </row>
    <row r="64">
      <c r="B64" s="2" t="n">
        <v>44206</v>
      </c>
      <c r="C64" s="9" t="n">
        <v>2119950</v>
      </c>
      <c r="D64" s="9" t="n">
        <v>1927227.272727273</v>
      </c>
    </row>
    <row r="65">
      <c r="B65" s="2" t="n">
        <v>44207</v>
      </c>
      <c r="C65" s="9" t="n">
        <v>2186580</v>
      </c>
      <c r="D65" s="9" t="n">
        <v>1987800</v>
      </c>
    </row>
    <row r="66">
      <c r="B66" s="2" t="n">
        <v>44208</v>
      </c>
      <c r="C66" s="9" t="n">
        <v>26237655</v>
      </c>
      <c r="D66" s="9" t="n">
        <v>23852413.63636364</v>
      </c>
    </row>
    <row r="67">
      <c r="B67" s="2" t="n">
        <v>44209</v>
      </c>
      <c r="C67" s="9" t="n">
        <v>5581505</v>
      </c>
      <c r="D67" s="9" t="n">
        <v>5074095.454545455</v>
      </c>
    </row>
    <row r="68">
      <c r="B68" s="2" t="n">
        <v>44210</v>
      </c>
      <c r="C68" s="9" t="n">
        <v>5646420</v>
      </c>
      <c r="D68" s="9" t="n">
        <v>5133109.090909089</v>
      </c>
    </row>
    <row r="69">
      <c r="B69" s="2" t="n">
        <v>44211</v>
      </c>
      <c r="C69" s="9" t="n">
        <v>19823471</v>
      </c>
      <c r="D69" s="9" t="n">
        <v>18021337.27272727</v>
      </c>
    </row>
    <row r="70">
      <c r="B70" s="2" t="n">
        <v>44212</v>
      </c>
      <c r="C70" s="9" t="n">
        <v>4631598</v>
      </c>
      <c r="D70" s="9" t="n">
        <v>4210543.636363637</v>
      </c>
    </row>
    <row r="71">
      <c r="B71" s="2" t="n">
        <v>44213</v>
      </c>
      <c r="C71" s="9" t="n">
        <v>2961310</v>
      </c>
      <c r="D71" s="9" t="n">
        <v>2692100</v>
      </c>
    </row>
    <row r="72">
      <c r="B72" s="2" t="n">
        <v>44214</v>
      </c>
      <c r="C72" s="9" t="n">
        <v>10712150</v>
      </c>
      <c r="D72" s="9" t="n">
        <v>9738318.181818182</v>
      </c>
    </row>
    <row r="73">
      <c r="B73" s="2" t="n">
        <v>44215</v>
      </c>
      <c r="C73" s="9" t="n">
        <v>13821660</v>
      </c>
      <c r="D73" s="9" t="n">
        <v>12565145.45454545</v>
      </c>
    </row>
    <row r="74">
      <c r="B74" s="2" t="n">
        <v>44216</v>
      </c>
      <c r="C74" s="9" t="n">
        <v>10169710</v>
      </c>
      <c r="D74" s="9" t="n">
        <v>9245190.909090908</v>
      </c>
    </row>
    <row r="75">
      <c r="B75" s="2" t="n">
        <v>44217</v>
      </c>
      <c r="C75" s="9" t="n">
        <v>10271365</v>
      </c>
      <c r="D75" s="9" t="n">
        <v>9337604.545454545</v>
      </c>
    </row>
    <row r="76">
      <c r="B76" s="2" t="n">
        <v>44218</v>
      </c>
      <c r="C76" s="9" t="n">
        <v>8520523</v>
      </c>
      <c r="D76" s="9" t="n">
        <v>7745929.999999998</v>
      </c>
    </row>
    <row r="77">
      <c r="B77" s="2" t="n">
        <v>44219</v>
      </c>
      <c r="C77" s="9" t="n">
        <v>8191560</v>
      </c>
      <c r="D77" s="9" t="n">
        <v>7446872.727272726</v>
      </c>
    </row>
    <row r="78">
      <c r="B78" s="2" t="n">
        <v>44220</v>
      </c>
      <c r="C78" s="9" t="n">
        <v>9104865</v>
      </c>
      <c r="D78" s="9" t="n">
        <v>8277149.999999999</v>
      </c>
    </row>
    <row r="79">
      <c r="B79" s="2" t="n">
        <v>44221</v>
      </c>
      <c r="C79" s="9" t="n">
        <v>8835100</v>
      </c>
      <c r="D79" s="9" t="n">
        <v>8031909.090909091</v>
      </c>
    </row>
    <row r="80">
      <c r="B80" s="2" t="n">
        <v>44222</v>
      </c>
      <c r="C80" s="9" t="n">
        <v>7928313</v>
      </c>
      <c r="D80" s="9" t="n">
        <v>7207557.272727272</v>
      </c>
    </row>
    <row r="81">
      <c r="B81" s="2" t="n">
        <v>44223</v>
      </c>
      <c r="C81" s="9" t="n">
        <v>8016625</v>
      </c>
      <c r="D81" s="9" t="n">
        <v>7287840.909090908</v>
      </c>
    </row>
    <row r="82">
      <c r="B82" s="2" t="n">
        <v>44224</v>
      </c>
      <c r="C82" s="9" t="n">
        <v>8516459</v>
      </c>
      <c r="D82" s="9" t="n">
        <v>7742235.454545453</v>
      </c>
    </row>
    <row r="83">
      <c r="B83" s="2" t="n">
        <v>44225</v>
      </c>
      <c r="C83" s="9" t="n">
        <v>10357601</v>
      </c>
      <c r="D83" s="9" t="n">
        <v>9416000.909090908</v>
      </c>
    </row>
    <row r="84">
      <c r="B84" s="2" t="n">
        <v>44226</v>
      </c>
      <c r="C84" s="9" t="n">
        <v>7128766</v>
      </c>
      <c r="D84" s="9" t="n">
        <v>6480696.363636363</v>
      </c>
    </row>
    <row r="85">
      <c r="B85" s="2" t="n">
        <v>44227</v>
      </c>
      <c r="C85" s="9" t="n">
        <v>9035000</v>
      </c>
      <c r="D85" s="9" t="n">
        <v>8213636.363636362</v>
      </c>
    </row>
    <row r="86">
      <c r="B86" s="2" t="n">
        <v>44228</v>
      </c>
      <c r="C86" s="9" t="n">
        <v>12289070</v>
      </c>
      <c r="D86" s="9" t="n">
        <v>11171881.81818181</v>
      </c>
    </row>
    <row r="87">
      <c r="B87" s="2" t="n">
        <v>44229</v>
      </c>
      <c r="C87" s="9" t="n">
        <v>11751710</v>
      </c>
      <c r="D87" s="9" t="n">
        <v>10683372.72727273</v>
      </c>
    </row>
    <row r="88">
      <c r="B88" s="2" t="n">
        <v>44230</v>
      </c>
      <c r="C88" s="9" t="n">
        <v>8209515</v>
      </c>
      <c r="D88" s="9" t="n">
        <v>7463195.454545454</v>
      </c>
    </row>
    <row r="89">
      <c r="B89" s="2" t="n">
        <v>44231</v>
      </c>
      <c r="C89" s="9" t="n">
        <v>7854395</v>
      </c>
      <c r="D89" s="9" t="n">
        <v>7140359.09090909</v>
      </c>
    </row>
    <row r="90">
      <c r="B90" s="2" t="n">
        <v>44232</v>
      </c>
      <c r="C90" s="9" t="n">
        <v>6933410</v>
      </c>
      <c r="D90" s="9" t="n">
        <v>6303100</v>
      </c>
    </row>
    <row r="91">
      <c r="B91" s="2" t="n">
        <v>44233</v>
      </c>
      <c r="C91" s="9" t="n">
        <v>8735630</v>
      </c>
      <c r="D91" s="9" t="n">
        <v>7941481.818181817</v>
      </c>
    </row>
    <row r="92">
      <c r="B92" s="2" t="n">
        <v>44234</v>
      </c>
      <c r="C92" s="9" t="n">
        <v>9466870</v>
      </c>
      <c r="D92" s="9" t="n">
        <v>8606245.454545453</v>
      </c>
    </row>
    <row r="93">
      <c r="B93" s="2" t="n">
        <v>44235</v>
      </c>
      <c r="C93" s="9" t="n">
        <v>8647770</v>
      </c>
      <c r="D93" s="9" t="n">
        <v>7861609.090909091</v>
      </c>
    </row>
    <row r="94">
      <c r="B94" s="2" t="n">
        <v>44236</v>
      </c>
      <c r="C94" s="9" t="n">
        <v>8002515</v>
      </c>
      <c r="D94" s="9" t="n">
        <v>7275013.636363635</v>
      </c>
    </row>
    <row r="95">
      <c r="B95" s="2" t="n">
        <v>44237</v>
      </c>
      <c r="C95" s="9" t="n">
        <v>4707065</v>
      </c>
      <c r="D95" s="9" t="n">
        <v>4279150</v>
      </c>
    </row>
    <row r="96">
      <c r="B96" s="2" t="n">
        <v>44238</v>
      </c>
      <c r="C96" s="9" t="n">
        <v>5720075</v>
      </c>
      <c r="D96" s="9" t="n">
        <v>5200068.181818181</v>
      </c>
    </row>
    <row r="97">
      <c r="B97" s="2" t="n">
        <v>44239</v>
      </c>
      <c r="C97" s="9" t="n">
        <v>7497940</v>
      </c>
      <c r="D97" s="9" t="n">
        <v>6816309.09090909</v>
      </c>
    </row>
    <row r="98">
      <c r="B98" s="2" t="n">
        <v>44240</v>
      </c>
      <c r="C98" s="9" t="n">
        <v>8975700</v>
      </c>
      <c r="D98" s="9" t="n">
        <v>8159727.272727272</v>
      </c>
    </row>
    <row r="99">
      <c r="B99" s="2" t="n">
        <v>44241</v>
      </c>
      <c r="C99" s="9" t="n">
        <v>12316495</v>
      </c>
      <c r="D99" s="9" t="n">
        <v>11196813.63636363</v>
      </c>
    </row>
    <row r="100">
      <c r="B100" s="2" t="n">
        <v>44242</v>
      </c>
      <c r="C100" s="9" t="n">
        <v>13427590</v>
      </c>
      <c r="D100" s="9" t="n">
        <v>12206900</v>
      </c>
    </row>
    <row r="101">
      <c r="B101" s="2" t="n">
        <v>44243</v>
      </c>
      <c r="C101" s="9" t="n">
        <v>10054845</v>
      </c>
      <c r="D101" s="9" t="n">
        <v>9140768.181818182</v>
      </c>
    </row>
    <row r="102">
      <c r="B102" s="2" t="inlineStr">
        <is>
          <t>총합계</t>
        </is>
      </c>
      <c r="C102" s="9" t="n">
        <v>456314937</v>
      </c>
      <c r="D102" s="9" t="n">
        <v>414831760.9090908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B1:J197"/>
  <sheetViews>
    <sheetView topLeftCell="J1" zoomScale="70" zoomScaleNormal="70" workbookViewId="0">
      <pane ySplit="1" topLeftCell="A125" activePane="bottomLeft" state="frozen"/>
      <selection pane="bottomLeft" activeCell="J142" sqref="J142"/>
    </sheetView>
  </sheetViews>
  <sheetFormatPr baseColWidth="8" defaultRowHeight="17.4"/>
  <cols>
    <col width="1.59765625" customWidth="1" style="12" min="1" max="1"/>
    <col width="28.69921875" customWidth="1" style="12" min="2" max="2"/>
    <col width="21.09765625" customWidth="1" style="12" min="3" max="3"/>
    <col width="136.69921875" customWidth="1" style="12" min="4" max="4"/>
    <col width="24.69921875" bestFit="1" customWidth="1" style="12" min="5" max="5"/>
    <col width="12" customWidth="1" style="12" min="6" max="6"/>
    <col width="58.09765625" bestFit="1" customWidth="1" style="12" min="7" max="7"/>
  </cols>
  <sheetData>
    <row r="1" ht="18" customHeight="1" s="12">
      <c r="B1" s="9" t="inlineStr">
        <is>
          <t>채널</t>
        </is>
      </c>
      <c r="C1" s="9" t="inlineStr">
        <is>
          <t>상품1</t>
        </is>
      </c>
      <c r="D1" s="9" t="inlineStr">
        <is>
          <t>상품2</t>
        </is>
      </c>
      <c r="E1" s="9" t="inlineStr">
        <is>
          <t>상품 상세</t>
        </is>
      </c>
      <c r="F1" s="9" t="inlineStr">
        <is>
          <t>구분(판매가)</t>
        </is>
      </c>
      <c r="G1" s="9" t="inlineStr">
        <is>
          <t>구분값</t>
        </is>
      </c>
      <c r="H1" s="9" t="inlineStr">
        <is>
          <t>판매가</t>
        </is>
      </c>
      <c r="I1" s="9" t="inlineStr">
        <is>
          <t>수수료</t>
        </is>
      </c>
      <c r="J1" s="9" t="inlineStr">
        <is>
          <t>원가</t>
        </is>
      </c>
    </row>
    <row r="2" ht="18" customHeight="1" s="12">
      <c r="B2" s="9" t="inlineStr">
        <is>
          <t>카페24</t>
        </is>
      </c>
      <c r="C2" s="9" t="inlineStr">
        <is>
          <t>샴푸</t>
        </is>
      </c>
      <c r="D2" s="9" t="inlineStr">
        <is>
          <t>리바이탈 샴푸</t>
        </is>
      </c>
      <c r="E2" s="9" t="inlineStr">
        <is>
          <t>리바이탈 샴푸</t>
        </is>
      </c>
      <c r="F2" s="9" t="n">
        <v>201109</v>
      </c>
      <c r="G2" s="9">
        <f>B2&amp;C2&amp;D2&amp;F2</f>
        <v/>
      </c>
      <c r="H2" s="9" t="n">
        <v>26900</v>
      </c>
      <c r="I2" s="9" t="n">
        <v>0.0585</v>
      </c>
      <c r="J2" s="9" t="n">
        <v>3020</v>
      </c>
    </row>
    <row r="3">
      <c r="B3" s="9" t="inlineStr">
        <is>
          <t>카페24</t>
        </is>
      </c>
      <c r="C3" s="9" t="inlineStr">
        <is>
          <t>샴푸</t>
        </is>
      </c>
      <c r="D3" s="9" t="inlineStr">
        <is>
          <t>리바이탈 샴푸 2set</t>
        </is>
      </c>
      <c r="E3" s="9" t="inlineStr">
        <is>
          <t>리바이탈 샴푸 2set</t>
        </is>
      </c>
      <c r="F3" s="9" t="n">
        <v>201109</v>
      </c>
      <c r="G3" s="9">
        <f>B3&amp;C3&amp;D3&amp;F3</f>
        <v/>
      </c>
      <c r="H3" s="9" t="n">
        <v>51110</v>
      </c>
      <c r="I3" s="9" t="n">
        <v>0.0585</v>
      </c>
      <c r="J3" s="9" t="n">
        <v>6040</v>
      </c>
    </row>
    <row r="4">
      <c r="B4" s="9" t="inlineStr">
        <is>
          <t>카페24</t>
        </is>
      </c>
      <c r="C4" s="9" t="inlineStr">
        <is>
          <t>샴푸</t>
        </is>
      </c>
      <c r="D4" s="9" t="inlineStr">
        <is>
          <t>리바이탈 샴푸 3set</t>
        </is>
      </c>
      <c r="E4" s="9" t="inlineStr">
        <is>
          <t>리바이탈 샴푸 3set</t>
        </is>
      </c>
      <c r="F4" s="9" t="n">
        <v>201109</v>
      </c>
      <c r="G4" s="9">
        <f>B4&amp;C4&amp;D4&amp;F4</f>
        <v/>
      </c>
      <c r="H4" s="9" t="n">
        <v>72630</v>
      </c>
      <c r="I4" s="9" t="n">
        <v>0.0585</v>
      </c>
      <c r="J4" s="9" t="n">
        <v>9060</v>
      </c>
    </row>
    <row r="5">
      <c r="B5" s="9" t="inlineStr">
        <is>
          <t>라베나 CS</t>
        </is>
      </c>
      <c r="C5" s="9" t="inlineStr">
        <is>
          <t>샴푸</t>
        </is>
      </c>
      <c r="D5" s="9" t="inlineStr">
        <is>
          <t>리바이탈 샴푸</t>
        </is>
      </c>
      <c r="E5" s="9" t="inlineStr">
        <is>
          <t>리바이탈 샴푸</t>
        </is>
      </c>
      <c r="F5" s="9" t="n">
        <v>201109</v>
      </c>
      <c r="G5" s="9">
        <f>B5&amp;C5&amp;D5&amp;F5</f>
        <v/>
      </c>
      <c r="H5" s="9" t="n">
        <v>0</v>
      </c>
      <c r="I5" s="9" t="n">
        <v>0.0585</v>
      </c>
      <c r="J5" s="9" t="n">
        <v>3020</v>
      </c>
    </row>
    <row r="6">
      <c r="B6" s="9" t="inlineStr">
        <is>
          <t>라베나 CS</t>
        </is>
      </c>
      <c r="C6" s="9" t="inlineStr">
        <is>
          <t>샴푸</t>
        </is>
      </c>
      <c r="D6" s="9" t="inlineStr">
        <is>
          <t>리바이탈 샴푸 2set</t>
        </is>
      </c>
      <c r="E6" s="9" t="inlineStr">
        <is>
          <t>리바이탈 샴푸 2set</t>
        </is>
      </c>
      <c r="F6" s="9" t="n">
        <v>201109</v>
      </c>
      <c r="G6" s="9">
        <f>B6&amp;C6&amp;D6&amp;F6</f>
        <v/>
      </c>
      <c r="H6" s="9" t="n">
        <v>0</v>
      </c>
      <c r="I6" s="9" t="n">
        <v>0.0585</v>
      </c>
      <c r="J6" s="9" t="n">
        <v>6040</v>
      </c>
    </row>
    <row r="7">
      <c r="B7" s="9" t="inlineStr">
        <is>
          <t>라베나 CS</t>
        </is>
      </c>
      <c r="C7" s="9" t="inlineStr">
        <is>
          <t>샴푸</t>
        </is>
      </c>
      <c r="D7" s="9" t="inlineStr">
        <is>
          <t>리바이탈 샴푸 3set</t>
        </is>
      </c>
      <c r="E7" s="9" t="inlineStr">
        <is>
          <t>리바이탈 샴푸 3set</t>
        </is>
      </c>
      <c r="F7" s="9" t="n">
        <v>201109</v>
      </c>
      <c r="G7" s="9">
        <f>B7&amp;C7&amp;D7&amp;F7</f>
        <v/>
      </c>
      <c r="H7" s="9" t="n">
        <v>0</v>
      </c>
      <c r="I7" s="9" t="n">
        <v>0.0585</v>
      </c>
      <c r="J7" s="9" t="n">
        <v>9060</v>
      </c>
    </row>
    <row r="8">
      <c r="B8" s="9" t="inlineStr">
        <is>
          <t>라베나 CS</t>
        </is>
      </c>
      <c r="C8" s="9" t="inlineStr">
        <is>
          <t>샴푸</t>
        </is>
      </c>
      <c r="D8" s="9" t="inlineStr">
        <is>
          <t>HAIR RÉ:COVERY 15 Revital Shampoo [라베나 리커버리 15 리바이탈 샴푸]제품선택=리바이탈 샴푸 2개 세트 5%추가할인</t>
        </is>
      </c>
      <c r="E8" s="9" t="inlineStr">
        <is>
          <t>리바이탈 샴푸 2set</t>
        </is>
      </c>
      <c r="F8" s="9" t="n">
        <v>201210</v>
      </c>
      <c r="G8" s="9">
        <f>B8&amp;C8&amp;D8&amp;F8</f>
        <v/>
      </c>
      <c r="H8" s="9" t="n">
        <v>0</v>
      </c>
      <c r="I8" s="9" t="n">
        <v>0.0585</v>
      </c>
      <c r="J8" s="9" t="n">
        <v>6040</v>
      </c>
    </row>
    <row r="9">
      <c r="B9" s="9" t="inlineStr">
        <is>
          <t>라베나 CS</t>
        </is>
      </c>
      <c r="C9" s="9" t="inlineStr">
        <is>
          <t>샴푸</t>
        </is>
      </c>
      <c r="D9" s="9" t="inlineStr">
        <is>
          <t>HAIR RÉ:COVERY 15 Revital Shampoo [라베나 리커버리 15 리바이탈 샴푸]제품선택=헤어 리커버리 15 리바이탈 샴푸 - 500ml</t>
        </is>
      </c>
      <c r="E9" s="9" t="inlineStr">
        <is>
          <t>리바이탈 샴푸</t>
        </is>
      </c>
      <c r="F9" s="9" t="n">
        <v>201210</v>
      </c>
      <c r="G9" s="9">
        <f>B9&amp;C9&amp;D9&amp;F9</f>
        <v/>
      </c>
      <c r="H9" s="9" t="n">
        <v>0</v>
      </c>
      <c r="I9" s="9" t="n">
        <v>0</v>
      </c>
      <c r="J9" s="9" t="n">
        <v>3020</v>
      </c>
    </row>
    <row r="10">
      <c r="B10" s="9" t="inlineStr">
        <is>
          <t>라베나 CS</t>
        </is>
      </c>
      <c r="C10" s="9" t="inlineStr">
        <is>
          <t>샴푸</t>
        </is>
      </c>
      <c r="D10" s="9" t="inlineStr">
        <is>
          <t>헤어 리커버리 15 리바이탈 샴푸</t>
        </is>
      </c>
      <c r="E10" s="9" t="inlineStr">
        <is>
          <t>리바이탈 샴푸</t>
        </is>
      </c>
      <c r="F10" s="9" t="n">
        <v>201210</v>
      </c>
      <c r="G10" s="9">
        <f>B10&amp;C10&amp;D10&amp;F10</f>
        <v/>
      </c>
      <c r="H10" s="9" t="n">
        <v>0</v>
      </c>
      <c r="I10" s="9" t="n">
        <v>0</v>
      </c>
      <c r="J10" s="9" t="n">
        <v>3020</v>
      </c>
    </row>
    <row r="11">
      <c r="B11" s="9" t="inlineStr">
        <is>
          <t>카페24</t>
        </is>
      </c>
      <c r="C11" s="9" t="inlineStr">
        <is>
          <t>샴푸</t>
        </is>
      </c>
      <c r="D11" s="9" t="inlineStr">
        <is>
          <t>HAIR RÉ:COVERY 15 Revital Shampoo [라베나 리커버리 15 리바이탈 샴푸]제품선택=헤어 리커버리 15 리바이탈 샴푸 - 500ml</t>
        </is>
      </c>
      <c r="E11" s="9" t="inlineStr">
        <is>
          <t>리바이탈 샴푸</t>
        </is>
      </c>
      <c r="F11" s="9" t="n">
        <v>201210</v>
      </c>
      <c r="G11" s="9">
        <f>B11&amp;C11&amp;D11&amp;F11</f>
        <v/>
      </c>
      <c r="H11" s="9" t="n">
        <v>26900</v>
      </c>
      <c r="I11" s="9" t="n">
        <v>0.0585</v>
      </c>
      <c r="J11" s="9" t="n">
        <v>3020</v>
      </c>
    </row>
    <row r="12">
      <c r="B12" s="9" t="inlineStr">
        <is>
          <t>카페24</t>
        </is>
      </c>
      <c r="C12" s="9" t="inlineStr">
        <is>
          <t>샴푸</t>
        </is>
      </c>
      <c r="D12" s="9" t="inlineStr">
        <is>
          <t>HAIR RÉ:COVERY 15 Revital Shampoo [라베나 리커버리 15 리바이탈 샴푸]제품선택=리바이탈 샴푸 2개 세트 5%추가할인</t>
        </is>
      </c>
      <c r="E12" s="9" t="inlineStr">
        <is>
          <t>리바이탈 샴푸 2set</t>
        </is>
      </c>
      <c r="F12" s="9" t="n">
        <v>201210</v>
      </c>
      <c r="G12" s="9">
        <f>B12&amp;C12&amp;D12&amp;F12</f>
        <v/>
      </c>
      <c r="H12" s="9" t="n">
        <v>51110</v>
      </c>
      <c r="I12" s="9" t="n">
        <v>0.0585</v>
      </c>
      <c r="J12" s="9" t="n">
        <v>6040</v>
      </c>
    </row>
    <row r="13">
      <c r="B13" s="9" t="inlineStr">
        <is>
          <t>카페24</t>
        </is>
      </c>
      <c r="C13" s="9" t="inlineStr">
        <is>
          <t>샴푸</t>
        </is>
      </c>
      <c r="D13" s="9" t="inlineStr">
        <is>
          <t>HAIR RÉ:COVERY 15 Revital Shampoo [라베나 리커버리 15 리바이탈 샴푸]제품선택=리바이탈 샴푸 3개 세트 10% 추가할인</t>
        </is>
      </c>
      <c r="E13" s="9" t="inlineStr">
        <is>
          <t>리바이탈 샴푸 3set</t>
        </is>
      </c>
      <c r="F13" s="9" t="n">
        <v>201210</v>
      </c>
      <c r="G13" s="9">
        <f>B13&amp;C13&amp;D13&amp;F13</f>
        <v/>
      </c>
      <c r="H13" s="9" t="n">
        <v>72630</v>
      </c>
      <c r="I13" s="9" t="n">
        <v>0.0585</v>
      </c>
      <c r="J13" s="9" t="n">
        <v>9060</v>
      </c>
    </row>
    <row r="14">
      <c r="B14" s="9" t="inlineStr">
        <is>
          <t>카페24</t>
        </is>
      </c>
      <c r="C14" s="9" t="inlineStr">
        <is>
          <t>샴푸</t>
        </is>
      </c>
      <c r="D14" s="9" t="inlineStr">
        <is>
          <t>헤어 리커버리 15 리바이탈 샴푸</t>
        </is>
      </c>
      <c r="E14" s="9" t="inlineStr">
        <is>
          <t>리바이탈 샴푸</t>
        </is>
      </c>
      <c r="F14" s="9" t="n">
        <v>201210</v>
      </c>
      <c r="G14" s="9">
        <f>B14&amp;C14&amp;D14&amp;F14</f>
        <v/>
      </c>
      <c r="H14" s="9" t="n">
        <v>26900</v>
      </c>
      <c r="I14" s="9" t="n">
        <v>0.0585</v>
      </c>
      <c r="J14" s="9" t="n">
        <v>3020</v>
      </c>
    </row>
    <row r="15">
      <c r="B15" s="9" t="inlineStr">
        <is>
          <t>카페24</t>
        </is>
      </c>
      <c r="C15" s="9" t="inlineStr">
        <is>
          <t>샴푸</t>
        </is>
      </c>
      <c r="D15" s="9" t="inlineStr">
        <is>
          <t>라베나 리커버리 15 리바이탈 샴푸 [HAIR RÉ:COVERY 15 Revital Shampoo]제품선택=헤어 리커버리 15 리바이탈 샴푸 - 500ml</t>
        </is>
      </c>
      <c r="E15" s="9" t="inlineStr">
        <is>
          <t>리바이탈 샴푸</t>
        </is>
      </c>
      <c r="F15" s="9" t="n">
        <v>201210</v>
      </c>
      <c r="G15" s="9">
        <f>B15&amp;C15&amp;D15&amp;F15</f>
        <v/>
      </c>
      <c r="H15" s="9" t="n">
        <v>26900</v>
      </c>
      <c r="I15" s="9" t="n">
        <v>0.0585</v>
      </c>
      <c r="J15" s="9" t="n">
        <v>3020</v>
      </c>
    </row>
    <row r="16">
      <c r="B16" s="9" t="inlineStr">
        <is>
          <t>카페24</t>
        </is>
      </c>
      <c r="C16" s="9" t="inlineStr">
        <is>
          <t>샴푸</t>
        </is>
      </c>
      <c r="D16" s="9" t="inlineStr">
        <is>
          <t>라베나 리커버리 15 리바이탈 샴푸 [HAIR RÉ:COVERY 15 Revital Shampoo]제품선택=리바이탈 샴푸 2개 세트 5%추가할인</t>
        </is>
      </c>
      <c r="E16" s="9" t="inlineStr">
        <is>
          <t>리바이탈 샴푸 2set</t>
        </is>
      </c>
      <c r="F16" s="9" t="n">
        <v>201210</v>
      </c>
      <c r="G16" s="9">
        <f>B16&amp;C16&amp;D16&amp;F16</f>
        <v/>
      </c>
      <c r="H16" s="9" t="n">
        <v>51110</v>
      </c>
      <c r="I16" s="9" t="n">
        <v>0.0585</v>
      </c>
      <c r="J16" s="9" t="n">
        <v>6040</v>
      </c>
    </row>
    <row r="17">
      <c r="B17" s="9" t="inlineStr">
        <is>
          <t>카페24</t>
        </is>
      </c>
      <c r="C17" s="9" t="inlineStr">
        <is>
          <t>샴푸</t>
        </is>
      </c>
      <c r="D17" s="9" t="inlineStr">
        <is>
          <t>라베나 리커버리 15 리바이탈 샴푸 [HAIR RÉ:COVERY 15 Revital Shampoo]제품선택=리바이탈 샴푸 3개 세트 10% 추가할인</t>
        </is>
      </c>
      <c r="E17" s="9" t="inlineStr">
        <is>
          <t>리바이탈 샴푸 3set</t>
        </is>
      </c>
      <c r="F17" s="9" t="n">
        <v>201210</v>
      </c>
      <c r="G17" s="9">
        <f>B17&amp;C17&amp;D17&amp;F17</f>
        <v/>
      </c>
      <c r="H17" s="9" t="n">
        <v>72630</v>
      </c>
      <c r="I17" s="9" t="n">
        <v>0.0585</v>
      </c>
      <c r="J17" s="9" t="n">
        <v>9060</v>
      </c>
    </row>
    <row r="18">
      <c r="B18" s="9" t="inlineStr">
        <is>
          <t>카페24</t>
        </is>
      </c>
      <c r="C18" s="9" t="inlineStr">
        <is>
          <t>샴푸</t>
        </is>
      </c>
      <c r="D18" s="9" t="inlineStr">
        <is>
          <t>라베나 리커버리 15 리바이탈 바이오플라보노이드샴푸 [HAIR RÉ:COVERY 15 Revital Shampoo]제품선택=헤어 리커버리 15 리바이탈 샴푸 - 500ml</t>
        </is>
      </c>
      <c r="E18" s="9" t="inlineStr">
        <is>
          <t>리바이탈 샴푸</t>
        </is>
      </c>
      <c r="F18" s="9" t="n">
        <v>201210</v>
      </c>
      <c r="G18" s="9">
        <f>B18&amp;C18&amp;D18&amp;F18</f>
        <v/>
      </c>
      <c r="H18" s="9" t="n">
        <v>26900</v>
      </c>
      <c r="I18" s="9" t="n">
        <v>0.0585</v>
      </c>
      <c r="J18" s="9" t="n">
        <v>3020</v>
      </c>
    </row>
    <row r="19">
      <c r="B19" s="9" t="inlineStr">
        <is>
          <t>카페24</t>
        </is>
      </c>
      <c r="C19" s="9" t="inlineStr">
        <is>
          <t>샴푸</t>
        </is>
      </c>
      <c r="D19" s="9" t="inlineStr">
        <is>
          <t>라베나 리커버리 15 리바이탈 바이오플라보노이드샴푸 [HAIR RÉ:COVERY 15 Revital Shampoo]제품선택=리바이탈 샴푸 2개 세트 5%추가할인</t>
        </is>
      </c>
      <c r="E19" s="9" t="inlineStr">
        <is>
          <t>리바이탈 샴푸 2set</t>
        </is>
      </c>
      <c r="F19" s="9" t="n">
        <v>201210</v>
      </c>
      <c r="G19" s="9">
        <f>B19&amp;C19&amp;D19&amp;F19</f>
        <v/>
      </c>
      <c r="H19" s="9" t="n">
        <v>51110</v>
      </c>
      <c r="I19" s="9" t="n">
        <v>0.0585</v>
      </c>
      <c r="J19" s="9" t="n">
        <v>6040</v>
      </c>
    </row>
    <row r="20">
      <c r="B20" s="9" t="inlineStr">
        <is>
          <t>카페24</t>
        </is>
      </c>
      <c r="C20" s="9" t="inlineStr">
        <is>
          <t>샴푸</t>
        </is>
      </c>
      <c r="D20" s="9" t="inlineStr">
        <is>
          <t>라베나 리커버리 15 리바이탈 바이오플라보노이드샴푸 [HAIR RÉ:COVERY 15 Revital Shampoo]제품선택=리바이탈 샴푸 3개 세트 10% 추가할인</t>
        </is>
      </c>
      <c r="E20" s="9" t="inlineStr">
        <is>
          <t>리바이탈 샴푸 3set</t>
        </is>
      </c>
      <c r="F20" s="9" t="n">
        <v>201210</v>
      </c>
      <c r="G20" s="9">
        <f>B20&amp;C20&amp;D20&amp;F20</f>
        <v/>
      </c>
      <c r="H20" s="9" t="n">
        <v>72630</v>
      </c>
      <c r="I20" s="9" t="n">
        <v>0.0585</v>
      </c>
      <c r="J20" s="9" t="n">
        <v>9060</v>
      </c>
    </row>
    <row r="21">
      <c r="B21" s="9" t="inlineStr">
        <is>
          <t>라베나 CS</t>
        </is>
      </c>
      <c r="C21" s="9" t="inlineStr">
        <is>
          <t>뉴트리셔스밤</t>
        </is>
      </c>
      <c r="D21" s="9" t="inlineStr">
        <is>
          <t>헤어 리커버리 15 뉴트리셔스 밤</t>
        </is>
      </c>
      <c r="E21" s="9" t="inlineStr">
        <is>
          <t>뉴트리셔스밤</t>
        </is>
      </c>
      <c r="F21" s="9" t="n">
        <v>201210</v>
      </c>
      <c r="G21" s="9">
        <f>B21&amp;C21&amp;D21&amp;F21</f>
        <v/>
      </c>
      <c r="H21" s="9" t="n">
        <v>0</v>
      </c>
      <c r="I21" s="9" t="n">
        <v>0</v>
      </c>
      <c r="J21" s="9" t="n">
        <v>1580</v>
      </c>
    </row>
    <row r="22">
      <c r="B22" s="9" t="inlineStr">
        <is>
          <t>카페24</t>
        </is>
      </c>
      <c r="C22" s="9" t="inlineStr">
        <is>
          <t>뉴트리셔스밤</t>
        </is>
      </c>
      <c r="D22" s="9" t="inlineStr">
        <is>
          <t>HAIR RÉ:COVERY 15 Nutritious Balm [헤어 리커버리 15 뉴트리셔스 밤]제품선택=헤어 리커버리 15 뉴트리셔스 밤</t>
        </is>
      </c>
      <c r="E22" s="9" t="inlineStr">
        <is>
          <t>뉴트리셔스밤</t>
        </is>
      </c>
      <c r="F22" s="9" t="n">
        <v>201210</v>
      </c>
      <c r="G22" s="9">
        <f>B22&amp;C22&amp;D22&amp;F22</f>
        <v/>
      </c>
      <c r="H22" s="9" t="n">
        <v>24900</v>
      </c>
      <c r="I22" s="9" t="n">
        <v>0.0585</v>
      </c>
      <c r="J22" s="9" t="n">
        <v>1580</v>
      </c>
    </row>
    <row r="23">
      <c r="B23" s="9" t="inlineStr">
        <is>
          <t>카페24</t>
        </is>
      </c>
      <c r="C23" s="9" t="inlineStr">
        <is>
          <t>뉴트리셔스밤</t>
        </is>
      </c>
      <c r="D23" s="9" t="inlineStr">
        <is>
          <t>HAIR RÉ:COVERY 15 Nutritious Balm [헤어 리커버리 15 뉴트리셔스 밤]제품선택=뉴트리셔스 밤 2개 세트 5% 추가할인</t>
        </is>
      </c>
      <c r="E23" s="9" t="inlineStr">
        <is>
          <t>뉴트리셔스밤 2set</t>
        </is>
      </c>
      <c r="F23" s="9" t="n">
        <v>201210</v>
      </c>
      <c r="G23" s="9">
        <f>B23&amp;C23&amp;D23&amp;F23</f>
        <v/>
      </c>
      <c r="H23" s="9" t="n">
        <v>47310</v>
      </c>
      <c r="I23" s="9" t="n">
        <v>0.0585</v>
      </c>
      <c r="J23" s="9" t="n">
        <v>3160</v>
      </c>
    </row>
    <row r="24">
      <c r="B24" s="9" t="inlineStr">
        <is>
          <t>카페24</t>
        </is>
      </c>
      <c r="C24" s="9" t="inlineStr">
        <is>
          <t>뉴트리셔스밤</t>
        </is>
      </c>
      <c r="D24" s="9" t="inlineStr">
        <is>
          <t>HAIR RÉ:COVERY 15 Nutritious Balm [헤어 리커버리 15 뉴트리셔스 밤]제품선택=뉴트리셔스 밤 3개 세트 10% 추가할인</t>
        </is>
      </c>
      <c r="E24" s="9" t="inlineStr">
        <is>
          <t>뉴트리셔스밤 3set</t>
        </is>
      </c>
      <c r="F24" s="9" t="n">
        <v>201210</v>
      </c>
      <c r="G24" s="9">
        <f>B24&amp;C24&amp;D24&amp;F24</f>
        <v/>
      </c>
      <c r="H24" s="9" t="n">
        <v>67230</v>
      </c>
      <c r="I24" s="9" t="n">
        <v>0.0585</v>
      </c>
      <c r="J24" s="9" t="n">
        <v>4740</v>
      </c>
    </row>
    <row r="25">
      <c r="B25" s="9" t="inlineStr">
        <is>
          <t>카페24</t>
        </is>
      </c>
      <c r="C25" s="9" t="inlineStr">
        <is>
          <t>뉴트리셔스밤</t>
        </is>
      </c>
      <c r="D25" s="9" t="inlineStr">
        <is>
          <t>LAVENA HAIR RÉ:COVERY 15 Nutritious Balm [헤어 리커버리 15 뉴트리셔스 밤]제품선택=헤어 리커버리 15 뉴트리셔스 밤</t>
        </is>
      </c>
      <c r="E25" s="9" t="inlineStr">
        <is>
          <t>뉴트리셔스밤</t>
        </is>
      </c>
      <c r="F25" s="9" t="n">
        <v>201210</v>
      </c>
      <c r="G25" s="9">
        <f>B25&amp;C25&amp;D25&amp;F25</f>
        <v/>
      </c>
      <c r="H25" s="9" t="n">
        <v>24900</v>
      </c>
      <c r="I25" s="9" t="n">
        <v>0.0585</v>
      </c>
      <c r="J25" s="9" t="n">
        <v>1580</v>
      </c>
    </row>
    <row r="26">
      <c r="B26" s="9" t="inlineStr">
        <is>
          <t>카페24</t>
        </is>
      </c>
      <c r="C26" s="9" t="inlineStr">
        <is>
          <t>뉴트리셔스밤</t>
        </is>
      </c>
      <c r="D26" s="9" t="inlineStr">
        <is>
          <t>HAIR RÉ:COVERY 15 Nutritious Balm [헤어 리커버리 15 뉴트리셔스 밤]제품선택=뉴트리셔스밤 1개 + 헤어팩 트리트먼트 1개 세트 5%추가할인</t>
        </is>
      </c>
      <c r="E26" s="9" t="inlineStr">
        <is>
          <t>트리트먼트+뉴트리셔스밤</t>
        </is>
      </c>
      <c r="F26" s="9" t="n">
        <v>201210</v>
      </c>
      <c r="G26" s="9">
        <f>B26&amp;C26&amp;D26&amp;F26</f>
        <v/>
      </c>
      <c r="H26" s="9" t="n">
        <v>48355</v>
      </c>
      <c r="I26" s="9" t="n">
        <v>0.0585</v>
      </c>
      <c r="J26" s="9" t="n">
        <v>3177</v>
      </c>
    </row>
    <row r="27">
      <c r="B27" s="9" t="inlineStr">
        <is>
          <t>카페24</t>
        </is>
      </c>
      <c r="C27" s="9" t="inlineStr">
        <is>
          <t>뉴트리셔스밤</t>
        </is>
      </c>
      <c r="D27" s="9" t="inlineStr">
        <is>
          <t>HAIR RÉ:COVERY 15 Nutritious Balm [라베나 리커버리 15 뉴트리셔스 밤]제품선택=헤어 리커버리 15 뉴트리셔스 밤</t>
        </is>
      </c>
      <c r="E27" s="9" t="inlineStr">
        <is>
          <t>뉴트리셔스밤</t>
        </is>
      </c>
      <c r="F27" s="9" t="n">
        <v>201210</v>
      </c>
      <c r="G27" s="9">
        <f>B27&amp;C27&amp;D27&amp;F27</f>
        <v/>
      </c>
      <c r="H27" s="9" t="n">
        <v>24900</v>
      </c>
      <c r="I27" s="9" t="n">
        <v>0.0585</v>
      </c>
      <c r="J27" s="9" t="n">
        <v>1580</v>
      </c>
    </row>
    <row r="28">
      <c r="B28" s="9" t="inlineStr">
        <is>
          <t>카페24</t>
        </is>
      </c>
      <c r="C28" s="9" t="inlineStr">
        <is>
          <t>뉴트리셔스밤</t>
        </is>
      </c>
      <c r="D28" s="9" t="inlineStr">
        <is>
          <t>HAIR RÉ:COVERY 15 Nutritious Balm [라베나 리커버리 15 뉴트리셔스 밤]제품선택=뉴트리셔스 밤 2개 세트 5% 추가할인</t>
        </is>
      </c>
      <c r="E28" s="9" t="inlineStr">
        <is>
          <t>뉴트리셔스밤 2set</t>
        </is>
      </c>
      <c r="F28" s="9" t="n">
        <v>201210</v>
      </c>
      <c r="G28" s="9">
        <f>B28&amp;C28&amp;D28&amp;F28</f>
        <v/>
      </c>
      <c r="H28" s="9" t="n">
        <v>47310</v>
      </c>
      <c r="I28" s="9" t="n">
        <v>0.0585</v>
      </c>
      <c r="J28" s="9" t="n">
        <v>3160</v>
      </c>
    </row>
    <row r="29">
      <c r="B29" s="9" t="inlineStr">
        <is>
          <t>카페24</t>
        </is>
      </c>
      <c r="C29" s="9" t="inlineStr">
        <is>
          <t>뉴트리셔스밤</t>
        </is>
      </c>
      <c r="D29" s="9" t="inlineStr">
        <is>
          <t>HAIR RÉ:COVERY 15 Nutritious Balm [라베나 리커버리 15 뉴트리셔스 밤]제품선택=뉴트리셔스 밤 3개 세트 10% 추가할인</t>
        </is>
      </c>
      <c r="E29" s="9" t="inlineStr">
        <is>
          <t>뉴트리셔스밤 3set</t>
        </is>
      </c>
      <c r="F29" s="9" t="n">
        <v>201210</v>
      </c>
      <c r="G29" s="9">
        <f>B29&amp;C29&amp;D29&amp;F29</f>
        <v/>
      </c>
      <c r="H29" s="9" t="n">
        <v>67230</v>
      </c>
      <c r="I29" s="9" t="n">
        <v>0.0585</v>
      </c>
      <c r="J29" s="9" t="n">
        <v>4740</v>
      </c>
    </row>
    <row r="30">
      <c r="B30" s="9" t="inlineStr">
        <is>
          <t>카페24</t>
        </is>
      </c>
      <c r="C30" s="9" t="inlineStr">
        <is>
          <t>뉴트리셔스밤</t>
        </is>
      </c>
      <c r="D30" s="9" t="inlineStr">
        <is>
          <t>HAIR RÉ:COVERY 15 Nutritious Balm [라베나 리커버리 15 뉴트리셔스 밤]제품선택=뉴트리셔스밤 1개 + 헤어팩 트리트먼트 1개 세트 5%추가할인</t>
        </is>
      </c>
      <c r="E30" s="9" t="inlineStr">
        <is>
          <t>트리트먼트+뉴트리셔스밤</t>
        </is>
      </c>
      <c r="F30" s="9" t="n">
        <v>201210</v>
      </c>
      <c r="G30" s="9">
        <f>B30&amp;C30&amp;D30&amp;F30</f>
        <v/>
      </c>
      <c r="H30" s="9" t="n">
        <v>48355</v>
      </c>
      <c r="I30" s="9" t="n">
        <v>0.0585</v>
      </c>
      <c r="J30" s="9" t="n">
        <v>3177</v>
      </c>
    </row>
    <row r="31">
      <c r="B31" s="9" t="inlineStr">
        <is>
          <t>카페24</t>
        </is>
      </c>
      <c r="C31" s="9" t="inlineStr">
        <is>
          <t>뉴트리셔스밤</t>
        </is>
      </c>
      <c r="D31" s="9" t="inlineStr">
        <is>
          <t>라베나 리커버리 15 뉴트리셔스 밤 [HAIR RÉ:COVERY 15 Nutritious Balm]제품선택=헤어 리커버리 15 뉴트리셔스 밤</t>
        </is>
      </c>
      <c r="E31" s="9" t="inlineStr">
        <is>
          <t>뉴트리셔스밤</t>
        </is>
      </c>
      <c r="F31" s="9" t="n">
        <v>201210</v>
      </c>
      <c r="G31" s="9">
        <f>B31&amp;C31&amp;D31&amp;F31</f>
        <v/>
      </c>
      <c r="H31" s="9" t="n">
        <v>24900</v>
      </c>
      <c r="I31" s="9" t="n">
        <v>0.0585</v>
      </c>
      <c r="J31" s="9" t="n">
        <v>1580</v>
      </c>
    </row>
    <row r="32">
      <c r="B32" s="9" t="inlineStr">
        <is>
          <t>카페24</t>
        </is>
      </c>
      <c r="C32" s="9" t="inlineStr">
        <is>
          <t>뉴트리셔스밤</t>
        </is>
      </c>
      <c r="D32" s="9" t="inlineStr">
        <is>
          <t>라베나 리커버리 15 뉴트리셔스 밤 [HAIR RÉ:COVERY 15 Nutritious Balm]제품선택=뉴트리셔스 밤 2개 세트 5% 추가할인</t>
        </is>
      </c>
      <c r="E32" s="9" t="inlineStr">
        <is>
          <t>뉴트리셔스밤 2set</t>
        </is>
      </c>
      <c r="F32" s="9" t="n">
        <v>201210</v>
      </c>
      <c r="G32" s="9">
        <f>B32&amp;C32&amp;D32&amp;F32</f>
        <v/>
      </c>
      <c r="H32" s="9" t="n">
        <v>47310</v>
      </c>
      <c r="I32" s="9" t="n">
        <v>0.0585</v>
      </c>
      <c r="J32" s="9" t="n">
        <v>3160</v>
      </c>
    </row>
    <row r="33">
      <c r="B33" s="9" t="inlineStr">
        <is>
          <t>카페24</t>
        </is>
      </c>
      <c r="C33" s="9" t="inlineStr">
        <is>
          <t>뉴트리셔스밤</t>
        </is>
      </c>
      <c r="D33" s="9" t="inlineStr">
        <is>
          <t>라베나 리커버리 15 뉴트리셔스 밤 [HAIR RÉ:COVERY 15 Nutritious Balm]제품선택=뉴트리셔스밤 1개 + 헤어팩 트리트먼트 1개 세트 5%추가할인</t>
        </is>
      </c>
      <c r="E33" s="9" t="inlineStr">
        <is>
          <t>트리트먼트+뉴트리셔스밤</t>
        </is>
      </c>
      <c r="F33" s="9" t="n">
        <v>201210</v>
      </c>
      <c r="G33" s="9">
        <f>B33&amp;C33&amp;D33&amp;F33</f>
        <v/>
      </c>
      <c r="H33" s="9" t="n">
        <v>48355</v>
      </c>
      <c r="I33" s="9" t="n">
        <v>0.0585</v>
      </c>
      <c r="J33" s="9" t="n">
        <v>3177</v>
      </c>
    </row>
    <row r="34">
      <c r="B34" s="9" t="inlineStr">
        <is>
          <t>카페24</t>
        </is>
      </c>
      <c r="C34" s="9" t="inlineStr">
        <is>
          <t>뉴트리셔스밤</t>
        </is>
      </c>
      <c r="D34" s="9" t="inlineStr">
        <is>
          <t>라베나 리커버리 15 뉴트리셔스 밤 [HAIR RÉ:COVERY 15 Nutritious Balm]제품선택=뉴트리셔스 밤 3개 세트 10% 추가할인</t>
        </is>
      </c>
      <c r="E34" s="9" t="inlineStr">
        <is>
          <t>뉴트리셔스밤 3set</t>
        </is>
      </c>
      <c r="F34" s="9" t="n">
        <v>201210</v>
      </c>
      <c r="G34" s="9">
        <f>B34&amp;C34&amp;D34&amp;F34</f>
        <v/>
      </c>
      <c r="H34" s="9" t="n">
        <v>62868</v>
      </c>
      <c r="I34" s="9" t="n">
        <v>0.0585</v>
      </c>
      <c r="J34" s="9" t="n">
        <v>4740</v>
      </c>
    </row>
    <row r="35">
      <c r="B35" s="9" t="inlineStr">
        <is>
          <t>카페24</t>
        </is>
      </c>
      <c r="C35" s="9" t="inlineStr">
        <is>
          <t>뉴트리셔스밤</t>
        </is>
      </c>
      <c r="D35" s="6" t="inlineStr">
        <is>
          <t>(플친전용)HAIR RÉ:COVERY 15 Nutritious Balm [헤어 리커버리 15 뉴트리셔스 밤]제품선택=헤어 리커버리 15 뉴트리셔스 밤</t>
        </is>
      </c>
      <c r="E35" s="9" t="inlineStr">
        <is>
          <t>뉴트리셔스밤</t>
        </is>
      </c>
      <c r="F35" s="9" t="n">
        <v>201210</v>
      </c>
      <c r="G35" s="9">
        <f>B35&amp;C35&amp;D35&amp;F35</f>
        <v/>
      </c>
      <c r="H35" s="9" t="n">
        <v>20956</v>
      </c>
      <c r="I35" s="9" t="n">
        <v>0.0585</v>
      </c>
      <c r="J35" s="9" t="n">
        <v>1580</v>
      </c>
    </row>
    <row r="36">
      <c r="B36" s="9" t="inlineStr">
        <is>
          <t>카페24</t>
        </is>
      </c>
      <c r="C36" s="9" t="inlineStr">
        <is>
          <t>뉴트리셔스밤</t>
        </is>
      </c>
      <c r="D36" s="6" t="inlineStr">
        <is>
          <t>(플친전용)HAIR RÉ:COVERY 15 Nutritious Balm [헤어 리커버리 15 뉴트리셔스 밤]제품선택=뉴트리셔스 밤 2개 세트</t>
        </is>
      </c>
      <c r="E36" s="9" t="inlineStr">
        <is>
          <t>뉴트리셔스밤 2set</t>
        </is>
      </c>
      <c r="F36" s="9" t="n">
        <v>201210</v>
      </c>
      <c r="G36" s="9">
        <f>B36&amp;C36&amp;D36&amp;F36</f>
        <v/>
      </c>
      <c r="H36" s="9" t="n">
        <v>41912</v>
      </c>
      <c r="I36" s="9" t="n">
        <v>0.0585</v>
      </c>
      <c r="J36" s="9" t="n">
        <v>3160</v>
      </c>
    </row>
    <row r="37">
      <c r="B37" s="9" t="inlineStr">
        <is>
          <t>카페24</t>
        </is>
      </c>
      <c r="C37" s="9" t="inlineStr">
        <is>
          <t>뉴트리셔스밤</t>
        </is>
      </c>
      <c r="D37" s="6" t="inlineStr">
        <is>
          <t>(플친전용)HAIR RÉ:COVERY 15 Nutritious Balm [헤어 리커버리 15 뉴트리셔스 밤]제품선택=뉴트리셔스 밤 3개 세트</t>
        </is>
      </c>
      <c r="E37" s="9" t="inlineStr">
        <is>
          <t>뉴트리셔스밤 3set</t>
        </is>
      </c>
      <c r="F37" s="9" t="n">
        <v>201210</v>
      </c>
      <c r="G37" s="9">
        <f>B37&amp;C37&amp;D37&amp;F37</f>
        <v/>
      </c>
      <c r="H37" s="9" t="n">
        <v>62868</v>
      </c>
      <c r="I37" s="9" t="n">
        <v>0.0585</v>
      </c>
      <c r="J37" s="9" t="n">
        <v>4740</v>
      </c>
    </row>
    <row r="38">
      <c r="B38" s="9" t="inlineStr">
        <is>
          <t>카페24</t>
        </is>
      </c>
      <c r="C38" s="9" t="inlineStr">
        <is>
          <t>뉴트리셔스밤</t>
        </is>
      </c>
      <c r="D38" s="6" t="inlineStr">
        <is>
          <t>(플친전용)HAIR RÉ:COVERY 15 Nutritious Balm [헤어 리커버리 15 뉴트리셔스 밤]제품선택=뉴트리셔스밤 1개 + 헤어팩 트리트먼트 1개 세트</t>
        </is>
      </c>
      <c r="E38" s="9" t="inlineStr">
        <is>
          <t>트리트먼트+뉴트리셔스밤</t>
        </is>
      </c>
      <c r="F38" s="9" t="n">
        <v>201210</v>
      </c>
      <c r="G38" s="9">
        <f>B38&amp;C38&amp;D38&amp;F38</f>
        <v/>
      </c>
      <c r="H38" s="9" t="n">
        <v>43066</v>
      </c>
      <c r="I38" s="9" t="n">
        <v>0.0585</v>
      </c>
      <c r="J38" s="9" t="n">
        <v>3177</v>
      </c>
    </row>
    <row r="39">
      <c r="B39" s="9" t="inlineStr">
        <is>
          <t>라베나 CS</t>
        </is>
      </c>
      <c r="C39" s="9" t="inlineStr">
        <is>
          <t>트리트먼트</t>
        </is>
      </c>
      <c r="D39" s="9" t="inlineStr">
        <is>
          <t>헤어 리커버리 15 헤어팩 트리트먼트</t>
        </is>
      </c>
      <c r="E39" s="9" t="inlineStr">
        <is>
          <t>트리트먼트</t>
        </is>
      </c>
      <c r="F39" s="9" t="n">
        <v>201210</v>
      </c>
      <c r="G39" s="9">
        <f>B39&amp;C39&amp;D39&amp;F39</f>
        <v/>
      </c>
      <c r="H39" s="9" t="n">
        <v>0</v>
      </c>
      <c r="I39" s="9" t="n">
        <v>0</v>
      </c>
      <c r="J39" s="9" t="n">
        <v>1597</v>
      </c>
    </row>
    <row r="40">
      <c r="B40" s="9" t="inlineStr">
        <is>
          <t>카페24</t>
        </is>
      </c>
      <c r="C40" s="9" t="inlineStr">
        <is>
          <t>트리트먼트</t>
        </is>
      </c>
      <c r="D40" s="9" t="inlineStr">
        <is>
          <t>HAIR RÉ:COVERY 15 Hairpack Treatment [헤어 리커버리 15 헤어팩 트리트먼트]제품선택=헤어 리커버리 15 헤어팩 트리트먼트</t>
        </is>
      </c>
      <c r="E40" s="9" t="inlineStr">
        <is>
          <t>트리트먼트</t>
        </is>
      </c>
      <c r="F40" s="9" t="n">
        <v>201210</v>
      </c>
      <c r="G40" s="9">
        <f>B40&amp;C40&amp;D40&amp;F40</f>
        <v/>
      </c>
      <c r="H40" s="9" t="n">
        <v>26000</v>
      </c>
      <c r="I40" s="9" t="n">
        <v>0.0585</v>
      </c>
      <c r="J40" s="9" t="n">
        <v>1597</v>
      </c>
    </row>
    <row r="41">
      <c r="B41" s="9" t="inlineStr">
        <is>
          <t>카페24</t>
        </is>
      </c>
      <c r="C41" s="9" t="inlineStr">
        <is>
          <t>트리트먼트</t>
        </is>
      </c>
      <c r="D41" s="9" t="inlineStr">
        <is>
          <t>HAIR RÉ:COVERY 15 Hairpack Treatment [헤어 리커버리 15 헤어팩 트리트먼트]제품선택=헤어팩 트리트먼트 1개 + 뉴트리셔스밤 1개 세트 5% 추가할인</t>
        </is>
      </c>
      <c r="E41" s="9" t="inlineStr">
        <is>
          <t>트리트먼트+뉴트리셔스밤</t>
        </is>
      </c>
      <c r="F41" s="9" t="n">
        <v>201210</v>
      </c>
      <c r="G41" s="9">
        <f>B41&amp;C41&amp;D41&amp;F41</f>
        <v/>
      </c>
      <c r="H41" s="9" t="n">
        <v>48355</v>
      </c>
      <c r="I41" s="9" t="n">
        <v>0.0585</v>
      </c>
      <c r="J41" s="9" t="n">
        <v>3177</v>
      </c>
    </row>
    <row r="42">
      <c r="B42" s="9" t="inlineStr">
        <is>
          <t>카페24</t>
        </is>
      </c>
      <c r="C42" s="9" t="inlineStr">
        <is>
          <t>트리트먼트</t>
        </is>
      </c>
      <c r="D42" s="9" t="inlineStr">
        <is>
          <t>HAIR RÉ:COVERY 15 Hairpack Treatment [헤어 리커버리 15 헤어팩 트리트먼트]제품선택=헤어팩 트리트먼트 2개 세트 5% 추가할인</t>
        </is>
      </c>
      <c r="E42" s="9" t="inlineStr">
        <is>
          <t>트리트먼트 2set</t>
        </is>
      </c>
      <c r="F42" s="9" t="n">
        <v>201210</v>
      </c>
      <c r="G42" s="9">
        <f>B42&amp;C42&amp;D42&amp;F42</f>
        <v/>
      </c>
      <c r="H42" s="9" t="n">
        <v>49400</v>
      </c>
      <c r="I42" s="9" t="n">
        <v>0.0585</v>
      </c>
      <c r="J42" s="9" t="n">
        <v>3194</v>
      </c>
    </row>
    <row r="43">
      <c r="B43" s="9" t="inlineStr">
        <is>
          <t>카페24</t>
        </is>
      </c>
      <c r="C43" s="9" t="inlineStr">
        <is>
          <t>트리트먼트</t>
        </is>
      </c>
      <c r="D43" s="9" t="inlineStr">
        <is>
          <t>HAIR RÉ:COVERY 15 Hairpack Treatment [헤어 리커버리 15 헤어팩 트리트먼트]제품선택=헤어팩 트리트먼트 3개 세트 10% 추가할인</t>
        </is>
      </c>
      <c r="E43" s="9" t="inlineStr">
        <is>
          <t>트리트먼트 3set</t>
        </is>
      </c>
      <c r="F43" s="9" t="n">
        <v>201210</v>
      </c>
      <c r="G43" s="9">
        <f>B43&amp;C43&amp;D43&amp;F43</f>
        <v/>
      </c>
      <c r="H43" s="9" t="n">
        <v>70200</v>
      </c>
      <c r="I43" s="9" t="n">
        <v>0.0585</v>
      </c>
      <c r="J43" s="9" t="n">
        <v>4791</v>
      </c>
    </row>
    <row r="44">
      <c r="B44" s="9" t="inlineStr">
        <is>
          <t>카페24</t>
        </is>
      </c>
      <c r="C44" s="9" t="inlineStr">
        <is>
          <t>트리트먼트</t>
        </is>
      </c>
      <c r="D44" s="9" t="inlineStr">
        <is>
          <t>HAIR RÉ:COVERY 15 Hairpack Treatment [라베나 리커버리 15 헤어팩 트리트먼트]제품선택=헤어 리커버리 15 헤어팩 트리트먼트</t>
        </is>
      </c>
      <c r="E44" s="9" t="inlineStr">
        <is>
          <t>트리트먼트</t>
        </is>
      </c>
      <c r="F44" s="9" t="n">
        <v>201210</v>
      </c>
      <c r="G44" s="9">
        <f>B44&amp;C44&amp;D44&amp;F44</f>
        <v/>
      </c>
      <c r="H44" s="9" t="n">
        <v>26000</v>
      </c>
      <c r="I44" s="9" t="n">
        <v>0.0585</v>
      </c>
      <c r="J44" s="9" t="n">
        <v>1597</v>
      </c>
    </row>
    <row r="45">
      <c r="B45" s="9" t="inlineStr">
        <is>
          <t>카페24</t>
        </is>
      </c>
      <c r="C45" s="9" t="inlineStr">
        <is>
          <t>트리트먼트</t>
        </is>
      </c>
      <c r="D45" s="9" t="inlineStr">
        <is>
          <t>HAIR RÉ:COVERY 15 Hairpack Treatment [라베나 리커버리 15 헤어팩 트리트먼트]제품선택=헤어팩 트리트먼트 2개 세트 5% 추가할인</t>
        </is>
      </c>
      <c r="E45" s="9" t="inlineStr">
        <is>
          <t>트리트먼트 2set</t>
        </is>
      </c>
      <c r="F45" s="9" t="n">
        <v>201210</v>
      </c>
      <c r="G45" s="9">
        <f>B45&amp;C45&amp;D45&amp;F45</f>
        <v/>
      </c>
      <c r="H45" s="9" t="n">
        <v>49400</v>
      </c>
      <c r="I45" s="9" t="n">
        <v>0.0585</v>
      </c>
      <c r="J45" s="9" t="n">
        <v>3194</v>
      </c>
    </row>
    <row r="46">
      <c r="B46" s="9" t="inlineStr">
        <is>
          <t>카페24</t>
        </is>
      </c>
      <c r="C46" s="9" t="inlineStr">
        <is>
          <t>트리트먼트</t>
        </is>
      </c>
      <c r="D46" s="9" t="inlineStr">
        <is>
          <t>HAIR RÉ:COVERY 15 Hairpack Treatment [라베나 리커버리 15 헤어팩 트리트먼트]제품선택=헤어팩 트리트먼트 3개 세트 10% 추가할인</t>
        </is>
      </c>
      <c r="E46" s="9" t="inlineStr">
        <is>
          <t>트리트먼트 3set</t>
        </is>
      </c>
      <c r="F46" s="9" t="n">
        <v>201210</v>
      </c>
      <c r="G46" s="9">
        <f>B46&amp;C46&amp;D46&amp;F46</f>
        <v/>
      </c>
      <c r="H46" s="9" t="n">
        <v>70200</v>
      </c>
      <c r="I46" s="9" t="n">
        <v>0.0585</v>
      </c>
      <c r="J46" s="9" t="n">
        <v>4791</v>
      </c>
    </row>
    <row r="47">
      <c r="B47" s="9" t="inlineStr">
        <is>
          <t>카페24</t>
        </is>
      </c>
      <c r="C47" s="9" t="inlineStr">
        <is>
          <t>트리트먼트</t>
        </is>
      </c>
      <c r="D47" s="9" t="inlineStr">
        <is>
          <t>HAIR RÉ:COVERY 15 Hairpack Treatment [라베나 리커버리 15 헤어팩 트리트먼트]제품선택=헤어팩 트리트먼트 1개 + 뉴트리셔스밤 1개 세트 5% 추가할인</t>
        </is>
      </c>
      <c r="E47" s="9" t="inlineStr">
        <is>
          <t>트리트먼트+뉴트리셔스밤</t>
        </is>
      </c>
      <c r="F47" s="9" t="n">
        <v>201210</v>
      </c>
      <c r="G47" s="9">
        <f>B47&amp;C47&amp;D47&amp;F47</f>
        <v/>
      </c>
      <c r="H47" s="9" t="n">
        <v>48355</v>
      </c>
      <c r="I47" s="9" t="n">
        <v>0.0585</v>
      </c>
      <c r="J47" s="9" t="n">
        <v>3177</v>
      </c>
    </row>
    <row r="48">
      <c r="B48" s="9" t="inlineStr">
        <is>
          <t>카페24</t>
        </is>
      </c>
      <c r="C48" s="9" t="inlineStr">
        <is>
          <t>트리트먼트</t>
        </is>
      </c>
      <c r="D48" s="9" t="inlineStr">
        <is>
          <t>라베나 리커버리 15 헤어팩 트리트먼트 [HAIR RÉ:COVERY 15 Hairpack Treatment]제품선택=헤어 리커버리 15 헤어팩 트리트먼트</t>
        </is>
      </c>
      <c r="E48" s="9" t="inlineStr">
        <is>
          <t>트리트먼트</t>
        </is>
      </c>
      <c r="F48" s="9" t="n">
        <v>201210</v>
      </c>
      <c r="G48" s="9">
        <f>B48&amp;C48&amp;D48&amp;F48</f>
        <v/>
      </c>
      <c r="H48" s="9" t="n">
        <v>26000</v>
      </c>
      <c r="I48" s="9" t="n">
        <v>0.0585</v>
      </c>
      <c r="J48" s="9" t="n">
        <v>1597</v>
      </c>
    </row>
    <row r="49">
      <c r="B49" s="9" t="inlineStr">
        <is>
          <t>카페24</t>
        </is>
      </c>
      <c r="C49" s="9" t="inlineStr">
        <is>
          <t>트리트먼트</t>
        </is>
      </c>
      <c r="D49" s="9" t="inlineStr">
        <is>
          <t>라베나 리커버리 15 헤어팩 트리트먼트 [HAIR RÉ:COVERY 15 Hairpack Treatment]제품선택=헤어팩 트리트먼트 2개 세트 5% 추가할인</t>
        </is>
      </c>
      <c r="E49" s="9" t="inlineStr">
        <is>
          <t>트리트먼트 2set</t>
        </is>
      </c>
      <c r="F49" s="9" t="n">
        <v>201210</v>
      </c>
      <c r="G49" s="9">
        <f>B49&amp;C49&amp;D49&amp;F49</f>
        <v/>
      </c>
      <c r="H49" s="9" t="n">
        <v>49400</v>
      </c>
      <c r="I49" s="9" t="n">
        <v>0.0585</v>
      </c>
      <c r="J49" s="9" t="n">
        <v>3194</v>
      </c>
    </row>
    <row r="50">
      <c r="B50" s="9" t="inlineStr">
        <is>
          <t>카페24</t>
        </is>
      </c>
      <c r="C50" s="9" t="inlineStr">
        <is>
          <t>트리트먼트</t>
        </is>
      </c>
      <c r="D50" s="9" t="inlineStr">
        <is>
          <t>라베나 리커버리 15 헤어팩 트리트먼트 [HAIR RÉ:COVERY 15 Hairpack Treatment]제품선택=헤어팩 트리트먼트 3개 세트 10% 추가할인</t>
        </is>
      </c>
      <c r="E50" s="9" t="inlineStr">
        <is>
          <t>트리트먼트 3set</t>
        </is>
      </c>
      <c r="F50" s="9" t="n">
        <v>201210</v>
      </c>
      <c r="G50" s="9">
        <f>B50&amp;C50&amp;D50&amp;F50</f>
        <v/>
      </c>
      <c r="H50" s="9" t="n">
        <v>70200</v>
      </c>
      <c r="I50" s="9" t="n">
        <v>0.0585</v>
      </c>
      <c r="J50" s="9" t="n">
        <v>4791</v>
      </c>
    </row>
    <row r="51">
      <c r="B51" s="9" t="inlineStr">
        <is>
          <t>카페24</t>
        </is>
      </c>
      <c r="C51" s="9" t="inlineStr">
        <is>
          <t>트리트먼트</t>
        </is>
      </c>
      <c r="D51" s="9" t="inlineStr">
        <is>
          <t>라베나 리커버리 15 헤어팩 트리트먼트 [HAIR RÉ:COVERY 15 Hairpack Treatment]제품선택=헤어팩 트리트먼트 1개 + 뉴트리셔스밤 1개 세트 5% 추가할인</t>
        </is>
      </c>
      <c r="E51" s="9" t="inlineStr">
        <is>
          <t>트리트먼트+뉴트리셔스밤</t>
        </is>
      </c>
      <c r="F51" s="9" t="n">
        <v>201210</v>
      </c>
      <c r="G51" s="9">
        <f>B51&amp;C51&amp;D51&amp;F51</f>
        <v/>
      </c>
      <c r="H51" s="9" t="n">
        <v>48355</v>
      </c>
      <c r="I51" s="9" t="n">
        <v>0.0585</v>
      </c>
      <c r="J51" s="9" t="n">
        <v>3177</v>
      </c>
    </row>
    <row r="52">
      <c r="B52" s="9" t="inlineStr">
        <is>
          <t>카페24</t>
        </is>
      </c>
      <c r="C52" s="9" t="inlineStr">
        <is>
          <t>트리트먼트</t>
        </is>
      </c>
      <c r="D52" s="6" t="inlineStr">
        <is>
          <t>(플친전용)HAIR RÉ:COVERY 15 Hairpack Treatment [헤어 리커버리 15 헤어팩 트리트먼트]제품선택=헤어 리커버리 15 헤어팩 트리트먼트</t>
        </is>
      </c>
      <c r="E52" s="7" t="inlineStr">
        <is>
          <t>트리트먼트</t>
        </is>
      </c>
      <c r="F52" s="9" t="n">
        <v>201210</v>
      </c>
      <c r="G52" s="9">
        <f>B52&amp;C52&amp;D52&amp;F52</f>
        <v/>
      </c>
      <c r="H52" s="9" t="n">
        <v>22110</v>
      </c>
      <c r="I52" s="9" t="n">
        <v>0.0585</v>
      </c>
      <c r="J52" s="9" t="n">
        <v>1597</v>
      </c>
    </row>
    <row r="53">
      <c r="B53" s="9" t="inlineStr">
        <is>
          <t>카페24</t>
        </is>
      </c>
      <c r="C53" s="9" t="inlineStr">
        <is>
          <t>트리트먼트</t>
        </is>
      </c>
      <c r="D53" s="6" t="inlineStr">
        <is>
          <t>(플친전용)HAIR RÉ:COVERY 15 Hairpack Treatment [헤어 리커버리 15 헤어팩 트리트먼트]제품선택=헤어팩 트리트먼트 1개 + 뉴트리셔스 밤 1개 세트</t>
        </is>
      </c>
      <c r="E53" s="9" t="inlineStr">
        <is>
          <t>트리트먼트+뉴트리셔스밤</t>
        </is>
      </c>
      <c r="F53" s="9" t="n">
        <v>201210</v>
      </c>
      <c r="G53" s="9">
        <f>B53&amp;C53&amp;D53&amp;F53</f>
        <v/>
      </c>
      <c r="H53" s="9" t="n">
        <v>43066</v>
      </c>
      <c r="I53" s="9" t="n">
        <v>0.0585</v>
      </c>
      <c r="J53" s="9" t="n">
        <v>3177</v>
      </c>
    </row>
    <row r="54">
      <c r="B54" s="9" t="inlineStr">
        <is>
          <t>카페24</t>
        </is>
      </c>
      <c r="C54" s="9" t="inlineStr">
        <is>
          <t>트리트먼트</t>
        </is>
      </c>
      <c r="D54" s="6" t="inlineStr">
        <is>
          <t>(플친전용)HAIR RÉ:COVERY 15 Hairpack Treatment [헤어 리커버리 15 헤어팩 트리트먼트]제품선택=헤어팩 트리트먼트 2개 세트</t>
        </is>
      </c>
      <c r="E54" s="9" t="inlineStr">
        <is>
          <t>트리트먼트 2set</t>
        </is>
      </c>
      <c r="F54" s="9" t="n">
        <v>201210</v>
      </c>
      <c r="G54" s="9">
        <f>B54&amp;C54&amp;D54&amp;F54</f>
        <v/>
      </c>
      <c r="H54" s="9" t="n">
        <v>44220</v>
      </c>
      <c r="I54" s="9" t="n">
        <v>0.0585</v>
      </c>
      <c r="J54" s="9" t="n">
        <v>3194</v>
      </c>
    </row>
    <row r="55">
      <c r="B55" s="9" t="inlineStr">
        <is>
          <t>카페24</t>
        </is>
      </c>
      <c r="C55" s="9" t="inlineStr">
        <is>
          <t>트리트먼트</t>
        </is>
      </c>
      <c r="D55" s="6" t="inlineStr">
        <is>
          <t>(플친전용)HAIR RÉ:COVERY 15 Hairpack Treatment [헤어 리커버리 15 헤어팩 트리트먼트]제품선택=헤어팩 트리트먼트 3개 세트</t>
        </is>
      </c>
      <c r="E55" s="9" t="inlineStr">
        <is>
          <t>트리트먼트 3set</t>
        </is>
      </c>
      <c r="F55" s="9" t="n">
        <v>201210</v>
      </c>
      <c r="G55" s="9">
        <f>B55&amp;C55&amp;D55&amp;F55</f>
        <v/>
      </c>
      <c r="H55" s="9" t="n">
        <v>66330</v>
      </c>
      <c r="I55" s="9" t="n">
        <v>0.0585</v>
      </c>
      <c r="J55" s="9" t="n">
        <v>4791</v>
      </c>
    </row>
    <row r="56">
      <c r="B56" s="9" t="inlineStr">
        <is>
          <t>라베나 CS</t>
        </is>
      </c>
      <c r="C56" s="9" t="inlineStr">
        <is>
          <t>샴푸</t>
        </is>
      </c>
      <c r="D56" s="9" t="inlineStr">
        <is>
          <t>헤어 리커버리 15 리바이탈 샴푸</t>
        </is>
      </c>
      <c r="E56" s="9" t="inlineStr">
        <is>
          <t>리바이탈 샴푸</t>
        </is>
      </c>
      <c r="F56" s="9" t="n">
        <v>210201</v>
      </c>
      <c r="G56" s="9">
        <f>B56&amp;C56&amp;D56&amp;F56</f>
        <v/>
      </c>
      <c r="H56" s="9" t="n">
        <v>0</v>
      </c>
      <c r="I56" s="9" t="n">
        <v>0.0585</v>
      </c>
      <c r="J56" s="9" t="n">
        <v>2865</v>
      </c>
    </row>
    <row r="57">
      <c r="B57" s="9" t="inlineStr">
        <is>
          <t>라베나 CS</t>
        </is>
      </c>
      <c r="C57" s="9" t="inlineStr">
        <is>
          <t>샴푸</t>
        </is>
      </c>
      <c r="D57" s="9" t="inlineStr">
        <is>
          <t>라베나 리커버리 15 리바이탈 바이오플라보노이드샴푸 [HAIR RÉ:COVERY 15 Revital Shampoo]제품선택=리바이탈 샴푸 2개 세트 5%추가할인</t>
        </is>
      </c>
      <c r="E57" s="9" t="inlineStr">
        <is>
          <t>리바이탈 샴푸 2set</t>
        </is>
      </c>
      <c r="F57" s="9" t="n">
        <v>210201</v>
      </c>
      <c r="G57" s="9">
        <f>B57&amp;C57&amp;D57&amp;F57</f>
        <v/>
      </c>
      <c r="H57" s="9" t="n">
        <v>0</v>
      </c>
      <c r="I57" s="9" t="n">
        <v>0.0585</v>
      </c>
      <c r="J57" s="9" t="n">
        <v>2865</v>
      </c>
    </row>
    <row r="58">
      <c r="B58" s="9" t="inlineStr">
        <is>
          <t>라베나 CS</t>
        </is>
      </c>
      <c r="C58" s="9" t="inlineStr">
        <is>
          <t>샴푸</t>
        </is>
      </c>
      <c r="D58" s="9" t="inlineStr">
        <is>
          <t>라베나 리커버리 15 리바이탈 바이오플라보노이드샴푸 [HAIR RÉ:COVERY 15 Revital Shampoo]제품선택=헤어 리커버리 15 리바이탈 샴푸 - 500ml</t>
        </is>
      </c>
      <c r="E58" s="9" t="inlineStr">
        <is>
          <t>리바이탈 샴푸</t>
        </is>
      </c>
      <c r="F58" s="9" t="n">
        <v>210201</v>
      </c>
      <c r="G58" s="9">
        <f>B58&amp;C58&amp;D58&amp;F58</f>
        <v/>
      </c>
      <c r="H58" s="9" t="n">
        <v>0</v>
      </c>
      <c r="I58" s="9" t="n">
        <v>0.0585</v>
      </c>
      <c r="J58" s="9" t="n">
        <v>2865</v>
      </c>
    </row>
    <row r="59">
      <c r="B59" s="9" t="inlineStr">
        <is>
          <t>카페24</t>
        </is>
      </c>
      <c r="C59" s="9" t="inlineStr">
        <is>
          <t>샴푸</t>
        </is>
      </c>
      <c r="D59" s="9" t="inlineStr">
        <is>
          <t>헤어 리커버리 15 리바이탈 샴푸</t>
        </is>
      </c>
      <c r="E59" s="9" t="inlineStr">
        <is>
          <t>리바이탈 샴푸</t>
        </is>
      </c>
      <c r="F59" s="9" t="n">
        <v>210201</v>
      </c>
      <c r="G59" s="9">
        <f>B59&amp;C59&amp;D59&amp;F59</f>
        <v/>
      </c>
      <c r="H59" s="9" t="n">
        <v>26900</v>
      </c>
      <c r="I59" s="9" t="n">
        <v>0.0585</v>
      </c>
      <c r="J59" s="9" t="n">
        <v>2865</v>
      </c>
    </row>
    <row r="60">
      <c r="B60" s="9" t="inlineStr">
        <is>
          <t>카페24</t>
        </is>
      </c>
      <c r="C60" s="9" t="inlineStr">
        <is>
          <t>샴푸</t>
        </is>
      </c>
      <c r="D60" s="9" t="inlineStr">
        <is>
          <t>라베나 리커버리 15 리바이탈 바이오플라보노이드샴푸 [HAIR RÉ:COVERY 15 Revital Shampoo]제품선택=헤어 리커버리 15 리바이탈 샴푸 - 500ml</t>
        </is>
      </c>
      <c r="E60" s="9" t="inlineStr">
        <is>
          <t>리바이탈 샴푸</t>
        </is>
      </c>
      <c r="F60" s="9" t="n">
        <v>210201</v>
      </c>
      <c r="G60" s="9">
        <f>B60&amp;C60&amp;D60&amp;F60</f>
        <v/>
      </c>
      <c r="H60" s="9" t="n">
        <v>26900</v>
      </c>
      <c r="I60" s="9" t="n">
        <v>0.0585</v>
      </c>
      <c r="J60" s="9" t="n">
        <v>2865</v>
      </c>
    </row>
    <row r="61">
      <c r="B61" s="9" t="inlineStr">
        <is>
          <t>카페24</t>
        </is>
      </c>
      <c r="C61" s="9" t="inlineStr">
        <is>
          <t>샴푸</t>
        </is>
      </c>
      <c r="D61" s="9" t="inlineStr">
        <is>
          <t>라베나 리커버리 15 리바이탈 바이오플라보노이드샴푸 [HAIR RÉ:COVERY 15 Revital Shampoo]제품선택=리바이탈 샴푸 2개 세트 5%추가할인</t>
        </is>
      </c>
      <c r="E61" s="9" t="inlineStr">
        <is>
          <t>리바이탈 샴푸 2set</t>
        </is>
      </c>
      <c r="F61" s="9" t="n">
        <v>210201</v>
      </c>
      <c r="G61" s="9">
        <f>B61&amp;C61&amp;D61&amp;F61</f>
        <v/>
      </c>
      <c r="H61" s="9" t="n">
        <v>51110</v>
      </c>
      <c r="I61" s="9" t="n">
        <v>0.0585</v>
      </c>
      <c r="J61" s="9" t="n">
        <v>5730</v>
      </c>
    </row>
    <row r="62">
      <c r="B62" s="9" t="inlineStr">
        <is>
          <t>카페24</t>
        </is>
      </c>
      <c r="C62" s="9" t="inlineStr">
        <is>
          <t>샴푸</t>
        </is>
      </c>
      <c r="D62" s="9" t="inlineStr">
        <is>
          <t>라베나 리커버리 15 리바이탈 바이오플라보노이드샴푸 [HAIR RÉ:COVERY 15 Revital Shampoo]제품선택=리바이탈 샴푸 3개 세트 10% 추가할인</t>
        </is>
      </c>
      <c r="E62" s="9" t="inlineStr">
        <is>
          <t>리바이탈 샴푸 3set</t>
        </is>
      </c>
      <c r="F62" s="9" t="n">
        <v>210201</v>
      </c>
      <c r="G62" s="9">
        <f>B62&amp;C62&amp;D62&amp;F62</f>
        <v/>
      </c>
      <c r="H62" s="9" t="n">
        <v>72630</v>
      </c>
      <c r="I62" s="9" t="n">
        <v>0.0585</v>
      </c>
      <c r="J62" s="9" t="n">
        <v>8595</v>
      </c>
    </row>
    <row r="63">
      <c r="B63" s="9" t="inlineStr">
        <is>
          <t>카페24</t>
        </is>
      </c>
      <c r="C63" s="9" t="inlineStr">
        <is>
          <t>샴푸</t>
        </is>
      </c>
      <c r="D63" s="9" t="inlineStr">
        <is>
          <t>라베나 리커버리 15 리바이탈 샴푸 [HAIR RÉ:COVERY 15 Revital Shampoo]제품선택=헤어 리커버리 15 리바이탈 샴푸 - 500ml</t>
        </is>
      </c>
      <c r="E63" s="9" t="inlineStr">
        <is>
          <t>리바이탈 샴푸</t>
        </is>
      </c>
      <c r="F63" s="9" t="n">
        <v>210201</v>
      </c>
      <c r="G63" s="9">
        <f>B63&amp;C63&amp;D63&amp;F63</f>
        <v/>
      </c>
      <c r="H63" s="9" t="n">
        <v>26900</v>
      </c>
      <c r="I63" s="9" t="n">
        <v>0.0585</v>
      </c>
      <c r="J63" s="9" t="n">
        <v>2865</v>
      </c>
    </row>
    <row r="64">
      <c r="B64" s="9" t="inlineStr">
        <is>
          <t>카페24</t>
        </is>
      </c>
      <c r="C64" s="9" t="inlineStr">
        <is>
          <t>샴푸</t>
        </is>
      </c>
      <c r="D64" s="9" t="inlineStr">
        <is>
          <t>라베나 리커버리 15 리바이탈 샴푸 [HAIR RÉ:COVERY 15 Revital Shampoo]제품선택=리바이탈 샴푸 2개 세트 5%추가할인</t>
        </is>
      </c>
      <c r="E64" s="9" t="inlineStr">
        <is>
          <t>리바이탈 샴푸 2set</t>
        </is>
      </c>
      <c r="F64" s="9" t="n">
        <v>210201</v>
      </c>
      <c r="G64" s="9">
        <f>B64&amp;C64&amp;D64&amp;F64</f>
        <v/>
      </c>
      <c r="H64" s="9" t="n">
        <v>51110</v>
      </c>
      <c r="I64" s="9" t="n">
        <v>0.0585</v>
      </c>
      <c r="J64" s="9" t="n">
        <v>5730</v>
      </c>
    </row>
    <row r="65">
      <c r="B65" s="9" t="inlineStr">
        <is>
          <t>카페24</t>
        </is>
      </c>
      <c r="C65" s="9" t="inlineStr">
        <is>
          <t>샴푸</t>
        </is>
      </c>
      <c r="D65" s="9" t="inlineStr">
        <is>
          <t>라베나 리커버리 15 리바이탈 바이오플라보노이드샴푸제품선택=헤어 리커버리 15 리바이탈 샴푸 - 500ml</t>
        </is>
      </c>
      <c r="E65" s="9" t="inlineStr">
        <is>
          <t>리바이탈 샴푸</t>
        </is>
      </c>
      <c r="F65" s="9" t="n">
        <v>210201</v>
      </c>
      <c r="G65" s="9" t="inlineStr">
        <is>
          <t>카페24샴푸라베나 리커버리 15 리바이탈 바이오플라보노이드샴푸제품선택=헤어 리커버리 15 리바이탈 샴푸 - 500ml210201</t>
        </is>
      </c>
      <c r="H65" s="9" t="n">
        <v>26900</v>
      </c>
      <c r="I65" s="9" t="n">
        <v>0.0585</v>
      </c>
      <c r="J65" s="9" t="n">
        <v>2865</v>
      </c>
    </row>
    <row r="66">
      <c r="B66" s="9" t="inlineStr">
        <is>
          <t>카페24</t>
        </is>
      </c>
      <c r="C66" s="9" t="inlineStr">
        <is>
          <t>샴푸</t>
        </is>
      </c>
      <c r="D66" s="9" t="inlineStr">
        <is>
          <t>라베나 리커버리 15 리바이탈 바이오플라보노이드샴푸제품선택=리바이탈 샴푸 2개 세트 5%추가할인</t>
        </is>
      </c>
      <c r="E66" s="9" t="inlineStr">
        <is>
          <t>리바이탈 샴푸 2set</t>
        </is>
      </c>
      <c r="F66" s="9" t="n">
        <v>210201</v>
      </c>
      <c r="G66" s="9" t="inlineStr">
        <is>
          <t>카페24샴푸라베나 리커버리 15 리바이탈 바이오플라보노이드샴푸제품선택=리바이탈 샴푸 2개 세트 5%추가할인210201</t>
        </is>
      </c>
      <c r="H66" s="9" t="n">
        <v>51110</v>
      </c>
      <c r="I66" s="9" t="n">
        <v>0.0585</v>
      </c>
      <c r="J66" s="9" t="n">
        <v>5730</v>
      </c>
    </row>
    <row r="67">
      <c r="B67" s="9" t="inlineStr">
        <is>
          <t>카페24</t>
        </is>
      </c>
      <c r="C67" s="9" t="inlineStr">
        <is>
          <t>샴푸</t>
        </is>
      </c>
      <c r="D67" s="9" t="inlineStr">
        <is>
          <t>라베나 리커버리 15 리바이탈 바이오플라보노이드샴푸제품선택=리바이탈 샴푸 3개 세트 10% 추가할인</t>
        </is>
      </c>
      <c r="E67" s="9" t="inlineStr">
        <is>
          <t>리바이탈 샴푸 3set</t>
        </is>
      </c>
      <c r="F67" s="9" t="n">
        <v>210201</v>
      </c>
      <c r="G67" s="9" t="inlineStr">
        <is>
          <t>카페24샴푸라베나 리커버리 15 리바이탈 바이오플라보노이드샴푸제품선택=리바이탈 샴푸 3개 세트 10% 추가할인210201</t>
        </is>
      </c>
      <c r="H67" s="9" t="n">
        <v>72630</v>
      </c>
      <c r="I67" s="9" t="n">
        <v>0.0585</v>
      </c>
      <c r="J67" s="9" t="n">
        <v>8595</v>
      </c>
    </row>
    <row r="68">
      <c r="B68" s="9" t="inlineStr">
        <is>
          <t>카페24</t>
        </is>
      </c>
      <c r="C68" s="9" t="inlineStr">
        <is>
          <t>뉴트리셔스밤</t>
        </is>
      </c>
      <c r="D68" s="9" t="inlineStr">
        <is>
          <t>라베나 리커버리 15 뉴트리셔스 밤 [HAIR RÉ:COVERY 15 Nutritious Balm]제품선택=헤어 리커버리 15 뉴트리셔스 밤</t>
        </is>
      </c>
      <c r="E68" s="9" t="inlineStr">
        <is>
          <t>뉴트리셔스밤</t>
        </is>
      </c>
      <c r="F68" s="9" t="n">
        <v>210201</v>
      </c>
      <c r="G68" s="9">
        <f>B68&amp;C68&amp;D68&amp;F68</f>
        <v/>
      </c>
      <c r="H68" s="9" t="n">
        <v>24900</v>
      </c>
      <c r="I68" s="9" t="n">
        <v>0.0585</v>
      </c>
      <c r="J68" s="9" t="n">
        <v>1580</v>
      </c>
    </row>
    <row r="69">
      <c r="B69" s="9" t="inlineStr">
        <is>
          <t>카페24</t>
        </is>
      </c>
      <c r="C69" s="9" t="inlineStr">
        <is>
          <t>뉴트리셔스밤</t>
        </is>
      </c>
      <c r="D69" s="9" t="inlineStr">
        <is>
          <t>라베나 리커버리 15 뉴트리셔스 밤 [HAIR RÉ:COVERY 15 Nutritious Balm]제품선택=뉴트리셔스 밤 2개 세트 5% 추가할인</t>
        </is>
      </c>
      <c r="E69" s="9" t="inlineStr">
        <is>
          <t>뉴트리셔스밤 2set</t>
        </is>
      </c>
      <c r="F69" s="9" t="n">
        <v>210201</v>
      </c>
      <c r="G69" s="9">
        <f>B69&amp;C69&amp;D69&amp;F69</f>
        <v/>
      </c>
      <c r="H69" s="9" t="n">
        <v>47310</v>
      </c>
      <c r="I69" s="9" t="n">
        <v>0.0585</v>
      </c>
      <c r="J69" s="9" t="n">
        <v>3160</v>
      </c>
    </row>
    <row r="70">
      <c r="B70" s="9" t="inlineStr">
        <is>
          <t>카페24</t>
        </is>
      </c>
      <c r="C70" s="9" t="inlineStr">
        <is>
          <t>뉴트리셔스밤</t>
        </is>
      </c>
      <c r="D70" s="9" t="inlineStr">
        <is>
          <t>라베나 리커버리 15 뉴트리셔스 밤 [HAIR RÉ:COVERY 15 Nutritious Balm]제품선택=뉴트리셔스 밤 3개 세트 10% 추가할인</t>
        </is>
      </c>
      <c r="E70" s="9" t="inlineStr">
        <is>
          <t>뉴트리셔스밤 3set</t>
        </is>
      </c>
      <c r="F70" s="9" t="n">
        <v>210201</v>
      </c>
      <c r="G70" s="9">
        <f>B70&amp;C70&amp;D70&amp;F70</f>
        <v/>
      </c>
      <c r="H70" s="9" t="n">
        <v>67230</v>
      </c>
      <c r="I70" s="9" t="n">
        <v>0.0585</v>
      </c>
      <c r="J70" s="9" t="n">
        <v>4740</v>
      </c>
    </row>
    <row r="71">
      <c r="B71" s="9" t="inlineStr">
        <is>
          <t>카페24</t>
        </is>
      </c>
      <c r="C71" s="9" t="inlineStr">
        <is>
          <t>뉴트리셔스밤</t>
        </is>
      </c>
      <c r="D71" s="9" t="inlineStr">
        <is>
          <t>라베나 리커버리 15 뉴트리셔스 밤 [HAIR RÉ:COVERY 15 Nutritious Balm]제품선택=뉴트리셔스밤 1개 + 헤어팩 트리트먼트 1개 세트 5%추가할인</t>
        </is>
      </c>
      <c r="E71" s="9" t="inlineStr">
        <is>
          <t>트리트먼트+뉴트리셔스밤</t>
        </is>
      </c>
      <c r="F71" s="9" t="n">
        <v>210201</v>
      </c>
      <c r="G71" s="9">
        <f>B71&amp;C71&amp;D71&amp;F71</f>
        <v/>
      </c>
      <c r="H71" s="9" t="n">
        <v>48355</v>
      </c>
      <c r="I71" s="9" t="n">
        <v>0.0585</v>
      </c>
      <c r="J71" s="9" t="n">
        <v>3177</v>
      </c>
    </row>
    <row r="72">
      <c r="B72" s="9" t="inlineStr">
        <is>
          <t>카페24</t>
        </is>
      </c>
      <c r="C72" s="9" t="inlineStr">
        <is>
          <t>뉴트리셔스밤</t>
        </is>
      </c>
      <c r="D72" s="9" t="inlineStr">
        <is>
          <t>라베나 리커버리 15 뉴트리셔스 밤제품선택=헤어 리커버리 15 뉴트리셔스 밤</t>
        </is>
      </c>
      <c r="E72" s="9" t="inlineStr">
        <is>
          <t>뉴트리셔스밤</t>
        </is>
      </c>
      <c r="F72" s="9" t="n">
        <v>210201</v>
      </c>
      <c r="G72" s="9" t="inlineStr">
        <is>
          <t>카페24뉴트리셔스밤라베나 리커버리 15 뉴트리셔스 밤제품선택=헤어 리커버리 15 뉴트리셔스 밤210201</t>
        </is>
      </c>
      <c r="H72" s="9" t="n">
        <v>24900</v>
      </c>
      <c r="I72" s="9" t="n">
        <v>0.0585</v>
      </c>
      <c r="J72" s="9" t="n">
        <v>1580</v>
      </c>
    </row>
    <row r="73">
      <c r="B73" s="9" t="inlineStr">
        <is>
          <t>카페24</t>
        </is>
      </c>
      <c r="C73" s="9" t="inlineStr">
        <is>
          <t>뉴트리셔스밤</t>
        </is>
      </c>
      <c r="D73" s="9" t="inlineStr">
        <is>
          <t>라베나 리커버리 15 뉴트리셔스 밤제품선택=뉴트리셔스 밤 2개 세트 5% 추가할인</t>
        </is>
      </c>
      <c r="E73" s="9" t="inlineStr">
        <is>
          <t>뉴트리셔스밤 2set</t>
        </is>
      </c>
      <c r="F73" s="9" t="n">
        <v>210201</v>
      </c>
      <c r="G73" s="9" t="inlineStr">
        <is>
          <t>카페24뉴트리셔스밤라베나 리커버리 15 뉴트리셔스 밤제품선택=뉴트리셔스 밤 2개 세트 5% 추가할인210201</t>
        </is>
      </c>
      <c r="H73" s="9" t="n">
        <v>47310</v>
      </c>
      <c r="I73" s="9" t="n">
        <v>0.0585</v>
      </c>
      <c r="J73" s="9" t="n">
        <v>3160</v>
      </c>
    </row>
    <row r="74">
      <c r="B74" s="9" t="inlineStr">
        <is>
          <t>카페24</t>
        </is>
      </c>
      <c r="C74" s="9" t="inlineStr">
        <is>
          <t>뉴트리셔스밤</t>
        </is>
      </c>
      <c r="D74" s="9" t="inlineStr">
        <is>
          <t>라베나 리커버리 15 뉴트리셔스 밤제품선택=뉴트리셔스 밤 3개 세트 10% 추가할인</t>
        </is>
      </c>
      <c r="E74" s="9" t="inlineStr">
        <is>
          <t>뉴트리셔스밤 3set</t>
        </is>
      </c>
      <c r="F74" s="9" t="n">
        <v>210201</v>
      </c>
      <c r="G74" s="9" t="inlineStr">
        <is>
          <t>카페24뉴트리셔스밤라베나 리커버리 15 뉴트리셔스 밤제품선택=뉴트리셔스 밤 3개 세트 10% 추가할인210201</t>
        </is>
      </c>
      <c r="H74" s="9" t="n">
        <v>67230</v>
      </c>
      <c r="I74" s="9" t="n">
        <v>0.0585</v>
      </c>
      <c r="J74" s="9" t="n">
        <v>4740</v>
      </c>
    </row>
    <row r="75">
      <c r="B75" s="9" t="inlineStr">
        <is>
          <t>카페24</t>
        </is>
      </c>
      <c r="C75" s="9" t="inlineStr">
        <is>
          <t>트리트먼트</t>
        </is>
      </c>
      <c r="D75" s="9" t="inlineStr">
        <is>
          <t>라베나 리커버리 15 헤어팩 트리트먼트 [HAIR RÉ:COVERY 15 Hairpack Treatment]제품선택=헤어 리커버리 15 헤어팩 트리트먼트</t>
        </is>
      </c>
      <c r="E75" s="9" t="inlineStr">
        <is>
          <t>트리트먼트</t>
        </is>
      </c>
      <c r="F75" s="9" t="n">
        <v>210201</v>
      </c>
      <c r="G75" s="9">
        <f>B75&amp;C75&amp;D75&amp;F75</f>
        <v/>
      </c>
      <c r="H75" s="9" t="n">
        <v>26000</v>
      </c>
      <c r="I75" s="9" t="n">
        <v>0.0585</v>
      </c>
      <c r="J75" s="9" t="n">
        <v>1597</v>
      </c>
    </row>
    <row r="76">
      <c r="B76" s="9" t="inlineStr">
        <is>
          <t>카페24</t>
        </is>
      </c>
      <c r="C76" s="9" t="inlineStr">
        <is>
          <t>트리트먼트</t>
        </is>
      </c>
      <c r="D76" s="9" t="inlineStr">
        <is>
          <t>라베나 리커버리 15 헤어팩 트리트먼트 [HAIR RÉ:COVERY 15 Hairpack Treatment]제품선택=헤어팩 트리트먼트 2개 세트 5% 추가할인</t>
        </is>
      </c>
      <c r="E76" s="9" t="inlineStr">
        <is>
          <t>트리트먼트 2set</t>
        </is>
      </c>
      <c r="F76" s="9" t="n">
        <v>210201</v>
      </c>
      <c r="G76" s="9">
        <f>B76&amp;C76&amp;D76&amp;F76</f>
        <v/>
      </c>
      <c r="H76" s="9" t="n">
        <v>49400</v>
      </c>
      <c r="I76" s="9" t="n">
        <v>0.0585</v>
      </c>
      <c r="J76" s="9" t="n">
        <v>3194</v>
      </c>
    </row>
    <row r="77">
      <c r="B77" s="9" t="inlineStr">
        <is>
          <t>카페24</t>
        </is>
      </c>
      <c r="C77" s="9" t="inlineStr">
        <is>
          <t>트리트먼트</t>
        </is>
      </c>
      <c r="D77" s="9" t="inlineStr">
        <is>
          <t>라베나 리커버리 15 헤어팩 트리트먼트 [HAIR RÉ:COVERY 15 Hairpack Treatment]제품선택=헤어팩 트리트먼트 3개 세트 10% 추가할인</t>
        </is>
      </c>
      <c r="E77" s="9" t="inlineStr">
        <is>
          <t>트리트먼트 3set</t>
        </is>
      </c>
      <c r="F77" s="9" t="n">
        <v>210201</v>
      </c>
      <c r="G77" s="9">
        <f>B77&amp;C77&amp;D77&amp;F77</f>
        <v/>
      </c>
      <c r="H77" s="9" t="n">
        <v>70200</v>
      </c>
      <c r="I77" s="9" t="n">
        <v>0.0585</v>
      </c>
      <c r="J77" s="9" t="n">
        <v>4791</v>
      </c>
    </row>
    <row r="78">
      <c r="B78" s="9" t="inlineStr">
        <is>
          <t>카페24</t>
        </is>
      </c>
      <c r="C78" s="9" t="inlineStr">
        <is>
          <t>트리트먼트</t>
        </is>
      </c>
      <c r="D78" s="9" t="inlineStr">
        <is>
          <t>라베나 리커버리 15 헤어팩 트리트먼트 [HAIR RÉ:COVERY 15 Hairpack Treatment]제품선택=헤어팩 트리트먼트 1개 + 뉴트리셔스밤 1개 세트 5% 추가할인</t>
        </is>
      </c>
      <c r="E78" s="9" t="inlineStr">
        <is>
          <t>트리트먼트+뉴트리셔스밤</t>
        </is>
      </c>
      <c r="F78" s="9" t="n">
        <v>210201</v>
      </c>
      <c r="G78" s="9">
        <f>B78&amp;C78&amp;D78&amp;F78</f>
        <v/>
      </c>
      <c r="H78" s="9" t="n">
        <v>48355</v>
      </c>
      <c r="I78" s="9" t="n">
        <v>0.0585</v>
      </c>
      <c r="J78" s="9" t="n">
        <v>3177</v>
      </c>
    </row>
    <row r="79">
      <c r="B79" s="9" t="inlineStr">
        <is>
          <t>카페24</t>
        </is>
      </c>
      <c r="C79" s="9" t="inlineStr">
        <is>
          <t>트리트먼트</t>
        </is>
      </c>
      <c r="D79" s="9" t="inlineStr">
        <is>
          <t>라베나 리커버리 15 헤어팩 트리트먼트제품선택=헤어 리커버리 15 헤어팩 트리트먼트</t>
        </is>
      </c>
      <c r="E79" s="9" t="inlineStr">
        <is>
          <t>트리트먼트</t>
        </is>
      </c>
      <c r="F79" s="9" t="n">
        <v>210201</v>
      </c>
      <c r="G79" s="9" t="inlineStr">
        <is>
          <t>카페24트리트먼트라베나 리커버리 15 헤어팩 트리트먼트제품선택=헤어 리커버리 15 헤어팩 트리트먼트210201</t>
        </is>
      </c>
      <c r="H79" s="9" t="n">
        <v>26000</v>
      </c>
      <c r="I79" s="9" t="n">
        <v>0.0585</v>
      </c>
      <c r="J79" s="9" t="n">
        <v>1597</v>
      </c>
    </row>
    <row r="80">
      <c r="B80" s="9" t="inlineStr">
        <is>
          <t>카페24</t>
        </is>
      </c>
      <c r="C80" s="9" t="inlineStr">
        <is>
          <t>트리트먼트</t>
        </is>
      </c>
      <c r="D80" s="9" t="inlineStr">
        <is>
          <t>라베나 리커버리 15 헤어팩 트리트먼트제품선택=헤어팩 트리트먼트 2개 세트 5% 추가할인</t>
        </is>
      </c>
      <c r="E80" s="9" t="inlineStr">
        <is>
          <t>트리트먼트 2set</t>
        </is>
      </c>
      <c r="F80" s="9" t="n">
        <v>210201</v>
      </c>
      <c r="G80" s="9" t="inlineStr">
        <is>
          <t>카페24트리트먼트라베나 리커버리 15 헤어팩 트리트먼트제품선택=헤어팩 트리트먼트 2개 세트 5% 추가할인210201</t>
        </is>
      </c>
      <c r="H80" s="9" t="n">
        <v>49400</v>
      </c>
      <c r="I80" s="9" t="n">
        <v>0.0585</v>
      </c>
      <c r="J80" s="9" t="n">
        <v>3194</v>
      </c>
    </row>
    <row r="81">
      <c r="B81" s="9" t="inlineStr">
        <is>
          <t>카페24</t>
        </is>
      </c>
      <c r="C81" s="9" t="inlineStr">
        <is>
          <t>트리트먼트</t>
        </is>
      </c>
      <c r="D81" s="9" t="inlineStr">
        <is>
          <t>라베나 리커버리 15 헤어팩 트리트먼트제품선택=헤어팩 트리트먼트 3개 세트 10% 추가할인</t>
        </is>
      </c>
      <c r="E81" s="9" t="inlineStr">
        <is>
          <t>트리트먼트 3set</t>
        </is>
      </c>
      <c r="F81" s="9" t="n">
        <v>210201</v>
      </c>
      <c r="G81" s="9" t="inlineStr">
        <is>
          <t>카페24트리트먼트라베나 리커버리 15 헤어팩 트리트먼트제품선택=헤어팩 트리트먼트 3개 세트 10% 추가할인210201</t>
        </is>
      </c>
      <c r="H81" s="9" t="n">
        <v>70200</v>
      </c>
      <c r="I81" s="9" t="n">
        <v>0.0585</v>
      </c>
      <c r="J81" s="9" t="n">
        <v>4791</v>
      </c>
    </row>
    <row r="82">
      <c r="B82" s="9" t="inlineStr">
        <is>
          <t>카페24</t>
        </is>
      </c>
      <c r="C82" s="9" t="inlineStr">
        <is>
          <t>트리트먼트</t>
        </is>
      </c>
      <c r="D82" s="9" t="inlineStr">
        <is>
          <t>라베나 리커버리 15 헤어팩 트리트먼트제품선택=헤어팩 트리트먼트 1개 + 뉴트리셔스밤 1개 세트 5% 추가할인</t>
        </is>
      </c>
      <c r="E82" s="9" t="inlineStr">
        <is>
          <t>트리트먼트1+뉴트리셔스밤1</t>
        </is>
      </c>
      <c r="F82" s="9" t="n">
        <v>210201</v>
      </c>
      <c r="G82" s="9" t="inlineStr">
        <is>
          <t>카페24트리트먼트라베나 리커버리 15 헤어팩 트리트먼트제품선택=헤어팩 트리트먼트 1개 + 뉴트리셔스밤 1개 세트 5% 추가할인210201</t>
        </is>
      </c>
      <c r="H82" s="9" t="n">
        <v>48355</v>
      </c>
      <c r="I82" s="9" t="n">
        <v>0.0585</v>
      </c>
      <c r="J82" s="9" t="n">
        <v>3177</v>
      </c>
    </row>
    <row r="83" ht="16.5" customHeight="1" s="12">
      <c r="B83" s="9" t="inlineStr">
        <is>
          <t>카페24</t>
        </is>
      </c>
      <c r="C83" s="9" t="inlineStr">
        <is>
          <t>샴푸</t>
        </is>
      </c>
      <c r="D83" s="9" t="inlineStr">
        <is>
          <t>[타임특가] 라베나 리:커버리 3개월 패키지 (샴푸 2+ 트리트먼트 택 1)샴푸2 + 트리트먼트 택 1=샴푸2 + 뉴트리셔스 밤1</t>
        </is>
      </c>
      <c r="E83" s="9" t="inlineStr">
        <is>
          <t>리바이탈 샴푸2+뉴트리셔스밤1</t>
        </is>
      </c>
      <c r="F83" s="9" t="n">
        <v>210201</v>
      </c>
      <c r="G83" s="9">
        <f>B83&amp;C83&amp;D83&amp;F83</f>
        <v/>
      </c>
      <c r="H83" s="9">
        <f>62280</f>
        <v/>
      </c>
      <c r="I83" s="9" t="n">
        <v>0.0585</v>
      </c>
      <c r="J83" s="9">
        <f>7310</f>
        <v/>
      </c>
    </row>
    <row r="84" ht="16.5" customHeight="1" s="12">
      <c r="B84" s="9" t="inlineStr">
        <is>
          <t>카페24</t>
        </is>
      </c>
      <c r="C84" s="9" t="inlineStr">
        <is>
          <t>샴푸</t>
        </is>
      </c>
      <c r="D84" s="9" t="inlineStr">
        <is>
          <t>[타임특가] 라베나 리:커버리 3개월 패키지 (샴푸 2+ 트리트먼트 택 1)샴푸2 + 트리트먼트 택 1=샴푸2 + 헤어팩 트리트먼트1</t>
        </is>
      </c>
      <c r="E84" s="9" t="inlineStr">
        <is>
          <t>리바이탈 샴푸2+트리트먼트1</t>
        </is>
      </c>
      <c r="F84" s="9" t="n">
        <v>210201</v>
      </c>
      <c r="G84" s="9">
        <f>B84&amp;C84&amp;D84&amp;F84</f>
        <v/>
      </c>
      <c r="H84" s="9">
        <f>62280</f>
        <v/>
      </c>
      <c r="I84" s="9" t="n">
        <v>0.0585</v>
      </c>
      <c r="J84" s="9">
        <f>7327</f>
        <v/>
      </c>
    </row>
    <row r="85" ht="16.5" customHeight="1" s="12">
      <c r="B85" s="9" t="inlineStr">
        <is>
          <t>카페24</t>
        </is>
      </c>
      <c r="C85" s="9" t="inlineStr">
        <is>
          <t>샴푸</t>
        </is>
      </c>
      <c r="D85" s="9" t="inlineStr">
        <is>
          <t>[타임특가] 라베나 리:커버리 6개월 패키지 (샴푸 5+ 트리트먼트 택 1)샴푸 5 + 트리트먼트 택 1=샴푸 5 + 뉴트리셔스 밤 1</t>
        </is>
      </c>
      <c r="E85" s="9" t="inlineStr">
        <is>
          <t>리바이탈 샴푸5+뉴트리셔스밤1</t>
        </is>
      </c>
      <c r="F85" s="9" t="n">
        <v>210201</v>
      </c>
      <c r="G85" s="9">
        <f>B85&amp;C85&amp;D85&amp;F85</f>
        <v/>
      </c>
      <c r="H85" s="9">
        <f>114840</f>
        <v/>
      </c>
      <c r="I85" s="9" t="n">
        <v>0.0585</v>
      </c>
      <c r="J85" s="9">
        <f>15905</f>
        <v/>
      </c>
    </row>
    <row r="86" ht="16.5" customHeight="1" s="12">
      <c r="B86" s="9" t="inlineStr">
        <is>
          <t>카페24</t>
        </is>
      </c>
      <c r="C86" s="9" t="inlineStr">
        <is>
          <t>샴푸</t>
        </is>
      </c>
      <c r="D86" s="9" t="inlineStr">
        <is>
          <t>[타임특가] 라베나 리:커버리 6개월 패키지 (샴푸 5+ 트리트먼트 택 1)샴푸 5 + 트리트먼트 택 1=샴푸 5 + 헤어팩 트리트먼트 1</t>
        </is>
      </c>
      <c r="E86" s="9" t="inlineStr">
        <is>
          <t>리바이탈 샴푸5+트리트먼트1</t>
        </is>
      </c>
      <c r="F86" s="9" t="n">
        <v>210201</v>
      </c>
      <c r="G86" s="9">
        <f>B86&amp;C86&amp;D86&amp;F86</f>
        <v/>
      </c>
      <c r="H86" s="9">
        <f>114840</f>
        <v/>
      </c>
      <c r="I86" s="9" t="n">
        <v>0.0585</v>
      </c>
      <c r="J86" s="9">
        <f>15922</f>
        <v/>
      </c>
    </row>
    <row r="87" ht="16.5" customHeight="1" s="12">
      <c r="B87" s="9" t="inlineStr">
        <is>
          <t>카페24</t>
        </is>
      </c>
      <c r="C87" s="9" t="inlineStr">
        <is>
          <t>샴푸</t>
        </is>
      </c>
      <c r="D87" s="9" t="inlineStr">
        <is>
          <t>[타임특가] 라베나 리:커버리 스타터 패키지 (샴푸 1+헤어팩 트리트먼트 1+ 뉴트리셔스 밤 1)</t>
        </is>
      </c>
      <c r="E87" s="9" t="inlineStr">
        <is>
          <t>리바이탈 샴푸1+트리트먼트1+뉴트리셔스밤1</t>
        </is>
      </c>
      <c r="F87" s="9" t="n">
        <v>210201</v>
      </c>
      <c r="G87" s="9">
        <f>B87&amp;C87&amp;D87&amp;F87</f>
        <v/>
      </c>
      <c r="H87" s="9">
        <f>39897</f>
        <v/>
      </c>
      <c r="I87" s="9" t="n">
        <v>0.0585</v>
      </c>
      <c r="J87" s="9">
        <f>(2865+1580+1597)</f>
        <v/>
      </c>
    </row>
    <row r="88" ht="16.5" customHeight="1" s="12">
      <c r="B88" s="9" t="inlineStr">
        <is>
          <t>카페24</t>
        </is>
      </c>
      <c r="C88" s="9" t="inlineStr">
        <is>
          <t>샴푸</t>
        </is>
      </c>
      <c r="D88" s="9" t="inlineStr">
        <is>
          <t>[타임특가] 라베나 리:커버리 온가족 패키지 (샴푸 3+ 헤어팩 트리트먼트 1+뉴트리셔스 밤 1)</t>
        </is>
      </c>
      <c r="E88" s="9" t="inlineStr">
        <is>
          <t>리바이탈 샴푸3+트리트먼트1+뉴트리셔스밤1</t>
        </is>
      </c>
      <c r="F88" s="9" t="n">
        <v>210201</v>
      </c>
      <c r="G88" s="9">
        <f>B88&amp;C88&amp;D88&amp;F88</f>
        <v/>
      </c>
      <c r="H88" s="9">
        <f>94765</f>
        <v/>
      </c>
      <c r="I88" s="9" t="n">
        <v>0.0585</v>
      </c>
      <c r="J88" s="9">
        <f>11772</f>
        <v/>
      </c>
    </row>
    <row r="89">
      <c r="B89" s="9" t="inlineStr">
        <is>
          <t>라베나 CS</t>
        </is>
      </c>
      <c r="C89" s="9" t="inlineStr">
        <is>
          <t>샴푸</t>
        </is>
      </c>
      <c r="D89" s="9" t="inlineStr">
        <is>
          <t>헤어 리커버리 15 리바이탈 샴푸</t>
        </is>
      </c>
      <c r="E89" s="9" t="inlineStr">
        <is>
          <t>리바이탈 샴푸</t>
        </is>
      </c>
      <c r="F89" s="9" t="n">
        <v>210525</v>
      </c>
      <c r="G89" s="9">
        <f>B89&amp;C89&amp;D89&amp;F89</f>
        <v/>
      </c>
      <c r="H89" s="9" t="n">
        <v>0</v>
      </c>
      <c r="I89" s="9" t="n">
        <v>0.0585</v>
      </c>
      <c r="J89" s="9" t="n">
        <v>2865</v>
      </c>
    </row>
    <row r="90">
      <c r="B90" s="9" t="inlineStr">
        <is>
          <t>라베나 CS</t>
        </is>
      </c>
      <c r="C90" s="9" t="inlineStr">
        <is>
          <t>샴푸</t>
        </is>
      </c>
      <c r="D90" s="9" t="inlineStr">
        <is>
          <t>라베나 리커버리 15 리바이탈 바이오플라보노이드샴푸 [HAIR RÉ:COVERY 15 Revital Shampoo]제품선택=리바이탈 샴푸 2개 세트 5%추가할인</t>
        </is>
      </c>
      <c r="E90" s="9" t="inlineStr">
        <is>
          <t>리바이탈 샴푸 2set</t>
        </is>
      </c>
      <c r="F90" s="9" t="n">
        <v>210525</v>
      </c>
      <c r="G90" s="9">
        <f>B90&amp;C90&amp;D90&amp;F90</f>
        <v/>
      </c>
      <c r="H90" s="9" t="n">
        <v>0</v>
      </c>
      <c r="I90" s="9" t="n">
        <v>0.0585</v>
      </c>
      <c r="J90" s="9" t="n">
        <v>2865</v>
      </c>
    </row>
    <row r="91">
      <c r="B91" s="9" t="inlineStr">
        <is>
          <t>라베나 CS</t>
        </is>
      </c>
      <c r="C91" s="9" t="inlineStr">
        <is>
          <t>샴푸</t>
        </is>
      </c>
      <c r="D91" s="9" t="inlineStr">
        <is>
          <t>라베나 리커버리 15 리바이탈 바이오플라보노이드샴푸 [HAIR RÉ:COVERY 15 Revital Shampoo]제품선택=헤어 리커버리 15 리바이탈 샴푸 - 500ml</t>
        </is>
      </c>
      <c r="E91" s="9" t="inlineStr">
        <is>
          <t>리바이탈 샴푸</t>
        </is>
      </c>
      <c r="F91" s="9" t="n">
        <v>210525</v>
      </c>
      <c r="G91" s="9">
        <f>B91&amp;C91&amp;D91&amp;F91</f>
        <v/>
      </c>
      <c r="H91" s="9" t="n">
        <v>0</v>
      </c>
      <c r="I91" s="9" t="n">
        <v>0.0585</v>
      </c>
      <c r="J91" s="9" t="n">
        <v>2865</v>
      </c>
    </row>
    <row r="92">
      <c r="B92" s="9" t="inlineStr">
        <is>
          <t>카페24</t>
        </is>
      </c>
      <c r="C92" s="9" t="inlineStr">
        <is>
          <t>샴푸</t>
        </is>
      </c>
      <c r="D92" s="9" t="inlineStr">
        <is>
          <t>헤어 리커버리 15 리바이탈 샴푸</t>
        </is>
      </c>
      <c r="E92" s="9" t="inlineStr">
        <is>
          <t>리바이탈 샴푸</t>
        </is>
      </c>
      <c r="F92" s="9" t="n">
        <v>210525</v>
      </c>
      <c r="G92" s="9">
        <f>B92&amp;C92&amp;D92&amp;F92</f>
        <v/>
      </c>
      <c r="H92" s="9" t="n">
        <v>26900</v>
      </c>
      <c r="I92" s="9" t="n">
        <v>0.0585</v>
      </c>
      <c r="J92" s="9" t="n">
        <v>2865</v>
      </c>
    </row>
    <row r="93">
      <c r="B93" s="9" t="inlineStr">
        <is>
          <t>카페24</t>
        </is>
      </c>
      <c r="C93" s="9" t="inlineStr">
        <is>
          <t>샴푸</t>
        </is>
      </c>
      <c r="D93" s="9" t="inlineStr">
        <is>
          <t>라베나 리커버리 15 리바이탈 바이오플라보노이드샴푸 [HAIR RÉ:COVERY 15 Revital Shampoo]제품선택=헤어 리커버리 15 리바이탈 샴푸 - 500ml</t>
        </is>
      </c>
      <c r="E93" s="9" t="inlineStr">
        <is>
          <t>리바이탈 샴푸</t>
        </is>
      </c>
      <c r="F93" s="9" t="n">
        <v>210525</v>
      </c>
      <c r="G93" s="9">
        <f>B93&amp;C93&amp;D93&amp;F93</f>
        <v/>
      </c>
      <c r="H93" s="9" t="n">
        <v>26900</v>
      </c>
      <c r="I93" s="9" t="n">
        <v>0.0585</v>
      </c>
      <c r="J93" s="9" t="n">
        <v>2865</v>
      </c>
    </row>
    <row r="94">
      <c r="B94" s="9" t="inlineStr">
        <is>
          <t>카페24</t>
        </is>
      </c>
      <c r="C94" s="9" t="inlineStr">
        <is>
          <t>샴푸</t>
        </is>
      </c>
      <c r="D94" s="9" t="inlineStr">
        <is>
          <t>라베나 리커버리 15 리바이탈 바이오플라보노이드샴푸 [HAIR RÉ:COVERY 15 Revital Shampoo]제품선택=리바이탈 샴푸 2개 세트 5%추가할인</t>
        </is>
      </c>
      <c r="E94" s="9" t="inlineStr">
        <is>
          <t>리바이탈 샴푸 2set</t>
        </is>
      </c>
      <c r="F94" s="9" t="n">
        <v>210525</v>
      </c>
      <c r="G94" s="9">
        <f>B94&amp;C94&amp;D94&amp;F94</f>
        <v/>
      </c>
      <c r="H94" s="9" t="n">
        <v>51110</v>
      </c>
      <c r="I94" s="9" t="n">
        <v>0.0585</v>
      </c>
      <c r="J94" s="9" t="n">
        <v>5730</v>
      </c>
    </row>
    <row r="95">
      <c r="B95" s="9" t="inlineStr">
        <is>
          <t>카페24</t>
        </is>
      </c>
      <c r="C95" s="9" t="inlineStr">
        <is>
          <t>샴푸</t>
        </is>
      </c>
      <c r="D95" s="9" t="inlineStr">
        <is>
          <t>라베나 리커버리 15 리바이탈 바이오플라보노이드샴푸 [HAIR RÉ:COVERY 15 Revital Shampoo]제품선택=리바이탈 샴푸 3개 세트 10% 추가할인</t>
        </is>
      </c>
      <c r="E95" s="9" t="inlineStr">
        <is>
          <t>리바이탈 샴푸 3set</t>
        </is>
      </c>
      <c r="F95" s="9" t="n">
        <v>210525</v>
      </c>
      <c r="G95" s="9">
        <f>B95&amp;C95&amp;D95&amp;F95</f>
        <v/>
      </c>
      <c r="H95" s="9" t="n">
        <v>72630</v>
      </c>
      <c r="I95" s="9" t="n">
        <v>0.0585</v>
      </c>
      <c r="J95" s="9" t="n">
        <v>8595</v>
      </c>
    </row>
    <row r="96">
      <c r="B96" s="9" t="inlineStr">
        <is>
          <t>카페24</t>
        </is>
      </c>
      <c r="C96" s="9" t="inlineStr">
        <is>
          <t>샴푸</t>
        </is>
      </c>
      <c r="D96" s="9" t="inlineStr">
        <is>
          <t>라베나 리커버리 15 리바이탈 샴푸 [HAIR RÉ:COVERY 15 Revital Shampoo]제품선택=헤어 리커버리 15 리바이탈 샴푸 - 500ml</t>
        </is>
      </c>
      <c r="E96" s="9" t="inlineStr">
        <is>
          <t>리바이탈 샴푸</t>
        </is>
      </c>
      <c r="F96" s="9" t="n">
        <v>210525</v>
      </c>
      <c r="G96" s="9">
        <f>B96&amp;C96&amp;D96&amp;F96</f>
        <v/>
      </c>
      <c r="H96" s="9" t="n">
        <v>26900</v>
      </c>
      <c r="I96" s="9" t="n">
        <v>0.0585</v>
      </c>
      <c r="J96" s="9" t="n">
        <v>2865</v>
      </c>
    </row>
    <row r="97">
      <c r="B97" s="9" t="inlineStr">
        <is>
          <t>카페24</t>
        </is>
      </c>
      <c r="C97" s="9" t="inlineStr">
        <is>
          <t>샴푸</t>
        </is>
      </c>
      <c r="D97" s="9" t="inlineStr">
        <is>
          <t>라베나 리커버리 15 리바이탈 샴푸 [HAIR RÉ:COVERY 15 Revital Shampoo]제품선택=리바이탈 샴푸 2개 세트 5%추가할인</t>
        </is>
      </c>
      <c r="E97" s="9" t="inlineStr">
        <is>
          <t>리바이탈 샴푸 2set</t>
        </is>
      </c>
      <c r="F97" s="9" t="n">
        <v>210525</v>
      </c>
      <c r="G97" s="9">
        <f>B97&amp;C97&amp;D97&amp;F97</f>
        <v/>
      </c>
      <c r="H97" s="9" t="n">
        <v>51110</v>
      </c>
      <c r="I97" s="9" t="n">
        <v>0.0585</v>
      </c>
      <c r="J97" s="9" t="n">
        <v>5730</v>
      </c>
    </row>
    <row r="98">
      <c r="B98" s="9" t="inlineStr">
        <is>
          <t>카페24</t>
        </is>
      </c>
      <c r="C98" s="9" t="inlineStr">
        <is>
          <t>샴푸</t>
        </is>
      </c>
      <c r="D98" s="9" t="inlineStr">
        <is>
          <t>라베나 리커버리 15 리바이탈 바이오플라보노이드샴푸제품선택=헤어 리커버리 15 리바이탈 샴푸 - 500ml</t>
        </is>
      </c>
      <c r="E98" s="9" t="inlineStr">
        <is>
          <t>리바이탈 샴푸</t>
        </is>
      </c>
      <c r="F98" s="9" t="n">
        <v>210525</v>
      </c>
      <c r="G98" s="9">
        <f>B98&amp;C98&amp;D98&amp;F98</f>
        <v/>
      </c>
      <c r="H98" s="9" t="n">
        <v>26900</v>
      </c>
      <c r="I98" s="9" t="n">
        <v>0.0585</v>
      </c>
      <c r="J98" s="9" t="n">
        <v>2865</v>
      </c>
    </row>
    <row r="99">
      <c r="B99" s="9" t="inlineStr">
        <is>
          <t>카페24</t>
        </is>
      </c>
      <c r="C99" s="9" t="inlineStr">
        <is>
          <t>샴푸</t>
        </is>
      </c>
      <c r="D99" s="9" t="inlineStr">
        <is>
          <t>라베나 리커버리 15 리바이탈 바이오플라보노이드샴푸제품선택=리바이탈 샴푸 2개 세트 5%추가할인</t>
        </is>
      </c>
      <c r="E99" s="9" t="inlineStr">
        <is>
          <t>리바이탈 샴푸 2set</t>
        </is>
      </c>
      <c r="F99" s="9" t="n">
        <v>210525</v>
      </c>
      <c r="G99" s="9">
        <f>B99&amp;C99&amp;D99&amp;F99</f>
        <v/>
      </c>
      <c r="H99" s="9" t="n">
        <v>51110</v>
      </c>
      <c r="I99" s="9" t="n">
        <v>0.0585</v>
      </c>
      <c r="J99" s="9" t="n">
        <v>5730</v>
      </c>
    </row>
    <row r="100">
      <c r="B100" s="9" t="inlineStr">
        <is>
          <t>카페24</t>
        </is>
      </c>
      <c r="C100" s="9" t="inlineStr">
        <is>
          <t>샴푸</t>
        </is>
      </c>
      <c r="D100" s="9" t="inlineStr">
        <is>
          <t>라베나 리커버리 15 리바이탈 바이오플라보노이드샴푸제품선택=리바이탈 샴푸 3개 세트 10% 추가할인</t>
        </is>
      </c>
      <c r="E100" s="9" t="inlineStr">
        <is>
          <t>리바이탈 샴푸 3set</t>
        </is>
      </c>
      <c r="F100" s="9" t="n">
        <v>210525</v>
      </c>
      <c r="G100" s="9">
        <f>B100&amp;C100&amp;D100&amp;F100</f>
        <v/>
      </c>
      <c r="H100" s="9" t="n">
        <v>72630</v>
      </c>
      <c r="I100" s="9" t="n">
        <v>0.0585</v>
      </c>
      <c r="J100" s="9" t="n">
        <v>8595</v>
      </c>
    </row>
    <row r="101">
      <c r="B101" s="9" t="inlineStr">
        <is>
          <t>카페24</t>
        </is>
      </c>
      <c r="C101" s="9" t="inlineStr">
        <is>
          <t>뉴트리셔스밤</t>
        </is>
      </c>
      <c r="D101" s="9" t="inlineStr">
        <is>
          <t>라베나 리커버리 15 뉴트리셔스 밤 [HAIR RÉ:COVERY 15 Nutritious Balm]제품선택=헤어 리커버리 15 뉴트리셔스 밤</t>
        </is>
      </c>
      <c r="E101" s="9" t="inlineStr">
        <is>
          <t>뉴트리셔스밤</t>
        </is>
      </c>
      <c r="F101" s="9" t="n">
        <v>210525</v>
      </c>
      <c r="G101" s="9">
        <f>B101&amp;C101&amp;D101&amp;F101</f>
        <v/>
      </c>
      <c r="H101" s="9" t="n">
        <v>24900</v>
      </c>
      <c r="I101" s="9" t="n">
        <v>0.0585</v>
      </c>
      <c r="J101" s="9" t="n">
        <v>1580</v>
      </c>
    </row>
    <row r="102">
      <c r="B102" s="9" t="inlineStr">
        <is>
          <t>카페24</t>
        </is>
      </c>
      <c r="C102" s="9" t="inlineStr">
        <is>
          <t>뉴트리셔스밤</t>
        </is>
      </c>
      <c r="D102" s="9" t="inlineStr">
        <is>
          <t>라베나 리커버리 15 뉴트리셔스 밤 [HAIR RÉ:COVERY 15 Nutritious Balm]제품선택=뉴트리셔스 밤 2개 세트 5% 추가할인</t>
        </is>
      </c>
      <c r="E102" s="9" t="inlineStr">
        <is>
          <t>뉴트리셔스밤 2set</t>
        </is>
      </c>
      <c r="F102" s="9" t="n">
        <v>210525</v>
      </c>
      <c r="G102" s="9">
        <f>B102&amp;C102&amp;D102&amp;F102</f>
        <v/>
      </c>
      <c r="H102" s="9" t="n">
        <v>47310</v>
      </c>
      <c r="I102" s="9" t="n">
        <v>0.0585</v>
      </c>
      <c r="J102" s="9" t="n">
        <v>3160</v>
      </c>
    </row>
    <row r="103">
      <c r="B103" s="9" t="inlineStr">
        <is>
          <t>카페24</t>
        </is>
      </c>
      <c r="C103" s="9" t="inlineStr">
        <is>
          <t>뉴트리셔스밤</t>
        </is>
      </c>
      <c r="D103" s="9" t="inlineStr">
        <is>
          <t>라베나 리커버리 15 뉴트리셔스 밤 [HAIR RÉ:COVERY 15 Nutritious Balm]제품선택=뉴트리셔스 밤 3개 세트 10% 추가할인</t>
        </is>
      </c>
      <c r="E103" s="9" t="inlineStr">
        <is>
          <t>뉴트리셔스밤 3set</t>
        </is>
      </c>
      <c r="F103" s="9" t="n">
        <v>210525</v>
      </c>
      <c r="G103" s="9">
        <f>B103&amp;C103&amp;D103&amp;F103</f>
        <v/>
      </c>
      <c r="H103" s="9" t="n">
        <v>67230</v>
      </c>
      <c r="I103" s="9" t="n">
        <v>0.0585</v>
      </c>
      <c r="J103" s="9" t="n">
        <v>4740</v>
      </c>
    </row>
    <row r="104">
      <c r="B104" s="9" t="inlineStr">
        <is>
          <t>카페24</t>
        </is>
      </c>
      <c r="C104" s="9" t="inlineStr">
        <is>
          <t>뉴트리셔스밤</t>
        </is>
      </c>
      <c r="D104" s="9" t="inlineStr">
        <is>
          <t>라베나 리커버리 15 뉴트리셔스 밤 [HAIR RÉ:COVERY 15 Nutritious Balm]제품선택=뉴트리셔스밤 1개 + 헤어팩 트리트먼트 1개 세트 5%추가할인</t>
        </is>
      </c>
      <c r="E104" s="9" t="inlineStr">
        <is>
          <t>트리트먼트+뉴트리셔스밤</t>
        </is>
      </c>
      <c r="F104" s="9" t="n">
        <v>210525</v>
      </c>
      <c r="G104" s="9">
        <f>B104&amp;C104&amp;D104&amp;F104</f>
        <v/>
      </c>
      <c r="H104" s="9" t="n">
        <v>48355</v>
      </c>
      <c r="I104" s="9" t="n">
        <v>0.0585</v>
      </c>
      <c r="J104" s="9" t="n">
        <v>3177</v>
      </c>
    </row>
    <row r="105">
      <c r="B105" s="9" t="inlineStr">
        <is>
          <t>카페24</t>
        </is>
      </c>
      <c r="C105" s="9" t="inlineStr">
        <is>
          <t>뉴트리셔스밤</t>
        </is>
      </c>
      <c r="D105" s="9" t="inlineStr">
        <is>
          <t>라베나 리커버리 15 뉴트리셔스 밤제품선택=헤어 리커버리 15 뉴트리셔스 밤</t>
        </is>
      </c>
      <c r="E105" s="9" t="inlineStr">
        <is>
          <t>뉴트리셔스밤</t>
        </is>
      </c>
      <c r="F105" s="9" t="n">
        <v>210525</v>
      </c>
      <c r="G105" s="9">
        <f>B105&amp;C105&amp;D105&amp;F105</f>
        <v/>
      </c>
      <c r="H105" s="9" t="n">
        <v>24900</v>
      </c>
      <c r="I105" s="9" t="n">
        <v>0.0585</v>
      </c>
      <c r="J105" s="9" t="n">
        <v>1580</v>
      </c>
    </row>
    <row r="106">
      <c r="B106" s="9" t="inlineStr">
        <is>
          <t>카페24</t>
        </is>
      </c>
      <c r="C106" s="9" t="inlineStr">
        <is>
          <t>뉴트리셔스밤</t>
        </is>
      </c>
      <c r="D106" s="9" t="inlineStr">
        <is>
          <t>라베나 리커버리 15 뉴트리셔스 밤제품선택=뉴트리셔스 밤 2개 세트 5% 추가할인</t>
        </is>
      </c>
      <c r="E106" s="9" t="inlineStr">
        <is>
          <t>뉴트리셔스밤 2set</t>
        </is>
      </c>
      <c r="F106" s="9" t="n">
        <v>210525</v>
      </c>
      <c r="G106" s="9">
        <f>B106&amp;C106&amp;D106&amp;F106</f>
        <v/>
      </c>
      <c r="H106" s="9" t="n">
        <v>47310</v>
      </c>
      <c r="I106" s="9" t="n">
        <v>0.0585</v>
      </c>
      <c r="J106" s="9" t="n">
        <v>3160</v>
      </c>
    </row>
    <row r="107">
      <c r="B107" s="9" t="inlineStr">
        <is>
          <t>카페24</t>
        </is>
      </c>
      <c r="C107" s="9" t="inlineStr">
        <is>
          <t>뉴트리셔스밤</t>
        </is>
      </c>
      <c r="D107" s="9" t="inlineStr">
        <is>
          <t>라베나 리커버리 15 뉴트리셔스 밤제품선택=뉴트리셔스 밤 3개 세트 10% 추가할인</t>
        </is>
      </c>
      <c r="E107" s="9" t="inlineStr">
        <is>
          <t>뉴트리셔스밤 3set</t>
        </is>
      </c>
      <c r="F107" s="9" t="n">
        <v>210525</v>
      </c>
      <c r="G107" s="9">
        <f>B107&amp;C107&amp;D107&amp;F107</f>
        <v/>
      </c>
      <c r="H107" s="9" t="n">
        <v>67230</v>
      </c>
      <c r="I107" s="9" t="n">
        <v>0.0585</v>
      </c>
      <c r="J107" s="9" t="n">
        <v>4740</v>
      </c>
    </row>
    <row r="108">
      <c r="B108" s="9" t="inlineStr">
        <is>
          <t>카페24</t>
        </is>
      </c>
      <c r="C108" s="9" t="inlineStr">
        <is>
          <t>뉴트리셔스밤</t>
        </is>
      </c>
      <c r="D108" s="9" t="inlineStr">
        <is>
          <t>라베나 리커버리 15 뉴트리셔스 밤제품선택=뉴트리셔스밤 1개 + 헤어팩 트리트먼트 1개 세트 5%추가할인</t>
        </is>
      </c>
      <c r="E108" s="9" t="inlineStr">
        <is>
          <t>뉴트리셔스밤1+트리트먼트1</t>
        </is>
      </c>
      <c r="F108" s="9" t="n">
        <v>210525</v>
      </c>
      <c r="G108" s="9">
        <f>B108&amp;C108&amp;D108&amp;F108</f>
        <v/>
      </c>
      <c r="H108" s="9" t="n">
        <v>48355</v>
      </c>
      <c r="I108" s="9" t="n">
        <v>0.0585</v>
      </c>
      <c r="J108" s="9">
        <f>1580+1597</f>
        <v/>
      </c>
    </row>
    <row r="109">
      <c r="B109" s="9" t="inlineStr">
        <is>
          <t>카페24</t>
        </is>
      </c>
      <c r="C109" s="9" t="inlineStr">
        <is>
          <t>트리트먼트</t>
        </is>
      </c>
      <c r="D109" s="9" t="inlineStr">
        <is>
          <t>라베나 리커버리 15 헤어팩 트리트먼트 [HAIR RÉ:COVERY 15 Hairpack Treatment]제품선택=헤어 리커버리 15 헤어팩 트리트먼트</t>
        </is>
      </c>
      <c r="E109" s="9" t="inlineStr">
        <is>
          <t>트리트먼트</t>
        </is>
      </c>
      <c r="F109" s="9" t="n">
        <v>210525</v>
      </c>
      <c r="G109" s="9">
        <f>B109&amp;C109&amp;D109&amp;F109</f>
        <v/>
      </c>
      <c r="H109" s="9" t="n">
        <v>26000</v>
      </c>
      <c r="I109" s="9" t="n">
        <v>0.0585</v>
      </c>
      <c r="J109" s="9" t="n">
        <v>1597</v>
      </c>
    </row>
    <row r="110">
      <c r="B110" s="9" t="inlineStr">
        <is>
          <t>카페24</t>
        </is>
      </c>
      <c r="C110" s="9" t="inlineStr">
        <is>
          <t>트리트먼트</t>
        </is>
      </c>
      <c r="D110" s="9" t="inlineStr">
        <is>
          <t>라베나 리커버리 15 헤어팩 트리트먼트 [HAIR RÉ:COVERY 15 Hairpack Treatment]제품선택=헤어팩 트리트먼트 2개 세트 5% 추가할인</t>
        </is>
      </c>
      <c r="E110" s="9" t="inlineStr">
        <is>
          <t>트리트먼트 2set</t>
        </is>
      </c>
      <c r="F110" s="9" t="n">
        <v>210525</v>
      </c>
      <c r="G110" s="9">
        <f>B110&amp;C110&amp;D110&amp;F110</f>
        <v/>
      </c>
      <c r="H110" s="9" t="n">
        <v>49400</v>
      </c>
      <c r="I110" s="9" t="n">
        <v>0.0585</v>
      </c>
      <c r="J110" s="9" t="n">
        <v>3194</v>
      </c>
    </row>
    <row r="111">
      <c r="B111" s="9" t="inlineStr">
        <is>
          <t>카페24</t>
        </is>
      </c>
      <c r="C111" s="9" t="inlineStr">
        <is>
          <t>트리트먼트</t>
        </is>
      </c>
      <c r="D111" s="9" t="inlineStr">
        <is>
          <t>라베나 리커버리 15 헤어팩 트리트먼트 [HAIR RÉ:COVERY 15 Hairpack Treatment]제품선택=헤어팩 트리트먼트 3개 세트 10% 추가할인</t>
        </is>
      </c>
      <c r="E111" s="9" t="inlineStr">
        <is>
          <t>트리트먼트 3set</t>
        </is>
      </c>
      <c r="F111" s="9" t="n">
        <v>210525</v>
      </c>
      <c r="G111" s="9">
        <f>B111&amp;C111&amp;D111&amp;F111</f>
        <v/>
      </c>
      <c r="H111" s="9" t="n">
        <v>70200</v>
      </c>
      <c r="I111" s="9" t="n">
        <v>0.0585</v>
      </c>
      <c r="J111" s="9" t="n">
        <v>4791</v>
      </c>
    </row>
    <row r="112">
      <c r="B112" s="9" t="inlineStr">
        <is>
          <t>카페24</t>
        </is>
      </c>
      <c r="C112" s="9" t="inlineStr">
        <is>
          <t>트리트먼트</t>
        </is>
      </c>
      <c r="D112" s="9" t="inlineStr">
        <is>
          <t>라베나 리커버리 15 헤어팩 트리트먼트 [HAIR RÉ:COVERY 15 Hairpack Treatment]제품선택=헤어팩 트리트먼트 1개 + 뉴트리셔스밤 1개 세트 5% 추가할인</t>
        </is>
      </c>
      <c r="E112" s="9" t="inlineStr">
        <is>
          <t>트리트먼트+뉴트리셔스밤</t>
        </is>
      </c>
      <c r="F112" s="9" t="n">
        <v>210525</v>
      </c>
      <c r="G112" s="9">
        <f>B112&amp;C112&amp;D112&amp;F112</f>
        <v/>
      </c>
      <c r="H112" s="9" t="n">
        <v>48355</v>
      </c>
      <c r="I112" s="9" t="n">
        <v>0.0585</v>
      </c>
      <c r="J112" s="9" t="n">
        <v>3177</v>
      </c>
    </row>
    <row r="113">
      <c r="B113" s="9" t="inlineStr">
        <is>
          <t>카페24</t>
        </is>
      </c>
      <c r="C113" s="9" t="inlineStr">
        <is>
          <t>트리트먼트</t>
        </is>
      </c>
      <c r="D113" s="9" t="inlineStr">
        <is>
          <t>라베나 리커버리 15 헤어팩 트리트먼트제품선택=헤어 리커버리 15 헤어팩 트리트먼트</t>
        </is>
      </c>
      <c r="E113" s="9" t="inlineStr">
        <is>
          <t>트리트먼트</t>
        </is>
      </c>
      <c r="F113" s="9" t="n">
        <v>210525</v>
      </c>
      <c r="G113" s="9">
        <f>B113&amp;C113&amp;D113&amp;F113</f>
        <v/>
      </c>
      <c r="H113" s="9" t="n">
        <v>26000</v>
      </c>
      <c r="I113" s="9" t="n">
        <v>0.0585</v>
      </c>
      <c r="J113" s="9" t="n">
        <v>1597</v>
      </c>
    </row>
    <row r="114">
      <c r="B114" s="9" t="inlineStr">
        <is>
          <t>카페24</t>
        </is>
      </c>
      <c r="C114" s="9" t="inlineStr">
        <is>
          <t>트리트먼트</t>
        </is>
      </c>
      <c r="D114" s="9" t="inlineStr">
        <is>
          <t>라베나 리커버리 15 헤어팩 트리트먼트제품선택=헤어팩 트리트먼트 2개 세트 5% 추가할인</t>
        </is>
      </c>
      <c r="E114" s="9" t="inlineStr">
        <is>
          <t>트리트먼트 2set</t>
        </is>
      </c>
      <c r="F114" s="9" t="n">
        <v>210525</v>
      </c>
      <c r="G114" s="9">
        <f>B114&amp;C114&amp;D114&amp;F114</f>
        <v/>
      </c>
      <c r="H114" s="9" t="n">
        <v>49400</v>
      </c>
      <c r="I114" s="9" t="n">
        <v>0.0585</v>
      </c>
      <c r="J114" s="9" t="n">
        <v>3194</v>
      </c>
    </row>
    <row r="115">
      <c r="B115" s="9" t="inlineStr">
        <is>
          <t>카페24</t>
        </is>
      </c>
      <c r="C115" s="9" t="inlineStr">
        <is>
          <t>트리트먼트</t>
        </is>
      </c>
      <c r="D115" s="9" t="inlineStr">
        <is>
          <t>라베나 리커버리 15 헤어팩 트리트먼트제품선택=헤어팩 트리트먼트 3개 세트 10% 추가할인</t>
        </is>
      </c>
      <c r="E115" s="9" t="inlineStr">
        <is>
          <t>트리트먼트 3set</t>
        </is>
      </c>
      <c r="F115" s="9" t="n">
        <v>210525</v>
      </c>
      <c r="G115" s="9">
        <f>B115&amp;C115&amp;D115&amp;F115</f>
        <v/>
      </c>
      <c r="H115" s="9" t="n">
        <v>70200</v>
      </c>
      <c r="I115" s="9" t="n">
        <v>0.0585</v>
      </c>
      <c r="J115" s="9" t="n">
        <v>4791</v>
      </c>
    </row>
    <row r="116">
      <c r="B116" s="9" t="inlineStr">
        <is>
          <t>카페24</t>
        </is>
      </c>
      <c r="C116" s="9" t="inlineStr">
        <is>
          <t>트리트먼트</t>
        </is>
      </c>
      <c r="D116" s="9" t="inlineStr">
        <is>
          <t>라베나 리커버리 15 헤어팩 트리트먼트제품선택=헤어팩 트리트먼트 1개 + 뉴트리셔스밤 1개 세트 5% 추가할인</t>
        </is>
      </c>
      <c r="E116" s="9" t="inlineStr">
        <is>
          <t>트리트먼트1+뉴트리셔스밤1</t>
        </is>
      </c>
      <c r="F116" s="9" t="n">
        <v>210525</v>
      </c>
      <c r="G116" s="9">
        <f>B116&amp;C116&amp;D116&amp;F116</f>
        <v/>
      </c>
      <c r="H116" s="9" t="n">
        <v>48355</v>
      </c>
      <c r="I116" s="9" t="n">
        <v>0.0585</v>
      </c>
      <c r="J116" s="9" t="n">
        <v>3177</v>
      </c>
    </row>
    <row r="117" ht="16.5" customHeight="1" s="12">
      <c r="B117" s="9" t="inlineStr">
        <is>
          <t>카페24</t>
        </is>
      </c>
      <c r="C117" s="9" t="inlineStr">
        <is>
          <t>샴푸</t>
        </is>
      </c>
      <c r="D117" s="9" t="inlineStr">
        <is>
          <t>[타임특가] 라베나 리:커버리 3개월 패키지 (샴푸 2+ 트리트먼트 택 1)샴푸2 + 트리트먼트 택 1=샴푸2 + 뉴트리셔스 밤1</t>
        </is>
      </c>
      <c r="E117" s="9" t="inlineStr">
        <is>
          <t>리바이탈 샴푸2+뉴트리셔스밤1</t>
        </is>
      </c>
      <c r="F117" s="9" t="n">
        <v>210525</v>
      </c>
      <c r="G117" s="9">
        <f>B117&amp;C117&amp;D117&amp;F117</f>
        <v/>
      </c>
      <c r="H117" s="9">
        <f>62280</f>
        <v/>
      </c>
      <c r="I117" s="9" t="n">
        <v>0.0585</v>
      </c>
      <c r="J117" s="9">
        <f>7310</f>
        <v/>
      </c>
    </row>
    <row r="118" ht="16.5" customHeight="1" s="12">
      <c r="B118" s="9" t="inlineStr">
        <is>
          <t>카페24</t>
        </is>
      </c>
      <c r="C118" s="9" t="inlineStr">
        <is>
          <t>샴푸</t>
        </is>
      </c>
      <c r="D118" s="9" t="inlineStr">
        <is>
          <t>[타임특가] 라베나 리:커버리 3개월 패키지 (샴푸 2+ 트리트먼트 택 1)샴푸2 + 트리트먼트 택 1=샴푸2 + 헤어팩 트리트먼트1</t>
        </is>
      </c>
      <c r="E118" s="9" t="inlineStr">
        <is>
          <t>리바이탈 샴푸2+트리트먼트1</t>
        </is>
      </c>
      <c r="F118" s="9" t="n">
        <v>210525</v>
      </c>
      <c r="G118" s="9">
        <f>B118&amp;C118&amp;D118&amp;F118</f>
        <v/>
      </c>
      <c r="H118" s="9">
        <f>62280</f>
        <v/>
      </c>
      <c r="I118" s="9" t="n">
        <v>0.0585</v>
      </c>
      <c r="J118" s="9">
        <f>7327</f>
        <v/>
      </c>
    </row>
    <row r="119" ht="16.5" customHeight="1" s="12">
      <c r="B119" s="9" t="inlineStr">
        <is>
          <t>카페24</t>
        </is>
      </c>
      <c r="C119" s="9" t="inlineStr">
        <is>
          <t>샴푸</t>
        </is>
      </c>
      <c r="D119" s="9" t="inlineStr">
        <is>
          <t>[타임특가] 라베나 리:커버리 6개월 패키지 (샴푸 5+ 트리트먼트 택 1)샴푸 5 + 트리트먼트 택 1=샴푸 5 + 뉴트리셔스 밤 1</t>
        </is>
      </c>
      <c r="E119" s="9" t="inlineStr">
        <is>
          <t>리바이탈 샴푸5+뉴트리셔스밤1</t>
        </is>
      </c>
      <c r="F119" s="9" t="n">
        <v>210525</v>
      </c>
      <c r="G119" s="9">
        <f>B119&amp;C119&amp;D119&amp;F119</f>
        <v/>
      </c>
      <c r="H119" s="9">
        <f>114840</f>
        <v/>
      </c>
      <c r="I119" s="9" t="n">
        <v>0.0585</v>
      </c>
      <c r="J119" s="9">
        <f>15905</f>
        <v/>
      </c>
    </row>
    <row r="120" ht="16.5" customHeight="1" s="12">
      <c r="B120" s="9" t="inlineStr">
        <is>
          <t>카페24</t>
        </is>
      </c>
      <c r="C120" s="9" t="inlineStr">
        <is>
          <t>샴푸</t>
        </is>
      </c>
      <c r="D120" s="9" t="inlineStr">
        <is>
          <t>[타임특가] 라베나 리:커버리 6개월 패키지 (샴푸 5+ 트리트먼트 택 1)샴푸 5 + 트리트먼트 택 1=샴푸 5 + 헤어팩 트리트먼트 1</t>
        </is>
      </c>
      <c r="E120" s="9" t="inlineStr">
        <is>
          <t>리바이탈 샴푸5+트리트먼트1</t>
        </is>
      </c>
      <c r="F120" s="9" t="n">
        <v>210525</v>
      </c>
      <c r="G120" s="9">
        <f>B120&amp;C120&amp;D120&amp;F120</f>
        <v/>
      </c>
      <c r="H120" s="9">
        <f>114840</f>
        <v/>
      </c>
      <c r="I120" s="9" t="n">
        <v>0.0585</v>
      </c>
      <c r="J120" s="9">
        <f>15922</f>
        <v/>
      </c>
    </row>
    <row r="121" ht="16.5" customHeight="1" s="12">
      <c r="B121" s="9" t="inlineStr">
        <is>
          <t>카페24</t>
        </is>
      </c>
      <c r="C121" s="9" t="inlineStr">
        <is>
          <t>샴푸</t>
        </is>
      </c>
      <c r="D121" s="9" t="inlineStr">
        <is>
          <t>[타임특가] 라베나 리:커버리 스타터 패키지 (샴푸 1+헤어팩 트리트먼트 1+ 뉴트리셔스 밤 1)</t>
        </is>
      </c>
      <c r="E121" s="9" t="inlineStr">
        <is>
          <t>리바이탈 샴푸1+트리트먼트1+뉴트리셔스밤1</t>
        </is>
      </c>
      <c r="F121" s="9" t="n">
        <v>210525</v>
      </c>
      <c r="G121" s="9">
        <f>B121&amp;C121&amp;D121&amp;F121</f>
        <v/>
      </c>
      <c r="H121" s="9">
        <f>39897</f>
        <v/>
      </c>
      <c r="I121" s="9" t="n">
        <v>0.0585</v>
      </c>
      <c r="J121" s="9">
        <f>(2865+1580+1597)</f>
        <v/>
      </c>
    </row>
    <row r="122" ht="16.5" customHeight="1" s="12">
      <c r="B122" s="9" t="inlineStr">
        <is>
          <t>카페24</t>
        </is>
      </c>
      <c r="C122" s="9" t="inlineStr">
        <is>
          <t>샴푸</t>
        </is>
      </c>
      <c r="D122" s="9" t="inlineStr">
        <is>
          <t>[타임특가] 라베나 리:커버리 온가족 패키지 (샴푸 3+ 헤어팩 트리트먼트 1+뉴트리셔스 밤 1)</t>
        </is>
      </c>
      <c r="E122" s="9" t="inlineStr">
        <is>
          <t>리바이탈 샴푸3+트리트먼트1+뉴트리셔스밤1</t>
        </is>
      </c>
      <c r="F122" s="9" t="n">
        <v>210525</v>
      </c>
      <c r="G122" s="9">
        <f>B122&amp;C122&amp;D122&amp;F122</f>
        <v/>
      </c>
      <c r="H122" s="9">
        <f>94765</f>
        <v/>
      </c>
      <c r="I122" s="9" t="n">
        <v>0.0585</v>
      </c>
      <c r="J122" s="9">
        <f>11772</f>
        <v/>
      </c>
    </row>
    <row r="123">
      <c r="B123" s="9" t="inlineStr">
        <is>
          <t>카페24</t>
        </is>
      </c>
      <c r="C123" s="9" t="inlineStr">
        <is>
          <t>가글샴푸</t>
        </is>
      </c>
      <c r="D123" s="9" t="inlineStr">
        <is>
          <t>[얼리버드특가] 라베나 딥클렌징 헤어가글 샴푸 (5월 31일 순차예약배송)</t>
        </is>
      </c>
      <c r="E123" s="9" t="inlineStr">
        <is>
          <t>헤어가글 샴푸</t>
        </is>
      </c>
      <c r="F123" s="9" t="n">
        <v>210525</v>
      </c>
      <c r="G123" s="9">
        <f>B123&amp;C123&amp;D123&amp;F123</f>
        <v/>
      </c>
      <c r="H123" s="9" t="n">
        <v>21900</v>
      </c>
      <c r="I123" s="9" t="n">
        <v>0.0585</v>
      </c>
      <c r="J123" s="9" t="n">
        <v>3355</v>
      </c>
    </row>
    <row r="124">
      <c r="B124" s="9" t="inlineStr">
        <is>
          <t>카페24</t>
        </is>
      </c>
      <c r="C124" s="9" t="inlineStr">
        <is>
          <t>가글워터</t>
        </is>
      </c>
      <c r="D124" s="9" t="inlineStr">
        <is>
          <t>[얼리버드특가] 라베나 딥클렌징 헤어가글 워터 (5월 31일 순차예약배송)</t>
        </is>
      </c>
      <c r="E124" s="9" t="inlineStr">
        <is>
          <t>헤어가글 워터</t>
        </is>
      </c>
      <c r="F124" s="9" t="n">
        <v>210525</v>
      </c>
      <c r="G124" s="9">
        <f>B124&amp;C124&amp;D124&amp;F124</f>
        <v/>
      </c>
      <c r="H124" s="9" t="n">
        <v>19800</v>
      </c>
      <c r="I124" s="9" t="n">
        <v>0.0585</v>
      </c>
      <c r="J124" s="9" t="n">
        <v>2320</v>
      </c>
    </row>
    <row r="125">
      <c r="B125" s="9" t="inlineStr">
        <is>
          <t>카페24</t>
        </is>
      </c>
      <c r="C125" s="9" t="inlineStr">
        <is>
          <t>가글샴푸</t>
        </is>
      </c>
      <c r="D125" s="9" t="inlineStr">
        <is>
          <t>[얼리버드특가] 라베나 딥클렌징 헤어가글라인 set (5월 31일 순차예약배송)</t>
        </is>
      </c>
      <c r="E125" s="9" t="inlineStr">
        <is>
          <t>헤어가글 샴푸1+헤어가글 워터1</t>
        </is>
      </c>
      <c r="F125" s="9" t="n">
        <v>210525</v>
      </c>
      <c r="G125" s="9">
        <f>B125&amp;C125&amp;D125&amp;F125</f>
        <v/>
      </c>
      <c r="H125" s="9" t="n">
        <v>35445</v>
      </c>
      <c r="I125" s="9" t="n">
        <v>0.0585</v>
      </c>
      <c r="J125" s="9">
        <f>3320+2320</f>
        <v/>
      </c>
    </row>
    <row r="126">
      <c r="B126" s="9" t="inlineStr">
        <is>
          <t>카페24</t>
        </is>
      </c>
      <c r="C126" s="9" t="inlineStr">
        <is>
          <t>샴푸</t>
        </is>
      </c>
      <c r="D126" s="9" t="inlineStr">
        <is>
          <t>[얼리버드특가] 라베나 패밀리 set: 리커버리 샴푸3+헤어가글라인 택1 (5월 31일 순차예약배송)옵션=헤어가글 샴푸</t>
        </is>
      </c>
      <c r="E126" s="9" t="inlineStr">
        <is>
          <t>리바이탈 샴푸3+헤어가글 샴푸1</t>
        </is>
      </c>
      <c r="F126" s="9" t="n">
        <v>210525</v>
      </c>
      <c r="G126" s="9">
        <f>B126&amp;C126&amp;D126&amp;F126</f>
        <v/>
      </c>
      <c r="H126" s="9" t="n">
        <v>81300</v>
      </c>
      <c r="I126" s="9" t="n">
        <v>0.0585</v>
      </c>
      <c r="J126" s="9">
        <f>(2865*3)+3355</f>
        <v/>
      </c>
    </row>
    <row r="127">
      <c r="B127" s="9" t="inlineStr">
        <is>
          <t>카페24</t>
        </is>
      </c>
      <c r="C127" s="9" t="inlineStr">
        <is>
          <t>샴푸</t>
        </is>
      </c>
      <c r="D127" s="9" t="inlineStr">
        <is>
          <t>[얼리버드특가] 라베나 패밀리 set: 리커버리 샴푸3+헤어가글라인 택1 (5월 31일 순차예약배송)옵션=헤어가글 워터</t>
        </is>
      </c>
      <c r="E127" s="9" t="inlineStr">
        <is>
          <t>리바이탈 샴푸3+헤어가글 워터1</t>
        </is>
      </c>
      <c r="F127" s="9" t="n">
        <v>210525</v>
      </c>
      <c r="G127" s="9">
        <f>B127&amp;C127&amp;D127&amp;F127</f>
        <v/>
      </c>
      <c r="H127" s="9" t="n">
        <v>79200</v>
      </c>
      <c r="I127" s="9" t="n">
        <v>0.0585</v>
      </c>
      <c r="J127" s="9">
        <f>(2865*3)+2320</f>
        <v/>
      </c>
    </row>
    <row r="128" ht="16.5" customHeight="1" s="12">
      <c r="B128" s="9" t="inlineStr">
        <is>
          <t>카페24</t>
        </is>
      </c>
      <c r="C128" s="9" t="inlineStr">
        <is>
          <t>샴푸</t>
        </is>
      </c>
      <c r="D128" s="9" t="inlineStr">
        <is>
          <t>[타임특가] 라베나 리:커버리 3개월 패키지 (샴푸 2+ 트리트먼트 택 1)샴푸2 + 트리트먼트 택 1=샴푸2 + 뉴트리셔스 밤1</t>
        </is>
      </c>
      <c r="E128" s="9" t="inlineStr">
        <is>
          <t>리바이탈 샴푸2+뉴트리셔스밤1</t>
        </is>
      </c>
      <c r="F128" s="9" t="n">
        <v>210525</v>
      </c>
      <c r="G128" s="9">
        <f>B128&amp;C128&amp;D128&amp;F128</f>
        <v/>
      </c>
      <c r="H128" s="9">
        <f>62280</f>
        <v/>
      </c>
      <c r="I128" s="9" t="n">
        <v>0.0585</v>
      </c>
      <c r="J128" s="9">
        <f>7310</f>
        <v/>
      </c>
    </row>
    <row r="129" ht="16.5" customHeight="1" s="12">
      <c r="B129" s="9" t="inlineStr">
        <is>
          <t>카페24</t>
        </is>
      </c>
      <c r="C129" s="9" t="inlineStr">
        <is>
          <t>샴푸</t>
        </is>
      </c>
      <c r="D129" s="9" t="inlineStr">
        <is>
          <t>[타임특가] 라베나 리:커버리 3개월 패키지 (샴푸 2+ 트리트먼트 택 1)샴푸2 + 트리트먼트 택 1=샴푸2 + 헤어팩 트리트먼트1</t>
        </is>
      </c>
      <c r="E129" s="9" t="inlineStr">
        <is>
          <t>리바이탈 샴푸2+트리트먼트1</t>
        </is>
      </c>
      <c r="F129" s="9" t="n">
        <v>210525</v>
      </c>
      <c r="G129" s="9">
        <f>B129&amp;C129&amp;D129&amp;F129</f>
        <v/>
      </c>
      <c r="H129" s="9">
        <f>62280</f>
        <v/>
      </c>
      <c r="I129" s="9" t="n">
        <v>0.0585</v>
      </c>
      <c r="J129" s="9">
        <f>7327</f>
        <v/>
      </c>
    </row>
    <row r="130" ht="16.5" customHeight="1" s="12">
      <c r="B130" s="9" t="inlineStr">
        <is>
          <t>카페24</t>
        </is>
      </c>
      <c r="C130" s="9" t="inlineStr">
        <is>
          <t>샴푸</t>
        </is>
      </c>
      <c r="D130" s="9" t="inlineStr">
        <is>
          <t>[타임특가] 라베나 리:커버리 6개월 패키지 (샴푸 5+ 트리트먼트 택 1)샴푸 5 + 트리트먼트 택 1=샴푸 5 + 뉴트리셔스 밤 1</t>
        </is>
      </c>
      <c r="E130" s="9" t="inlineStr">
        <is>
          <t>리바이탈 샴푸5+뉴트리셔스밤1</t>
        </is>
      </c>
      <c r="F130" s="9" t="n">
        <v>210525</v>
      </c>
      <c r="G130" s="9">
        <f>B130&amp;C130&amp;D130&amp;F130</f>
        <v/>
      </c>
      <c r="H130" s="9">
        <f>114840</f>
        <v/>
      </c>
      <c r="I130" s="9" t="n">
        <v>0.0585</v>
      </c>
      <c r="J130" s="9">
        <f>15905</f>
        <v/>
      </c>
    </row>
    <row r="131" ht="16.5" customHeight="1" s="12">
      <c r="B131" s="9" t="inlineStr">
        <is>
          <t>카페24</t>
        </is>
      </c>
      <c r="C131" s="9" t="inlineStr">
        <is>
          <t>샴푸</t>
        </is>
      </c>
      <c r="D131" s="9" t="inlineStr">
        <is>
          <t>[타임특가] 라베나 리:커버리 6개월 패키지 (샴푸 5+ 트리트먼트 택 1)샴푸 5 + 트리트먼트 택 1=샴푸 5 + 헤어팩 트리트먼트 1</t>
        </is>
      </c>
      <c r="E131" s="9" t="inlineStr">
        <is>
          <t>리바이탈 샴푸5+트리트먼트1</t>
        </is>
      </c>
      <c r="F131" s="9" t="n">
        <v>210525</v>
      </c>
      <c r="G131" s="9">
        <f>B131&amp;C131&amp;D131&amp;F131</f>
        <v/>
      </c>
      <c r="H131" s="9">
        <f>114840</f>
        <v/>
      </c>
      <c r="I131" s="9" t="n">
        <v>0.0585</v>
      </c>
      <c r="J131" s="9">
        <f>15922</f>
        <v/>
      </c>
    </row>
    <row r="132" ht="16.5" customHeight="1" s="12">
      <c r="B132" s="9" t="inlineStr">
        <is>
          <t>카페24</t>
        </is>
      </c>
      <c r="C132" s="9" t="inlineStr">
        <is>
          <t>샴푸</t>
        </is>
      </c>
      <c r="D132" s="9" t="inlineStr">
        <is>
          <t>[타임특가] 라베나 리:커버리 온가족 패키지 (샴푸 3+ 헤어팩 트리트먼트 1+뉴트리셔스 밤 1)</t>
        </is>
      </c>
      <c r="E132" s="9" t="inlineStr">
        <is>
          <t>리바이탈 샴푸3+트리트먼트1+뉴트리셔스밤1</t>
        </is>
      </c>
      <c r="F132" s="9" t="n">
        <v>210525</v>
      </c>
      <c r="G132" s="9">
        <f>B132&amp;C132&amp;D132&amp;F132</f>
        <v/>
      </c>
      <c r="H132" s="9">
        <f>94765</f>
        <v/>
      </c>
      <c r="I132" s="9" t="n">
        <v>0.0585</v>
      </c>
      <c r="J132" s="9">
        <f>11772</f>
        <v/>
      </c>
    </row>
    <row r="133" ht="16.5" customHeight="1" s="12">
      <c r="B133" s="9" t="inlineStr">
        <is>
          <t>카페24</t>
        </is>
      </c>
      <c r="C133" s="9" t="inlineStr">
        <is>
          <t>가글워터</t>
        </is>
      </c>
      <c r="D133" s="9" t="inlineStr">
        <is>
          <t>[얼리버드특가 2차] 라베나 딥클렌징 헤어가글 워터 (5월 31일 순차예약배송)</t>
        </is>
      </c>
      <c r="E133" s="9" t="inlineStr">
        <is>
          <t>헤어가글 워터</t>
        </is>
      </c>
      <c r="F133" s="9" t="n">
        <v>210525</v>
      </c>
      <c r="G133" s="9">
        <f>B133&amp;C133&amp;D133&amp;F133</f>
        <v/>
      </c>
      <c r="H133" s="9" t="n">
        <v>21500</v>
      </c>
      <c r="I133" s="9" t="n">
        <v>0.0585</v>
      </c>
      <c r="J133" s="9" t="n">
        <v>2320</v>
      </c>
    </row>
    <row r="134" ht="16.5" customHeight="1" s="12">
      <c r="B134" s="9" t="inlineStr">
        <is>
          <t>카페24</t>
        </is>
      </c>
      <c r="C134" s="9" t="inlineStr">
        <is>
          <t>가글샴푸</t>
        </is>
      </c>
      <c r="D134" s="9" t="inlineStr">
        <is>
          <t>[얼리버드특가2차] 라베나 딥클렌징 헤어가글 샴푸 (5월 31일 순차예약배송)</t>
        </is>
      </c>
      <c r="E134" s="9" t="inlineStr">
        <is>
          <t>헤어가글 샴푸</t>
        </is>
      </c>
      <c r="F134" s="9" t="n">
        <v>210525</v>
      </c>
      <c r="G134" s="9">
        <f>B134&amp;C134&amp;D134&amp;F134</f>
        <v/>
      </c>
      <c r="H134" s="9" t="n">
        <v>23900</v>
      </c>
      <c r="I134" s="9" t="n">
        <v>0.0585</v>
      </c>
      <c r="J134" s="9" t="n">
        <v>3355</v>
      </c>
    </row>
    <row r="135" ht="16.5" customHeight="1" s="12">
      <c r="B135" s="9" t="inlineStr">
        <is>
          <t>카페24</t>
        </is>
      </c>
      <c r="C135" s="9" t="inlineStr">
        <is>
          <t>가글샴푸</t>
        </is>
      </c>
      <c r="D135" s="9" t="inlineStr">
        <is>
          <t>[얼리버드특가2차] 라베나 딥클렌징 헤어가글라인 set (5월 31일 순차예약배송)</t>
        </is>
      </c>
      <c r="E135" s="9" t="inlineStr">
        <is>
          <t>헤어가글 샴푸1+헤어가글 워터1</t>
        </is>
      </c>
      <c r="F135" s="9" t="n">
        <v>210525</v>
      </c>
      <c r="G135" s="9">
        <f>B135&amp;C135&amp;D135&amp;F135</f>
        <v/>
      </c>
      <c r="H135" s="9" t="n">
        <v>40860</v>
      </c>
      <c r="I135" s="9" t="n">
        <v>0.0585</v>
      </c>
      <c r="J135" s="9">
        <f>3320+2320</f>
        <v/>
      </c>
    </row>
    <row r="136" ht="16.5" customHeight="1" s="12">
      <c r="B136" s="9" t="inlineStr">
        <is>
          <t>카페24</t>
        </is>
      </c>
      <c r="C136" s="9" t="inlineStr">
        <is>
          <t>가글샴푸</t>
        </is>
      </c>
      <c r="D136" s="9" t="inlineStr">
        <is>
          <t>[오픈한정] 라베나 딥 클렌징 헤어 가글 샴푸제품선택=딥클렌징 헤어가글 샴푸- 490ml</t>
        </is>
      </c>
      <c r="E136" s="9" t="inlineStr">
        <is>
          <t>헤어가글 샴푸</t>
        </is>
      </c>
      <c r="F136" s="9" t="n">
        <v>210525</v>
      </c>
      <c r="G136" s="9">
        <f>B136&amp;C136&amp;D136&amp;F136</f>
        <v/>
      </c>
      <c r="H136" s="9" t="n">
        <v>26900</v>
      </c>
      <c r="I136" s="9" t="n">
        <v>0.0585</v>
      </c>
      <c r="J136" s="9" t="n">
        <v>3355</v>
      </c>
    </row>
    <row r="137" ht="16.5" customHeight="1" s="12">
      <c r="B137" s="9" t="inlineStr">
        <is>
          <t>카페24</t>
        </is>
      </c>
      <c r="C137" s="9" t="inlineStr">
        <is>
          <t>가글샴푸</t>
        </is>
      </c>
      <c r="D137" s="9" t="inlineStr">
        <is>
          <t>[오픈한정] 라베나 딥 클렌징 헤어 가글 샴푸제품선택=헤어가글 샴푸 2개 세트 10%추가 할인</t>
        </is>
      </c>
      <c r="E137" s="9" t="inlineStr">
        <is>
          <t>헤어가글 샴푸 2set</t>
        </is>
      </c>
      <c r="F137" s="9" t="n">
        <v>210525</v>
      </c>
      <c r="G137" s="9">
        <f>B137&amp;C137&amp;D137&amp;F137</f>
        <v/>
      </c>
      <c r="H137" s="9" t="n">
        <v>48420</v>
      </c>
      <c r="I137" s="9" t="n">
        <v>0.0585</v>
      </c>
      <c r="J137" s="9">
        <f>3355*2</f>
        <v/>
      </c>
    </row>
    <row r="138" ht="16.5" customHeight="1" s="12">
      <c r="B138" s="9" t="inlineStr">
        <is>
          <t>카페24</t>
        </is>
      </c>
      <c r="C138" s="9" t="inlineStr">
        <is>
          <t>가글샴푸</t>
        </is>
      </c>
      <c r="D138" s="9" t="inlineStr">
        <is>
          <t>[오픈한정] 라베나 딥 클렌징 헤어 가글 샴푸제품선택=헤어가글 샴푸 3개 세트 20% 추가 할인</t>
        </is>
      </c>
      <c r="E138" s="9" t="inlineStr">
        <is>
          <t>헤어가글 샴푸 3set</t>
        </is>
      </c>
      <c r="F138" s="9" t="n">
        <v>210525</v>
      </c>
      <c r="G138" s="9">
        <f>B138&amp;C138&amp;D138&amp;F138</f>
        <v/>
      </c>
      <c r="H138" s="9" t="n">
        <v>64560</v>
      </c>
      <c r="I138" s="9" t="n">
        <v>0.0585</v>
      </c>
      <c r="J138" s="9">
        <f>3355*3</f>
        <v/>
      </c>
    </row>
    <row r="139" ht="16.5" customHeight="1" s="12">
      <c r="B139" s="9" t="inlineStr">
        <is>
          <t>카페24</t>
        </is>
      </c>
      <c r="C139" s="9" t="inlineStr">
        <is>
          <t>가글샴푸</t>
        </is>
      </c>
      <c r="D139" s="9" t="inlineStr">
        <is>
          <t>[오픈한정] 라베나 딥클렌징 헤어가글라인 SET</t>
        </is>
      </c>
      <c r="E139" s="9" t="inlineStr">
        <is>
          <t>헤어가글 샴푸1+헤어가글 워터1</t>
        </is>
      </c>
      <c r="F139" s="9" t="n">
        <v>210525</v>
      </c>
      <c r="G139" s="9">
        <f>B139&amp;C139&amp;D139&amp;F139</f>
        <v/>
      </c>
      <c r="H139" s="9" t="n">
        <v>45180</v>
      </c>
      <c r="I139" s="9" t="n">
        <v>0.0585</v>
      </c>
      <c r="J139" s="9">
        <f>2320+3355</f>
        <v/>
      </c>
    </row>
    <row r="140" ht="16.5" customHeight="1" s="12">
      <c r="B140" s="9" t="inlineStr">
        <is>
          <t>카페24</t>
        </is>
      </c>
      <c r="C140" s="9" t="inlineStr">
        <is>
          <t>가글워터</t>
        </is>
      </c>
      <c r="D140" s="9" t="inlineStr">
        <is>
          <t>[오픈한정] 라베나 딥 클렌징 헤어 가글 워터제품선택=딥클렌징 헤어가글 워터- 300ml</t>
        </is>
      </c>
      <c r="E140" s="9" t="inlineStr">
        <is>
          <t>헤어가글 워터</t>
        </is>
      </c>
      <c r="F140" s="9" t="n">
        <v>210525</v>
      </c>
      <c r="G140" s="9">
        <f>B140&amp;C140&amp;D140&amp;F140</f>
        <v/>
      </c>
      <c r="H140" s="9" t="n">
        <v>23330</v>
      </c>
      <c r="I140" s="9" t="n">
        <v>0.0585</v>
      </c>
      <c r="J140" s="9" t="n">
        <v>2320</v>
      </c>
    </row>
    <row r="141" ht="16.5" customHeight="1" s="12">
      <c r="B141" s="9" t="inlineStr">
        <is>
          <t>카페24</t>
        </is>
      </c>
      <c r="C141" s="9" t="inlineStr">
        <is>
          <t>가글워터</t>
        </is>
      </c>
      <c r="D141" s="9" t="inlineStr">
        <is>
          <t>[오픈한정] 라베나 딥 클렌징 헤어 가글 워터제품선택=헤어가글 워터 3개 세트 20% 추가 할인</t>
        </is>
      </c>
      <c r="E141" s="9" t="inlineStr">
        <is>
          <t>헤어가글 워터 3set</t>
        </is>
      </c>
      <c r="F141" s="9" t="n">
        <v>210525</v>
      </c>
      <c r="G141" s="9">
        <f>B141&amp;C141&amp;D141&amp;F141</f>
        <v/>
      </c>
      <c r="H141" s="9" t="n">
        <v>55920</v>
      </c>
      <c r="I141" s="9" t="n">
        <v>0.0585</v>
      </c>
      <c r="J141" s="9">
        <f>2320*3</f>
        <v/>
      </c>
    </row>
    <row r="142" ht="16.5" customHeight="1" s="12"/>
    <row r="143" ht="16.5" customHeight="1" s="12"/>
    <row r="144" ht="16.5" customHeight="1" s="12"/>
    <row r="145" ht="16.5" customHeight="1" s="12"/>
    <row r="146" ht="16.5" customHeight="1" s="12">
      <c r="B146" s="8" t="inlineStr">
        <is>
          <t>광고 매칭테이블</t>
        </is>
      </c>
    </row>
    <row r="147" ht="16.5" customHeight="1" s="12"/>
    <row r="148">
      <c r="B148" s="9" t="inlineStr">
        <is>
          <t>라베나 파워링크_샴푸#1_유튜브키워드기반</t>
        </is>
      </c>
      <c r="C148" s="9" t="inlineStr">
        <is>
          <t>네이버 검색</t>
        </is>
      </c>
      <c r="D148" s="9" t="inlineStr">
        <is>
          <t>샴푸</t>
        </is>
      </c>
    </row>
    <row r="149">
      <c r="B149" s="9" t="inlineStr">
        <is>
          <t>샴푸_쇼핑검색#1_광고그룹#1</t>
        </is>
      </c>
      <c r="C149" s="9" t="inlineStr">
        <is>
          <t>네이버 검색</t>
        </is>
      </c>
      <c r="D149" s="9" t="inlineStr">
        <is>
          <t>샴푸</t>
        </is>
      </c>
    </row>
    <row r="150">
      <c r="B150" s="9" t="inlineStr">
        <is>
          <t>파워컨텐츠#1_비듬샴푸</t>
        </is>
      </c>
      <c r="C150" s="9" t="inlineStr">
        <is>
          <t>네이버 검색</t>
        </is>
      </c>
      <c r="D150" s="9" t="inlineStr">
        <is>
          <t>샴푸</t>
        </is>
      </c>
    </row>
    <row r="151">
      <c r="B151" s="9" t="inlineStr">
        <is>
          <t>라베나 파워링크_샴푸_광고그룹#1</t>
        </is>
      </c>
      <c r="C151" s="9" t="inlineStr">
        <is>
          <t>네이버 검색</t>
        </is>
      </c>
      <c r="D151" s="9" t="inlineStr">
        <is>
          <t>샴푸</t>
        </is>
      </c>
    </row>
    <row r="152"/>
    <row r="153"/>
    <row r="154"/>
    <row r="155">
      <c r="B155" s="9" t="inlineStr">
        <is>
          <t>0209_비듬샴푸_이현</t>
        </is>
      </c>
      <c r="C155" s="9" t="inlineStr">
        <is>
          <t>네이버 GFA</t>
        </is>
      </c>
      <c r="D155" s="9" t="inlineStr">
        <is>
          <t>샴푸</t>
        </is>
      </c>
    </row>
    <row r="156">
      <c r="B156" s="9" t="inlineStr">
        <is>
          <t>0209_샴푸_메인_40대</t>
        </is>
      </c>
      <c r="C156" s="9" t="inlineStr">
        <is>
          <t>네이버 GFA</t>
        </is>
      </c>
      <c r="D156" s="9" t="inlineStr">
        <is>
          <t>샴푸</t>
        </is>
      </c>
    </row>
    <row r="157">
      <c r="B157" s="9" t="inlineStr">
        <is>
          <t>0209_샴푸_메인_30대</t>
        </is>
      </c>
      <c r="C157" s="9" t="inlineStr">
        <is>
          <t>네이버 GFA</t>
        </is>
      </c>
      <c r="D157" s="9" t="inlineStr">
        <is>
          <t>샴푸</t>
        </is>
      </c>
    </row>
    <row r="158">
      <c r="B158" s="9" t="inlineStr">
        <is>
          <t>0209_샴푸_메인_염색첫날</t>
        </is>
      </c>
      <c r="C158" s="9" t="inlineStr">
        <is>
          <t>네이버 GFA</t>
        </is>
      </c>
      <c r="D158" s="9" t="inlineStr">
        <is>
          <t>샴푸</t>
        </is>
      </c>
    </row>
    <row r="159">
      <c r="B159" s="9" t="inlineStr">
        <is>
          <t>0302_샴푸_40대단발_시즌2</t>
        </is>
      </c>
      <c r="C159" s="9" t="inlineStr">
        <is>
          <t>네이버 GFA</t>
        </is>
      </c>
      <c r="D159" s="9" t="inlineStr">
        <is>
          <t>샴푸</t>
        </is>
      </c>
    </row>
    <row r="160"/>
    <row r="161"/>
    <row r="162"/>
    <row r="163">
      <c r="B163" s="9" t="inlineStr">
        <is>
          <t>0127_GDN_비듬샴푸_잠재고객</t>
        </is>
      </c>
      <c r="C163" s="9" t="inlineStr">
        <is>
          <t>GDN</t>
        </is>
      </c>
      <c r="D163" s="9" t="inlineStr">
        <is>
          <t>샴푸</t>
        </is>
      </c>
    </row>
    <row r="164"/>
    <row r="165"/>
    <row r="166"/>
    <row r="167">
      <c r="B167" s="9" t="inlineStr">
        <is>
          <t>0217_샴푸_비듬똥균_5차</t>
        </is>
      </c>
      <c r="C167" s="9" t="inlineStr">
        <is>
          <t>유튜브</t>
        </is>
      </c>
      <c r="D167" s="9" t="inlineStr">
        <is>
          <t>샴푸</t>
        </is>
      </c>
    </row>
    <row r="168">
      <c r="B168" s="9" t="inlineStr">
        <is>
          <t>0118_샴푸_비듬똥균_4차_1</t>
        </is>
      </c>
      <c r="C168" s="9" t="inlineStr">
        <is>
          <t>유튜브</t>
        </is>
      </c>
      <c r="D168" s="9" t="inlineStr">
        <is>
          <t>샴푸</t>
        </is>
      </c>
    </row>
    <row r="169">
      <c r="B169" s="9" t="inlineStr">
        <is>
          <t>0128_샴푸_비듬똥균_4차_저녁</t>
        </is>
      </c>
      <c r="C169" s="9" t="inlineStr">
        <is>
          <t>유튜브</t>
        </is>
      </c>
      <c r="D169" s="9" t="inlineStr">
        <is>
          <t>샴푸</t>
        </is>
      </c>
    </row>
    <row r="170">
      <c r="B170" s="9" t="inlineStr">
        <is>
          <t>0217_샴푸_비듬똥균_5차_잠재고객</t>
        </is>
      </c>
      <c r="C170" s="9" t="inlineStr">
        <is>
          <t>유튜브</t>
        </is>
      </c>
      <c r="D170" s="9" t="inlineStr">
        <is>
          <t>샴푸</t>
        </is>
      </c>
    </row>
    <row r="171">
      <c r="B171" s="9" t="inlineStr">
        <is>
          <t>0205_샴푸_비듬똥균_4차_2</t>
        </is>
      </c>
      <c r="C171" s="9" t="inlineStr">
        <is>
          <t>유튜브</t>
        </is>
      </c>
      <c r="D171" s="9" t="inlineStr">
        <is>
          <t>샴푸</t>
        </is>
      </c>
    </row>
    <row r="172">
      <c r="B172" s="9" t="inlineStr">
        <is>
          <t>0220_샴푸_비듬똥균_5차_1시간테스트</t>
        </is>
      </c>
      <c r="C172" s="9" t="inlineStr">
        <is>
          <t>유튜브</t>
        </is>
      </c>
      <c r="D172" s="9" t="inlineStr">
        <is>
          <t>샴푸</t>
        </is>
      </c>
    </row>
    <row r="173">
      <c r="B173" s="9" t="inlineStr">
        <is>
          <t>0225_샴푸_비듬똥균_4차_3</t>
        </is>
      </c>
      <c r="C173" s="9" t="inlineStr">
        <is>
          <t>유튜브</t>
        </is>
      </c>
      <c r="D173" s="9" t="inlineStr">
        <is>
          <t>샴푸</t>
        </is>
      </c>
    </row>
    <row r="174">
      <c r="B174" s="9" t="inlineStr">
        <is>
          <t>0128_샴푸_비듬똥균_4차_저녁추가</t>
        </is>
      </c>
      <c r="C174" s="9" t="inlineStr">
        <is>
          <t>유튜브</t>
        </is>
      </c>
      <c r="D174" s="9" t="inlineStr">
        <is>
          <t>샴푸</t>
        </is>
      </c>
    </row>
    <row r="175">
      <c r="B175" s="9" t="inlineStr">
        <is>
          <t>0205_샴푸_비듬똥균_4차_잠재</t>
        </is>
      </c>
      <c r="C175" s="9" t="inlineStr">
        <is>
          <t>유튜브</t>
        </is>
      </c>
      <c r="D175" s="9" t="inlineStr">
        <is>
          <t>샴푸</t>
        </is>
      </c>
    </row>
    <row r="176">
      <c r="B176" s="9" t="inlineStr">
        <is>
          <t>0217_샴푸_비듬똥균_5차_잠재</t>
        </is>
      </c>
      <c r="C176" s="9" t="inlineStr">
        <is>
          <t>유튜브</t>
        </is>
      </c>
      <c r="D176" s="9" t="inlineStr">
        <is>
          <t>샴푸</t>
        </is>
      </c>
    </row>
    <row r="177">
      <c r="B177" s="9" t="inlineStr">
        <is>
          <t>0118_샴푸_비듬똥균_4차</t>
        </is>
      </c>
      <c r="C177" s="9" t="inlineStr">
        <is>
          <t>유튜브</t>
        </is>
      </c>
      <c r="D177" s="9" t="inlineStr">
        <is>
          <t>샴푸</t>
        </is>
      </c>
    </row>
    <row r="178">
      <c r="B178" s="9" t="inlineStr">
        <is>
          <t>0303_샴푸_인스트림_동영상전환수</t>
        </is>
      </c>
      <c r="C178" s="9" t="inlineStr">
        <is>
          <t>유튜브</t>
        </is>
      </c>
      <c r="D178" s="9" t="inlineStr">
        <is>
          <t>샴푸</t>
        </is>
      </c>
    </row>
    <row r="179">
      <c r="B179" s="9" t="inlineStr">
        <is>
          <t>0304_샴푸_VAC</t>
        </is>
      </c>
      <c r="C179" s="9" t="inlineStr">
        <is>
          <t>유튜브</t>
        </is>
      </c>
      <c r="D179" s="9" t="inlineStr">
        <is>
          <t>샴푸</t>
        </is>
      </c>
    </row>
    <row r="180"/>
    <row r="181"/>
    <row r="182"/>
    <row r="183"/>
    <row r="184">
      <c r="B184" s="9" t="inlineStr">
        <is>
          <t>0225_샴푸_비듬똥균_검색</t>
        </is>
      </c>
      <c r="C184" s="9" t="inlineStr">
        <is>
          <t>구글 검색</t>
        </is>
      </c>
      <c r="D184" s="9" t="inlineStr">
        <is>
          <t>샴푸</t>
        </is>
      </c>
    </row>
    <row r="185">
      <c r="B185" s="9" t="inlineStr">
        <is>
          <t>0303_샴푸_검색광고</t>
        </is>
      </c>
      <c r="C185" s="9" t="inlineStr">
        <is>
          <t>구글 검색</t>
        </is>
      </c>
      <c r="D185" s="9" t="inlineStr">
        <is>
          <t>샴푸</t>
        </is>
      </c>
    </row>
    <row r="186" ht="16.5" customHeight="1" s="12"/>
    <row r="187" ht="16.5" customHeight="1" s="12">
      <c r="B187" s="9" t="inlineStr">
        <is>
          <t>0303_샴푸_인스트림_CPA</t>
        </is>
      </c>
      <c r="C187" s="9" t="inlineStr">
        <is>
          <t>유튜브</t>
        </is>
      </c>
      <c r="D187" s="9" t="inlineStr">
        <is>
          <t>샴푸</t>
        </is>
      </c>
    </row>
    <row r="188" ht="16.5" customHeight="1" s="12">
      <c r="B188" s="9" t="inlineStr">
        <is>
          <t>0322_샴푸_GDN_이현1차</t>
        </is>
      </c>
      <c r="C188" s="9" t="inlineStr">
        <is>
          <t>GDN</t>
        </is>
      </c>
      <c r="D188" s="9" t="inlineStr">
        <is>
          <t>샴푸</t>
        </is>
      </c>
    </row>
    <row r="189" ht="16.5" customHeight="1" s="12">
      <c r="B189" s="9" t="inlineStr">
        <is>
          <t>0324_샴푸_SDC_전환수최대화</t>
        </is>
      </c>
      <c r="C189" s="9" t="inlineStr">
        <is>
          <t>유튜브</t>
        </is>
      </c>
      <c r="D189" s="9" t="inlineStr">
        <is>
          <t>샴푸</t>
        </is>
      </c>
    </row>
    <row r="190" ht="16.5" customHeight="1" s="12">
      <c r="B190" s="9" t="inlineStr">
        <is>
          <t>0324_샴푸_VAC_CPA</t>
        </is>
      </c>
      <c r="C190" s="9" t="inlineStr">
        <is>
          <t>유튜브</t>
        </is>
      </c>
      <c r="D190" s="9" t="inlineStr">
        <is>
          <t>샴푸</t>
        </is>
      </c>
    </row>
    <row r="191" ht="16.5" customHeight="1" s="12">
      <c r="B191" s="9" t="inlineStr">
        <is>
          <t>0520_샴푸_CPV_피지결석_4차</t>
        </is>
      </c>
      <c r="C191" s="9" t="inlineStr">
        <is>
          <t>유튜브</t>
        </is>
      </c>
      <c r="D191" s="9" t="inlineStr">
        <is>
          <t>샴푸</t>
        </is>
      </c>
    </row>
    <row r="192" ht="16.5" customHeight="1" s="12">
      <c r="B192" s="9" t="inlineStr">
        <is>
          <t>0528_샴푸_GDN</t>
        </is>
      </c>
      <c r="C192" s="9" t="inlineStr">
        <is>
          <t>GDN</t>
        </is>
      </c>
      <c r="D192" s="9" t="inlineStr">
        <is>
          <t>샴푸</t>
        </is>
      </c>
    </row>
    <row r="193"/>
    <row r="194"/>
    <row r="195">
      <c r="B195" s="9" t="inlineStr">
        <is>
          <t>0316~영상베리</t>
        </is>
      </c>
      <c r="C195" s="9" t="inlineStr">
        <is>
          <t>페이스북</t>
        </is>
      </c>
      <c r="D195" s="9" t="inlineStr">
        <is>
          <t>샴푸</t>
        </is>
      </c>
    </row>
    <row r="196">
      <c r="B196" s="9" t="inlineStr">
        <is>
          <t>0531_현빈_샴푸_피지결석_카드뉴스_인스타</t>
        </is>
      </c>
      <c r="C196" s="9" t="inlineStr">
        <is>
          <t>페이스북</t>
        </is>
      </c>
      <c r="D196" s="9" t="inlineStr">
        <is>
          <t>샴푸</t>
        </is>
      </c>
    </row>
    <row r="197">
      <c r="B197" s="9" t="inlineStr">
        <is>
          <t>0531_현빈_샴푸_피지결석_카드뉴스_페북</t>
        </is>
      </c>
      <c r="C197" s="9" t="inlineStr">
        <is>
          <t>페이스북</t>
        </is>
      </c>
      <c r="D197" s="9" t="inlineStr">
        <is>
          <t>샴푸</t>
        </is>
      </c>
    </row>
  </sheetData>
  <autoFilter ref="B1:J9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tf</dc:creator>
  <dcterms:created xmlns:dcterms="http://purl.org/dc/terms/" xmlns:xsi="http://www.w3.org/2001/XMLSchema-instance" xsi:type="dcterms:W3CDTF">2019-08-29T01:30:10Z</dcterms:created>
  <dcterms:modified xmlns:dcterms="http://purl.org/dc/terms/" xmlns:xsi="http://www.w3.org/2001/XMLSchema-instance" xsi:type="dcterms:W3CDTF">2021-06-04T07:54:08Z</dcterms:modified>
  <cp:lastModifiedBy>정윤재</cp:lastModifiedBy>
</cp:coreProperties>
</file>