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mensuales" sheetId="1" r:id="rId4"/>
    <sheet state="visible" name="Modelo" sheetId="2" r:id="rId5"/>
  </sheets>
  <definedNames/>
  <calcPr/>
  <extLst>
    <ext uri="GoogleSheetsCustomDataVersion1">
      <go:sheetsCustomData xmlns:go="http://customooxmlschemas.google.com/" r:id="rId6" roundtripDataSignature="AMtx7mjg4aUR0f7b9O88Qby5f99W47DoHg=="/>
    </ext>
  </extLst>
</workbook>
</file>

<file path=xl/sharedStrings.xml><?xml version="1.0" encoding="utf-8"?>
<sst xmlns="http://schemas.openxmlformats.org/spreadsheetml/2006/main" count="69" uniqueCount="50">
  <si>
    <t>Gastos Periódicos</t>
  </si>
  <si>
    <t>Total anual</t>
  </si>
  <si>
    <t>Concepto</t>
  </si>
  <si>
    <t>Cantidad</t>
  </si>
  <si>
    <t>Costo unitario (MXN)</t>
  </si>
  <si>
    <t>Subtotal (MXN)</t>
  </si>
  <si>
    <t>Categoria</t>
  </si>
  <si>
    <t>Inicio</t>
  </si>
  <si>
    <t>Analista de Negocios (futbol)</t>
  </si>
  <si>
    <t>Mensual</t>
  </si>
  <si>
    <t>Científico de datos (nosotros)</t>
  </si>
  <si>
    <t>Marketing publicidad</t>
  </si>
  <si>
    <t>Legal</t>
  </si>
  <si>
    <t>Algunas cosas que se pueden discutir son por ejemplo los costos de marketing, ya que en lugar de tener una inversion mensual fija, se puede dar una inversion inicial y sobre el margen de ganancia neto mensual es posible reinvertir un cierto porcentaje, de esta forma podemos impulsar la empresa gastando proporcionalmente a nuestras ganancias.</t>
  </si>
  <si>
    <t>Contabilidad</t>
  </si>
  <si>
    <t>Cuentas de correo</t>
  </si>
  <si>
    <t>Empleados variables</t>
  </si>
  <si>
    <t>Servicios (Internet, Servidores, etc)</t>
  </si>
  <si>
    <t>Suscripciones a softwares</t>
  </si>
  <si>
    <t>Total</t>
  </si>
  <si>
    <t>Gastos únicos</t>
  </si>
  <si>
    <t>Fecha de adquisición</t>
  </si>
  <si>
    <t>Del mismo podemos reducir nuestra nomina durante un tiempo hasta poder cubrir los gastos de la empresa y a partir de estar en números verdes poder incrementar nuestro salario proporcionalmente a la ganancia.</t>
  </si>
  <si>
    <t>Computadoras</t>
  </si>
  <si>
    <t>Una vez</t>
  </si>
  <si>
    <t>Software</t>
  </si>
  <si>
    <t>Dominio</t>
  </si>
  <si>
    <t>Clientes al mes</t>
  </si>
  <si>
    <t>Indicadores financieros</t>
  </si>
  <si>
    <t>Configuración</t>
  </si>
  <si>
    <t>Tasa de descuento</t>
  </si>
  <si>
    <t>Renta</t>
  </si>
  <si>
    <t>Valor presente</t>
  </si>
  <si>
    <t>Comisión 1</t>
  </si>
  <si>
    <t>TIR</t>
  </si>
  <si>
    <t>Comisión 2</t>
  </si>
  <si>
    <t>Capital inicial (proy)</t>
  </si>
  <si>
    <t>Clientes por empleado</t>
  </si>
  <si>
    <t>Primeros clientes</t>
  </si>
  <si>
    <t>Proyección</t>
  </si>
  <si>
    <t>Clientes reales</t>
  </si>
  <si>
    <t>Clientes proyectados</t>
  </si>
  <si>
    <t>Rentas</t>
  </si>
  <si>
    <t>Comisiones conf</t>
  </si>
  <si>
    <t>Comisiones renta</t>
  </si>
  <si>
    <t>Gastos fijo</t>
  </si>
  <si>
    <t>Gastos variables</t>
  </si>
  <si>
    <t>Total ingresos</t>
  </si>
  <si>
    <t>Total gastos</t>
  </si>
  <si>
    <t>Notamos que practicamente el primer año del negocio corremos con números negativos pero a partir de dic del 2022 ya empezamos a tener ganancias, y para los dos años de la empresa tenedremos ganancias totales de 828000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</si>
</sst>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&quot;$&quot;#,##0.00;[Red]\-&quot;$&quot;#,##0.00"/>
    <numFmt numFmtId="166" formatCode="_-* #,##0.00_-;\-* #,##0.00_-;_-* &quot;-&quot;??_-;_-@"/>
  </numFmts>
  <fonts count="11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2.0"/>
      <color theme="0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/>
    </xf>
    <xf borderId="4" fillId="3" fontId="4" numFmtId="17" xfId="0" applyBorder="1" applyFill="1" applyFont="1" applyNumberFormat="1"/>
    <xf borderId="4" fillId="3" fontId="5" numFmtId="0" xfId="0" applyBorder="1" applyFont="1"/>
    <xf borderId="1" fillId="0" fontId="6" numFmtId="0" xfId="0" applyBorder="1" applyFont="1"/>
    <xf borderId="4" fillId="0" fontId="6" numFmtId="0" xfId="0" applyBorder="1" applyFont="1"/>
    <xf borderId="4" fillId="0" fontId="7" numFmtId="17" xfId="0" applyAlignment="1" applyBorder="1" applyFont="1" applyNumberFormat="1">
      <alignment readingOrder="0"/>
    </xf>
    <xf borderId="0" fillId="0" fontId="6" numFmtId="0" xfId="0" applyAlignment="1" applyFont="1">
      <alignment horizontal="left" shrinkToFit="0" vertical="top" wrapText="1"/>
    </xf>
    <xf borderId="0" fillId="3" fontId="3" numFmtId="0" xfId="0" applyFont="1"/>
    <xf borderId="1" fillId="3" fontId="5" numFmtId="0" xfId="0" applyBorder="1" applyFont="1"/>
    <xf borderId="1" fillId="0" fontId="7" numFmtId="17" xfId="0" applyAlignment="1" applyBorder="1" applyFont="1" applyNumberFormat="1">
      <alignment readingOrder="0"/>
    </xf>
    <xf borderId="0" fillId="3" fontId="1" numFmtId="0" xfId="0" applyFont="1"/>
    <xf borderId="5" fillId="4" fontId="8" numFmtId="0" xfId="0" applyBorder="1" applyFill="1" applyFont="1"/>
    <xf borderId="5" fillId="4" fontId="7" numFmtId="0" xfId="0" applyAlignment="1" applyBorder="1" applyFont="1">
      <alignment readingOrder="0"/>
    </xf>
    <xf borderId="5" fillId="4" fontId="7" numFmtId="0" xfId="0" applyBorder="1" applyFont="1"/>
    <xf borderId="6" fillId="4" fontId="8" numFmtId="0" xfId="0" applyAlignment="1" applyBorder="1" applyFont="1">
      <alignment horizontal="center"/>
    </xf>
    <xf borderId="7" fillId="0" fontId="2" numFmtId="0" xfId="0" applyBorder="1" applyFont="1"/>
    <xf borderId="5" fillId="4" fontId="8" numFmtId="0" xfId="0" applyAlignment="1" applyBorder="1" applyFont="1">
      <alignment horizontal="center"/>
    </xf>
    <xf borderId="5" fillId="4" fontId="7" numFmtId="164" xfId="0" applyBorder="1" applyFont="1" applyNumberFormat="1"/>
    <xf borderId="0" fillId="0" fontId="8" numFmtId="0" xfId="0" applyAlignment="1" applyFont="1">
      <alignment horizontal="left"/>
    </xf>
    <xf borderId="0" fillId="0" fontId="6" numFmtId="0" xfId="0" applyFont="1"/>
    <xf borderId="5" fillId="4" fontId="7" numFmtId="164" xfId="0" applyAlignment="1" applyBorder="1" applyFont="1" applyNumberFormat="1">
      <alignment readingOrder="0"/>
    </xf>
    <xf borderId="6" fillId="4" fontId="8" numFmtId="0" xfId="0" applyAlignment="1" applyBorder="1" applyFont="1">
      <alignment horizontal="left"/>
    </xf>
    <xf borderId="5" fillId="4" fontId="7" numFmtId="165" xfId="0" applyBorder="1" applyFont="1" applyNumberFormat="1"/>
    <xf borderId="5" fillId="4" fontId="7" numFmtId="10" xfId="0" applyBorder="1" applyFont="1" applyNumberFormat="1"/>
    <xf borderId="5" fillId="4" fontId="7" numFmtId="166" xfId="0" applyBorder="1" applyFont="1" applyNumberFormat="1"/>
    <xf borderId="5" fillId="4" fontId="7" numFmtId="166" xfId="0" applyAlignment="1" applyBorder="1" applyFont="1" applyNumberFormat="1">
      <alignment readingOrder="0"/>
    </xf>
    <xf borderId="5" fillId="4" fontId="7" numFmtId="17" xfId="0" applyBorder="1" applyFont="1" applyNumberFormat="1"/>
    <xf borderId="6" fillId="3" fontId="4" numFmtId="0" xfId="0" applyAlignment="1" applyBorder="1" applyFont="1">
      <alignment horizontal="center"/>
    </xf>
    <xf borderId="0" fillId="0" fontId="7" numFmtId="164" xfId="0" applyFont="1" applyNumberFormat="1"/>
    <xf borderId="5" fillId="3" fontId="9" numFmtId="0" xfId="0" applyBorder="1" applyFont="1"/>
    <xf borderId="5" fillId="3" fontId="9" numFmtId="17" xfId="0" applyBorder="1" applyFont="1" applyNumberFormat="1"/>
    <xf borderId="0" fillId="0" fontId="8" numFmtId="0" xfId="0" applyFont="1"/>
    <xf borderId="0" fillId="0" fontId="1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3" width="19.71"/>
    <col customWidth="1" min="4" max="4" width="15.86"/>
    <col customWidth="1" min="5" max="12" width="10.71"/>
  </cols>
  <sheetData>
    <row r="1">
      <c r="A1" s="1" t="s">
        <v>0</v>
      </c>
      <c r="B1" s="2"/>
      <c r="C1" s="2"/>
      <c r="D1" s="2"/>
      <c r="E1" s="2"/>
      <c r="F1" s="3"/>
      <c r="I1" s="4" t="s">
        <v>1</v>
      </c>
      <c r="J1" s="3"/>
    </row>
    <row r="2">
      <c r="A2" s="5" t="s">
        <v>2</v>
      </c>
      <c r="B2" s="5" t="s">
        <v>3</v>
      </c>
      <c r="C2" s="6" t="s">
        <v>4</v>
      </c>
      <c r="D2" s="6" t="s">
        <v>5</v>
      </c>
      <c r="E2" s="5" t="s">
        <v>6</v>
      </c>
      <c r="F2" s="5" t="s">
        <v>7</v>
      </c>
      <c r="I2" s="7">
        <f>SUM(D3:D11)*12+SUM(D16:D18)</f>
        <v>2391000</v>
      </c>
      <c r="J2" s="3"/>
    </row>
    <row r="3">
      <c r="A3" s="8" t="s">
        <v>8</v>
      </c>
      <c r="B3" s="8">
        <v>1.0</v>
      </c>
      <c r="C3" s="8">
        <v>28000.0</v>
      </c>
      <c r="D3" s="8">
        <f>C3*B3</f>
        <v>28000</v>
      </c>
      <c r="E3" s="8" t="s">
        <v>9</v>
      </c>
      <c r="F3" s="9">
        <v>44562.0</v>
      </c>
    </row>
    <row r="4">
      <c r="A4" s="8" t="s">
        <v>10</v>
      </c>
      <c r="B4" s="8">
        <v>3.0</v>
      </c>
      <c r="C4" s="8">
        <v>10000.0</v>
      </c>
      <c r="D4" s="8">
        <v>30000.0</v>
      </c>
      <c r="E4" s="8" t="s">
        <v>9</v>
      </c>
      <c r="F4" s="9">
        <v>44563.0</v>
      </c>
    </row>
    <row r="5">
      <c r="A5" s="8" t="s">
        <v>11</v>
      </c>
      <c r="B5" s="8">
        <v>1.0</v>
      </c>
      <c r="C5" s="8">
        <v>65000.0</v>
      </c>
      <c r="D5" s="8">
        <f t="shared" ref="D5:D9" si="1">C5*B5</f>
        <v>65000</v>
      </c>
      <c r="E5" s="8" t="s">
        <v>9</v>
      </c>
      <c r="F5" s="9">
        <v>44564.0</v>
      </c>
    </row>
    <row r="6">
      <c r="A6" s="8" t="s">
        <v>12</v>
      </c>
      <c r="B6" s="8">
        <v>1.0</v>
      </c>
      <c r="C6" s="8">
        <v>20000.0</v>
      </c>
      <c r="D6" s="8">
        <f t="shared" si="1"/>
        <v>20000</v>
      </c>
      <c r="E6" s="8" t="s">
        <v>9</v>
      </c>
      <c r="F6" s="9">
        <v>44565.0</v>
      </c>
      <c r="I6" s="10" t="s">
        <v>13</v>
      </c>
    </row>
    <row r="7">
      <c r="A7" s="8" t="s">
        <v>14</v>
      </c>
      <c r="B7" s="8">
        <v>1.0</v>
      </c>
      <c r="C7" s="8">
        <v>15000.0</v>
      </c>
      <c r="D7" s="8">
        <f t="shared" si="1"/>
        <v>15000</v>
      </c>
      <c r="E7" s="8" t="s">
        <v>9</v>
      </c>
      <c r="F7" s="9">
        <v>44566.0</v>
      </c>
    </row>
    <row r="8">
      <c r="A8" s="8" t="s">
        <v>15</v>
      </c>
      <c r="B8" s="8">
        <v>5.0</v>
      </c>
      <c r="C8" s="8">
        <v>100.0</v>
      </c>
      <c r="D8" s="8">
        <f t="shared" si="1"/>
        <v>500</v>
      </c>
      <c r="E8" s="8" t="s">
        <v>9</v>
      </c>
      <c r="F8" s="9">
        <v>44567.0</v>
      </c>
    </row>
    <row r="9">
      <c r="A9" s="8" t="s">
        <v>16</v>
      </c>
      <c r="B9" s="8">
        <v>1.0</v>
      </c>
      <c r="C9" s="8">
        <v>20000.0</v>
      </c>
      <c r="D9" s="8">
        <f t="shared" si="1"/>
        <v>20000</v>
      </c>
      <c r="E9" s="8" t="s">
        <v>9</v>
      </c>
      <c r="F9" s="9">
        <v>44568.0</v>
      </c>
    </row>
    <row r="10">
      <c r="A10" s="8" t="s">
        <v>17</v>
      </c>
      <c r="B10" s="8">
        <v>1.0</v>
      </c>
      <c r="C10" s="8">
        <v>10000.0</v>
      </c>
      <c r="D10" s="8">
        <v>10000.0</v>
      </c>
      <c r="E10" s="8" t="s">
        <v>9</v>
      </c>
      <c r="F10" s="9">
        <v>44569.0</v>
      </c>
    </row>
    <row r="11">
      <c r="A11" s="8" t="s">
        <v>18</v>
      </c>
      <c r="B11" s="8">
        <v>4.0</v>
      </c>
      <c r="C11" s="8">
        <v>500.0</v>
      </c>
      <c r="D11" s="8">
        <f>C11*B11</f>
        <v>2000</v>
      </c>
      <c r="E11" s="8" t="s">
        <v>9</v>
      </c>
      <c r="F11" s="9">
        <v>44570.0</v>
      </c>
    </row>
    <row r="12">
      <c r="E12" s="11" t="s">
        <v>19</v>
      </c>
      <c r="F12" s="8">
        <f>SUM(D3:D11)</f>
        <v>190500</v>
      </c>
    </row>
    <row r="14" ht="18.0" customHeight="1">
      <c r="A14" s="4" t="s">
        <v>20</v>
      </c>
      <c r="B14" s="2"/>
      <c r="C14" s="2"/>
      <c r="D14" s="2"/>
      <c r="E14" s="2"/>
      <c r="F14" s="2"/>
      <c r="G14" s="3"/>
    </row>
    <row r="15">
      <c r="A15" s="5" t="s">
        <v>2</v>
      </c>
      <c r="B15" s="5" t="s">
        <v>3</v>
      </c>
      <c r="C15" s="6" t="s">
        <v>4</v>
      </c>
      <c r="D15" s="6" t="s">
        <v>5</v>
      </c>
      <c r="E15" s="5" t="s">
        <v>6</v>
      </c>
      <c r="F15" s="12" t="s">
        <v>21</v>
      </c>
      <c r="G15" s="3"/>
      <c r="I15" s="10" t="s">
        <v>22</v>
      </c>
    </row>
    <row r="16">
      <c r="A16" s="8" t="s">
        <v>23</v>
      </c>
      <c r="B16" s="8">
        <v>5.0</v>
      </c>
      <c r="C16" s="8">
        <v>20000.0</v>
      </c>
      <c r="D16" s="8">
        <f t="shared" ref="D16:D18" si="2">C16*B16</f>
        <v>100000</v>
      </c>
      <c r="E16" s="8" t="s">
        <v>24</v>
      </c>
      <c r="F16" s="13">
        <v>44562.0</v>
      </c>
      <c r="G16" s="3"/>
    </row>
    <row r="17">
      <c r="A17" s="8" t="s">
        <v>25</v>
      </c>
      <c r="B17" s="8">
        <v>2.0</v>
      </c>
      <c r="C17" s="8">
        <v>2000.0</v>
      </c>
      <c r="D17" s="8">
        <f t="shared" si="2"/>
        <v>4000</v>
      </c>
      <c r="E17" s="8" t="s">
        <v>24</v>
      </c>
      <c r="F17" s="13">
        <v>44563.0</v>
      </c>
      <c r="G17" s="3"/>
    </row>
    <row r="18">
      <c r="A18" s="8" t="s">
        <v>26</v>
      </c>
      <c r="B18" s="8">
        <v>1.0</v>
      </c>
      <c r="C18" s="8">
        <v>1000.0</v>
      </c>
      <c r="D18" s="8">
        <f t="shared" si="2"/>
        <v>1000</v>
      </c>
      <c r="E18" s="8" t="s">
        <v>24</v>
      </c>
      <c r="F18" s="13">
        <v>44564.0</v>
      </c>
      <c r="G18" s="3"/>
    </row>
    <row r="19" ht="15.75" customHeight="1">
      <c r="E19" s="14" t="s">
        <v>19</v>
      </c>
      <c r="F19" s="7">
        <f>SUM(D16:D18)</f>
        <v>105000</v>
      </c>
      <c r="G19" s="3"/>
    </row>
    <row r="20" ht="15.75" customHeight="1"/>
    <row r="21" ht="15.75" customHeight="1">
      <c r="I21" s="10"/>
      <c r="J21" s="10"/>
      <c r="K21" s="10"/>
      <c r="L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F16:G16"/>
    <mergeCell ref="F19:G19"/>
    <mergeCell ref="F17:G17"/>
    <mergeCell ref="F18:G18"/>
    <mergeCell ref="A1:F1"/>
    <mergeCell ref="I1:J1"/>
    <mergeCell ref="I2:J2"/>
    <mergeCell ref="I6:L14"/>
    <mergeCell ref="A14:G14"/>
    <mergeCell ref="F15:G15"/>
    <mergeCell ref="I15:L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86"/>
    <col customWidth="1" min="3" max="3" width="12.14"/>
    <col customWidth="1" min="4" max="4" width="13.86"/>
    <col customWidth="1" min="5" max="5" width="12.14"/>
    <col customWidth="1" min="6" max="6" width="13.86"/>
    <col customWidth="1" min="7" max="18" width="12.14"/>
    <col customWidth="1" min="19" max="25" width="13.14"/>
    <col customWidth="1" min="26" max="26" width="13.86"/>
    <col customWidth="1" min="27" max="28" width="10.71"/>
    <col customWidth="1" min="29" max="29" width="13.14"/>
  </cols>
  <sheetData>
    <row r="1">
      <c r="A1" s="15" t="s">
        <v>27</v>
      </c>
      <c r="B1" s="16">
        <v>500.0</v>
      </c>
      <c r="C1" s="17"/>
      <c r="D1" s="18" t="s">
        <v>28</v>
      </c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17"/>
      <c r="V1" s="17"/>
      <c r="W1" s="17"/>
      <c r="X1" s="17"/>
      <c r="Y1" s="17"/>
      <c r="Z1" s="17"/>
    </row>
    <row r="2">
      <c r="A2" s="15" t="s">
        <v>29</v>
      </c>
      <c r="B2" s="21">
        <v>0.0</v>
      </c>
      <c r="C2" s="17"/>
      <c r="D2" s="22" t="s">
        <v>30</v>
      </c>
      <c r="F2" s="23">
        <v>0.3</v>
      </c>
      <c r="U2" s="17"/>
      <c r="V2" s="17"/>
      <c r="W2" s="17"/>
      <c r="X2" s="17"/>
      <c r="Y2" s="17"/>
      <c r="Z2" s="17"/>
    </row>
    <row r="3">
      <c r="A3" s="15" t="s">
        <v>31</v>
      </c>
      <c r="B3" s="24">
        <v>40.0</v>
      </c>
      <c r="C3" s="17"/>
      <c r="D3" s="25" t="s">
        <v>32</v>
      </c>
      <c r="E3" s="19"/>
      <c r="F3" s="21">
        <f t="array" ref="F3">NPV(F2/12,B25:Y25)</f>
        <v>238343.623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17"/>
      <c r="V3" s="17"/>
      <c r="W3" s="17"/>
      <c r="X3" s="17"/>
      <c r="Y3" s="17"/>
      <c r="Z3" s="17"/>
    </row>
    <row r="4">
      <c r="A4" s="15" t="s">
        <v>33</v>
      </c>
      <c r="B4" s="27">
        <v>0.2</v>
      </c>
      <c r="C4" s="17"/>
      <c r="D4" s="25" t="s">
        <v>34</v>
      </c>
      <c r="E4" s="19"/>
      <c r="F4" s="27">
        <f>IRR(B25:Y25)*12</f>
        <v>0.4976100467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17"/>
      <c r="V4" s="17"/>
      <c r="W4" s="17"/>
      <c r="X4" s="17"/>
      <c r="Y4" s="17"/>
      <c r="Z4" s="17"/>
    </row>
    <row r="5">
      <c r="A5" s="15" t="s">
        <v>35</v>
      </c>
      <c r="B5" s="27">
        <v>0.1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5" t="s">
        <v>36</v>
      </c>
      <c r="B6" s="28">
        <f>-1*SUMIF(B25:J25,"&lt;0")</f>
        <v>904500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5" t="s">
        <v>37</v>
      </c>
      <c r="B7" s="29">
        <v>5000.0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5" t="s">
        <v>38</v>
      </c>
      <c r="B8" s="30">
        <v>44562.0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5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31" t="s">
        <v>39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C10" s="32"/>
    </row>
    <row r="11">
      <c r="A11" s="33"/>
      <c r="B11" s="34">
        <v>44562.0</v>
      </c>
      <c r="C11" s="34">
        <v>44593.0</v>
      </c>
      <c r="D11" s="34">
        <v>44621.0</v>
      </c>
      <c r="E11" s="34">
        <v>44652.0</v>
      </c>
      <c r="F11" s="34">
        <v>44682.0</v>
      </c>
      <c r="G11" s="34">
        <v>44713.0</v>
      </c>
      <c r="H11" s="34">
        <v>44743.0</v>
      </c>
      <c r="I11" s="34">
        <v>44774.0</v>
      </c>
      <c r="J11" s="34">
        <v>44805.0</v>
      </c>
      <c r="K11" s="34">
        <v>44835.0</v>
      </c>
      <c r="L11" s="34">
        <v>44866.0</v>
      </c>
      <c r="M11" s="34">
        <v>44896.0</v>
      </c>
      <c r="N11" s="34">
        <v>44927.0</v>
      </c>
      <c r="O11" s="34">
        <v>44958.0</v>
      </c>
      <c r="P11" s="34">
        <v>44986.0</v>
      </c>
      <c r="Q11" s="34">
        <v>45017.0</v>
      </c>
      <c r="R11" s="34">
        <v>45047.0</v>
      </c>
      <c r="S11" s="34">
        <v>45078.0</v>
      </c>
      <c r="T11" s="34">
        <v>45108.0</v>
      </c>
      <c r="U11" s="34">
        <v>45139.0</v>
      </c>
      <c r="V11" s="34">
        <v>45170.0</v>
      </c>
      <c r="W11" s="34">
        <v>45200.0</v>
      </c>
      <c r="X11" s="34">
        <v>45231.0</v>
      </c>
      <c r="Y11" s="34">
        <v>45261.0</v>
      </c>
      <c r="Z11" s="33" t="s">
        <v>19</v>
      </c>
    </row>
    <row r="12">
      <c r="A12" s="35" t="s">
        <v>40</v>
      </c>
      <c r="B12" s="23">
        <v>0.0</v>
      </c>
      <c r="C12" s="23">
        <v>0.0</v>
      </c>
      <c r="D12" s="23">
        <v>0.0</v>
      </c>
      <c r="E12" s="23">
        <v>0.0</v>
      </c>
      <c r="F12" s="23">
        <v>0.0</v>
      </c>
      <c r="G12" s="23">
        <v>0.0</v>
      </c>
      <c r="H12" s="23">
        <v>0.0</v>
      </c>
      <c r="I12" s="23">
        <v>0.0</v>
      </c>
      <c r="J12" s="23">
        <v>0.0</v>
      </c>
      <c r="K12" s="23">
        <v>0.0</v>
      </c>
      <c r="L12" s="23">
        <v>0.0</v>
      </c>
      <c r="M12" s="23">
        <v>0.0</v>
      </c>
      <c r="N12" s="23">
        <v>0.0</v>
      </c>
      <c r="O12" s="23">
        <v>0.0</v>
      </c>
      <c r="P12" s="23">
        <v>0.0</v>
      </c>
      <c r="Q12" s="23">
        <v>0.0</v>
      </c>
      <c r="R12" s="23">
        <v>0.0</v>
      </c>
      <c r="S12" s="23">
        <v>0.0</v>
      </c>
      <c r="T12" s="23">
        <v>0.0</v>
      </c>
      <c r="U12" s="23">
        <v>0.0</v>
      </c>
      <c r="V12" s="23">
        <v>0.0</v>
      </c>
      <c r="W12" s="23">
        <v>0.0</v>
      </c>
      <c r="X12" s="23">
        <v>0.0</v>
      </c>
      <c r="Y12" s="23">
        <v>0.0</v>
      </c>
      <c r="Z12" s="28">
        <f t="shared" ref="Z12:Z13" si="2">SUM(B12:Y12)</f>
        <v>0</v>
      </c>
    </row>
    <row r="13">
      <c r="A13" s="15" t="s">
        <v>41</v>
      </c>
      <c r="B13" s="17">
        <f>IF(B11=$B$8,$B$1,IF(B11&gt;$B$8,#REF!+$B$1,0))</f>
        <v>500</v>
      </c>
      <c r="C13" s="17">
        <f t="shared" ref="C13:Y13" si="1">IF(C11=$B$8,$B$1,IF(C11&gt;$B$8,B13+$B$1,0))</f>
        <v>1000</v>
      </c>
      <c r="D13" s="17">
        <f t="shared" si="1"/>
        <v>1500</v>
      </c>
      <c r="E13" s="17">
        <f t="shared" si="1"/>
        <v>2000</v>
      </c>
      <c r="F13" s="17">
        <f t="shared" si="1"/>
        <v>2500</v>
      </c>
      <c r="G13" s="17">
        <f t="shared" si="1"/>
        <v>3000</v>
      </c>
      <c r="H13" s="17">
        <f t="shared" si="1"/>
        <v>3500</v>
      </c>
      <c r="I13" s="17">
        <f t="shared" si="1"/>
        <v>4000</v>
      </c>
      <c r="J13" s="17">
        <f t="shared" si="1"/>
        <v>4500</v>
      </c>
      <c r="K13" s="17">
        <f t="shared" si="1"/>
        <v>5000</v>
      </c>
      <c r="L13" s="17">
        <f t="shared" si="1"/>
        <v>5500</v>
      </c>
      <c r="M13" s="17">
        <f t="shared" si="1"/>
        <v>6000</v>
      </c>
      <c r="N13" s="17">
        <f t="shared" si="1"/>
        <v>6500</v>
      </c>
      <c r="O13" s="17">
        <f t="shared" si="1"/>
        <v>7000</v>
      </c>
      <c r="P13" s="17">
        <f t="shared" si="1"/>
        <v>7500</v>
      </c>
      <c r="Q13" s="17">
        <f t="shared" si="1"/>
        <v>8000</v>
      </c>
      <c r="R13" s="17">
        <f t="shared" si="1"/>
        <v>8500</v>
      </c>
      <c r="S13" s="17">
        <f t="shared" si="1"/>
        <v>9000</v>
      </c>
      <c r="T13" s="17">
        <f t="shared" si="1"/>
        <v>9500</v>
      </c>
      <c r="U13" s="17">
        <f t="shared" si="1"/>
        <v>10000</v>
      </c>
      <c r="V13" s="17">
        <f t="shared" si="1"/>
        <v>10500</v>
      </c>
      <c r="W13" s="17">
        <f t="shared" si="1"/>
        <v>11000</v>
      </c>
      <c r="X13" s="17">
        <f t="shared" si="1"/>
        <v>11500</v>
      </c>
      <c r="Y13" s="17">
        <f t="shared" si="1"/>
        <v>12000</v>
      </c>
      <c r="Z13" s="28">
        <f t="shared" si="2"/>
        <v>150000</v>
      </c>
    </row>
    <row r="14">
      <c r="A14" s="15" t="s">
        <v>29</v>
      </c>
      <c r="B14" s="21">
        <f t="shared" ref="B14:Y14" si="3">IF(B11&gt;=$B$8,$B$1*$B$2,0)</f>
        <v>0</v>
      </c>
      <c r="C14" s="21">
        <f t="shared" si="3"/>
        <v>0</v>
      </c>
      <c r="D14" s="21">
        <f t="shared" si="3"/>
        <v>0</v>
      </c>
      <c r="E14" s="21">
        <f t="shared" si="3"/>
        <v>0</v>
      </c>
      <c r="F14" s="21">
        <f t="shared" si="3"/>
        <v>0</v>
      </c>
      <c r="G14" s="21">
        <f t="shared" si="3"/>
        <v>0</v>
      </c>
      <c r="H14" s="21">
        <f t="shared" si="3"/>
        <v>0</v>
      </c>
      <c r="I14" s="21">
        <f t="shared" si="3"/>
        <v>0</v>
      </c>
      <c r="J14" s="21">
        <f t="shared" si="3"/>
        <v>0</v>
      </c>
      <c r="K14" s="21">
        <f t="shared" si="3"/>
        <v>0</v>
      </c>
      <c r="L14" s="21">
        <f t="shared" si="3"/>
        <v>0</v>
      </c>
      <c r="M14" s="21">
        <f t="shared" si="3"/>
        <v>0</v>
      </c>
      <c r="N14" s="21">
        <f t="shared" si="3"/>
        <v>0</v>
      </c>
      <c r="O14" s="21">
        <f t="shared" si="3"/>
        <v>0</v>
      </c>
      <c r="P14" s="21">
        <f t="shared" si="3"/>
        <v>0</v>
      </c>
      <c r="Q14" s="21">
        <f t="shared" si="3"/>
        <v>0</v>
      </c>
      <c r="R14" s="21">
        <f t="shared" si="3"/>
        <v>0</v>
      </c>
      <c r="S14" s="21">
        <f t="shared" si="3"/>
        <v>0</v>
      </c>
      <c r="T14" s="21">
        <f t="shared" si="3"/>
        <v>0</v>
      </c>
      <c r="U14" s="21">
        <f t="shared" si="3"/>
        <v>0</v>
      </c>
      <c r="V14" s="21">
        <f t="shared" si="3"/>
        <v>0</v>
      </c>
      <c r="W14" s="21">
        <f t="shared" si="3"/>
        <v>0</v>
      </c>
      <c r="X14" s="21">
        <f t="shared" si="3"/>
        <v>0</v>
      </c>
      <c r="Y14" s="21">
        <f t="shared" si="3"/>
        <v>0</v>
      </c>
      <c r="Z14" s="28"/>
    </row>
    <row r="15">
      <c r="A15" s="15" t="s">
        <v>42</v>
      </c>
      <c r="B15" s="28">
        <f t="shared" ref="B15:Y15" si="4">B13*$B$3</f>
        <v>20000</v>
      </c>
      <c r="C15" s="28">
        <f t="shared" si="4"/>
        <v>40000</v>
      </c>
      <c r="D15" s="28">
        <f t="shared" si="4"/>
        <v>60000</v>
      </c>
      <c r="E15" s="28">
        <f t="shared" si="4"/>
        <v>80000</v>
      </c>
      <c r="F15" s="28">
        <f t="shared" si="4"/>
        <v>100000</v>
      </c>
      <c r="G15" s="28">
        <f t="shared" si="4"/>
        <v>120000</v>
      </c>
      <c r="H15" s="28">
        <f t="shared" si="4"/>
        <v>140000</v>
      </c>
      <c r="I15" s="28">
        <f t="shared" si="4"/>
        <v>160000</v>
      </c>
      <c r="J15" s="28">
        <f t="shared" si="4"/>
        <v>180000</v>
      </c>
      <c r="K15" s="28">
        <f t="shared" si="4"/>
        <v>200000</v>
      </c>
      <c r="L15" s="28">
        <f t="shared" si="4"/>
        <v>220000</v>
      </c>
      <c r="M15" s="28">
        <f t="shared" si="4"/>
        <v>240000</v>
      </c>
      <c r="N15" s="28">
        <f t="shared" si="4"/>
        <v>260000</v>
      </c>
      <c r="O15" s="28">
        <f t="shared" si="4"/>
        <v>280000</v>
      </c>
      <c r="P15" s="28">
        <f t="shared" si="4"/>
        <v>300000</v>
      </c>
      <c r="Q15" s="28">
        <f t="shared" si="4"/>
        <v>320000</v>
      </c>
      <c r="R15" s="28">
        <f t="shared" si="4"/>
        <v>340000</v>
      </c>
      <c r="S15" s="28">
        <f t="shared" si="4"/>
        <v>360000</v>
      </c>
      <c r="T15" s="28">
        <f t="shared" si="4"/>
        <v>380000</v>
      </c>
      <c r="U15" s="28">
        <f t="shared" si="4"/>
        <v>400000</v>
      </c>
      <c r="V15" s="28">
        <f t="shared" si="4"/>
        <v>420000</v>
      </c>
      <c r="W15" s="28">
        <f t="shared" si="4"/>
        <v>440000</v>
      </c>
      <c r="X15" s="28">
        <f t="shared" si="4"/>
        <v>460000</v>
      </c>
      <c r="Y15" s="28">
        <f t="shared" si="4"/>
        <v>480000</v>
      </c>
      <c r="Z15" s="28">
        <f>SUM(B15:Y15)</f>
        <v>6000000</v>
      </c>
    </row>
    <row r="16">
      <c r="A16" s="1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8"/>
    </row>
    <row r="17">
      <c r="A17" s="15" t="s">
        <v>43</v>
      </c>
      <c r="B17" s="28">
        <f t="shared" ref="B17:Y17" si="5">IF(B11&gt;=$B$8,$B$2*$B$4*$B$1,0)</f>
        <v>0</v>
      </c>
      <c r="C17" s="28">
        <f t="shared" si="5"/>
        <v>0</v>
      </c>
      <c r="D17" s="28">
        <f t="shared" si="5"/>
        <v>0</v>
      </c>
      <c r="E17" s="28">
        <f t="shared" si="5"/>
        <v>0</v>
      </c>
      <c r="F17" s="28">
        <f t="shared" si="5"/>
        <v>0</v>
      </c>
      <c r="G17" s="28">
        <f t="shared" si="5"/>
        <v>0</v>
      </c>
      <c r="H17" s="28">
        <f t="shared" si="5"/>
        <v>0</v>
      </c>
      <c r="I17" s="28">
        <f t="shared" si="5"/>
        <v>0</v>
      </c>
      <c r="J17" s="28">
        <f t="shared" si="5"/>
        <v>0</v>
      </c>
      <c r="K17" s="28">
        <f t="shared" si="5"/>
        <v>0</v>
      </c>
      <c r="L17" s="28">
        <f t="shared" si="5"/>
        <v>0</v>
      </c>
      <c r="M17" s="28">
        <f t="shared" si="5"/>
        <v>0</v>
      </c>
      <c r="N17" s="28">
        <f t="shared" si="5"/>
        <v>0</v>
      </c>
      <c r="O17" s="28">
        <f t="shared" si="5"/>
        <v>0</v>
      </c>
      <c r="P17" s="28">
        <f t="shared" si="5"/>
        <v>0</v>
      </c>
      <c r="Q17" s="28">
        <f t="shared" si="5"/>
        <v>0</v>
      </c>
      <c r="R17" s="28">
        <f t="shared" si="5"/>
        <v>0</v>
      </c>
      <c r="S17" s="28">
        <f t="shared" si="5"/>
        <v>0</v>
      </c>
      <c r="T17" s="28">
        <f t="shared" si="5"/>
        <v>0</v>
      </c>
      <c r="U17" s="28">
        <f t="shared" si="5"/>
        <v>0</v>
      </c>
      <c r="V17" s="28">
        <f t="shared" si="5"/>
        <v>0</v>
      </c>
      <c r="W17" s="28">
        <f t="shared" si="5"/>
        <v>0</v>
      </c>
      <c r="X17" s="28">
        <f t="shared" si="5"/>
        <v>0</v>
      </c>
      <c r="Y17" s="28">
        <f t="shared" si="5"/>
        <v>0</v>
      </c>
      <c r="Z17" s="28"/>
    </row>
    <row r="18">
      <c r="A18" s="15" t="s">
        <v>44</v>
      </c>
      <c r="B18" s="28">
        <f t="shared" ref="B18:Y18" si="6">IF(B11&gt;=$B$8,$B$3*$B$5*B13,0)</f>
        <v>2000</v>
      </c>
      <c r="C18" s="28">
        <f t="shared" si="6"/>
        <v>4000</v>
      </c>
      <c r="D18" s="28">
        <f t="shared" si="6"/>
        <v>6000</v>
      </c>
      <c r="E18" s="28">
        <f t="shared" si="6"/>
        <v>8000</v>
      </c>
      <c r="F18" s="28">
        <f t="shared" si="6"/>
        <v>10000</v>
      </c>
      <c r="G18" s="28">
        <f t="shared" si="6"/>
        <v>12000</v>
      </c>
      <c r="H18" s="28">
        <f t="shared" si="6"/>
        <v>14000</v>
      </c>
      <c r="I18" s="28">
        <f t="shared" si="6"/>
        <v>16000</v>
      </c>
      <c r="J18" s="28">
        <f t="shared" si="6"/>
        <v>18000</v>
      </c>
      <c r="K18" s="28">
        <f t="shared" si="6"/>
        <v>20000</v>
      </c>
      <c r="L18" s="28">
        <f t="shared" si="6"/>
        <v>22000</v>
      </c>
      <c r="M18" s="28">
        <f t="shared" si="6"/>
        <v>24000</v>
      </c>
      <c r="N18" s="28">
        <f t="shared" si="6"/>
        <v>26000</v>
      </c>
      <c r="O18" s="28">
        <f t="shared" si="6"/>
        <v>28000</v>
      </c>
      <c r="P18" s="28">
        <f t="shared" si="6"/>
        <v>30000</v>
      </c>
      <c r="Q18" s="28">
        <f t="shared" si="6"/>
        <v>32000</v>
      </c>
      <c r="R18" s="28">
        <f t="shared" si="6"/>
        <v>34000</v>
      </c>
      <c r="S18" s="28">
        <f t="shared" si="6"/>
        <v>36000</v>
      </c>
      <c r="T18" s="28">
        <f t="shared" si="6"/>
        <v>38000</v>
      </c>
      <c r="U18" s="28">
        <f t="shared" si="6"/>
        <v>40000</v>
      </c>
      <c r="V18" s="28">
        <f t="shared" si="6"/>
        <v>42000</v>
      </c>
      <c r="W18" s="28">
        <f t="shared" si="6"/>
        <v>44000</v>
      </c>
      <c r="X18" s="28">
        <f t="shared" si="6"/>
        <v>46000</v>
      </c>
      <c r="Y18" s="28">
        <f t="shared" si="6"/>
        <v>48000</v>
      </c>
      <c r="Z18" s="28">
        <f t="shared" ref="Z18:Z20" si="7">SUM(B18:Y18)</f>
        <v>600000</v>
      </c>
    </row>
    <row r="19">
      <c r="A19" s="15" t="s">
        <v>45</v>
      </c>
      <c r="B19" s="28">
        <f>'Gastos mensuales'!F12</f>
        <v>190500</v>
      </c>
      <c r="C19" s="28">
        <f>SUMIFS('Gastos mensuales'!$D$3:$D$48,'Gastos mensuales'!$F$3:$F$48,"&lt;="&amp;Modelo!C11,'Gastos mensuales'!$E$3:$E$48,"Mensual")+SUMIFS('Gastos mensuales'!$D$3:$D$48,'Gastos mensuales'!$F$3:$F$48,"="&amp;Modelo!C11,'Gastos mensuales'!$E$3:$E$48,"Mensual")</f>
        <v>190500</v>
      </c>
      <c r="D19" s="28">
        <f>SUMIFS('Gastos mensuales'!$D$3:$D$48,'Gastos mensuales'!$F$3:$F$48,"&lt;="&amp;Modelo!D11,'Gastos mensuales'!$E$3:$E$48,"Mensual")+SUMIFS('Gastos mensuales'!$D$3:$D$48,'Gastos mensuales'!$F$3:$F$48,"="&amp;Modelo!D11,'Gastos mensuales'!$E$3:$E$48,"Mensual")</f>
        <v>190500</v>
      </c>
      <c r="E19" s="28">
        <f>SUMIFS('Gastos mensuales'!$D$3:$D$48,'Gastos mensuales'!$F$3:$F$48,"&lt;="&amp;Modelo!E11,'Gastos mensuales'!$E$3:$E$48,"Mensual")+SUMIFS('Gastos mensuales'!$D$3:$D$48,'Gastos mensuales'!$F$3:$F$48,"="&amp;Modelo!E11,'Gastos mensuales'!$E$3:$E$48,"Mensual")</f>
        <v>190500</v>
      </c>
      <c r="F19" s="28">
        <f>SUMIFS('Gastos mensuales'!$D$3:$D$48,'Gastos mensuales'!$F$3:$F$48,"&lt;="&amp;Modelo!F11,'Gastos mensuales'!$E$3:$E$48,"Mensual")+SUMIFS('Gastos mensuales'!$D$3:$D$48,'Gastos mensuales'!$F$3:$F$48,"="&amp;Modelo!F11,'Gastos mensuales'!$E$3:$E$48,"Mensual")</f>
        <v>190500</v>
      </c>
      <c r="G19" s="28">
        <f>SUMIFS('Gastos mensuales'!$D$3:$D$48,'Gastos mensuales'!$F$3:$F$48,"&lt;="&amp;Modelo!G11,'Gastos mensuales'!$E$3:$E$48,"Mensual")+SUMIFS('Gastos mensuales'!$D$3:$D$48,'Gastos mensuales'!$F$3:$F$48,"="&amp;Modelo!G11,'Gastos mensuales'!$E$3:$E$48,"Mensual")</f>
        <v>190500</v>
      </c>
      <c r="H19" s="28">
        <f>SUMIFS('Gastos mensuales'!$D$3:$D$48,'Gastos mensuales'!$F$3:$F$48,"&lt;="&amp;Modelo!H11,'Gastos mensuales'!$E$3:$E$48,"Mensual")+SUMIFS('Gastos mensuales'!$D$3:$D$48,'Gastos mensuales'!$F$3:$F$48,"="&amp;Modelo!H11,'Gastos mensuales'!$E$3:$E$48,"Mensual")</f>
        <v>190500</v>
      </c>
      <c r="I19" s="28">
        <f>SUMIFS('Gastos mensuales'!$D$3:$D$48,'Gastos mensuales'!$F$3:$F$48,"&lt;="&amp;Modelo!I11,'Gastos mensuales'!$E$3:$E$48,"Mensual")+SUMIFS('Gastos mensuales'!$D$3:$D$48,'Gastos mensuales'!$F$3:$F$48,"="&amp;Modelo!I11,'Gastos mensuales'!$E$3:$E$48,"Mensual")</f>
        <v>190500</v>
      </c>
      <c r="J19" s="28">
        <f>SUMIFS('Gastos mensuales'!$D$3:$D$48,'Gastos mensuales'!$F$3:$F$48,"&lt;="&amp;Modelo!J11,'Gastos mensuales'!$E$3:$E$48,"Mensual")+SUMIFS('Gastos mensuales'!$D$3:$D$48,'Gastos mensuales'!$F$3:$F$48,"="&amp;Modelo!J11,'Gastos mensuales'!$E$3:$E$48,"Mensual")</f>
        <v>190500</v>
      </c>
      <c r="K19" s="28">
        <f>SUMIFS('Gastos mensuales'!$D$3:$D$48,'Gastos mensuales'!$F$3:$F$48,"&lt;="&amp;Modelo!K11,'Gastos mensuales'!$E$3:$E$48,"Mensual")+SUMIFS('Gastos mensuales'!$D$3:$D$48,'Gastos mensuales'!$F$3:$F$48,"="&amp;Modelo!K11,'Gastos mensuales'!$E$3:$E$48,"Mensual")</f>
        <v>190500</v>
      </c>
      <c r="L19" s="28">
        <f>SUMIFS('Gastos mensuales'!$D$3:$D$48,'Gastos mensuales'!$F$3:$F$48,"&lt;="&amp;Modelo!L11,'Gastos mensuales'!$E$3:$E$48,"Mensual")+SUMIFS('Gastos mensuales'!$D$3:$D$48,'Gastos mensuales'!$F$3:$F$48,"="&amp;Modelo!L11,'Gastos mensuales'!$E$3:$E$48,"Mensual")</f>
        <v>190500</v>
      </c>
      <c r="M19" s="28">
        <f>SUMIFS('Gastos mensuales'!$D$3:$D$48,'Gastos mensuales'!$F$3:$F$48,"&lt;="&amp;Modelo!M11,'Gastos mensuales'!$E$3:$E$48,"Mensual")+SUMIFS('Gastos mensuales'!$D$3:$D$48,'Gastos mensuales'!$F$3:$F$48,"="&amp;Modelo!M11,'Gastos mensuales'!$E$3:$E$48,"Mensual")</f>
        <v>190500</v>
      </c>
      <c r="N19" s="28">
        <f>SUMIFS('Gastos mensuales'!$D$3:$D$48,'Gastos mensuales'!$F$3:$F$48,"&lt;="&amp;Modelo!N11,'Gastos mensuales'!$E$3:$E$48,"Mensual")+SUMIFS('Gastos mensuales'!$D$3:$D$48,'Gastos mensuales'!$F$3:$F$48,"="&amp;Modelo!N11,'Gastos mensuales'!$E$3:$E$48,"Mensual")</f>
        <v>190500</v>
      </c>
      <c r="O19" s="28">
        <f>SUMIFS('Gastos mensuales'!$D$3:$D$48,'Gastos mensuales'!$F$3:$F$48,"&lt;="&amp;Modelo!O11,'Gastos mensuales'!$E$3:$E$48,"Mensual")+SUMIFS('Gastos mensuales'!$D$3:$D$48,'Gastos mensuales'!$F$3:$F$48,"="&amp;Modelo!O11,'Gastos mensuales'!$E$3:$E$48,"Mensual")</f>
        <v>190500</v>
      </c>
      <c r="P19" s="28">
        <f>SUMIFS('Gastos mensuales'!$D$3:$D$48,'Gastos mensuales'!$F$3:$F$48,"&lt;="&amp;Modelo!P11,'Gastos mensuales'!$E$3:$E$48,"Mensual")+SUMIFS('Gastos mensuales'!$D$3:$D$48,'Gastos mensuales'!$F$3:$F$48,"="&amp;Modelo!P11,'Gastos mensuales'!$E$3:$E$48,"Mensual")</f>
        <v>190500</v>
      </c>
      <c r="Q19" s="28">
        <f>SUMIFS('Gastos mensuales'!$D$3:$D$48,'Gastos mensuales'!$F$3:$F$48,"&lt;="&amp;Modelo!Q11,'Gastos mensuales'!$E$3:$E$48,"Mensual")+SUMIFS('Gastos mensuales'!$D$3:$D$48,'Gastos mensuales'!$F$3:$F$48,"="&amp;Modelo!Q11,'Gastos mensuales'!$E$3:$E$48,"Mensual")</f>
        <v>190500</v>
      </c>
      <c r="R19" s="28">
        <f>SUMIFS('Gastos mensuales'!$D$3:$D$48,'Gastos mensuales'!$F$3:$F$48,"&lt;="&amp;Modelo!R11,'Gastos mensuales'!$E$3:$E$48,"Mensual")+SUMIFS('Gastos mensuales'!$D$3:$D$48,'Gastos mensuales'!$F$3:$F$48,"="&amp;Modelo!R11,'Gastos mensuales'!$E$3:$E$48,"Mensual")</f>
        <v>190500</v>
      </c>
      <c r="S19" s="28">
        <f>SUMIFS('Gastos mensuales'!$D$3:$D$48,'Gastos mensuales'!$F$3:$F$48,"&lt;="&amp;Modelo!S11,'Gastos mensuales'!$E$3:$E$48,"Mensual")+SUMIFS('Gastos mensuales'!$D$3:$D$48,'Gastos mensuales'!$F$3:$F$48,"="&amp;Modelo!S11,'Gastos mensuales'!$E$3:$E$48,"Mensual")</f>
        <v>190500</v>
      </c>
      <c r="T19" s="28">
        <f>SUMIFS('Gastos mensuales'!$D$3:$D$48,'Gastos mensuales'!$F$3:$F$48,"&lt;="&amp;Modelo!T11,'Gastos mensuales'!$E$3:$E$48,"Mensual")+SUMIFS('Gastos mensuales'!$D$3:$D$48,'Gastos mensuales'!$F$3:$F$48,"="&amp;Modelo!T11,'Gastos mensuales'!$E$3:$E$48,"Mensual")</f>
        <v>190500</v>
      </c>
      <c r="U19" s="28">
        <f>SUMIFS('Gastos mensuales'!$D$3:$D$48,'Gastos mensuales'!$F$3:$F$48,"&lt;="&amp;Modelo!U11,'Gastos mensuales'!$E$3:$E$48,"Mensual")+SUMIFS('Gastos mensuales'!$D$3:$D$48,'Gastos mensuales'!$F$3:$F$48,"="&amp;Modelo!U11,'Gastos mensuales'!$E$3:$E$48,"Mensual")</f>
        <v>190500</v>
      </c>
      <c r="V19" s="28">
        <f>SUMIFS('Gastos mensuales'!$D$3:$D$48,'Gastos mensuales'!$F$3:$F$48,"&lt;="&amp;Modelo!V11,'Gastos mensuales'!$E$3:$E$48,"Mensual")+SUMIFS('Gastos mensuales'!$D$3:$D$48,'Gastos mensuales'!$F$3:$F$48,"="&amp;Modelo!V11,'Gastos mensuales'!$E$3:$E$48,"Mensual")</f>
        <v>190500</v>
      </c>
      <c r="W19" s="28">
        <f>SUMIFS('Gastos mensuales'!$D$3:$D$48,'Gastos mensuales'!$F$3:$F$48,"&lt;="&amp;Modelo!W11,'Gastos mensuales'!$E$3:$E$48,"Mensual")+SUMIFS('Gastos mensuales'!$D$3:$D$48,'Gastos mensuales'!$F$3:$F$48,"="&amp;Modelo!W11,'Gastos mensuales'!$E$3:$E$48,"Mensual")</f>
        <v>190500</v>
      </c>
      <c r="X19" s="28">
        <f>SUMIFS('Gastos mensuales'!$D$3:$D$48,'Gastos mensuales'!$F$3:$F$48,"&lt;="&amp;Modelo!X11,'Gastos mensuales'!$E$3:$E$48,"Mensual")+SUMIFS('Gastos mensuales'!$D$3:$D$48,'Gastos mensuales'!$F$3:$F$48,"="&amp;Modelo!X11,'Gastos mensuales'!$E$3:$E$48,"Mensual")</f>
        <v>190500</v>
      </c>
      <c r="Y19" s="28">
        <f>SUMIFS('Gastos mensuales'!$D$3:$D$48,'Gastos mensuales'!$F$3:$F$48,"&lt;="&amp;Modelo!Y11,'Gastos mensuales'!$E$3:$E$48,"Mensual")+SUMIFS('Gastos mensuales'!$D$3:$D$48,'Gastos mensuales'!$F$3:$F$48,"="&amp;Modelo!Y11,'Gastos mensuales'!$E$3:$E$48,"Mensual")</f>
        <v>190500</v>
      </c>
      <c r="Z19" s="28">
        <f t="shared" si="7"/>
        <v>4572000</v>
      </c>
    </row>
    <row r="20">
      <c r="A20" s="15" t="s">
        <v>46</v>
      </c>
      <c r="B20" s="28">
        <f>'Gastos mensuales'!$D$9*B13/$B$7</f>
        <v>2000</v>
      </c>
      <c r="C20" s="28">
        <f>'Gastos mensuales'!$D$9*C13/$B$7</f>
        <v>4000</v>
      </c>
      <c r="D20" s="28">
        <f>'Gastos mensuales'!$D$9*D13/$B$7</f>
        <v>6000</v>
      </c>
      <c r="E20" s="28">
        <f>'Gastos mensuales'!$D$9*E13/$B$7</f>
        <v>8000</v>
      </c>
      <c r="F20" s="28">
        <f>'Gastos mensuales'!$D$9*F13/$B$7</f>
        <v>10000</v>
      </c>
      <c r="G20" s="28">
        <f>'Gastos mensuales'!$D$9*G13/$B$7</f>
        <v>12000</v>
      </c>
      <c r="H20" s="28">
        <f>'Gastos mensuales'!$D$9*H13/$B$7</f>
        <v>14000</v>
      </c>
      <c r="I20" s="28">
        <f>'Gastos mensuales'!$D$9*I13/$B$7</f>
        <v>16000</v>
      </c>
      <c r="J20" s="28">
        <f>'Gastos mensuales'!$D$9*J13/$B$7</f>
        <v>18000</v>
      </c>
      <c r="K20" s="28">
        <f>'Gastos mensuales'!$D$9*K13/$B$7</f>
        <v>20000</v>
      </c>
      <c r="L20" s="28">
        <f>'Gastos mensuales'!$D$9*L13/$B$7</f>
        <v>22000</v>
      </c>
      <c r="M20" s="28">
        <f>'Gastos mensuales'!$D$9*M13/$B$7</f>
        <v>24000</v>
      </c>
      <c r="N20" s="28">
        <f>'Gastos mensuales'!$D$9*N13/$B$7</f>
        <v>26000</v>
      </c>
      <c r="O20" s="28">
        <f>'Gastos mensuales'!$D$9*O13/$B$7</f>
        <v>28000</v>
      </c>
      <c r="P20" s="28">
        <f>'Gastos mensuales'!$D$9*P13/$B$7</f>
        <v>30000</v>
      </c>
      <c r="Q20" s="28">
        <f>'Gastos mensuales'!$D$9*Q13/$B$7</f>
        <v>32000</v>
      </c>
      <c r="R20" s="28">
        <f>'Gastos mensuales'!$D$9*R13/$B$7</f>
        <v>34000</v>
      </c>
      <c r="S20" s="28">
        <f>'Gastos mensuales'!$D$9*S13/$B$7</f>
        <v>36000</v>
      </c>
      <c r="T20" s="28">
        <f>'Gastos mensuales'!$D$9*T13/$B$7</f>
        <v>38000</v>
      </c>
      <c r="U20" s="28">
        <f>'Gastos mensuales'!$D$9*U13/$B$7</f>
        <v>40000</v>
      </c>
      <c r="V20" s="28">
        <f>'Gastos mensuales'!$D$9*V13/$B$7</f>
        <v>42000</v>
      </c>
      <c r="W20" s="28">
        <f>'Gastos mensuales'!$D$9*W13/$B$7</f>
        <v>44000</v>
      </c>
      <c r="X20" s="28">
        <f>'Gastos mensuales'!$D$9*X13/$B$7</f>
        <v>46000</v>
      </c>
      <c r="Y20" s="28">
        <f>'Gastos mensuales'!$D$9*Y13/$B$7</f>
        <v>48000</v>
      </c>
      <c r="Z20" s="28">
        <f t="shared" si="7"/>
        <v>600000</v>
      </c>
    </row>
    <row r="21" ht="15.75" customHeight="1">
      <c r="A21" s="15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8"/>
    </row>
    <row r="22" ht="15.75" customHeight="1">
      <c r="A22" s="15" t="s">
        <v>47</v>
      </c>
      <c r="B22" s="28">
        <f t="shared" ref="B22:Y22" si="8">B14+B15</f>
        <v>20000</v>
      </c>
      <c r="C22" s="28">
        <f t="shared" si="8"/>
        <v>40000</v>
      </c>
      <c r="D22" s="28">
        <f t="shared" si="8"/>
        <v>60000</v>
      </c>
      <c r="E22" s="28">
        <f t="shared" si="8"/>
        <v>80000</v>
      </c>
      <c r="F22" s="28">
        <f t="shared" si="8"/>
        <v>100000</v>
      </c>
      <c r="G22" s="28">
        <f t="shared" si="8"/>
        <v>120000</v>
      </c>
      <c r="H22" s="28">
        <f t="shared" si="8"/>
        <v>140000</v>
      </c>
      <c r="I22" s="28">
        <f t="shared" si="8"/>
        <v>160000</v>
      </c>
      <c r="J22" s="28">
        <f t="shared" si="8"/>
        <v>180000</v>
      </c>
      <c r="K22" s="28">
        <f t="shared" si="8"/>
        <v>200000</v>
      </c>
      <c r="L22" s="28">
        <f t="shared" si="8"/>
        <v>220000</v>
      </c>
      <c r="M22" s="28">
        <f t="shared" si="8"/>
        <v>240000</v>
      </c>
      <c r="N22" s="28">
        <f t="shared" si="8"/>
        <v>260000</v>
      </c>
      <c r="O22" s="28">
        <f t="shared" si="8"/>
        <v>280000</v>
      </c>
      <c r="P22" s="28">
        <f t="shared" si="8"/>
        <v>300000</v>
      </c>
      <c r="Q22" s="28">
        <f t="shared" si="8"/>
        <v>320000</v>
      </c>
      <c r="R22" s="28">
        <f t="shared" si="8"/>
        <v>340000</v>
      </c>
      <c r="S22" s="28">
        <f t="shared" si="8"/>
        <v>360000</v>
      </c>
      <c r="T22" s="28">
        <f t="shared" si="8"/>
        <v>380000</v>
      </c>
      <c r="U22" s="28">
        <f t="shared" si="8"/>
        <v>400000</v>
      </c>
      <c r="V22" s="28">
        <f t="shared" si="8"/>
        <v>420000</v>
      </c>
      <c r="W22" s="28">
        <f t="shared" si="8"/>
        <v>440000</v>
      </c>
      <c r="X22" s="28">
        <f t="shared" si="8"/>
        <v>460000</v>
      </c>
      <c r="Y22" s="28">
        <f t="shared" si="8"/>
        <v>480000</v>
      </c>
      <c r="Z22" s="28">
        <f t="shared" ref="Z22:Z23" si="10">SUM(B22:Y22)</f>
        <v>6000000</v>
      </c>
    </row>
    <row r="23" ht="15.75" customHeight="1">
      <c r="A23" s="15" t="s">
        <v>48</v>
      </c>
      <c r="B23" s="28">
        <f t="shared" ref="B23:Y23" si="9">B17+B18+B19</f>
        <v>192500</v>
      </c>
      <c r="C23" s="28">
        <f t="shared" si="9"/>
        <v>194500</v>
      </c>
      <c r="D23" s="28">
        <f t="shared" si="9"/>
        <v>196500</v>
      </c>
      <c r="E23" s="28">
        <f t="shared" si="9"/>
        <v>198500</v>
      </c>
      <c r="F23" s="28">
        <f t="shared" si="9"/>
        <v>200500</v>
      </c>
      <c r="G23" s="28">
        <f t="shared" si="9"/>
        <v>202500</v>
      </c>
      <c r="H23" s="28">
        <f t="shared" si="9"/>
        <v>204500</v>
      </c>
      <c r="I23" s="28">
        <f t="shared" si="9"/>
        <v>206500</v>
      </c>
      <c r="J23" s="28">
        <f t="shared" si="9"/>
        <v>208500</v>
      </c>
      <c r="K23" s="28">
        <f t="shared" si="9"/>
        <v>210500</v>
      </c>
      <c r="L23" s="28">
        <f t="shared" si="9"/>
        <v>212500</v>
      </c>
      <c r="M23" s="28">
        <f t="shared" si="9"/>
        <v>214500</v>
      </c>
      <c r="N23" s="28">
        <f t="shared" si="9"/>
        <v>216500</v>
      </c>
      <c r="O23" s="28">
        <f t="shared" si="9"/>
        <v>218500</v>
      </c>
      <c r="P23" s="28">
        <f t="shared" si="9"/>
        <v>220500</v>
      </c>
      <c r="Q23" s="28">
        <f t="shared" si="9"/>
        <v>222500</v>
      </c>
      <c r="R23" s="28">
        <f t="shared" si="9"/>
        <v>224500</v>
      </c>
      <c r="S23" s="28">
        <f t="shared" si="9"/>
        <v>226500</v>
      </c>
      <c r="T23" s="28">
        <f t="shared" si="9"/>
        <v>228500</v>
      </c>
      <c r="U23" s="28">
        <f t="shared" si="9"/>
        <v>230500</v>
      </c>
      <c r="V23" s="28">
        <f t="shared" si="9"/>
        <v>232500</v>
      </c>
      <c r="W23" s="28">
        <f t="shared" si="9"/>
        <v>234500</v>
      </c>
      <c r="X23" s="28">
        <f t="shared" si="9"/>
        <v>236500</v>
      </c>
      <c r="Y23" s="28">
        <f t="shared" si="9"/>
        <v>238500</v>
      </c>
      <c r="Z23" s="28">
        <f t="shared" si="10"/>
        <v>5172000</v>
      </c>
    </row>
    <row r="24" ht="15.75" customHeight="1">
      <c r="A24" s="1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8"/>
    </row>
    <row r="25" ht="15.75" customHeight="1">
      <c r="A25" s="15" t="s">
        <v>19</v>
      </c>
      <c r="B25" s="28">
        <f t="shared" ref="B25:Y25" si="11">B22-B23</f>
        <v>-172500</v>
      </c>
      <c r="C25" s="28">
        <f t="shared" si="11"/>
        <v>-154500</v>
      </c>
      <c r="D25" s="28">
        <f t="shared" si="11"/>
        <v>-136500</v>
      </c>
      <c r="E25" s="28">
        <f t="shared" si="11"/>
        <v>-118500</v>
      </c>
      <c r="F25" s="28">
        <f t="shared" si="11"/>
        <v>-100500</v>
      </c>
      <c r="G25" s="28">
        <f t="shared" si="11"/>
        <v>-82500</v>
      </c>
      <c r="H25" s="28">
        <f t="shared" si="11"/>
        <v>-64500</v>
      </c>
      <c r="I25" s="28">
        <f t="shared" si="11"/>
        <v>-46500</v>
      </c>
      <c r="J25" s="28">
        <f t="shared" si="11"/>
        <v>-28500</v>
      </c>
      <c r="K25" s="28">
        <f t="shared" si="11"/>
        <v>-10500</v>
      </c>
      <c r="L25" s="28">
        <f t="shared" si="11"/>
        <v>7500</v>
      </c>
      <c r="M25" s="28">
        <f t="shared" si="11"/>
        <v>25500</v>
      </c>
      <c r="N25" s="28">
        <f t="shared" si="11"/>
        <v>43500</v>
      </c>
      <c r="O25" s="28">
        <f t="shared" si="11"/>
        <v>61500</v>
      </c>
      <c r="P25" s="28">
        <f t="shared" si="11"/>
        <v>79500</v>
      </c>
      <c r="Q25" s="28">
        <f t="shared" si="11"/>
        <v>97500</v>
      </c>
      <c r="R25" s="28">
        <f t="shared" si="11"/>
        <v>115500</v>
      </c>
      <c r="S25" s="28">
        <f t="shared" si="11"/>
        <v>133500</v>
      </c>
      <c r="T25" s="28">
        <f t="shared" si="11"/>
        <v>151500</v>
      </c>
      <c r="U25" s="28">
        <f t="shared" si="11"/>
        <v>169500</v>
      </c>
      <c r="V25" s="28">
        <f t="shared" si="11"/>
        <v>187500</v>
      </c>
      <c r="W25" s="28">
        <f t="shared" si="11"/>
        <v>205500</v>
      </c>
      <c r="X25" s="28">
        <f t="shared" si="11"/>
        <v>223500</v>
      </c>
      <c r="Y25" s="28">
        <f t="shared" si="11"/>
        <v>241500</v>
      </c>
      <c r="Z25" s="28">
        <f>SUM(B25:Y25)</f>
        <v>828000</v>
      </c>
    </row>
    <row r="26" ht="15.75" customHeight="1"/>
    <row r="27" ht="15.75" customHeight="1">
      <c r="B27" s="36" t="s">
        <v>49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1:F1"/>
    <mergeCell ref="D2:E2"/>
    <mergeCell ref="D3:E3"/>
    <mergeCell ref="D4:E4"/>
    <mergeCell ref="A10:Z10"/>
    <mergeCell ref="B27:F34"/>
  </mergeCells>
  <printOptions/>
  <pageMargins bottom="0.75" footer="0.0" header="0.0" left="0.7" right="0.7" top="0.75"/>
  <pageSetup paperSize="9" orientation="portrait"/>
  <drawing r:id="rId1"/>
</worksheet>
</file>