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mensuales" sheetId="1" r:id="rId4"/>
    <sheet state="visible" name="Modelo" sheetId="2" r:id="rId5"/>
  </sheets>
  <definedNames/>
  <calcPr/>
</workbook>
</file>

<file path=xl/sharedStrings.xml><?xml version="1.0" encoding="utf-8"?>
<sst xmlns="http://schemas.openxmlformats.org/spreadsheetml/2006/main" count="62" uniqueCount="43">
  <si>
    <t>Gastos Periódicos</t>
  </si>
  <si>
    <t>Total anual</t>
  </si>
  <si>
    <t>Concepto</t>
  </si>
  <si>
    <t>Cantidad</t>
  </si>
  <si>
    <t>Costo unitario (MXN)</t>
  </si>
  <si>
    <t>Subtotal (MXN)</t>
  </si>
  <si>
    <t>Categoria</t>
  </si>
  <si>
    <t>Inicio</t>
  </si>
  <si>
    <t>Analista de Negocios (futbol)</t>
  </si>
  <si>
    <t>Mensual</t>
  </si>
  <si>
    <t>Científico de datos (nosotros)</t>
  </si>
  <si>
    <t>Marketing publicidad</t>
  </si>
  <si>
    <t>Legal</t>
  </si>
  <si>
    <t>Contabilidad</t>
  </si>
  <si>
    <t>Cuentas de correo</t>
  </si>
  <si>
    <t>Empleados variables</t>
  </si>
  <si>
    <t>Servicios (Internet, Servidores, etc)</t>
  </si>
  <si>
    <t>Suscripciones a softwares</t>
  </si>
  <si>
    <t>Total</t>
  </si>
  <si>
    <t>Gastos únicos</t>
  </si>
  <si>
    <t>Fecha de adquisición</t>
  </si>
  <si>
    <t>Computadoras</t>
  </si>
  <si>
    <t>Una vez</t>
  </si>
  <si>
    <t>Software</t>
  </si>
  <si>
    <t>Dominio</t>
  </si>
  <si>
    <t>Clientes al mes</t>
  </si>
  <si>
    <t>Configuración</t>
  </si>
  <si>
    <t>Renta</t>
  </si>
  <si>
    <t>Comisión 1</t>
  </si>
  <si>
    <t>Comisión 2</t>
  </si>
  <si>
    <t>Capital inicial (proy)</t>
  </si>
  <si>
    <t>Clientes por empleado</t>
  </si>
  <si>
    <t>Primeros clientes</t>
  </si>
  <si>
    <t>Proyección</t>
  </si>
  <si>
    <t>Clientes reales</t>
  </si>
  <si>
    <t>Clientes proyectados</t>
  </si>
  <si>
    <t>Rentas</t>
  </si>
  <si>
    <t>Comisiones conf</t>
  </si>
  <si>
    <t>Comisiones renta</t>
  </si>
  <si>
    <t>Gastos fijo</t>
  </si>
  <si>
    <t>Gastos variables</t>
  </si>
  <si>
    <t>Total ingresos</t>
  </si>
  <si>
    <t>Total gastos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</si>
</sst>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&quot;$&quot;#,##0.00;[Red]\-&quot;$&quot;#,##0.00"/>
    <numFmt numFmtId="166" formatCode="_-* #,##0.00_-;\-* #,##0.00_-;_-* &quot;-&quot;??_-;_-@"/>
  </numFmts>
  <fonts count="13">
    <font>
      <sz val="11.0"/>
      <color theme="1"/>
      <name val="Calibri"/>
      <scheme val="minor"/>
    </font>
    <font>
      <b/>
      <sz val="12.0"/>
      <color rgb="FFFFFFFF"/>
      <name val="Calibri"/>
    </font>
    <font/>
    <font>
      <b/>
      <sz val="12.0"/>
      <color theme="0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rgb="FFE06666"/>
      <name val="Calibri"/>
    </font>
    <font>
      <sz val="11.0"/>
      <color rgb="FF93C47D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3" fontId="4" numFmtId="17" xfId="0" applyBorder="1" applyFill="1" applyFont="1" applyNumberFormat="1"/>
    <xf borderId="4" fillId="3" fontId="5" numFmtId="0" xfId="0" applyBorder="1" applyFont="1"/>
    <xf borderId="1" fillId="0" fontId="6" numFmtId="0" xfId="0" applyBorder="1" applyFont="1"/>
    <xf borderId="4" fillId="0" fontId="6" numFmtId="0" xfId="0" applyBorder="1" applyFont="1"/>
    <xf borderId="4" fillId="0" fontId="6" numFmtId="0" xfId="0" applyAlignment="1" applyBorder="1" applyFont="1">
      <alignment readingOrder="0"/>
    </xf>
    <xf borderId="4" fillId="0" fontId="7" numFmtId="17" xfId="0" applyAlignment="1" applyBorder="1" applyFont="1" applyNumberFormat="1">
      <alignment readingOrder="0"/>
    </xf>
    <xf borderId="0" fillId="0" fontId="6" numFmtId="0" xfId="0" applyAlignment="1" applyFont="1">
      <alignment horizontal="left" shrinkToFit="0" vertical="top" wrapText="1"/>
    </xf>
    <xf borderId="0" fillId="3" fontId="3" numFmtId="0" xfId="0" applyFont="1"/>
    <xf borderId="1" fillId="3" fontId="5" numFmtId="0" xfId="0" applyBorder="1" applyFont="1"/>
    <xf borderId="1" fillId="0" fontId="7" numFmtId="17" xfId="0" applyAlignment="1" applyBorder="1" applyFont="1" applyNumberFormat="1">
      <alignment readingOrder="0"/>
    </xf>
    <xf borderId="0" fillId="3" fontId="1" numFmtId="0" xfId="0" applyFont="1"/>
    <xf borderId="5" fillId="4" fontId="8" numFmtId="0" xfId="0" applyBorder="1" applyFill="1" applyFont="1"/>
    <xf borderId="5" fillId="4" fontId="7" numFmtId="0" xfId="0" applyBorder="1" applyFont="1"/>
    <xf borderId="6" fillId="4" fontId="8" numFmtId="0" xfId="0" applyAlignment="1" applyBorder="1" applyFont="1">
      <alignment horizontal="center"/>
    </xf>
    <xf borderId="7" fillId="0" fontId="2" numFmtId="0" xfId="0" applyBorder="1" applyFont="1"/>
    <xf borderId="5" fillId="4" fontId="8" numFmtId="0" xfId="0" applyAlignment="1" applyBorder="1" applyFont="1">
      <alignment horizontal="center"/>
    </xf>
    <xf borderId="5" fillId="4" fontId="7" numFmtId="164" xfId="0" applyBorder="1" applyFont="1" applyNumberFormat="1"/>
    <xf borderId="0" fillId="0" fontId="8" numFmtId="0" xfId="0" applyAlignment="1" applyFont="1">
      <alignment horizontal="left"/>
    </xf>
    <xf borderId="0" fillId="0" fontId="6" numFmtId="0" xfId="0" applyFont="1"/>
    <xf borderId="6" fillId="4" fontId="8" numFmtId="0" xfId="0" applyAlignment="1" applyBorder="1" applyFont="1">
      <alignment horizontal="left"/>
    </xf>
    <xf borderId="5" fillId="4" fontId="7" numFmtId="165" xfId="0" applyBorder="1" applyFont="1" applyNumberFormat="1"/>
    <xf borderId="5" fillId="4" fontId="7" numFmtId="10" xfId="0" applyBorder="1" applyFont="1" applyNumberFormat="1"/>
    <xf borderId="5" fillId="4" fontId="7" numFmtId="166" xfId="0" applyBorder="1" applyFont="1" applyNumberFormat="1"/>
    <xf borderId="5" fillId="4" fontId="7" numFmtId="17" xfId="0" applyBorder="1" applyFont="1" applyNumberFormat="1"/>
    <xf borderId="6" fillId="3" fontId="5" numFmtId="0" xfId="0" applyAlignment="1" applyBorder="1" applyFont="1">
      <alignment horizontal="center" readingOrder="0"/>
    </xf>
    <xf borderId="0" fillId="0" fontId="7" numFmtId="164" xfId="0" applyFont="1" applyNumberFormat="1"/>
    <xf borderId="5" fillId="3" fontId="9" numFmtId="0" xfId="0" applyBorder="1" applyFont="1"/>
    <xf borderId="5" fillId="3" fontId="10" numFmtId="17" xfId="0" applyAlignment="1" applyBorder="1" applyFont="1" applyNumberFormat="1">
      <alignment readingOrder="0"/>
    </xf>
    <xf borderId="0" fillId="0" fontId="8" numFmtId="0" xfId="0" applyFont="1"/>
    <xf borderId="5" fillId="4" fontId="7" numFmtId="0" xfId="0" applyAlignment="1" applyBorder="1" applyFont="1">
      <alignment readingOrder="0"/>
    </xf>
    <xf borderId="5" fillId="4" fontId="11" numFmtId="166" xfId="0" applyBorder="1" applyFont="1" applyNumberFormat="1"/>
    <xf borderId="5" fillId="4" fontId="12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income vs expenses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income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Modelo!$B$11:$Y$11</c:f>
            </c:strRef>
          </c:cat>
          <c:val>
            <c:numRef>
              <c:f>Modelo!$B$22:$Y$22</c:f>
              <c:numCache/>
            </c:numRef>
          </c:val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Modelo!$B$11:$Y$11</c:f>
            </c:strRef>
          </c:cat>
          <c:val>
            <c:numRef>
              <c:f>Modelo!$B$23:$Y$23</c:f>
              <c:numCache/>
            </c:numRef>
          </c:val>
        </c:ser>
        <c:overlap val="100"/>
        <c:axId val="274121621"/>
        <c:axId val="1203846046"/>
      </c:barChart>
      <c:catAx>
        <c:axId val="2741216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846046"/>
      </c:catAx>
      <c:valAx>
        <c:axId val="12038460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121621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sz="1800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80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34</xdr:row>
      <xdr:rowOff>9525</xdr:rowOff>
    </xdr:from>
    <xdr:ext cx="6305550" cy="3905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3" width="19.71"/>
    <col customWidth="1" min="4" max="4" width="15.86"/>
    <col customWidth="1" min="5" max="12" width="10.71"/>
  </cols>
  <sheetData>
    <row r="1">
      <c r="A1" s="1" t="s">
        <v>0</v>
      </c>
      <c r="B1" s="2"/>
      <c r="C1" s="2"/>
      <c r="D1" s="2"/>
      <c r="E1" s="2"/>
      <c r="F1" s="3"/>
      <c r="I1" s="4" t="s">
        <v>1</v>
      </c>
      <c r="J1" s="3"/>
    </row>
    <row r="2">
      <c r="A2" s="5" t="s">
        <v>2</v>
      </c>
      <c r="B2" s="5" t="s">
        <v>3</v>
      </c>
      <c r="C2" s="6" t="s">
        <v>4</v>
      </c>
      <c r="D2" s="6" t="s">
        <v>5</v>
      </c>
      <c r="E2" s="5" t="s">
        <v>6</v>
      </c>
      <c r="F2" s="5" t="s">
        <v>7</v>
      </c>
      <c r="I2" s="7">
        <f>SUM(D3:D11)*12+SUM(D16:D18)</f>
        <v>2681400</v>
      </c>
      <c r="J2" s="3"/>
    </row>
    <row r="3">
      <c r="A3" s="8" t="s">
        <v>8</v>
      </c>
      <c r="B3" s="8">
        <v>1.0</v>
      </c>
      <c r="C3" s="9">
        <v>22000.0</v>
      </c>
      <c r="D3" s="8">
        <f t="shared" ref="D3:D9" si="1">C3*B3</f>
        <v>22000</v>
      </c>
      <c r="E3" s="8" t="s">
        <v>9</v>
      </c>
      <c r="F3" s="10">
        <v>44743.0</v>
      </c>
    </row>
    <row r="4">
      <c r="A4" s="8" t="s">
        <v>10</v>
      </c>
      <c r="B4" s="8">
        <v>3.0</v>
      </c>
      <c r="C4" s="9">
        <v>20000.0</v>
      </c>
      <c r="D4" s="8">
        <f t="shared" si="1"/>
        <v>60000</v>
      </c>
      <c r="E4" s="8" t="s">
        <v>9</v>
      </c>
      <c r="F4" s="10">
        <v>44774.0</v>
      </c>
    </row>
    <row r="5">
      <c r="A5" s="8" t="s">
        <v>11</v>
      </c>
      <c r="B5" s="8">
        <v>1.0</v>
      </c>
      <c r="C5" s="8">
        <v>65000.0</v>
      </c>
      <c r="D5" s="8">
        <f t="shared" si="1"/>
        <v>65000</v>
      </c>
      <c r="E5" s="8" t="s">
        <v>9</v>
      </c>
      <c r="F5" s="10">
        <v>44805.0</v>
      </c>
    </row>
    <row r="6">
      <c r="A6" s="8" t="s">
        <v>12</v>
      </c>
      <c r="B6" s="8">
        <v>1.0</v>
      </c>
      <c r="C6" s="8">
        <v>20000.0</v>
      </c>
      <c r="D6" s="8">
        <f t="shared" si="1"/>
        <v>20000</v>
      </c>
      <c r="E6" s="8" t="s">
        <v>9</v>
      </c>
      <c r="F6" s="10">
        <v>44835.0</v>
      </c>
      <c r="I6" s="11"/>
    </row>
    <row r="7">
      <c r="A7" s="8" t="s">
        <v>13</v>
      </c>
      <c r="B7" s="8">
        <v>1.0</v>
      </c>
      <c r="C7" s="8">
        <v>15000.0</v>
      </c>
      <c r="D7" s="8">
        <f t="shared" si="1"/>
        <v>15000</v>
      </c>
      <c r="E7" s="8" t="s">
        <v>9</v>
      </c>
      <c r="F7" s="10">
        <v>44866.0</v>
      </c>
    </row>
    <row r="8">
      <c r="A8" s="8" t="s">
        <v>14</v>
      </c>
      <c r="B8" s="9">
        <v>7.0</v>
      </c>
      <c r="C8" s="8">
        <v>100.0</v>
      </c>
      <c r="D8" s="8">
        <f t="shared" si="1"/>
        <v>700</v>
      </c>
      <c r="E8" s="8" t="s">
        <v>9</v>
      </c>
      <c r="F8" s="10">
        <v>44896.0</v>
      </c>
    </row>
    <row r="9">
      <c r="A9" s="8" t="s">
        <v>15</v>
      </c>
      <c r="B9" s="8">
        <v>1.0</v>
      </c>
      <c r="C9" s="8">
        <v>20000.0</v>
      </c>
      <c r="D9" s="8">
        <f t="shared" si="1"/>
        <v>20000</v>
      </c>
      <c r="E9" s="8" t="s">
        <v>9</v>
      </c>
      <c r="F9" s="10">
        <v>44927.0</v>
      </c>
    </row>
    <row r="10">
      <c r="A10" s="8" t="s">
        <v>16</v>
      </c>
      <c r="B10" s="8">
        <v>1.0</v>
      </c>
      <c r="C10" s="8">
        <v>10000.0</v>
      </c>
      <c r="D10" s="8">
        <v>10000.0</v>
      </c>
      <c r="E10" s="8" t="s">
        <v>9</v>
      </c>
      <c r="F10" s="10">
        <v>44958.0</v>
      </c>
    </row>
    <row r="11">
      <c r="A11" s="8" t="s">
        <v>17</v>
      </c>
      <c r="B11" s="8">
        <v>4.0</v>
      </c>
      <c r="C11" s="8">
        <v>500.0</v>
      </c>
      <c r="D11" s="8">
        <f>C11*B11</f>
        <v>2000</v>
      </c>
      <c r="E11" s="8" t="s">
        <v>9</v>
      </c>
      <c r="F11" s="10">
        <v>44986.0</v>
      </c>
    </row>
    <row r="12">
      <c r="E12" s="12" t="s">
        <v>18</v>
      </c>
      <c r="F12" s="8">
        <f>SUM(D3:D11)</f>
        <v>214700</v>
      </c>
    </row>
    <row r="14" ht="18.0" customHeight="1">
      <c r="A14" s="4" t="s">
        <v>19</v>
      </c>
      <c r="B14" s="2"/>
      <c r="C14" s="2"/>
      <c r="D14" s="2"/>
      <c r="E14" s="2"/>
      <c r="F14" s="2"/>
      <c r="G14" s="3"/>
    </row>
    <row r="15">
      <c r="A15" s="5" t="s">
        <v>2</v>
      </c>
      <c r="B15" s="5" t="s">
        <v>3</v>
      </c>
      <c r="C15" s="6" t="s">
        <v>4</v>
      </c>
      <c r="D15" s="6" t="s">
        <v>5</v>
      </c>
      <c r="E15" s="5" t="s">
        <v>6</v>
      </c>
      <c r="F15" s="13" t="s">
        <v>20</v>
      </c>
      <c r="G15" s="3"/>
      <c r="I15" s="11"/>
    </row>
    <row r="16">
      <c r="A16" s="8" t="s">
        <v>21</v>
      </c>
      <c r="B16" s="8">
        <v>5.0</v>
      </c>
      <c r="C16" s="8">
        <v>20000.0</v>
      </c>
      <c r="D16" s="8">
        <f t="shared" ref="D16:D18" si="2">C16*B16</f>
        <v>100000</v>
      </c>
      <c r="E16" s="8" t="s">
        <v>22</v>
      </c>
      <c r="F16" s="14">
        <v>44743.0</v>
      </c>
      <c r="G16" s="3"/>
    </row>
    <row r="17">
      <c r="A17" s="8" t="s">
        <v>23</v>
      </c>
      <c r="B17" s="8">
        <v>2.0</v>
      </c>
      <c r="C17" s="8">
        <v>2000.0</v>
      </c>
      <c r="D17" s="8">
        <f t="shared" si="2"/>
        <v>4000</v>
      </c>
      <c r="E17" s="8" t="s">
        <v>22</v>
      </c>
      <c r="F17" s="14">
        <v>44744.0</v>
      </c>
      <c r="G17" s="3"/>
    </row>
    <row r="18">
      <c r="A18" s="8" t="s">
        <v>24</v>
      </c>
      <c r="B18" s="8">
        <v>1.0</v>
      </c>
      <c r="C18" s="8">
        <v>1000.0</v>
      </c>
      <c r="D18" s="8">
        <f t="shared" si="2"/>
        <v>1000</v>
      </c>
      <c r="E18" s="8" t="s">
        <v>22</v>
      </c>
      <c r="F18" s="14">
        <v>44745.0</v>
      </c>
      <c r="G18" s="3"/>
    </row>
    <row r="19" ht="15.75" customHeight="1">
      <c r="E19" s="15" t="s">
        <v>18</v>
      </c>
      <c r="F19" s="7">
        <f>SUM(D16:D18)</f>
        <v>105000</v>
      </c>
      <c r="G19" s="3"/>
    </row>
    <row r="20" ht="15.75" customHeight="1"/>
    <row r="21" ht="15.75" customHeight="1">
      <c r="I21" s="11"/>
      <c r="J21" s="11"/>
      <c r="K21" s="11"/>
      <c r="L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16:G16"/>
    <mergeCell ref="F17:G17"/>
    <mergeCell ref="F18:G18"/>
    <mergeCell ref="F19:G19"/>
    <mergeCell ref="A1:F1"/>
    <mergeCell ref="I1:J1"/>
    <mergeCell ref="I2:J2"/>
    <mergeCell ref="I6:L14"/>
    <mergeCell ref="A14:G14"/>
    <mergeCell ref="F15:G15"/>
    <mergeCell ref="I15:L2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3.86"/>
    <col customWidth="1" min="3" max="3" width="12.14"/>
    <col customWidth="1" min="4" max="4" width="13.86"/>
    <col customWidth="1" min="5" max="5" width="12.14"/>
    <col customWidth="1" min="6" max="6" width="13.86"/>
    <col customWidth="1" min="7" max="18" width="12.14"/>
    <col customWidth="1" min="19" max="25" width="13.14"/>
    <col customWidth="1" min="26" max="26" width="13.86"/>
    <col customWidth="1" min="27" max="28" width="10.71"/>
    <col customWidth="1" min="29" max="29" width="13.14"/>
  </cols>
  <sheetData>
    <row r="1">
      <c r="A1" s="16" t="s">
        <v>25</v>
      </c>
      <c r="B1" s="17">
        <v>500.0</v>
      </c>
      <c r="C1" s="17"/>
      <c r="D1" s="18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7"/>
      <c r="V1" s="17"/>
      <c r="W1" s="17"/>
      <c r="X1" s="17"/>
      <c r="Y1" s="17"/>
      <c r="Z1" s="17"/>
    </row>
    <row r="2">
      <c r="A2" s="16" t="s">
        <v>26</v>
      </c>
      <c r="B2" s="21">
        <v>0.0</v>
      </c>
      <c r="C2" s="17"/>
      <c r="D2" s="22"/>
      <c r="F2" s="23"/>
      <c r="U2" s="17"/>
      <c r="V2" s="17"/>
      <c r="W2" s="17"/>
      <c r="X2" s="17"/>
      <c r="Y2" s="17"/>
      <c r="Z2" s="17"/>
    </row>
    <row r="3">
      <c r="A3" s="16" t="s">
        <v>27</v>
      </c>
      <c r="B3" s="21">
        <v>40.0</v>
      </c>
      <c r="C3" s="17"/>
      <c r="D3" s="24"/>
      <c r="E3" s="19"/>
      <c r="F3" s="21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17"/>
      <c r="V3" s="17"/>
      <c r="W3" s="17"/>
      <c r="X3" s="17"/>
      <c r="Y3" s="17"/>
      <c r="Z3" s="17"/>
    </row>
    <row r="4">
      <c r="A4" s="16" t="s">
        <v>28</v>
      </c>
      <c r="B4" s="26">
        <v>0.2</v>
      </c>
      <c r="C4" s="17"/>
      <c r="D4" s="24"/>
      <c r="E4" s="19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17"/>
      <c r="V4" s="17"/>
      <c r="W4" s="17"/>
      <c r="X4" s="17"/>
      <c r="Y4" s="17"/>
      <c r="Z4" s="17"/>
    </row>
    <row r="5">
      <c r="A5" s="16" t="s">
        <v>29</v>
      </c>
      <c r="B5" s="26">
        <v>0.1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6" t="s">
        <v>30</v>
      </c>
      <c r="B6" s="27">
        <f>-1*SUMIF(B25:J25,"&lt;0")</f>
        <v>846000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6" t="s">
        <v>31</v>
      </c>
      <c r="B7" s="27">
        <v>5000.0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6" t="s">
        <v>32</v>
      </c>
      <c r="B8" s="28">
        <v>44562.0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9" t="s">
        <v>33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C10" s="30"/>
    </row>
    <row r="11">
      <c r="A11" s="31"/>
      <c r="B11" s="32">
        <v>44743.0</v>
      </c>
      <c r="C11" s="32">
        <v>44774.0</v>
      </c>
      <c r="D11" s="32">
        <v>44805.0</v>
      </c>
      <c r="E11" s="32">
        <v>44835.0</v>
      </c>
      <c r="F11" s="32">
        <v>44866.0</v>
      </c>
      <c r="G11" s="32">
        <v>44896.0</v>
      </c>
      <c r="H11" s="32">
        <v>44927.0</v>
      </c>
      <c r="I11" s="32">
        <v>44958.0</v>
      </c>
      <c r="J11" s="32">
        <v>44986.0</v>
      </c>
      <c r="K11" s="32">
        <v>45017.0</v>
      </c>
      <c r="L11" s="32">
        <v>45047.0</v>
      </c>
      <c r="M11" s="32">
        <v>45078.0</v>
      </c>
      <c r="N11" s="32">
        <v>45108.0</v>
      </c>
      <c r="O11" s="32">
        <v>45139.0</v>
      </c>
      <c r="P11" s="32">
        <v>45170.0</v>
      </c>
      <c r="Q11" s="32">
        <v>45200.0</v>
      </c>
      <c r="R11" s="32">
        <v>45231.0</v>
      </c>
      <c r="S11" s="32">
        <v>45261.0</v>
      </c>
      <c r="T11" s="32">
        <v>45292.0</v>
      </c>
      <c r="U11" s="32">
        <v>45323.0</v>
      </c>
      <c r="V11" s="32">
        <v>45352.0</v>
      </c>
      <c r="W11" s="32">
        <v>45383.0</v>
      </c>
      <c r="X11" s="32">
        <v>45413.0</v>
      </c>
      <c r="Y11" s="32">
        <v>45444.0</v>
      </c>
      <c r="Z11" s="31" t="s">
        <v>18</v>
      </c>
    </row>
    <row r="12">
      <c r="A12" s="33" t="s">
        <v>34</v>
      </c>
      <c r="B12" s="23">
        <v>0.0</v>
      </c>
      <c r="C12" s="23">
        <v>0.0</v>
      </c>
      <c r="D12" s="23">
        <v>0.0</v>
      </c>
      <c r="E12" s="23">
        <v>0.0</v>
      </c>
      <c r="F12" s="23">
        <v>0.0</v>
      </c>
      <c r="G12" s="23">
        <v>0.0</v>
      </c>
      <c r="H12" s="23">
        <v>0.0</v>
      </c>
      <c r="I12" s="23">
        <v>0.0</v>
      </c>
      <c r="J12" s="23">
        <v>0.0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3">
        <v>0.0</v>
      </c>
      <c r="R12" s="23">
        <v>0.0</v>
      </c>
      <c r="S12" s="23">
        <v>0.0</v>
      </c>
      <c r="T12" s="23">
        <v>0.0</v>
      </c>
      <c r="U12" s="23">
        <v>0.0</v>
      </c>
      <c r="V12" s="23">
        <v>0.0</v>
      </c>
      <c r="W12" s="23">
        <v>0.0</v>
      </c>
      <c r="X12" s="23">
        <v>0.0</v>
      </c>
      <c r="Y12" s="23">
        <v>0.0</v>
      </c>
      <c r="Z12" s="27">
        <f t="shared" ref="Z12:Z13" si="4">SUM(B12:Y12)</f>
        <v>0</v>
      </c>
    </row>
    <row r="13">
      <c r="A13" s="16" t="s">
        <v>35</v>
      </c>
      <c r="B13" s="34">
        <v>500.0</v>
      </c>
      <c r="C13" s="17">
        <f t="shared" ref="C13:E13" si="1">IF(C11=$B$8,$B$1,IF(C11&gt;$B$8,B13+$B$1,0))</f>
        <v>1000</v>
      </c>
      <c r="D13" s="17">
        <f t="shared" si="1"/>
        <v>1500</v>
      </c>
      <c r="E13" s="17">
        <f t="shared" si="1"/>
        <v>2000</v>
      </c>
      <c r="F13" s="17">
        <f>IF(F11=$B$8,$B$1,IF(F11&gt;$B$8,E13+$B$1,0))+500</f>
        <v>3000</v>
      </c>
      <c r="G13" s="17">
        <f>IF(G11=$B$8,$B$1,IF(G11&gt;$B$8,F13+$B$1,0))+250</f>
        <v>3750</v>
      </c>
      <c r="H13" s="17">
        <f>IF(H11=$B$8,$B$1,IF(H11&gt;$B$8,G13+$B$1,0))+150</f>
        <v>4400</v>
      </c>
      <c r="I13" s="17">
        <f t="shared" ref="I13:Q13" si="2">IF(I11=$B$8,$B$1,IF(I11&gt;$B$8,H13+$B$1,0))</f>
        <v>4900</v>
      </c>
      <c r="J13" s="17">
        <f t="shared" si="2"/>
        <v>5400</v>
      </c>
      <c r="K13" s="17">
        <f t="shared" si="2"/>
        <v>5900</v>
      </c>
      <c r="L13" s="17">
        <f t="shared" si="2"/>
        <v>6400</v>
      </c>
      <c r="M13" s="17">
        <f t="shared" si="2"/>
        <v>6900</v>
      </c>
      <c r="N13" s="17">
        <f t="shared" si="2"/>
        <v>7400</v>
      </c>
      <c r="O13" s="17">
        <f t="shared" si="2"/>
        <v>7900</v>
      </c>
      <c r="P13" s="17">
        <f t="shared" si="2"/>
        <v>8400</v>
      </c>
      <c r="Q13" s="17">
        <f t="shared" si="2"/>
        <v>8900</v>
      </c>
      <c r="R13" s="17">
        <f>IF(R11=$B$8,$B$1,IF(R11&gt;$B$8,Q13+$B$1,0))+600</f>
        <v>10000</v>
      </c>
      <c r="S13" s="17">
        <f>IF(S11=$B$8,$B$1,IF(S11&gt;$B$8,R13+$B$1,0))+ 300</f>
        <v>10800</v>
      </c>
      <c r="T13" s="17">
        <f>IF(T11=$B$8,$B$1,IF(T11&gt;$B$8,S13+$B$1,0))+100</f>
        <v>11400</v>
      </c>
      <c r="U13" s="17">
        <f t="shared" ref="U13:Y13" si="3">IF(U11=$B$8,$B$1,IF(U11&gt;$B$8,T13+$B$1,0))</f>
        <v>11900</v>
      </c>
      <c r="V13" s="17">
        <f t="shared" si="3"/>
        <v>12400</v>
      </c>
      <c r="W13" s="17">
        <f t="shared" si="3"/>
        <v>12900</v>
      </c>
      <c r="X13" s="17">
        <f t="shared" si="3"/>
        <v>13400</v>
      </c>
      <c r="Y13" s="17">
        <f t="shared" si="3"/>
        <v>13900</v>
      </c>
      <c r="Z13" s="27">
        <f t="shared" si="4"/>
        <v>174950</v>
      </c>
    </row>
    <row r="14">
      <c r="A14" s="16" t="s">
        <v>26</v>
      </c>
      <c r="B14" s="21">
        <f t="shared" ref="B14:Y14" si="5">IF(B11&gt;=$B$8,$B$1*$B$2,0)</f>
        <v>0</v>
      </c>
      <c r="C14" s="21">
        <f t="shared" si="5"/>
        <v>0</v>
      </c>
      <c r="D14" s="21">
        <f t="shared" si="5"/>
        <v>0</v>
      </c>
      <c r="E14" s="21">
        <f t="shared" si="5"/>
        <v>0</v>
      </c>
      <c r="F14" s="21">
        <f t="shared" si="5"/>
        <v>0</v>
      </c>
      <c r="G14" s="21">
        <f t="shared" si="5"/>
        <v>0</v>
      </c>
      <c r="H14" s="21">
        <f t="shared" si="5"/>
        <v>0</v>
      </c>
      <c r="I14" s="21">
        <f t="shared" si="5"/>
        <v>0</v>
      </c>
      <c r="J14" s="21">
        <f t="shared" si="5"/>
        <v>0</v>
      </c>
      <c r="K14" s="21">
        <f t="shared" si="5"/>
        <v>0</v>
      </c>
      <c r="L14" s="21">
        <f t="shared" si="5"/>
        <v>0</v>
      </c>
      <c r="M14" s="21">
        <f t="shared" si="5"/>
        <v>0</v>
      </c>
      <c r="N14" s="21">
        <f t="shared" si="5"/>
        <v>0</v>
      </c>
      <c r="O14" s="21">
        <f t="shared" si="5"/>
        <v>0</v>
      </c>
      <c r="P14" s="21">
        <f t="shared" si="5"/>
        <v>0</v>
      </c>
      <c r="Q14" s="21">
        <f t="shared" si="5"/>
        <v>0</v>
      </c>
      <c r="R14" s="21">
        <f t="shared" si="5"/>
        <v>0</v>
      </c>
      <c r="S14" s="21">
        <f t="shared" si="5"/>
        <v>0</v>
      </c>
      <c r="T14" s="21">
        <f t="shared" si="5"/>
        <v>0</v>
      </c>
      <c r="U14" s="21">
        <f t="shared" si="5"/>
        <v>0</v>
      </c>
      <c r="V14" s="21">
        <f t="shared" si="5"/>
        <v>0</v>
      </c>
      <c r="W14" s="21">
        <f t="shared" si="5"/>
        <v>0</v>
      </c>
      <c r="X14" s="21">
        <f t="shared" si="5"/>
        <v>0</v>
      </c>
      <c r="Y14" s="21">
        <f t="shared" si="5"/>
        <v>0</v>
      </c>
      <c r="Z14" s="27"/>
    </row>
    <row r="15">
      <c r="A15" s="16" t="s">
        <v>36</v>
      </c>
      <c r="B15" s="27">
        <f t="shared" ref="B15:Y15" si="6">B13*$B$3</f>
        <v>20000</v>
      </c>
      <c r="C15" s="27">
        <f t="shared" si="6"/>
        <v>40000</v>
      </c>
      <c r="D15" s="27">
        <f t="shared" si="6"/>
        <v>60000</v>
      </c>
      <c r="E15" s="27">
        <f t="shared" si="6"/>
        <v>80000</v>
      </c>
      <c r="F15" s="27">
        <f t="shared" si="6"/>
        <v>120000</v>
      </c>
      <c r="G15" s="27">
        <f t="shared" si="6"/>
        <v>150000</v>
      </c>
      <c r="H15" s="27">
        <f t="shared" si="6"/>
        <v>176000</v>
      </c>
      <c r="I15" s="27">
        <f t="shared" si="6"/>
        <v>196000</v>
      </c>
      <c r="J15" s="27">
        <f t="shared" si="6"/>
        <v>216000</v>
      </c>
      <c r="K15" s="27">
        <f t="shared" si="6"/>
        <v>236000</v>
      </c>
      <c r="L15" s="27">
        <f t="shared" si="6"/>
        <v>256000</v>
      </c>
      <c r="M15" s="27">
        <f t="shared" si="6"/>
        <v>276000</v>
      </c>
      <c r="N15" s="27">
        <f t="shared" si="6"/>
        <v>296000</v>
      </c>
      <c r="O15" s="27">
        <f t="shared" si="6"/>
        <v>316000</v>
      </c>
      <c r="P15" s="27">
        <f t="shared" si="6"/>
        <v>336000</v>
      </c>
      <c r="Q15" s="27">
        <f t="shared" si="6"/>
        <v>356000</v>
      </c>
      <c r="R15" s="27">
        <f t="shared" si="6"/>
        <v>400000</v>
      </c>
      <c r="S15" s="27">
        <f t="shared" si="6"/>
        <v>432000</v>
      </c>
      <c r="T15" s="27">
        <f t="shared" si="6"/>
        <v>456000</v>
      </c>
      <c r="U15" s="27">
        <f t="shared" si="6"/>
        <v>476000</v>
      </c>
      <c r="V15" s="27">
        <f t="shared" si="6"/>
        <v>496000</v>
      </c>
      <c r="W15" s="27">
        <f t="shared" si="6"/>
        <v>516000</v>
      </c>
      <c r="X15" s="27">
        <f t="shared" si="6"/>
        <v>536000</v>
      </c>
      <c r="Y15" s="27">
        <f t="shared" si="6"/>
        <v>556000</v>
      </c>
      <c r="Z15" s="27">
        <f>SUM(B15:Y15)</f>
        <v>6998000</v>
      </c>
    </row>
    <row r="16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7"/>
    </row>
    <row r="17">
      <c r="A17" s="16" t="s">
        <v>37</v>
      </c>
      <c r="B17" s="27">
        <f t="shared" ref="B17:Y17" si="7">IF(B11&gt;=$B$8,$B$2*$B$4*$B$1,0)</f>
        <v>0</v>
      </c>
      <c r="C17" s="27">
        <f t="shared" si="7"/>
        <v>0</v>
      </c>
      <c r="D17" s="27">
        <f t="shared" si="7"/>
        <v>0</v>
      </c>
      <c r="E17" s="27">
        <f t="shared" si="7"/>
        <v>0</v>
      </c>
      <c r="F17" s="27">
        <f t="shared" si="7"/>
        <v>0</v>
      </c>
      <c r="G17" s="27">
        <f t="shared" si="7"/>
        <v>0</v>
      </c>
      <c r="H17" s="27">
        <f t="shared" si="7"/>
        <v>0</v>
      </c>
      <c r="I17" s="27">
        <f t="shared" si="7"/>
        <v>0</v>
      </c>
      <c r="J17" s="27">
        <f t="shared" si="7"/>
        <v>0</v>
      </c>
      <c r="K17" s="27">
        <f t="shared" si="7"/>
        <v>0</v>
      </c>
      <c r="L17" s="27">
        <f t="shared" si="7"/>
        <v>0</v>
      </c>
      <c r="M17" s="27">
        <f t="shared" si="7"/>
        <v>0</v>
      </c>
      <c r="N17" s="27">
        <f t="shared" si="7"/>
        <v>0</v>
      </c>
      <c r="O17" s="27">
        <f t="shared" si="7"/>
        <v>0</v>
      </c>
      <c r="P17" s="27">
        <f t="shared" si="7"/>
        <v>0</v>
      </c>
      <c r="Q17" s="27">
        <f t="shared" si="7"/>
        <v>0</v>
      </c>
      <c r="R17" s="27">
        <f t="shared" si="7"/>
        <v>0</v>
      </c>
      <c r="S17" s="27">
        <f t="shared" si="7"/>
        <v>0</v>
      </c>
      <c r="T17" s="27">
        <f t="shared" si="7"/>
        <v>0</v>
      </c>
      <c r="U17" s="27">
        <f t="shared" si="7"/>
        <v>0</v>
      </c>
      <c r="V17" s="27">
        <f t="shared" si="7"/>
        <v>0</v>
      </c>
      <c r="W17" s="27">
        <f t="shared" si="7"/>
        <v>0</v>
      </c>
      <c r="X17" s="27">
        <f t="shared" si="7"/>
        <v>0</v>
      </c>
      <c r="Y17" s="27">
        <f t="shared" si="7"/>
        <v>0</v>
      </c>
      <c r="Z17" s="27"/>
    </row>
    <row r="18">
      <c r="A18" s="16" t="s">
        <v>38</v>
      </c>
      <c r="B18" s="27">
        <f t="shared" ref="B18:Y18" si="8">IF(B11&gt;=$B$8,$B$3*$B$5*B13,0)</f>
        <v>2000</v>
      </c>
      <c r="C18" s="27">
        <f t="shared" si="8"/>
        <v>4000</v>
      </c>
      <c r="D18" s="27">
        <f t="shared" si="8"/>
        <v>6000</v>
      </c>
      <c r="E18" s="27">
        <f t="shared" si="8"/>
        <v>8000</v>
      </c>
      <c r="F18" s="27">
        <f t="shared" si="8"/>
        <v>12000</v>
      </c>
      <c r="G18" s="27">
        <f t="shared" si="8"/>
        <v>15000</v>
      </c>
      <c r="H18" s="27">
        <f t="shared" si="8"/>
        <v>17600</v>
      </c>
      <c r="I18" s="27">
        <f t="shared" si="8"/>
        <v>19600</v>
      </c>
      <c r="J18" s="27">
        <f t="shared" si="8"/>
        <v>21600</v>
      </c>
      <c r="K18" s="27">
        <f t="shared" si="8"/>
        <v>23600</v>
      </c>
      <c r="L18" s="27">
        <f t="shared" si="8"/>
        <v>25600</v>
      </c>
      <c r="M18" s="27">
        <f t="shared" si="8"/>
        <v>27600</v>
      </c>
      <c r="N18" s="27">
        <f t="shared" si="8"/>
        <v>29600</v>
      </c>
      <c r="O18" s="27">
        <f t="shared" si="8"/>
        <v>31600</v>
      </c>
      <c r="P18" s="27">
        <f t="shared" si="8"/>
        <v>33600</v>
      </c>
      <c r="Q18" s="27">
        <f t="shared" si="8"/>
        <v>35600</v>
      </c>
      <c r="R18" s="27">
        <f t="shared" si="8"/>
        <v>40000</v>
      </c>
      <c r="S18" s="27">
        <f t="shared" si="8"/>
        <v>43200</v>
      </c>
      <c r="T18" s="27">
        <f t="shared" si="8"/>
        <v>45600</v>
      </c>
      <c r="U18" s="27">
        <f t="shared" si="8"/>
        <v>47600</v>
      </c>
      <c r="V18" s="27">
        <f t="shared" si="8"/>
        <v>49600</v>
      </c>
      <c r="W18" s="27">
        <f t="shared" si="8"/>
        <v>51600</v>
      </c>
      <c r="X18" s="27">
        <f t="shared" si="8"/>
        <v>53600</v>
      </c>
      <c r="Y18" s="27">
        <f t="shared" si="8"/>
        <v>55600</v>
      </c>
      <c r="Z18" s="27">
        <f t="shared" ref="Z18:Z20" si="9">SUM(B18:Y18)</f>
        <v>699800</v>
      </c>
    </row>
    <row r="19">
      <c r="A19" s="16" t="s">
        <v>39</v>
      </c>
      <c r="B19" s="27">
        <f>'Gastos mensuales'!F12</f>
        <v>214700</v>
      </c>
      <c r="C19" s="27">
        <f>SUMIFS('Gastos mensuales'!$D$3:$D$48,'Gastos mensuales'!$F$3:$F$48,"&lt;="&amp;Modelo!C11,'Gastos mensuales'!$E$3:$E$48,"Mensual")+SUMIFS('Gastos mensuales'!$D$3:$D$48,'Gastos mensuales'!$F$3:$F$48,"="&amp;Modelo!C11,'Gastos mensuales'!$E$3:$E$48,"Mensual")</f>
        <v>142000</v>
      </c>
      <c r="D19" s="27">
        <f>SUMIFS('Gastos mensuales'!$D$3:$D$48,'Gastos mensuales'!$F$3:$F$48,"&lt;="&amp;Modelo!D11,'Gastos mensuales'!$E$3:$E$48,"Mensual")+SUMIFS('Gastos mensuales'!$D$3:$D$48,'Gastos mensuales'!$F$3:$F$48,"="&amp;Modelo!D11,'Gastos mensuales'!$E$3:$E$48,"Mensual")</f>
        <v>212000</v>
      </c>
      <c r="E19" s="27">
        <f>SUMIFS('Gastos mensuales'!$D$3:$D$48,'Gastos mensuales'!$F$3:$F$48,"&lt;="&amp;Modelo!E11,'Gastos mensuales'!$E$3:$E$48,"Mensual")+SUMIFS('Gastos mensuales'!$D$3:$D$48,'Gastos mensuales'!$F$3:$F$48,"="&amp;Modelo!E11,'Gastos mensuales'!$E$3:$E$48,"Mensual")</f>
        <v>187000</v>
      </c>
      <c r="F19" s="27">
        <f>SUMIFS('Gastos mensuales'!$D$3:$D$48,'Gastos mensuales'!$F$3:$F$48,"&lt;="&amp;Modelo!F11,'Gastos mensuales'!$E$3:$E$48,"Mensual")+SUMIFS('Gastos mensuales'!$D$3:$D$48,'Gastos mensuales'!$F$3:$F$48,"="&amp;Modelo!F11,'Gastos mensuales'!$E$3:$E$48,"Mensual")</f>
        <v>197000</v>
      </c>
      <c r="G19" s="27">
        <f>SUMIFS('Gastos mensuales'!$D$3:$D$48,'Gastos mensuales'!$F$3:$F$48,"&lt;="&amp;Modelo!G11,'Gastos mensuales'!$E$3:$E$48,"Mensual")+SUMIFS('Gastos mensuales'!$D$3:$D$48,'Gastos mensuales'!$F$3:$F$48,"="&amp;Modelo!G11,'Gastos mensuales'!$E$3:$E$48,"Mensual")</f>
        <v>183400</v>
      </c>
      <c r="H19" s="27">
        <f>SUMIFS('Gastos mensuales'!$D$3:$D$48,'Gastos mensuales'!$F$3:$F$48,"&lt;="&amp;Modelo!H11,'Gastos mensuales'!$E$3:$E$48,"Mensual")+SUMIFS('Gastos mensuales'!$D$3:$D$48,'Gastos mensuales'!$F$3:$F$48,"="&amp;Modelo!H11,'Gastos mensuales'!$E$3:$E$48,"Mensual")</f>
        <v>222700</v>
      </c>
      <c r="I19" s="27">
        <f>SUMIFS('Gastos mensuales'!$D$3:$D$48,'Gastos mensuales'!$F$3:$F$48,"&lt;="&amp;Modelo!I11,'Gastos mensuales'!$E$3:$E$48,"Mensual")+SUMIFS('Gastos mensuales'!$D$3:$D$48,'Gastos mensuales'!$F$3:$F$48,"="&amp;Modelo!I11,'Gastos mensuales'!$E$3:$E$48,"Mensual")</f>
        <v>222700</v>
      </c>
      <c r="J19" s="27">
        <f>SUMIFS('Gastos mensuales'!$D$3:$D$48,'Gastos mensuales'!$F$3:$F$48,"&lt;="&amp;Modelo!J11,'Gastos mensuales'!$E$3:$E$48,"Mensual")+SUMIFS('Gastos mensuales'!$D$3:$D$48,'Gastos mensuales'!$F$3:$F$48,"="&amp;Modelo!J11,'Gastos mensuales'!$E$3:$E$48,"Mensual")</f>
        <v>216700</v>
      </c>
      <c r="K19" s="27">
        <f>SUMIFS('Gastos mensuales'!$D$3:$D$48,'Gastos mensuales'!$F$3:$F$48,"&lt;="&amp;Modelo!K11,'Gastos mensuales'!$E$3:$E$48,"Mensual")+SUMIFS('Gastos mensuales'!$D$3:$D$48,'Gastos mensuales'!$F$3:$F$48,"="&amp;Modelo!K11,'Gastos mensuales'!$E$3:$E$48,"Mensual")</f>
        <v>214700</v>
      </c>
      <c r="L19" s="27">
        <f>SUMIFS('Gastos mensuales'!$D$3:$D$48,'Gastos mensuales'!$F$3:$F$48,"&lt;="&amp;Modelo!L11,'Gastos mensuales'!$E$3:$E$48,"Mensual")+SUMIFS('Gastos mensuales'!$D$3:$D$48,'Gastos mensuales'!$F$3:$F$48,"="&amp;Modelo!L11,'Gastos mensuales'!$E$3:$E$48,"Mensual")</f>
        <v>214700</v>
      </c>
      <c r="M19" s="27">
        <f>SUMIFS('Gastos mensuales'!$D$3:$D$48,'Gastos mensuales'!$F$3:$F$48,"&lt;="&amp;Modelo!M11,'Gastos mensuales'!$E$3:$E$48,"Mensual")+SUMIFS('Gastos mensuales'!$D$3:$D$48,'Gastos mensuales'!$F$3:$F$48,"="&amp;Modelo!M11,'Gastos mensuales'!$E$3:$E$48,"Mensual")</f>
        <v>214700</v>
      </c>
      <c r="N19" s="27">
        <f>SUMIFS('Gastos mensuales'!$D$3:$D$48,'Gastos mensuales'!$F$3:$F$48,"&lt;="&amp;Modelo!N11,'Gastos mensuales'!$E$3:$E$48,"Mensual")+SUMIFS('Gastos mensuales'!$D$3:$D$48,'Gastos mensuales'!$F$3:$F$48,"="&amp;Modelo!N11,'Gastos mensuales'!$E$3:$E$48,"Mensual")</f>
        <v>214700</v>
      </c>
      <c r="O19" s="27">
        <f>SUMIFS('Gastos mensuales'!$D$3:$D$48,'Gastos mensuales'!$F$3:$F$48,"&lt;="&amp;Modelo!O11,'Gastos mensuales'!$E$3:$E$48,"Mensual")+SUMIFS('Gastos mensuales'!$D$3:$D$48,'Gastos mensuales'!$F$3:$F$48,"="&amp;Modelo!O11,'Gastos mensuales'!$E$3:$E$48,"Mensual")</f>
        <v>214700</v>
      </c>
      <c r="P19" s="27">
        <f>SUMIFS('Gastos mensuales'!$D$3:$D$48,'Gastos mensuales'!$F$3:$F$48,"&lt;="&amp;Modelo!P11,'Gastos mensuales'!$E$3:$E$48,"Mensual")+SUMIFS('Gastos mensuales'!$D$3:$D$48,'Gastos mensuales'!$F$3:$F$48,"="&amp;Modelo!P11,'Gastos mensuales'!$E$3:$E$48,"Mensual")</f>
        <v>214700</v>
      </c>
      <c r="Q19" s="27">
        <f>SUMIFS('Gastos mensuales'!$D$3:$D$48,'Gastos mensuales'!$F$3:$F$48,"&lt;="&amp;Modelo!Q11,'Gastos mensuales'!$E$3:$E$48,"Mensual")+SUMIFS('Gastos mensuales'!$D$3:$D$48,'Gastos mensuales'!$F$3:$F$48,"="&amp;Modelo!Q11,'Gastos mensuales'!$E$3:$E$48,"Mensual")</f>
        <v>214700</v>
      </c>
      <c r="R19" s="27">
        <f>SUMIFS('Gastos mensuales'!$D$3:$D$48,'Gastos mensuales'!$F$3:$F$48,"&lt;="&amp;Modelo!R11,'Gastos mensuales'!$E$3:$E$48,"Mensual")+SUMIFS('Gastos mensuales'!$D$3:$D$48,'Gastos mensuales'!$F$3:$F$48,"="&amp;Modelo!R11,'Gastos mensuales'!$E$3:$E$48,"Mensual")</f>
        <v>214700</v>
      </c>
      <c r="S19" s="27">
        <f>SUMIFS('Gastos mensuales'!$D$3:$D$48,'Gastos mensuales'!$F$3:$F$48,"&lt;="&amp;Modelo!S11,'Gastos mensuales'!$E$3:$E$48,"Mensual")+SUMIFS('Gastos mensuales'!$D$3:$D$48,'Gastos mensuales'!$F$3:$F$48,"="&amp;Modelo!S11,'Gastos mensuales'!$E$3:$E$48,"Mensual")</f>
        <v>214700</v>
      </c>
      <c r="T19" s="27">
        <f>SUMIFS('Gastos mensuales'!$D$3:$D$48,'Gastos mensuales'!$F$3:$F$48,"&lt;="&amp;Modelo!T11,'Gastos mensuales'!$E$3:$E$48,"Mensual")+SUMIFS('Gastos mensuales'!$D$3:$D$48,'Gastos mensuales'!$F$3:$F$48,"="&amp;Modelo!T11,'Gastos mensuales'!$E$3:$E$48,"Mensual")</f>
        <v>214700</v>
      </c>
      <c r="U19" s="27">
        <f>SUMIFS('Gastos mensuales'!$D$3:$D$48,'Gastos mensuales'!$F$3:$F$48,"&lt;="&amp;Modelo!U11,'Gastos mensuales'!$E$3:$E$48,"Mensual")+SUMIFS('Gastos mensuales'!$D$3:$D$48,'Gastos mensuales'!$F$3:$F$48,"="&amp;Modelo!U11,'Gastos mensuales'!$E$3:$E$48,"Mensual")</f>
        <v>214700</v>
      </c>
      <c r="V19" s="27">
        <f>SUMIFS('Gastos mensuales'!$D$3:$D$48,'Gastos mensuales'!$F$3:$F$48,"&lt;="&amp;Modelo!V11,'Gastos mensuales'!$E$3:$E$48,"Mensual")+SUMIFS('Gastos mensuales'!$D$3:$D$48,'Gastos mensuales'!$F$3:$F$48,"="&amp;Modelo!V11,'Gastos mensuales'!$E$3:$E$48,"Mensual")</f>
        <v>214700</v>
      </c>
      <c r="W19" s="27">
        <f>SUMIFS('Gastos mensuales'!$D$3:$D$48,'Gastos mensuales'!$F$3:$F$48,"&lt;="&amp;Modelo!W11,'Gastos mensuales'!$E$3:$E$48,"Mensual")+SUMIFS('Gastos mensuales'!$D$3:$D$48,'Gastos mensuales'!$F$3:$F$48,"="&amp;Modelo!W11,'Gastos mensuales'!$E$3:$E$48,"Mensual")</f>
        <v>214700</v>
      </c>
      <c r="X19" s="27">
        <f>SUMIFS('Gastos mensuales'!$D$3:$D$48,'Gastos mensuales'!$F$3:$F$48,"&lt;="&amp;Modelo!X11,'Gastos mensuales'!$E$3:$E$48,"Mensual")+SUMIFS('Gastos mensuales'!$D$3:$D$48,'Gastos mensuales'!$F$3:$F$48,"="&amp;Modelo!X11,'Gastos mensuales'!$E$3:$E$48,"Mensual")</f>
        <v>214700</v>
      </c>
      <c r="Y19" s="27">
        <f>SUMIFS('Gastos mensuales'!$D$3:$D$48,'Gastos mensuales'!$F$3:$F$48,"&lt;="&amp;Modelo!Y11,'Gastos mensuales'!$E$3:$E$48,"Mensual")+SUMIFS('Gastos mensuales'!$D$3:$D$48,'Gastos mensuales'!$F$3:$F$48,"="&amp;Modelo!Y11,'Gastos mensuales'!$E$3:$E$48,"Mensual")</f>
        <v>214700</v>
      </c>
      <c r="Z19" s="27">
        <f t="shared" si="9"/>
        <v>5018700</v>
      </c>
    </row>
    <row r="20">
      <c r="A20" s="16" t="s">
        <v>40</v>
      </c>
      <c r="B20" s="27">
        <f>'Gastos mensuales'!$D$9*B13/$B$7</f>
        <v>2000</v>
      </c>
      <c r="C20" s="27">
        <f>'Gastos mensuales'!$D$9*C13/$B$7</f>
        <v>4000</v>
      </c>
      <c r="D20" s="27">
        <f>'Gastos mensuales'!$D$9*D13/$B$7</f>
        <v>6000</v>
      </c>
      <c r="E20" s="27">
        <f>'Gastos mensuales'!$D$9*E13/$B$7</f>
        <v>8000</v>
      </c>
      <c r="F20" s="27">
        <f>'Gastos mensuales'!$D$9*F13/$B$7</f>
        <v>12000</v>
      </c>
      <c r="G20" s="27">
        <f>'Gastos mensuales'!$D$9*G13/$B$7</f>
        <v>15000</v>
      </c>
      <c r="H20" s="27">
        <f>'Gastos mensuales'!$D$9*H13/$B$7</f>
        <v>17600</v>
      </c>
      <c r="I20" s="27">
        <f>'Gastos mensuales'!$D$9*I13/$B$7</f>
        <v>19600</v>
      </c>
      <c r="J20" s="27">
        <f>'Gastos mensuales'!$D$9*J13/$B$7</f>
        <v>21600</v>
      </c>
      <c r="K20" s="27">
        <f>'Gastos mensuales'!$D$9*K13/$B$7</f>
        <v>23600</v>
      </c>
      <c r="L20" s="27">
        <f>'Gastos mensuales'!$D$9*L13/$B$7</f>
        <v>25600</v>
      </c>
      <c r="M20" s="27">
        <f>'Gastos mensuales'!$D$9*M13/$B$7</f>
        <v>27600</v>
      </c>
      <c r="N20" s="27">
        <f>'Gastos mensuales'!$D$9*N13/$B$7</f>
        <v>29600</v>
      </c>
      <c r="O20" s="27">
        <f>'Gastos mensuales'!$D$9*O13/$B$7</f>
        <v>31600</v>
      </c>
      <c r="P20" s="27">
        <f>'Gastos mensuales'!$D$9*P13/$B$7</f>
        <v>33600</v>
      </c>
      <c r="Q20" s="27">
        <f>'Gastos mensuales'!$D$9*Q13/$B$7</f>
        <v>35600</v>
      </c>
      <c r="R20" s="27">
        <f>'Gastos mensuales'!$D$9*R13/$B$7</f>
        <v>40000</v>
      </c>
      <c r="S20" s="27">
        <f>'Gastos mensuales'!$D$9*S13/$B$7</f>
        <v>43200</v>
      </c>
      <c r="T20" s="27">
        <f>'Gastos mensuales'!$D$9*T13/$B$7</f>
        <v>45600</v>
      </c>
      <c r="U20" s="27">
        <f>'Gastos mensuales'!$D$9*U13/$B$7</f>
        <v>47600</v>
      </c>
      <c r="V20" s="27">
        <f>'Gastos mensuales'!$D$9*V13/$B$7</f>
        <v>49600</v>
      </c>
      <c r="W20" s="27">
        <f>'Gastos mensuales'!$D$9*W13/$B$7</f>
        <v>51600</v>
      </c>
      <c r="X20" s="27">
        <f>'Gastos mensuales'!$D$9*X13/$B$7</f>
        <v>53600</v>
      </c>
      <c r="Y20" s="27">
        <f>'Gastos mensuales'!$D$9*Y13/$B$7</f>
        <v>55600</v>
      </c>
      <c r="Z20" s="27">
        <f t="shared" si="9"/>
        <v>699800</v>
      </c>
    </row>
    <row r="21" ht="15.75" customHeight="1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7"/>
    </row>
    <row r="22" ht="15.75" customHeight="1">
      <c r="A22" s="16" t="s">
        <v>41</v>
      </c>
      <c r="B22" s="27">
        <f t="shared" ref="B22:Y22" si="10">B14+B15</f>
        <v>20000</v>
      </c>
      <c r="C22" s="27">
        <f t="shared" si="10"/>
        <v>40000</v>
      </c>
      <c r="D22" s="27">
        <f t="shared" si="10"/>
        <v>60000</v>
      </c>
      <c r="E22" s="27">
        <f t="shared" si="10"/>
        <v>80000</v>
      </c>
      <c r="F22" s="27">
        <f t="shared" si="10"/>
        <v>120000</v>
      </c>
      <c r="G22" s="27">
        <f t="shared" si="10"/>
        <v>150000</v>
      </c>
      <c r="H22" s="27">
        <f t="shared" si="10"/>
        <v>176000</v>
      </c>
      <c r="I22" s="27">
        <f t="shared" si="10"/>
        <v>196000</v>
      </c>
      <c r="J22" s="27">
        <f t="shared" si="10"/>
        <v>216000</v>
      </c>
      <c r="K22" s="27">
        <f t="shared" si="10"/>
        <v>236000</v>
      </c>
      <c r="L22" s="27">
        <f t="shared" si="10"/>
        <v>256000</v>
      </c>
      <c r="M22" s="27">
        <f t="shared" si="10"/>
        <v>276000</v>
      </c>
      <c r="N22" s="27">
        <f t="shared" si="10"/>
        <v>296000</v>
      </c>
      <c r="O22" s="27">
        <f t="shared" si="10"/>
        <v>316000</v>
      </c>
      <c r="P22" s="27">
        <f t="shared" si="10"/>
        <v>336000</v>
      </c>
      <c r="Q22" s="27">
        <f t="shared" si="10"/>
        <v>356000</v>
      </c>
      <c r="R22" s="27">
        <f t="shared" si="10"/>
        <v>400000</v>
      </c>
      <c r="S22" s="27">
        <f t="shared" si="10"/>
        <v>432000</v>
      </c>
      <c r="T22" s="27">
        <f t="shared" si="10"/>
        <v>456000</v>
      </c>
      <c r="U22" s="27">
        <f t="shared" si="10"/>
        <v>476000</v>
      </c>
      <c r="V22" s="27">
        <f t="shared" si="10"/>
        <v>496000</v>
      </c>
      <c r="W22" s="27">
        <f t="shared" si="10"/>
        <v>516000</v>
      </c>
      <c r="X22" s="27">
        <f t="shared" si="10"/>
        <v>536000</v>
      </c>
      <c r="Y22" s="27">
        <f t="shared" si="10"/>
        <v>556000</v>
      </c>
      <c r="Z22" s="27">
        <f t="shared" ref="Z22:Z23" si="12">SUM(B22:Y22)</f>
        <v>6998000</v>
      </c>
    </row>
    <row r="23" ht="15.75" customHeight="1">
      <c r="A23" s="16" t="s">
        <v>42</v>
      </c>
      <c r="B23" s="27">
        <f t="shared" ref="B23:Y23" si="11">B17+B18+B19</f>
        <v>216700</v>
      </c>
      <c r="C23" s="27">
        <f t="shared" si="11"/>
        <v>146000</v>
      </c>
      <c r="D23" s="27">
        <f t="shared" si="11"/>
        <v>218000</v>
      </c>
      <c r="E23" s="27">
        <f t="shared" si="11"/>
        <v>195000</v>
      </c>
      <c r="F23" s="27">
        <f t="shared" si="11"/>
        <v>209000</v>
      </c>
      <c r="G23" s="27">
        <f t="shared" si="11"/>
        <v>198400</v>
      </c>
      <c r="H23" s="27">
        <f t="shared" si="11"/>
        <v>240300</v>
      </c>
      <c r="I23" s="27">
        <f t="shared" si="11"/>
        <v>242300</v>
      </c>
      <c r="J23" s="27">
        <f t="shared" si="11"/>
        <v>238300</v>
      </c>
      <c r="K23" s="27">
        <f t="shared" si="11"/>
        <v>238300</v>
      </c>
      <c r="L23" s="27">
        <f t="shared" si="11"/>
        <v>240300</v>
      </c>
      <c r="M23" s="27">
        <f t="shared" si="11"/>
        <v>242300</v>
      </c>
      <c r="N23" s="27">
        <f t="shared" si="11"/>
        <v>244300</v>
      </c>
      <c r="O23" s="27">
        <f t="shared" si="11"/>
        <v>246300</v>
      </c>
      <c r="P23" s="27">
        <f t="shared" si="11"/>
        <v>248300</v>
      </c>
      <c r="Q23" s="27">
        <f t="shared" si="11"/>
        <v>250300</v>
      </c>
      <c r="R23" s="27">
        <f t="shared" si="11"/>
        <v>254700</v>
      </c>
      <c r="S23" s="27">
        <f t="shared" si="11"/>
        <v>257900</v>
      </c>
      <c r="T23" s="27">
        <f t="shared" si="11"/>
        <v>260300</v>
      </c>
      <c r="U23" s="27">
        <f t="shared" si="11"/>
        <v>262300</v>
      </c>
      <c r="V23" s="27">
        <f t="shared" si="11"/>
        <v>264300</v>
      </c>
      <c r="W23" s="27">
        <f t="shared" si="11"/>
        <v>266300</v>
      </c>
      <c r="X23" s="27">
        <f t="shared" si="11"/>
        <v>268300</v>
      </c>
      <c r="Y23" s="27">
        <f t="shared" si="11"/>
        <v>270300</v>
      </c>
      <c r="Z23" s="27">
        <f t="shared" si="12"/>
        <v>5718500</v>
      </c>
    </row>
    <row r="24" ht="15.75" customHeight="1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7"/>
    </row>
    <row r="25" ht="15.75" customHeight="1">
      <c r="A25" s="16" t="s">
        <v>18</v>
      </c>
      <c r="B25" s="35">
        <f t="shared" ref="B25:AA25" si="13">B22-B23</f>
        <v>-196700</v>
      </c>
      <c r="C25" s="35">
        <f t="shared" si="13"/>
        <v>-106000</v>
      </c>
      <c r="D25" s="35">
        <f t="shared" si="13"/>
        <v>-158000</v>
      </c>
      <c r="E25" s="35">
        <f t="shared" si="13"/>
        <v>-115000</v>
      </c>
      <c r="F25" s="35">
        <f t="shared" si="13"/>
        <v>-89000</v>
      </c>
      <c r="G25" s="35">
        <f t="shared" si="13"/>
        <v>-48400</v>
      </c>
      <c r="H25" s="35">
        <f t="shared" si="13"/>
        <v>-64300</v>
      </c>
      <c r="I25" s="35">
        <f t="shared" si="13"/>
        <v>-46300</v>
      </c>
      <c r="J25" s="35">
        <f t="shared" si="13"/>
        <v>-22300</v>
      </c>
      <c r="K25" s="35">
        <f t="shared" si="13"/>
        <v>-2300</v>
      </c>
      <c r="L25" s="36">
        <f t="shared" si="13"/>
        <v>15700</v>
      </c>
      <c r="M25" s="36">
        <f t="shared" si="13"/>
        <v>33700</v>
      </c>
      <c r="N25" s="36">
        <f t="shared" si="13"/>
        <v>51700</v>
      </c>
      <c r="O25" s="36">
        <f t="shared" si="13"/>
        <v>69700</v>
      </c>
      <c r="P25" s="36">
        <f t="shared" si="13"/>
        <v>87700</v>
      </c>
      <c r="Q25" s="36">
        <f t="shared" si="13"/>
        <v>105700</v>
      </c>
      <c r="R25" s="36">
        <f t="shared" si="13"/>
        <v>145300</v>
      </c>
      <c r="S25" s="36">
        <f t="shared" si="13"/>
        <v>174100</v>
      </c>
      <c r="T25" s="36">
        <f t="shared" si="13"/>
        <v>195700</v>
      </c>
      <c r="U25" s="36">
        <f t="shared" si="13"/>
        <v>213700</v>
      </c>
      <c r="V25" s="36">
        <f t="shared" si="13"/>
        <v>231700</v>
      </c>
      <c r="W25" s="36">
        <f t="shared" si="13"/>
        <v>249700</v>
      </c>
      <c r="X25" s="36">
        <f t="shared" si="13"/>
        <v>267700</v>
      </c>
      <c r="Y25" s="36">
        <f t="shared" si="13"/>
        <v>285700</v>
      </c>
      <c r="Z25" s="36">
        <f t="shared" si="13"/>
        <v>1279500</v>
      </c>
      <c r="AA25" s="36">
        <f t="shared" si="13"/>
        <v>0</v>
      </c>
    </row>
    <row r="26" ht="15.75" customHeight="1"/>
    <row r="27" ht="15.75" customHeight="1">
      <c r="B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:F1"/>
    <mergeCell ref="D2:E2"/>
    <mergeCell ref="D3:E3"/>
    <mergeCell ref="D4:E4"/>
    <mergeCell ref="A10:Z10"/>
    <mergeCell ref="B27:F34"/>
  </mergeCells>
  <printOptions/>
  <pageMargins bottom="0.75" footer="0.0" header="0.0" left="0.7" right="0.7" top="0.75"/>
  <pageSetup paperSize="9" orientation="portrait"/>
  <drawing r:id="rId1"/>
</worksheet>
</file>