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DIP-64-BOM" sheetId="1" r:id="rId1"/>
  </sheets>
  <definedNames>
    <definedName name="BoardQty" localSheetId="0">'reDIP-64-BOM'!$J$1</definedName>
    <definedName name="PURCHASE_DESCRIPTION" localSheetId="0">'reDIP-64-BOM'!$J$62</definedName>
    <definedName name="TotalCost" localSheetId="0">'reDIP-64-BOM'!$J$3</definedName>
    <definedName name="USD_GBP" localSheetId="0">'reDIP-64-BOM'!$C$62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P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B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H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L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M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N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O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P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Q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R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S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T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Z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S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$0.12      $1.24
    50   $0.07      $3.71
   100   $0.06      $6.27
   500   $0.04     $21.45
  1000   $0.04     $37.95
  2500   $0.04     $90.75
  5000   $0.03    $165.00
 15000   $0.03    $445.50
 30000   $0.03    $841.50
 75000   $0.03  $1,980.00
150000   $0.02  $3,292.50</t>
        </r>
      </text>
    </comment>
    <comment ref="AE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$0.04      $0.44
   100   $0.04      $3.67
   300   $0.03      $9.33
  1000   $0.03     $26.40
  5000   $0.03    $128.50
 10000   $0.03    $253.00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$0.21      $0.21
    10   $0.14      $1.42
    50   $0.14      $7.10
   100   $0.07      $7.20
  1000   $0.04     $44.00
 10000   $0.03    $300.00</t>
        </r>
      </text>
    </comment>
    <comment ref="M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$54.00</t>
        </r>
      </text>
    </comment>
    <comment ref="S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$0.20
    50   $0.01      $0.55
   100   $0.01      $0.90
   500   $0.01      $3.21
  1000   $0.01      $5.05
  2500   $0.00     $11.48
  5000   $0.00     $21.15
 15000   $0.00     $55.05
 30000   $0.00    $104.70
 75000   $0.00    $234.00
150000   $0.00    $366.00</t>
        </r>
      </text>
    </comment>
    <comment ref="Y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£0.40
   100   £0.04      £3.91
   500   £0.04     £19.20
  2500   £0.04     £93.75
  7500   £0.04    £275.25
 15000   £0.04    £540.00
 75000   £0.04  £2,647.50</t>
        </r>
      </text>
    </comment>
    <comment ref="AE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$0.20
  1000   $0.00      $1.60
  3000   $0.00      $3.90
 10000   $0.00     $11.00
 50000   $0.00     $55.00
100000   $0.00    $110.00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$0.01      $0.11
    50   $0.01      $0.55
   100   $0.01      $0.90
  1000   $0.01      $6.00
 10000   $0.01     $50.00</t>
        </r>
      </text>
    </comment>
    <comment ref="AQ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$0.04      $0.37
    25   $0.03      $0.75
    50   $0.02      $1.20
   100   $0.02      $1.70
   250   $0.01      $3.75
   500   $0.01      $6.00
  1000   $0.01     $10.00
 15000   $0.00     $45.00</t>
        </r>
      </text>
    </comment>
    <comment ref="BC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£0.97
  1000   £0.01      £6.32
 15000   £0.00     £39.30</t>
        </r>
      </text>
    </comment>
    <comment ref="M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$100.50</t>
        </r>
      </text>
    </comment>
    <comment ref="S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$0.33
    50   $0.02      $0.89
   100   $0.01      $1.46
   500   $0.01      $5.20
  1000   $0.01      $8.17
  2500   $0.01     $18.55
  5000   $0.01     $34.15
 15000   $0.01     $89.10
 30000   $0.01    $169.20
 75000   $0.01    $378.75
105000   $0.00    $428.40
150000   $0.00    $592.50
375000   $0.00  $1,391.25</t>
        </r>
      </text>
    </comment>
    <comment ref="Y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100   £0.01      £1.14
   500   £0.01      £3.65
  2500   £0.01     £13.00
  7500   £0.01     £38.25
 15000   £0.01     £81.00
 75000   £0.00    £352.50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$0.43
  1000   $0.00      $3.60
  3000   $0.00      $9.30
 10000   $0.00     $19.00
 50000   $0.00     $95.00
100000   $0.00    $190.00</t>
        </r>
      </text>
    </comment>
    <comment ref="AK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50   $0.03      $1.70
   100   $0.01      $1.50
  1000   $0.01      $9.00
 10000   $0.01     $70.00</t>
        </r>
      </text>
    </comment>
    <comment ref="AQ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$0.04      $0.41
    25   $0.03      $0.83
    50   $0.03      $1.30
   100   $0.02      $1.80
 15000   $0.01    $120.00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£7.00
  5000   £0.01     £30.00
 10000   £0.01     £60.00
 15000   £0.00     £60.00
 60000   £0.00    £240.00</t>
        </r>
      </text>
    </comment>
    <comment ref="Q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$0.08      $0.82
    50   $0.04      $2.24
   100   $0.04      $3.67
   500   $0.03     $13.09
  1000   $0.02     $20.57
  2500   $0.02     $46.75
  5000   $0.02     $86.00
 40000   $0.01    $568.40
 80000   $0.01  $1,017.60
120000   $0.01  $1,234.80
200000   $0.01  $1,990.00
400000   $0.01  $3,740.00</t>
        </r>
      </text>
    </comment>
    <comment ref="W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40000   £0.01    £480.00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$0.09      $0.86
    50   $0.09      $4.30
   100   $0.04      $3.90
  1000   $0.02     $22.00
 10000   $0.02    $160.00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$0.18      $1.78
    25   $0.18      $4.42
   100   $0.09      $9.29
   250   $0.09     $23.00
   500   $0.06     $32.20
  1000   $0.06     $57.10
  3000   $0.05    $155.40
  6000   $0.05    $303.60
 15000   $0.04    $535.50
 30000   $0.04  $1,062.00</t>
        </r>
      </text>
    </comment>
    <comment ref="S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</t>
        </r>
      </text>
    </comment>
    <comment ref="Y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£0.15      £1.51
   100   £0.08      £7.70
   500   £0.05     £26.00
  2500   £0.05    £125.00
  5000   £0.05    £235.00
 10000   £0.04    £377.00
 50000   £0.04  £1,845.00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$10.56
  1000   $0.02     $24.10
  5000   $0.02    $117.50
 10000   $0.02    $231.00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$0.30      $0.30
    10   $0.20      $1.97
    50   $0.20      $9.85
   100   $0.10     $10.00
  1000   $0.07     $67.00
 10000   $0.05    $500.00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$0.05      $0.05
    10   $0.20      $1.97
    25   $0.17      $4.12
    50   $0.13      $6.60
   100   $0.10     $10.00
 10000   $0.05    $500.00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$0.18      $1.83
    25   $0.11      $2.81
   100   $0.09      $9.46
   250   $0.09     $23.40
   500   $0.09     $46.20
  1000   $0.08     $80.10
  3000   $0.05    $160.20
  6000   $0.05    $319.20</t>
        </r>
      </text>
    </comment>
    <comment ref="S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
250000   $0.03  $7,907.50</t>
        </r>
      </text>
    </comment>
    <comment ref="Y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£0.88
   100   £0.07      £7.50
   500   £0.05     £23.00
  2500   £0.04    £107.50
  5000   £0.04    £200.00
 10000   £0.03    £340.00
 50000   £0.03  £1,665.00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$0.48
   100   $0.04      $3.90
   300   $0.03      $9.66
  1000   $0.03     $26.10
  5000   $0.03    $125.50
 10000   $0.02    $247.00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$0.11      $1.14
    50   $0.11      $5.70
   100   $0.10      $9.70
  1000   $0.06     $59.00
 10000   $0.05    $480.00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$0.14      $1.37
    25   $0.13      $3.25
    50   $0.12      $6.15
   100   $0.12     $11.60</t>
        </r>
      </text>
    </comment>
    <comment ref="M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$0.20      $1.98
    25   $0.17      $4.19
   100   $0.12     $12.25
   250   $0.11     $28.60
   500   $0.11     $56.60
  1000   $0.11    $112.10
  3000   $0.06    $187.20
  6000   $0.06    $343.20
 15000   $0.05    $792.00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$0.15      $1.48
    50   $0.09      $4.43
   100   $0.07      $7.48
   500   $0.05     $25.60
  1000   $0.05     $45.29
  4000   $0.04    $157.52
  8000   $0.04    $299.28
 12000   $0.04    $425.28
 28000   $0.03    $937.16
100000   $0.03  $2,658.00</t>
        </r>
      </text>
    </comment>
    <comment ref="Y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£0.11      £1.08
   100   £0.09      £9.20
   500   £0.07     £32.50
  1000   £0.06     £57.00
  2000   £0.05    £104.00
  4000   £0.05    £188.00
 20000   £0.05    £922.00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$0.06      $0.60
   100   $0.05      $5.11
   300   $0.04     $13.32
  1000   $0.03     $25.40
  5000   $0.02    $123.50
 10000   $0.02    $245.00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$0.15      $1.54
    50   $0.15      $7.70
   100   $0.12     $11.80
  1000   $0.07     $72.00
 10000   $0.06    $580.00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$0.18      $1.85
    25   $0.17      $4.25
    50   $0.16      $7.80
   100   $0.14     $14.20</t>
        </r>
      </text>
    </comment>
    <comment ref="Q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$0.02    $157.10</t>
        </r>
      </text>
    </comment>
    <comment ref="W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10000   £0.02    £160.00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10   $0.10      $0.97
    50   $0.10      $4.85
   100   $0.05      $4.60
  1000   $0.03     $27.00
 10000   $0.02    $200.00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$0.44      $0.44
    10   $0.31      $3.07
    50   $0.31     $15.35
   100   $0.18     $18.50
  1000   $0.12    $117.00
 10000   $0.09    $850.00</t>
        </r>
      </text>
    </comment>
    <comment ref="Q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100   $0.21     $20.56
   500   $0.15     $77.08
  1000   $0.12    $115.62
  2000   $0.11    $212.10
  8000   $0.11    $848.40</t>
        </r>
      </text>
    </comment>
    <comment ref="W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£0.44      £2.18
    10   £0.35      £3.50
   100   £0.21     £21.20
   500   £0.10     £52.00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 50   $0.30     $15.10
   100   $0.21     $20.60
  1000   $0.12    $116.00
 10000   $0.10    $960.00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 5   $0.36      $1.80
    10   $0.30      $2.96
   100   $0.18     $17.60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$0.49      $0.49
    10   $0.43      $4.32
    25   $0.43     $10.70
   100   $0.32     $31.71
   250   $0.31     $78.62
   500   $0.21    $104.45
  1000   $0.19    $190.30
  3000   $0.16    $483.30
  6000   $0.16    $957.00</t>
        </r>
      </text>
    </comment>
    <comment ref="S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$4.74
   100   $0.35     $35.42
   500   $0.28    $139.15
  1000   $0.22    $215.05
  3000   $0.20    $588.21
  6000   $0.19  $1,138.50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$0.22      $2.16
    30   $0.18      $5.44
   100   $0.15     $15.27
   500   $0.15     $73.90
  1000   $0.15    $145.40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$4.75
    50   $0.47     $23.75
   100   $0.35     $35.50
  1000   $0.22    $216.00
 10000   $0.18  $1,790.00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$0.17  $2,625.00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£0.38      £7.52
    40   £0.32     £12.92
   100   £0.28     £27.90
   500   £0.23    £114.50
  1000   £0.18    £179.00
  3000   £0.16    £468.00
  6000   £0.15    £888.00
  9000   £0.14  £1,260.00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10   $0.32      $3.17
    25   $0.31      $7.78
   100   $0.18     $18.02
   250   $0.17     $43.40
   500   $0.13     $66.20
  1000   $0.10    $102.50</t>
        </r>
      </text>
    </comment>
    <comment ref="S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$3.52
   100   $0.22     $21.94
   500   $0.15     $75.08
  1000   $0.12    $115.50
  2000   $0.10    $207.90
  5000   $0.10    $490.90
 10000   $0.09    $895.10
 25000   $0.09  $2,192.00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$3.53
    50   $0.35     $17.65
   100   $0.22     $22.00
  1000   $0.12    $116.00
 10000   $0.09    $890.00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$0.41      $2.07
    10   $0.32      $3.20
    25   $0.27      $6.65
    50   $0.22     $11.15
   100   $0.19     $18.70
   250   $0.16     $39.75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£0.31     £15.60
   100   £0.25     £24.90
   500   £0.21    £104.00
  1000   £0.18    £178.00
  2500   £0.17    £415.00
  5000   £0.09    £435.00</t>
        </r>
      </text>
    </comment>
    <comment ref="S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$31.45
  1000   $0.24    $242.82
  2000   $0.22    $438.84
  6000   $0.21  $1,242.00</t>
        </r>
      </text>
    </comment>
    <comment ref="W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£0.68      £0.68
    10   £0.45      £4.51
   100   £0.35     £34.70
   500   £0.30    £149.50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 50   $0.48     $23.80
   100   $0.32     $31.50
  1000   $0.24    $243.00
 10000   $0.20  $2,000.00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$31.40
   500   $0.28    $139.00
  1000   $0.24    $242.00
 10000   $0.24  $2,420.00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£0.65      £0.65
     5   £0.29      £1.44
    25   £0.22      £5.50
   100   £0.18     £18.15
   500   £0.17     £82.75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$0.09      $0.87
    25   $0.08      $1.98
    50   $0.07      $3.56
   100   $0.05      $5.23
   250   $0.04      $9.50
   500   $0.03     $17.42
  1000   $0.03     $30.10
  4000   $0.03    $101.40
  8000   $0.02    $183.76
 12000   $0.02    $266.16
 28000   $0.02    $576.52
100000   $0.02  $2,035.00</t>
        </r>
      </text>
    </comment>
    <comment ref="W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250   £0.03      £6.25
   500   £0.03     £12.50
  1000   £0.02     £19.00
  5000   £0.02     £93.00
 10000   £0.02    £182.00
 20000   £0.02    £358.00
100000   £0.02  £1,750.00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$0.85
   500   $0.01      $7.15
  1500   $0.01     $18.45
  5000   $0.01     $40.00
 25000   $0.01    $195.00
 50000   $0.01    $385.00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50   $0.06      $2.85
   100   $0.04      $3.50
  1000   $0.03     $28.00
 10000   $0.03    $250.00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25   $0.05      $1.25
    50   $0.04      $2.10
   100   $0.04      $3.50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£0.03      £2.50
  1000   £0.02     £21.00
  2000   £0.02     £38.00
  5000   £0.02     £80.00
 10000   £0.01    £150.00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£2.77
   250   £0.04      £9.67
  1000   £0.03     £30.13
  4000   £0.02     £99.68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$1.22      $1.22
    10   $1.03     $10.29
    25   $0.99     $24.68
    50   $0.97     $48.30
   100   $0.92     $92.40
   250   $0.84    $210.00
   900   $0.73    $661.50
  1800   $0.63  $1,134.00
  2700   $0.61  $1,644.30
  6300   $0.59  $3,704.40
  9000   $0.56  $5,040.00</t>
        </r>
      </text>
    </comment>
    <comment ref="W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£0.74      £0.74
    10   £0.67      £6.69
   100   £0.62     £62.40
   500   £0.58    £290.50
   900   £0.74    £669.60
  1000   £0.58    £579.00
  2500   £0.56  £1,405.00
  4500   £0.67  £3,033.00
  9000   £0.63  £5,652.00
 18000   £0.59 £10,548.00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$1.17      $1.17
    10   $0.94      $9.39
    50   $0.94     $46.95
   100   $0.88     $87.90
  1000   $0.64    $640.00
 10000   $0.53  $5,310.00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$1.40      $1.40
    10   $0.67      $6.67
    25   $0.62     $15.40
    50   $0.62     $30.80
   100   $1.10    $110.00
   250   $1.00    $250.00
   500   $0.92    $458.00
   900   $0.92    $824.40
  1000   $0.85    $852.00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$3.03      $3.03
    10   $2.91     $29.10
    25   $2.67     $66.75
    50   $2.55    $127.50
   100   $2.43    $243.00
   250   $2.12    $530.00
   500   $2.06  $1,030.00
  1000   $1.76  $1,760.00
  2500   $1.64  $4,100.00</t>
        </r>
      </text>
    </comment>
    <comment ref="S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$3.48      $3.48
    12   $3.16     $37.97
    36   $3.00    $107.88
    48   $2.93    $140.50
    84   $2.79    $234.16
   240   $2.44    $585.40
   444   $2.37  $1,052.04
   948   $2.02  $1,915.92
  2400   $1.88  $4,515.91</t>
        </r>
      </text>
    </comment>
    <comment ref="S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$0.27      $2.71
    25   $0.23      $5.81
    50   $0.20      $9.87
   100   $0.19     $18.96
   250   $0.17     $42.57
   500   $0.16     $81.27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$0.90      $0.90
    10   $0.79      $7.89
    25   $0.74     $18.58
    50   $0.71     $35.60
   100   $0.68     $68.11
   250   $0.62    $154.80
   500   $0.56    $278.64</t>
        </r>
      </text>
    </comment>
    <comment ref="S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$0.48      $0.48
    10   $0.42      $4.17
   100   $0.34     $34.36
   500   $0.30    $149.40
  1000   $0.25    $246.51
  5000   $0.22  $1,083.15
 10000   $0.22  $2,158.00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$0.40      $3.96
    25   $0.35      $8.67
    50   $0.30     $14.87
   100   $0.27     $27.26
   250   $0.25     $61.94
   500   $0.23    $116.45
  1000   $0.18    $178.40
  4000   $0.17    $673.96</t>
        </r>
      </text>
    </comment>
    <comment ref="Y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£0.37      £0.37
    25   £0.24      £6.08
    50   £0.22     £11.10
   100   £0.20     £20.20
   250   £0.20     £48.75
   500   £0.19     £93.50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$2.98
    50   $0.30     $14.90
   100   $0.25     $24.80
  1000   $0.18    $179.00
 10000   $0.16  $1,580.00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25   $0.30      $7.45
    50   $0.27     $13.65
   100   $0.25     $24.80
   250   $0.24     $59.75
   500   $0.23    $114.50
  4000   $0.16    $644.00
  8000   $0.16  $1,264.00
 16000   $0.16  $2,512.00</t>
        </r>
      </text>
    </comment>
    <comment ref="S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$0.36      $3.57
    25   $0.31      $7.80
    50   $0.27     $13.37
   100   $0.25     $24.51
   250   $0.22     $55.72
   500   $0.21    $104.75
  1000   $0.16    $160.46
  4000   $0.15    $606.20
  8000   $0.14  $1,141.04</t>
        </r>
      </text>
    </comment>
    <comment ref="Y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25   £0.22      £5.47
    50   £0.20     £10.05
   100   £0.18     £18.10
   250   £0.18     £44.25
   500   £0.17     £85.50
  4000   £0.12    £488.00
  8000   £0.12    £968.00
 16000   £0.12  £1,920.00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$0.27      $2.68
    50   $0.27     $13.40
   100   $0.22     $22.30
  1000   $0.16    $161.00
 10000   $0.14  $1,420.00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25   $0.27      $6.70
    50   $0.25     $12.30
   100   $0.22     $22.30
   250   $0.22     $54.25
   500   $0.21    $105.00
  4000   $0.15    $588.00
  8000   $0.14  $1,136.00
 16000   $0.14  $2,256.00</t>
        </r>
      </text>
    </comment>
    <comment ref="Q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$0.04    $353.20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$0.22      $2.23
    50   $0.22     $11.15
   100   $0.12     $11.90
  1000   $0.05     $53.00
 10000   $0.04    $350.00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10000   $0.06    $560.00
 20000   $0.05    $980.00
 40000   $0.04  $1,680.00
 60000   $0.03  $2,040.00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$0.03      $0.25
    25   $0.03      $0.63
   100   $0.01      $1.03
   250   $0.01      $2.55
   500   $0.01      $5.00
  1000   $0.01      $5.30
  3000   $0.01     $15.60
  6000   $0.00     $25.20
 15000   $0.00     $49.50
 30000   $0.00     $96.00</t>
        </r>
      </text>
    </comment>
    <comment ref="S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£0.01     £75.00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$0.97
   500   $0.02      $7.85
  1500   $0.01     $19.65
  5000   $0.01     $54.50
 25000   $0.01    $262.50
 50000   $0.01    $520.00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$0.02      $0.24
    25   $0.02      $0.59
   100   $0.01      $1.03
   250   $0.01      $2.55
   500   $0.01      $5.00
  1000   $0.01      $6.00
  3000   $0.00      $8.40
 15000   $0.00     $40.50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£0.00      £4.00
 15000   £0.00     £60.00</t>
        </r>
      </text>
    </comment>
    <comment ref="M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$0.01      $0.13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$0.01     $50.00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$40.00
 10000   $0.01     $70.00
 15000   $0.01    $105.00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$0.05      $0.45
    25   $0.04      $1.12</t>
        </r>
      </text>
    </comment>
    <comment ref="S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$0.07      $1.65
    50   $0.04      $1.85
   100   $0.03      $2.70
   250   $0.02      $5.50
   500   $0.02      $8.50
  1000   $0.01     $12.00
  2500   $0.01     $22.50
  5000   $0.02    $105.00
 10000   $0.02    $160.00
 15000   $0.02    $240.00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£30.00
 10000   £0.01     £60.00
 15000   £0.01     £90.00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$0.41
   500   $0.01      $3.50
  1500   $0.01      $9.15
  5000   $0.01     $26.50
 25000   $0.01    $130.00
 50000   $0.01    $255.00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$90.00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£0.00     £60.00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Q3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$0.64
   500   $0.01      $5.40
  1500   $0.01     $13.95
  5000   $0.01     $40.00
 25000   $0.01    $195.00
 50000   $0.01    $385.00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$0.02      $0.02
    10   $0.07      $0.66
    25   $0.05      $1.32
    50   $0.04      $2.00
   100   $0.03      $2.80
   250   $0.02      $5.50
   500   $0.02      $8.50
  1000   $0.01     $12.00
  2500   $0.01     $22.50
  5000   $0.02    $105.00
 10000   $0.02    $160.00
 15000   $0.02    $240.00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$0.08      $0.08
    10   $0.05      $0.51
    25   $0.05      $1.26
   100   $0.02      $2.24
   250   $0.02      $5.53
   500   $0.02     $10.95
  1000   $0.01     $13.10
  3000   $0.01     $27.60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S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£0.26
   100   £0.01      £1.41
   150   £0.01      £2.11
   500   £0.01      £4.35
  2500   £0.01     £19.75
  7500   £0.00     £30.75
 15000   £0.01    £102.00
 75000   £0.01    £420.00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10   $0.08      $0.80
    25   $0.07      $1.73
    50   $0.05      $2.35
   100   $0.04      $3.60
   250   $0.03      $7.00
   500   $0.02     $11.50
  1000   $0.02     $19.00
 15000   $0.01    $225.00
 20000   $0.01    $220.00</t>
        </r>
      </text>
    </comment>
    <comment ref="S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£0.34
   100   £0.01      £1.35
   500   £0.01      £5.40
  2500   £0.01     £20.25
  7500   £0.01     £40.50
 15000   £0.01     £79.50
 75000   £0.00    £330.00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$0.12      $1.16
    25   $0.07      $1.85
    50   $0.05      $2.60
   100   $0.04      $3.90
   250   $0.03      $7.50
 15000   $0.01     $90.00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£0.00     £20.00
 10000   £0.00     £40.00
 15000   £0.00     £60.00</t>
        </r>
      </text>
    </comment>
    <comment ref="Q4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$0.64
   500   $0.01      $5.40
  1500   $0.01     $13.95
  5000   $0.01     $40.00
 25000   $0.01    $195.00
 50000   $0.01    $385.00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$0.02      $0.02
    10   $0.07      $0.66
    25   $0.05      $1.32
    50   $0.04      $2.00
   100   $0.03      $2.80
   250   $0.02      $5.50
   500   $0.02      $8.50
  1000   $0.01     $12.00
  2500   $0.01     $22.50
  5000   $0.02    $105.00
 10000   $0.02    $160.00
 15000   $0.02    $240.00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S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$2.42
    25   $0.23      $5.74
   100   $0.21     $20.78
   250   $0.19     $47.36
   500   $0.18     $88.05
  1000   $0.15    $150.23
  2500   $0.15    $365.15
  8500   $0.14  $1,170.54
 17000   $0.13  $2,185.01</t>
        </r>
      </text>
    </comment>
    <comment ref="Y4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£0.17      £1.65
    50   £0.16      £7.80
   100   £0.14     £14.20
   500   £0.12     £60.00</t>
        </r>
      </text>
    </comment>
    <comment ref="AE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$0.11      $1.15
    30   $0.11      $3.44
   100   $0.11     $11.46
   500   $0.11     $57.30
  1000   $0.11    $114.60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$2.40
    50   $0.22     $11.05
   100   $0.21     $20.80
  1000   $0.17    $170.00
 10000   $0.17  $1,700.00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8500   $0.18  $1,513.00
100000   $0.15 $15,000.00</t>
        </r>
      </text>
    </comment>
    <comment ref="S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$2.26      $2.26
    10   $2.08     $20.77
  4000   $2.00  $8,016.80</t>
        </r>
      </text>
    </comment>
    <comment ref="Y4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£2.11      £2.11
    10   £1.80     £18.00
    50   £1.67     £83.50
   100   £1.54    £154.00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$2.27      $2.27
    10   $2.05     $20.50
    50   $1.94     $97.00
   100   $1.65    $165.00
  1000   $1.46  $1,460.00
 10000   $1.45 $14,500.00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$1.95      $1.95
    10   $1.65     $16.50
    25   $1.49     $37.25
    50   $1.33     $66.50
   100   $1.23    $123.00</t>
        </r>
      </text>
    </comment>
    <comment ref="Q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$23.53  $3,953.04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$14.56     $14.56
   168  $14.56  $2,446.08</t>
        </r>
      </text>
    </comment>
    <comment ref="Q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$1.21      $1.21
    10   $1.08     $10.77
    25   $1.02     $25.56
   100   $0.84     $83.99
   250   $0.79    $196.28
   500   $0.69    $346.91
  1000   $0.60    $602.88
  5000   $0.60  $3,014.40</t>
        </r>
      </text>
    </comment>
    <comment ref="W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£1.14      £1.14
    10   £1.01     £10.10
   100   £0.79     £79.10
   500   £0.66    £327.50
  1000   £0.57    £569.00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10   $1.08     $10.80
    50   $1.03     $51.50
   100   $0.84     $84.00
  1000   $0.55    $548.00
 10000   $0.53  $5,330.00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$1.68      $1.68
    10   $1.51     $15.10
   100   $1.18    $118.00
   500   $0.97    $486.00
  1000   $0.77    $767.00
  2500   $0.75  $1,870.00
  5000   $0.52  $2,585.00
 10000   $0.50  $5,030.00
 20000   $0.49  $9,800.00
 30000   $0.48 $14,280.00
 40000   $0.46 $18,480.00</t>
        </r>
      </text>
    </comment>
    <comment ref="Q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25   $2.41     $60.25
   100   $2.35    $235.50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$3.07      $3.07
    10   $3.07     $30.70
    50   $2.56    $128.00
   100   $2.56    $256.00
  1000   $2.35  $2,350.00
 10000   $2.35 $23,500.00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220   $2.19    $481.80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$6.32
    25   $0.59     $14.85
   100   $0.48     $48.49
   250   $0.45    $112.59
   500   $0.38    $191.65
  1000   $0.32    $316.40
  5000   $0.32  $1,582.00</t>
        </r>
      </text>
    </comment>
    <comment ref="W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£0.75      £0.75
    10   £0.66      £6.56
   100   £0.47     £46.80
   500   £0.40    £199.00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$0.69      $0.69
    10   $0.58      $5.75
    30   $0.49     $14.77
   100   $0.43     $42.56
   500   $0.41    $206.50
  1000   $0.41    $407.60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$6.33
    50   $0.63     $31.65
   100   $0.48     $48.50
  1000   $0.31    $307.00
 10000   $0.28  $2,800.00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$7.25
   100   $0.55     $55.40
   500   $0.44    $219.50
  1000   $0.36    $361.00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£0.59      £2.97
    10   £0.48      £4.78
   100   £0.31     £30.80
   500   £0.29    £147.00
  1000   £0.20    £204.00
  5000   £0.21  £1,050.00
 10000   £0.21  £2,090.00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10   $0.54      $5.41
    25   $0.51     $12.70
   100   $0.41     $41.46
   250   $0.39     $96.28
   500   $0.33    $163.88
  1000   $0.27    $270.55
  3000   $0.27    $811.65</t>
        </r>
      </text>
    </comment>
    <comment ref="W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£3.66
    10   £0.62      £6.17
   100   £0.40     £39.70
   500   £0.27    £135.50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$0.62      $0.62
    10   $0.54      $5.41
    50   $0.54     $27.05
   100   $0.41     $41.50
  1000   $0.26    $263.00
 10000   $0.24  $2,390.00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 5   $0.61      $3.05
    10   $0.54      $5.41
   100   $0.41     $41.40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15   £0.48      £7.15
   105   £0.29     £30.13
  1005   £0.22    £218.09
  3000   £0.22    £657.00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</t>
        </r>
      </text>
    </comment>
    <comment ref="Q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10   $0.64      $6.40
    25   $0.60     $15.03
   100   $0.49     $49.05
   250   $0.46    $113.90
   500   $0.39    $193.87
  1000   $0.32    $320.08
  3000   $0.32    $960.21</t>
        </r>
      </text>
    </comment>
    <comment ref="W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£0.61      £3.04
    10   £0.51      £5.09
   100   £0.38     £38.00
   500   £0.27    £136.00
  3000   £0.27    £813.00
  9000   £0.25  £2,241.00
 24000   £0.24  £5,856.00
 45000   £0.24 £10,755.00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$0.48      $4.83
    30   $0.47     $14.23
   100   $0.47     $46.71
   500   $0.47    $233.55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$0.60      $6.02
    50   $0.60     $30.10
   100   $0.48     $47.70
  1000   $0.32    $321.00
 10000   $0.29  $2,940.00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 5   $0.79      $3.96
    10   $0.60      $6.02
   100   $0.48     $47.70
  3000   $0.35  $1,056.00
  9000   $0.31  $2,817.00
 24000   $0.29  $6,936.00
 45000   $0.27 $12,150.00</t>
        </r>
      </text>
    </comment>
    <comment ref="Q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$4.45
    25   $0.42     $10.39
   100   $0.33     $33.24
   250   $0.31     $77.17
   500   $0.26    $130.59
  1000   $0.20    $201.82
  3000   $0.20    $588.00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$4.46
    50   $0.45     $22.30
   100   $0.31     $30.90
  1000   $0.20    $202.00
 10000   $0.18  $1,840.00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</t>
        </r>
      </text>
    </comment>
    <comment ref="Q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$0.60     $60.00
  1000   $0.40    $400.00
 10000   $0.39  $3,870.00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100   $0.60     $60.00
   500   $0.49    $247.50
  1000   $0.40    $400.00
  3000   $0.44  $1,320.00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25   $0.74     $18.55
   100   $0.61     $60.95
   250   $0.57    $142.44
   500   $0.50    $251.75
  1000   $0.44    $437.50
  3000   $0.44  $1,312.50</t>
        </r>
      </text>
    </comment>
    <comment ref="W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£3.67
    10   £0.63      £6.27
   100   £0.48     £48.20
   500   £0.34    £168.50
  3000   £0.33    £984.00
  9000   £0.32  £2,889.00
 24000   £0.32  £7,560.00
 45000   £0.31 £13,860.00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$0.89      $8.89
    50   $0.84     $42.20
   100   $0.69     $69.30
  1000   $0.45    $452.00
 10000   $0.44  $4,400.00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 5   $0.87      $4.35
    10   $0.78      $7.82
   100   $0.61     $61.00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£0.63      £6.31
   100   £0.46     £46.00
   500   £0.38    £192.00
  1000   £0.30    £298.00
  3000   £0.46  £1,377.00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$0.61     $61.00
  1000   $0.40    $398.00
 10000   $0.39  $3,870.00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$0.96      $0.96
    10   $0.86      $8.60
   100   $0.67     $67.10
   500   $0.55    $277.00
  1000   $0.44    $438.00
  3000   $0.44  $1,314.00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£0.11    £342.00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$0.13  $1,320.00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$0.18    $540.00</t>
        </r>
      </text>
    </comment>
    <comment ref="M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$0.35      $3.48
   100   $0.19     $19.49
   500   $0.14     $71.70
  1000   $0.12    $122.70
  3000   $0.09    $273.60</t>
        </r>
      </text>
    </comment>
    <comment ref="Q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3000   $0.09    $263.31
  6000   $0.08    $497.34
 15000   $0.08  $1,207.50</t>
        </r>
      </text>
    </comment>
    <comment ref="W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£0.54      £2.70
    10   £0.40      £4.04
   100   £0.20     £20.30
   500   £0.12     £58.50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$0.39      $3.90
    50   $0.39     $19.50
   100   $0.20     $19.50
  1000   $0.11    $113.00
 10000   $0.09    $870.00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   5   $0.33      $1.65
    10   $0.25      $2.53
   100   $0.17     $17.30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28   £0.05      £1.32
   112   £0.05      £5.15
  1008   £0.04     £45.36
  3000   £0.07    £207.00
  3024   £0.04    £133.06
  9000   £0.06    £558.00
  9016   £0.04    £387.69
 24000   £0.06  £1,368.00
 45000   £0.05  £2,430.00
 99000   £0.05  £5,148.00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£0.14      £0.68
    25   £0.09      £2.16
   100   £0.07      £7.48
   500   £0.07     £32.60
  3000   £0.06    £182.70</t>
        </r>
      </text>
    </comment>
    <comment ref="Q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£0.62      £3.12
    10   £0.49      £4.93
   100   £0.27     £27.30
   500   £0.17     £84.50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$0.15  $1,500.00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 5   $0.73      $3.65
    10   $0.59      $5.89
   100   $0.36     $36.30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£0.35      £8.65
  3000   £0.12    £360.00</t>
        </r>
      </text>
    </comment>
    <comment ref="S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25   $1.58     $39.62
   100   $1.35    $135.02
   250   $1.27    $316.94
   500   $1.11    $554.64
  1000   $1.05  $1,046.50
  2000   $1.05  $2,093.00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50   $1.59     $79.50
   100   $1.35    $135.00
  1000   $0.92    $920.00
 10000   $0.92  $9,200.00</t>
        </r>
      </text>
    </comment>
    <comment ref="M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$4.40      $4.40
    10   $3.97     $39.73
    25   $3.85     $96.17
    50   $3.67    $183.75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312   $3.67  $1,143.97</t>
        </r>
      </text>
    </comment>
    <comment ref="M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$1.96      $1.96
    10   $1.76     $17.62
    25   $1.73     $43.36
    50   $1.69     $84.47
   100   $1.55    $155.50
   250   $1.55    $388.65
   500   $1.44    $720.65
  1000   $1.42  $1,415.10
  5000   $1.26  $6,301.50</t>
        </r>
      </text>
    </comment>
    <comment ref="S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$1.97      $1.97
    10   $1.80     $17.98
    25   $1.75     $43.74
    50   $1.74     $87.04
   100   $1.56    $155.60
   250   $1.55    $387.88
   500   $1.53    $764.05
  1000   $1.46  $1,463.22
  5000   $1.36  $6,811.55</t>
        </r>
      </text>
    </comment>
    <comment ref="Q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$48.12</t>
        </r>
      </text>
    </comment>
    <comment ref="W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£4.35      £4.35
    10   £3.91     £39.10
    25   £3.69     £92.25
    50   £3.62    £181.00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$4.92      $4.92
    10   $4.42     $44.20
    50   $4.18    $209.00
   100   $3.62    $362.00
  1000   $3.49  $3,490.00
 10000   $3.49 $34,900.00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$48.10
  2450   $4.81 $11,784.50</t>
        </r>
      </text>
    </comment>
    <comment ref="I61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L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R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I62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D62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<sst xmlns="http://schemas.openxmlformats.org/spreadsheetml/2006/main" count="983" uniqueCount="503">
  <si>
    <t>Global Part Info</t>
  </si>
  <si>
    <t>Refs</t>
  </si>
  <si>
    <t>Value</t>
  </si>
  <si>
    <t>Desc</t>
  </si>
  <si>
    <t>Notes</t>
  </si>
  <si>
    <t>Footprint</t>
  </si>
  <si>
    <t>Manf</t>
  </si>
  <si>
    <t>Manf#</t>
  </si>
  <si>
    <t>Qty</t>
  </si>
  <si>
    <t>Unit$</t>
  </si>
  <si>
    <t>Ext$</t>
  </si>
  <si>
    <t>C1-C4,C24,C26,C30,C31,C37,C39,C41,C43,C45,C47,C49,C51,C53,C55,C57,C61,C69,C70</t>
  </si>
  <si>
    <t>1uF</t>
  </si>
  <si>
    <t>CAP CER 2.2uF 6.3V 20% X5R 0201</t>
  </si>
  <si>
    <t>C24,C30: 1.2V DC DERATED TO 1.4uF
C69,C70: 1.5V DC AUDIO DERATED TO 1.3uF
C26: 2.5V DC DERATED TO 0.9uF
C1-C4,C31,C37,C39,C41,C43,C45,C47,C49,C51,C53,C55,C57,C61: 3.3V DC DERATED TO 0.7uF</t>
  </si>
  <si>
    <t>C_0201_0603Metric</t>
  </si>
  <si>
    <t>Murata</t>
  </si>
  <si>
    <t>GRM033R60J225ME01D</t>
  </si>
  <si>
    <t>C5,C7-C11</t>
  </si>
  <si>
    <t>100nF</t>
  </si>
  <si>
    <t>CAP CER 100nF 6.3V 10% X5R 0201</t>
  </si>
  <si>
    <t>GRM033R60J104KE19D</t>
  </si>
  <si>
    <t>C6,C32-C36,C38,C40,C42,C44,C46,C48,C50,C52,C54,C56,C58-C60,C62-C68</t>
  </si>
  <si>
    <t>0.1uF</t>
  </si>
  <si>
    <t>CAP CER 0.22uF 6.3V 20% X5R 0201</t>
  </si>
  <si>
    <t>C68: 1.5V DC VAG DERATED TO 0.1uF
C6,C32-C36,C38,C40,C42,C44,C46,C48,C50,C52,C54,C56,C58,C62-C67: 3.3V DC DERATED TO 0.1uF
C59,C60: 4.3V DC DERATED TO 0.1uF</t>
  </si>
  <si>
    <t>GRM033R60J224KE15D</t>
  </si>
  <si>
    <t>C12,C21</t>
  </si>
  <si>
    <t>2.2uF</t>
  </si>
  <si>
    <t>CAP CER 10uF 6.3V 20% X5R 0402</t>
  </si>
  <si>
    <t>5V DC DERATED TO 1.9uF</t>
  </si>
  <si>
    <t>C_0402_1005Metric</t>
  </si>
  <si>
    <t>GRM155R60J106ME05J</t>
  </si>
  <si>
    <t>C13,C19</t>
  </si>
  <si>
    <t>CAP CER 2.2uF 25V 20% X5R 0402</t>
  </si>
  <si>
    <t>5V DC DERATED TO 1uF</t>
  </si>
  <si>
    <t>GRM155R61E225ME11D</t>
  </si>
  <si>
    <t>C14-C17,C20,C27</t>
  </si>
  <si>
    <t>CAP CER 2.2uF 16V 10% X6S 0402</t>
  </si>
  <si>
    <t>GRM155C81C225KE11D</t>
  </si>
  <si>
    <t>C18</t>
  </si>
  <si>
    <t>10uF</t>
  </si>
  <si>
    <t>CAP CER 22uF 6.3V 20% X5R 0603</t>
  </si>
  <si>
    <t>3.3V DC DERATED TO 8uF</t>
  </si>
  <si>
    <t>C_0603_1608Metric</t>
  </si>
  <si>
    <t>GRM188R60J226ME15D</t>
  </si>
  <si>
    <t>C22</t>
  </si>
  <si>
    <t>CAP CER 10uF 4V 20% X5R 0402</t>
  </si>
  <si>
    <t>1.2V DC DERATED TO 7.5uF</t>
  </si>
  <si>
    <t>GRM155R60G106ME01D</t>
  </si>
  <si>
    <t>C23,C25,C28,C29</t>
  </si>
  <si>
    <t>CAP CER 2.2uF 10V 20% X5R 0201</t>
  </si>
  <si>
    <t>3.3V DC DERATED TO 0.9uF</t>
  </si>
  <si>
    <t>GRM035R61A225ME01D</t>
  </si>
  <si>
    <t>D1</t>
  </si>
  <si>
    <t>ESD7241</t>
  </si>
  <si>
    <t>DIODE ESD VRWM 24V X2DFN2</t>
  </si>
  <si>
    <t>CASE_714AB_1.0x0.6mm</t>
  </si>
  <si>
    <t>onsemi</t>
  </si>
  <si>
    <t>ESD7241N2T5G</t>
  </si>
  <si>
    <t>D2</t>
  </si>
  <si>
    <t>VESD05A6-HAF</t>
  </si>
  <si>
    <t>IC ESD ARRAY VRWM 5V LLP75-7L</t>
  </si>
  <si>
    <t>LLP75-7L</t>
  </si>
  <si>
    <t>Vishay</t>
  </si>
  <si>
    <t>VESD05A6-HAF-GS08</t>
  </si>
  <si>
    <t>D3</t>
  </si>
  <si>
    <t>D3V3F8U9LP3810</t>
  </si>
  <si>
    <t>IC ESD ARRAY VRWM 3.3V U-DFN3810-09</t>
  </si>
  <si>
    <t>U-DFN3810-9</t>
  </si>
  <si>
    <t>Diodes</t>
  </si>
  <si>
    <t>D3V3F8U9LP3810-7</t>
  </si>
  <si>
    <t>D4</t>
  </si>
  <si>
    <t>SMD-LX0707RGB-TR</t>
  </si>
  <si>
    <t>IC LED RGB 0707</t>
  </si>
  <si>
    <t>REPLACEMENT PARTS: Everlight 19-C47/RSGHBHC-5V01/2T, Everlight EAST1818RGBICA0</t>
  </si>
  <si>
    <t>Lumex</t>
  </si>
  <si>
    <t>FB1-FB4</t>
  </si>
  <si>
    <t>BLM18KG601SN1</t>
  </si>
  <si>
    <t>FERRITE BEAD 600Ω 1.3A 0603</t>
  </si>
  <si>
    <t>L_0603_1608Metric</t>
  </si>
  <si>
    <t>BLM18KG601SN1D</t>
  </si>
  <si>
    <t>J1</t>
  </si>
  <si>
    <t>USB4080</t>
  </si>
  <si>
    <t>CONN USB-C</t>
  </si>
  <si>
    <t>REPLACEMENT PART: HRO TYPE-C-31-M-05</t>
  </si>
  <si>
    <t>USB_C_Receptacle_GCT_USB4080</t>
  </si>
  <si>
    <t>GCT</t>
  </si>
  <si>
    <t>USB4080-03-A</t>
  </si>
  <si>
    <t>J2</t>
  </si>
  <si>
    <t>Conn_02x20_Counter_Clockwise</t>
  </si>
  <si>
    <t>CONN DIP ADAPTER ROUND PIN 0.5mm 40 POS .100" GOLD</t>
  </si>
  <si>
    <t>DIP-40_W15.24mm_Header</t>
  </si>
  <si>
    <t>CnC-Tech</t>
  </si>
  <si>
    <t>220-1-40-006</t>
  </si>
  <si>
    <t>J3</t>
  </si>
  <si>
    <t>Conn_01x20</t>
  </si>
  <si>
    <t>CONN HDR SQ PIN 0.64mm 20 POS .100" GOLD MATING 6mm TAIL 3mm</t>
  </si>
  <si>
    <t>PinHeader_1x20_P2.54mm_Vertical</t>
  </si>
  <si>
    <t>Sullins</t>
  </si>
  <si>
    <t>PRPC010SAAN-RC</t>
  </si>
  <si>
    <t>J4</t>
  </si>
  <si>
    <t>Conn_02x20_Odd_Even</t>
  </si>
  <si>
    <t>CONN HDR SQ PIN 0.64mm 2x20 POS .100" GOLD MATING 6mm TAIL 3mm</t>
  </si>
  <si>
    <t>PinHeader_2x20_P2.54mm_Vertical</t>
  </si>
  <si>
    <t>PRPC020DAAN-RC</t>
  </si>
  <si>
    <t>J5</t>
  </si>
  <si>
    <t>Conn_02x05_Odd_Even</t>
  </si>
  <si>
    <t>CONN HDR SQ PIN 2x3 POS .050" GOLD MATING 3mm</t>
  </si>
  <si>
    <t>PinHeader_2x03_P1.27mm_Vertical</t>
  </si>
  <si>
    <t>GRPB032VWVN-RC</t>
  </si>
  <si>
    <t>L1</t>
  </si>
  <si>
    <t>1uH</t>
  </si>
  <si>
    <t>INDUCTOR 1uH 1.6A 0603</t>
  </si>
  <si>
    <t>NEW PART #: LSCNB1608HKT1R0MD</t>
  </si>
  <si>
    <t>Taiyo-Yuden</t>
  </si>
  <si>
    <t>MCHK1608T1R0MKN</t>
  </si>
  <si>
    <t>L2</t>
  </si>
  <si>
    <t>470nH</t>
  </si>
  <si>
    <t>INDUCTOR 470nH 1.6A 0603</t>
  </si>
  <si>
    <t>NEW PART #: LSCNA1608FKTR47MA</t>
  </si>
  <si>
    <t>MCFK1608TR47M</t>
  </si>
  <si>
    <t>Q1</t>
  </si>
  <si>
    <t>PDTA143ZMB</t>
  </si>
  <si>
    <t>TRANSISTOR PNP RET R1=4.7kΩ R2=47kΩ 100mA SOT883B</t>
  </si>
  <si>
    <t>SOT-883</t>
  </si>
  <si>
    <t>Nexperia</t>
  </si>
  <si>
    <t>PDTA143ZMB,315</t>
  </si>
  <si>
    <t>R1,R2</t>
  </si>
  <si>
    <t>2.2k</t>
  </si>
  <si>
    <t>RES 2.2kΩ 50mW 5% 0201</t>
  </si>
  <si>
    <t>R_0201_0603Metric</t>
  </si>
  <si>
    <t>Panasonic</t>
  </si>
  <si>
    <t>ERJ1GNJ222C</t>
  </si>
  <si>
    <t>R3,R4,R11,R14</t>
  </si>
  <si>
    <t>10k</t>
  </si>
  <si>
    <t>RES 10kΩ 50mW 5% 0201</t>
  </si>
  <si>
    <t>ERJ1GNJ103C</t>
  </si>
  <si>
    <t>R5</t>
  </si>
  <si>
    <t>1.5k</t>
  </si>
  <si>
    <t>RES 1.5kΩ 50mW 5% 0201</t>
  </si>
  <si>
    <t>ERJ1GNJ152C</t>
  </si>
  <si>
    <t>R6,R7,R24</t>
  </si>
  <si>
    <t>22</t>
  </si>
  <si>
    <t>RES 22Ω 50mW 5% 0201</t>
  </si>
  <si>
    <t>ERJ1GNJ220C</t>
  </si>
  <si>
    <t>R8,R12,R13</t>
  </si>
  <si>
    <t>100</t>
  </si>
  <si>
    <t>RES 100Ω 50mW 1% 0201</t>
  </si>
  <si>
    <t>ERJ1GNF1000C</t>
  </si>
  <si>
    <t>R9,R10</t>
  </si>
  <si>
    <t>100k</t>
  </si>
  <si>
    <t>RES 100kΩ 50mW 5% 0201</t>
  </si>
  <si>
    <t>ERJ1GNJ104C</t>
  </si>
  <si>
    <t>R15</t>
  </si>
  <si>
    <t>3.83k</t>
  </si>
  <si>
    <t>RES 3.83kΩ 50mW 1% 0201</t>
  </si>
  <si>
    <t>ERJ1GNF3831C</t>
  </si>
  <si>
    <t>R16,R18</t>
  </si>
  <si>
    <t>1k</t>
  </si>
  <si>
    <t>RES 1kΩ 50mW 1% 0201</t>
  </si>
  <si>
    <t>ERJ1GNF1001C</t>
  </si>
  <si>
    <t>R17</t>
  </si>
  <si>
    <t>1.07k</t>
  </si>
  <si>
    <t>RES 1.07kΩ 50mW 1% 0201</t>
  </si>
  <si>
    <t>ERJ1GNF1071C</t>
  </si>
  <si>
    <t>R20</t>
  </si>
  <si>
    <t>6.2k</t>
  </si>
  <si>
    <t>RES 6.2kΩ 50mW 1% 0201</t>
  </si>
  <si>
    <t>ERJ1GNF6201C</t>
  </si>
  <si>
    <t>R21,R23,R25-R27</t>
  </si>
  <si>
    <t>4.7k</t>
  </si>
  <si>
    <t>RES 4.7kΩ 50mW 5% 0201</t>
  </si>
  <si>
    <t>ERJ1GNJ472C</t>
  </si>
  <si>
    <t>R22</t>
  </si>
  <si>
    <t>SW1</t>
  </si>
  <si>
    <t>KXT311LHS</t>
  </si>
  <si>
    <t>SW TACT 100gf 3.0x2.0 mm</t>
  </si>
  <si>
    <t>SW_SPST_CK_KXT3</t>
  </si>
  <si>
    <t>C&amp;K</t>
  </si>
  <si>
    <t>U1</t>
  </si>
  <si>
    <t>PTN5110NHQ</t>
  </si>
  <si>
    <t>IC USB PD TCPC PHY SOT1883-1</t>
  </si>
  <si>
    <t>SOT-1883-1</t>
  </si>
  <si>
    <t>NXP</t>
  </si>
  <si>
    <t>PTN5110NHQZ</t>
  </si>
  <si>
    <t>U2</t>
  </si>
  <si>
    <t>LFE5UM5G-25F-8MG285C</t>
  </si>
  <si>
    <t>IC FPGA csfBGA-285</t>
  </si>
  <si>
    <t>BGA-285_10x10mm_P0.5mm</t>
  </si>
  <si>
    <t>Lattice</t>
  </si>
  <si>
    <t>U3</t>
  </si>
  <si>
    <t>FUSB340</t>
  </si>
  <si>
    <t>IC USB SWITCH X2QFN-18</t>
  </si>
  <si>
    <t>CASE_722AB_2.0x2.8mm_P0.4mm</t>
  </si>
  <si>
    <t>FUSB340TMX</t>
  </si>
  <si>
    <t>U4</t>
  </si>
  <si>
    <t>DSC1103CE2-135.0000</t>
  </si>
  <si>
    <t>IC OSC LVDS VDFN-6</t>
  </si>
  <si>
    <t>Oscillator_SMD_3225-6Pin_3.2x2.5mm</t>
  </si>
  <si>
    <t>Microchip</t>
  </si>
  <si>
    <t>U5</t>
  </si>
  <si>
    <t>FSUSB42UMX</t>
  </si>
  <si>
    <t>IC USB SWITCH UMLP-10</t>
  </si>
  <si>
    <t>CASE_523BC_1.4x1.8_P0.4mm</t>
  </si>
  <si>
    <t>U6</t>
  </si>
  <si>
    <t>FPF2286</t>
  </si>
  <si>
    <t>IC OVP 4A WLCSP-6</t>
  </si>
  <si>
    <t>CASE_567UV_1.30x0.90mm_P0.4mm</t>
  </si>
  <si>
    <t>FPF2286UCX</t>
  </si>
  <si>
    <t>U7</t>
  </si>
  <si>
    <t>FPF1048</t>
  </si>
  <si>
    <t>IC LOAD SWITCH 3A WLCSP-6</t>
  </si>
  <si>
    <t>CASE_567RM_1.46x0.96mm_P0.5mm</t>
  </si>
  <si>
    <t>FPF1048BUCX</t>
  </si>
  <si>
    <t>U8,U11</t>
  </si>
  <si>
    <t>TPS22916CN</t>
  </si>
  <si>
    <t>IC LOAD SWITCH 2A DSBGA-4</t>
  </si>
  <si>
    <t>REPLACEMENT PARTS: Diodes AP22916D / AP22916E</t>
  </si>
  <si>
    <t>Texas_DSBGA-4_0.78x0.78mm_Layout2x2_P0.4mm</t>
  </si>
  <si>
    <t>TI</t>
  </si>
  <si>
    <t>TPS22916CNYFPR</t>
  </si>
  <si>
    <t>U9</t>
  </si>
  <si>
    <t>FAN53610</t>
  </si>
  <si>
    <t>IC BUCK CONVERTER 3.3V 1A WLCSP-6</t>
  </si>
  <si>
    <t>CASE_567RQ_1.16x0.86mm_P0.4mm</t>
  </si>
  <si>
    <t>FAN53610AUC33X</t>
  </si>
  <si>
    <t>U10</t>
  </si>
  <si>
    <t>FPF2495C</t>
  </si>
  <si>
    <t>IC LOAD SWITCH 2A OVP WLCSP-9</t>
  </si>
  <si>
    <t>CASE_567RV_1.21x1.21mm_P0.4mm</t>
  </si>
  <si>
    <t>FPF2495CUCX</t>
  </si>
  <si>
    <t>U12</t>
  </si>
  <si>
    <t>FAN53611</t>
  </si>
  <si>
    <t>IC BUCK CONVERTER 1.2V 1A WLCSP-6</t>
  </si>
  <si>
    <t>FAN53611AUC12X</t>
  </si>
  <si>
    <t>U13,U16</t>
  </si>
  <si>
    <t>NCP163AMX120TBG</t>
  </si>
  <si>
    <t>IC REG LDO 1.2V 250mA XDFN4</t>
  </si>
  <si>
    <t>REPLACEMENT PART: NCV8163AMX120TBG</t>
  </si>
  <si>
    <t>CASE_711AJ_1.0x1.0mm_P0.65mm</t>
  </si>
  <si>
    <t>U14</t>
  </si>
  <si>
    <t>NCP115AMX250TCG</t>
  </si>
  <si>
    <t>IC REG LDO 2.5V 300mA XDFN4</t>
  </si>
  <si>
    <t>U15</t>
  </si>
  <si>
    <t>NCP163AMX330TBG</t>
  </si>
  <si>
    <t>IC REG LDO 3.3V 250mA XDFN4</t>
  </si>
  <si>
    <t>REPLACEMENT PART: NCV8163AMX330TBG</t>
  </si>
  <si>
    <t>U17-U20</t>
  </si>
  <si>
    <t>SN74CBT16211ADGVR</t>
  </si>
  <si>
    <t>IC BUS SWITCH TVSOP-56</t>
  </si>
  <si>
    <t>REPLACEMENT PART: SN74CBT16211CDGVR</t>
  </si>
  <si>
    <t>Texas_TVSOP-56_4.4x11.3mm_P0.4mm</t>
  </si>
  <si>
    <t>U21</t>
  </si>
  <si>
    <t>W957A8MFYA5I</t>
  </si>
  <si>
    <t>IC HYPERRAM 128MBit TFBGA-24</t>
  </si>
  <si>
    <t>TFBGA-24_6.0x8.0mm_P1mm</t>
  </si>
  <si>
    <t>Winbond</t>
  </si>
  <si>
    <t>U22</t>
  </si>
  <si>
    <t>W25Q128JVPIM</t>
  </si>
  <si>
    <t>IC FLASH 128Mbit WSON-8</t>
  </si>
  <si>
    <t>WSON-8-1EP_6x5mm_P1.27mm_EP3.4x4.3mm</t>
  </si>
  <si>
    <t>U23</t>
  </si>
  <si>
    <t>SGTL5000XNLA3</t>
  </si>
  <si>
    <t>IC AUDIO CODEC UQFN-20</t>
  </si>
  <si>
    <t>ALTERNATIVE PART #: SGTL5000XNLA3R2</t>
  </si>
  <si>
    <t>QFN-20-1EP_3x3mm_P0.4mm_EP1.65x1.65mm</t>
  </si>
  <si>
    <t>Arrow</t>
  </si>
  <si>
    <t>Avail</t>
  </si>
  <si>
    <t>Purch</t>
  </si>
  <si>
    <t>MOQ</t>
  </si>
  <si>
    <t>Cat#</t>
  </si>
  <si>
    <t>VESD05A6HAFGS08</t>
  </si>
  <si>
    <t>D3V3F8U9LP38107</t>
  </si>
  <si>
    <t>220140006</t>
  </si>
  <si>
    <t>Buy here</t>
  </si>
  <si>
    <t>Digi-Key</t>
  </si>
  <si>
    <t>490-GRM033R60J225ME01DCT-ND</t>
  </si>
  <si>
    <t>490-3167-1-ND</t>
  </si>
  <si>
    <t>490-10406-1-ND</t>
  </si>
  <si>
    <t>490-GRM155R60J106ME05JCT-ND</t>
  </si>
  <si>
    <t>NonStk</t>
  </si>
  <si>
    <t>490-12704-1-ND</t>
  </si>
  <si>
    <t>490-14595-1-ND</t>
  </si>
  <si>
    <t>490-GRM188R60J226ME15DCT-ND</t>
  </si>
  <si>
    <t>490-GRM155R60G106ME01DTR-ND</t>
  </si>
  <si>
    <t>ESD7241N2T5GOSCT-ND</t>
  </si>
  <si>
    <t>VESD05A6-HAF-GS08GICT-ND</t>
  </si>
  <si>
    <t>D3V3F8U9LP3810-7DICT-ND</t>
  </si>
  <si>
    <t>67-2331-1-ND</t>
  </si>
  <si>
    <t>490-5258-1-ND</t>
  </si>
  <si>
    <t>2073-USB4080-03-ACT-ND</t>
  </si>
  <si>
    <t>1175-1527-5-ND</t>
  </si>
  <si>
    <t>S1011EC-10-ND</t>
  </si>
  <si>
    <t>S2011EC-20-ND</t>
  </si>
  <si>
    <t>S9015E-03-ND</t>
  </si>
  <si>
    <t>587-MCHK1608T1R0MKNCT-ND</t>
  </si>
  <si>
    <t>587-5625-1-ND</t>
  </si>
  <si>
    <t>PDTA143ZMB,315-ND</t>
  </si>
  <si>
    <t>P123277CT-ND</t>
  </si>
  <si>
    <t>P123222CT-ND</t>
  </si>
  <si>
    <t>P123246CT-ND</t>
  </si>
  <si>
    <t>P123275CT-ND</t>
  </si>
  <si>
    <t>P122654CT-ND</t>
  </si>
  <si>
    <t>P123223CT-ND</t>
  </si>
  <si>
    <t>P122977CT-ND</t>
  </si>
  <si>
    <t>P122413CT-ND</t>
  </si>
  <si>
    <t>P122666CT-ND</t>
  </si>
  <si>
    <t>P123105CT-ND</t>
  </si>
  <si>
    <t>P4.7AECT-ND</t>
  </si>
  <si>
    <t>CKN10777CT-ND</t>
  </si>
  <si>
    <t>568-13797-1-ND</t>
  </si>
  <si>
    <t>LFE5UM5G-25F-8MG285C-ND</t>
  </si>
  <si>
    <t>FUSB340TMXCT-ND</t>
  </si>
  <si>
    <t>DSC1103CE2-135.0000-ND</t>
  </si>
  <si>
    <t>FSUSB42UMXCT-ND</t>
  </si>
  <si>
    <t>FPF2286UCXOSCT-ND</t>
  </si>
  <si>
    <t>FPF1048BUCXCT-ND</t>
  </si>
  <si>
    <t>296-48187-1-ND</t>
  </si>
  <si>
    <t>FAN53610AUC33XCT-ND</t>
  </si>
  <si>
    <t>488-FPF2495CUCXCT-ND</t>
  </si>
  <si>
    <t>FAN53611AUC12XCT-ND</t>
  </si>
  <si>
    <t>488-NCP163AMX120TBGCT-ND</t>
  </si>
  <si>
    <t>NCP115AMX250TCGOSCT-ND</t>
  </si>
  <si>
    <t>NCP163AMX330TBGOSCT-ND</t>
  </si>
  <si>
    <t>296-6389-1-ND</t>
  </si>
  <si>
    <t>256-W957A8MFYA5I-ND</t>
  </si>
  <si>
    <t>W25Q128JVPIM-ND</t>
  </si>
  <si>
    <t>SGTL5000XNLA3-ND</t>
  </si>
  <si>
    <t>Farnell</t>
  </si>
  <si>
    <t>1775994</t>
  </si>
  <si>
    <t>2990684</t>
  </si>
  <si>
    <t>3785797</t>
  </si>
  <si>
    <t>3582801</t>
  </si>
  <si>
    <t>3581345</t>
  </si>
  <si>
    <t>3581375</t>
  </si>
  <si>
    <t>3785795</t>
  </si>
  <si>
    <t>3368198</t>
  </si>
  <si>
    <t>3216559</t>
  </si>
  <si>
    <t>1781094</t>
  </si>
  <si>
    <t>3801072</t>
  </si>
  <si>
    <t>3666004</t>
  </si>
  <si>
    <t>3919439</t>
  </si>
  <si>
    <t>3303211</t>
  </si>
  <si>
    <t>3303150</t>
  </si>
  <si>
    <t>3303177</t>
  </si>
  <si>
    <t>3303209</t>
  </si>
  <si>
    <t>2302309</t>
  </si>
  <si>
    <t>3303151</t>
  </si>
  <si>
    <t>3302931</t>
  </si>
  <si>
    <t>2302336</t>
  </si>
  <si>
    <t>3335049</t>
  </si>
  <si>
    <t>2302357</t>
  </si>
  <si>
    <t>2799512</t>
  </si>
  <si>
    <t>3023197</t>
  </si>
  <si>
    <t>3370154</t>
  </si>
  <si>
    <t>2770624</t>
  </si>
  <si>
    <t>1495467</t>
  </si>
  <si>
    <t>2981104</t>
  </si>
  <si>
    <t>3368519</t>
  </si>
  <si>
    <t>3612684</t>
  </si>
  <si>
    <t>3528442</t>
  </si>
  <si>
    <t>3612689</t>
  </si>
  <si>
    <t>3611550</t>
  </si>
  <si>
    <t>2981132</t>
  </si>
  <si>
    <t>2723814</t>
  </si>
  <si>
    <t>2308050</t>
  </si>
  <si>
    <t>LCSC</t>
  </si>
  <si>
    <t>C782150</t>
  </si>
  <si>
    <t>C76928</t>
  </si>
  <si>
    <t>C76931</t>
  </si>
  <si>
    <t>C385033</t>
  </si>
  <si>
    <t>C437523</t>
  </si>
  <si>
    <t>C440187</t>
  </si>
  <si>
    <t>C1974940</t>
  </si>
  <si>
    <t>C85833</t>
  </si>
  <si>
    <t>C242159</t>
  </si>
  <si>
    <t>C713501</t>
  </si>
  <si>
    <t>C717001</t>
  </si>
  <si>
    <t>C221820</t>
  </si>
  <si>
    <t>C11145</t>
  </si>
  <si>
    <t>C479722</t>
  </si>
  <si>
    <t>Mouser</t>
  </si>
  <si>
    <t>81GRM033R60J225ME1D</t>
  </si>
  <si>
    <t>81GRM033R60J104KE19</t>
  </si>
  <si>
    <t>81GRM33R60J224KE15D</t>
  </si>
  <si>
    <t>81GRM155R60J106ME05</t>
  </si>
  <si>
    <t>81GRM155R61E225ME1D</t>
  </si>
  <si>
    <t>81GRM155C81C225KE1D</t>
  </si>
  <si>
    <t>81GRM188R60J226ME5D</t>
  </si>
  <si>
    <t>81GRM155R60G106ME1D</t>
  </si>
  <si>
    <t>81GRM035R61A225ME1D</t>
  </si>
  <si>
    <t>863ESD7241N2T5G</t>
  </si>
  <si>
    <t>78VESD05A6HAF</t>
  </si>
  <si>
    <t>621D3V3F8U9LP38107</t>
  </si>
  <si>
    <t>696SMDLX0707RGBTR</t>
  </si>
  <si>
    <t>81BLM18KG601SN1D</t>
  </si>
  <si>
    <t>640USB408003A</t>
  </si>
  <si>
    <t>963MCHK1608T1R0MKN</t>
  </si>
  <si>
    <t>963MCFK1608TR47M</t>
  </si>
  <si>
    <t>771PDTA143ZMB315</t>
  </si>
  <si>
    <t>667ERJ1GNJ222C</t>
  </si>
  <si>
    <t>667ERJ1GNJ103C</t>
  </si>
  <si>
    <t>667ERJ1GNJ152C</t>
  </si>
  <si>
    <t>667ERJ1GNJ220C</t>
  </si>
  <si>
    <t>667ERJ1GNF1000C</t>
  </si>
  <si>
    <t>667ERJ1GNJ104C</t>
  </si>
  <si>
    <t>667ERJ1GNF3831C</t>
  </si>
  <si>
    <t>667ERJ1GNF1001C</t>
  </si>
  <si>
    <t>667ERJ1GNF1071C</t>
  </si>
  <si>
    <t>667ERJ1GNF6201C</t>
  </si>
  <si>
    <t>667ERJ1GNJ472C</t>
  </si>
  <si>
    <t>611KXT311LHS</t>
  </si>
  <si>
    <t>771PTN5110NHQZ</t>
  </si>
  <si>
    <t>512FUSB340TMX</t>
  </si>
  <si>
    <t>9981103CE2135.0000</t>
  </si>
  <si>
    <t>512FSUSB42UMX</t>
  </si>
  <si>
    <t>863FPF2286UCX</t>
  </si>
  <si>
    <t>512FPF1048BUCX</t>
  </si>
  <si>
    <t>595TPS22916CNYFPR</t>
  </si>
  <si>
    <t>512FAN53610AUC33X</t>
  </si>
  <si>
    <t>863FPF2495CUCX</t>
  </si>
  <si>
    <t>512FAN53611AUC12X</t>
  </si>
  <si>
    <t>863NCP163AMX120TBG</t>
  </si>
  <si>
    <t>863NCP115AMX250TCG</t>
  </si>
  <si>
    <t>863NCP163AMX330TBG</t>
  </si>
  <si>
    <t>595SNCBT16211ADGVR</t>
  </si>
  <si>
    <t>841SGTL5000XNLA3</t>
  </si>
  <si>
    <t>Newark</t>
  </si>
  <si>
    <t>51R6558</t>
  </si>
  <si>
    <t>94AC8892</t>
  </si>
  <si>
    <t>03AJ1583</t>
  </si>
  <si>
    <t>92AH5000</t>
  </si>
  <si>
    <t>92AH5101</t>
  </si>
  <si>
    <t>54AH8588</t>
  </si>
  <si>
    <t>64M7155</t>
  </si>
  <si>
    <t>28AK9075</t>
  </si>
  <si>
    <t>02AH5948</t>
  </si>
  <si>
    <t>55R1514</t>
  </si>
  <si>
    <t>59AJ3622</t>
  </si>
  <si>
    <t>19AJ5819</t>
  </si>
  <si>
    <t>40AH3383</t>
  </si>
  <si>
    <t>29AK3066</t>
  </si>
  <si>
    <t>51W5827</t>
  </si>
  <si>
    <t>51W5775</t>
  </si>
  <si>
    <t>51W5799</t>
  </si>
  <si>
    <t>51W5825</t>
  </si>
  <si>
    <t>05X8794</t>
  </si>
  <si>
    <t>51W5776</t>
  </si>
  <si>
    <t>85Y7483</t>
  </si>
  <si>
    <t>36AJ9163</t>
  </si>
  <si>
    <t>28AK9411</t>
  </si>
  <si>
    <t>39AH6819</t>
  </si>
  <si>
    <t>64AH7968</t>
  </si>
  <si>
    <t>55AJ1667</t>
  </si>
  <si>
    <t>01AC8852</t>
  </si>
  <si>
    <t>70Y7842</t>
  </si>
  <si>
    <t>61M6437</t>
  </si>
  <si>
    <t>84AC6695</t>
  </si>
  <si>
    <t>54AH8732</t>
  </si>
  <si>
    <t>01AC8449</t>
  </si>
  <si>
    <t>82AH7060</t>
  </si>
  <si>
    <t>01AC8450</t>
  </si>
  <si>
    <t>65AC4909</t>
  </si>
  <si>
    <t>84AC7204</t>
  </si>
  <si>
    <t>13AC0556</t>
  </si>
  <si>
    <t>14R9111</t>
  </si>
  <si>
    <t>RS Components</t>
  </si>
  <si>
    <t>1852023</t>
  </si>
  <si>
    <t>1808156</t>
  </si>
  <si>
    <t>1827487</t>
  </si>
  <si>
    <t>7474720</t>
  </si>
  <si>
    <t>1797128</t>
  </si>
  <si>
    <t>1797135</t>
  </si>
  <si>
    <t>1797145</t>
  </si>
  <si>
    <t>1797158</t>
  </si>
  <si>
    <t>1797123</t>
  </si>
  <si>
    <t>1797138</t>
  </si>
  <si>
    <t>1797127</t>
  </si>
  <si>
    <t>1797153</t>
  </si>
  <si>
    <t>8076092</t>
  </si>
  <si>
    <t>1859153</t>
  </si>
  <si>
    <t>2052434</t>
  </si>
  <si>
    <t>1858619</t>
  </si>
  <si>
    <t>1349547</t>
  </si>
  <si>
    <t>TME</t>
  </si>
  <si>
    <t>SMDLX0707RGBTR</t>
  </si>
  <si>
    <t>Total Purchase:</t>
  </si>
  <si>
    <t>Purchase description:</t>
  </si>
  <si>
    <t>Used currency rates:</t>
  </si>
  <si>
    <t>USD($)/GBP(£):</t>
  </si>
  <si>
    <t>Prj:</t>
  </si>
  <si>
    <t>reDIP 64</t>
  </si>
  <si>
    <t>Co.:</t>
  </si>
  <si>
    <t>Nimrod</t>
  </si>
  <si>
    <t>Prj date:</t>
  </si>
  <si>
    <t>to. 14. april 2022 kl. 23.10 +0200</t>
  </si>
  <si>
    <t>Board Qty:</t>
  </si>
  <si>
    <t>Total Cost:</t>
  </si>
  <si>
    <t>Unit Cost:</t>
  </si>
  <si>
    <t>$ date:</t>
  </si>
  <si>
    <t>2022-04-14 23:10:32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</si>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</sst>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1" applyAlignment="1" applyProtection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80FF8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products/productdetail.aspx?partno=GRM033R60J225ME01D" TargetMode="External"/><Relationship Id="rId2" Type="http://schemas.openxmlformats.org/officeDocument/2006/relationships/hyperlink" Target="https://octopart.com/click/track?ai=8078&amp;sig=07d2518&amp;sid=459&amp;ppid=111800792&amp;vpid=790821740&amp;ct=offers" TargetMode="External"/><Relationship Id="rId3" Type="http://schemas.openxmlformats.org/officeDocument/2006/relationships/hyperlink" Target="https://octopart.com/click/track?ai=8078&amp;sig=014ed64&amp;sid=27971&amp;ppid=111800792&amp;vpid=658813846&amp;ct=offers" TargetMode="External"/><Relationship Id="rId4" Type="http://schemas.openxmlformats.org/officeDocument/2006/relationships/hyperlink" Target="https://octopart.com/click/track?ai=8078&amp;sig=0ead83f&amp;sid=2401&amp;ppid=111800792&amp;vpid=707177137&amp;ct=offers" TargetMode="External"/><Relationship Id="rId5" Type="http://schemas.openxmlformats.org/officeDocument/2006/relationships/hyperlink" Target="https://www.murata.com/products/productdetail.aspx?partno=GRM033R60J104KE19D" TargetMode="External"/><Relationship Id="rId6" Type="http://schemas.openxmlformats.org/officeDocument/2006/relationships/hyperlink" Target="https://octopart.com/click/track?ai=8078&amp;sig=036c01f&amp;sid=1106&amp;ppid=196787&amp;vpid=15059944&amp;ct=offers" TargetMode="External"/><Relationship Id="rId7" Type="http://schemas.openxmlformats.org/officeDocument/2006/relationships/hyperlink" Target="https://octopart.com/click/track?ai=8078&amp;sig=0350220&amp;sid=459&amp;ppid=196787&amp;vpid=1550152&amp;ct=offers" TargetMode="External"/><Relationship Id="rId8" Type="http://schemas.openxmlformats.org/officeDocument/2006/relationships/hyperlink" Target="https://octopart.com/click/track?ai=8078&amp;sig=0798cbd&amp;sid=11744&amp;ppid=196787&amp;vpid=132491971&amp;ct=offers" TargetMode="External"/><Relationship Id="rId9" Type="http://schemas.openxmlformats.org/officeDocument/2006/relationships/hyperlink" Target="https://octopart.com/click/track?ai=8078&amp;sig=0fec319&amp;sid=27971&amp;ppid=196787&amp;vpid=445986843&amp;ct=offers" TargetMode="External"/><Relationship Id="rId10" Type="http://schemas.openxmlformats.org/officeDocument/2006/relationships/hyperlink" Target="https://octopart.com/click/track?ai=8078&amp;sig=013ebb0&amp;sid=2401&amp;ppid=196787&amp;vpid=38925187&amp;ct=offers" TargetMode="External"/><Relationship Id="rId11" Type="http://schemas.openxmlformats.org/officeDocument/2006/relationships/hyperlink" Target="https://octopart.com/click/track?ai=8078&amp;sig=09cce70&amp;sid=2402&amp;ppid=196787&amp;vpid=20869753&amp;ct=offers" TargetMode="External"/><Relationship Id="rId12" Type="http://schemas.openxmlformats.org/officeDocument/2006/relationships/hyperlink" Target="https://octopart.com/click/track?ai=8078&amp;sig=079c19d&amp;sid=1532&amp;ppid=196787&amp;vpid=709097614&amp;ct=offers" TargetMode="External"/><Relationship Id="rId13" Type="http://schemas.openxmlformats.org/officeDocument/2006/relationships/hyperlink" Target="https://www.murata.com/products/productdetail.aspx?partno=GRM033R60J224KE15D" TargetMode="External"/><Relationship Id="rId14" Type="http://schemas.openxmlformats.org/officeDocument/2006/relationships/hyperlink" Target="https://octopart.com/click/track?ai=8078&amp;sig=0c86c84&amp;sid=1106&amp;ppid=51454422&amp;vpid=480521207&amp;ct=offers" TargetMode="External"/><Relationship Id="rId15" Type="http://schemas.openxmlformats.org/officeDocument/2006/relationships/hyperlink" Target="https://octopart.com/click/track?ai=8078&amp;sig=0492ec2&amp;sid=459&amp;ppid=51454422&amp;vpid=172161550&amp;ct=offers" TargetMode="External"/><Relationship Id="rId16" Type="http://schemas.openxmlformats.org/officeDocument/2006/relationships/hyperlink" Target="https://octopart.com/click/track?ai=8078&amp;sig=0efc20f&amp;sid=819&amp;ppid=51454422&amp;vpid=528007216&amp;ct=offers" TargetMode="External"/><Relationship Id="rId17" Type="http://schemas.openxmlformats.org/officeDocument/2006/relationships/hyperlink" Target="https://octopart.com/click/track?ai=8078&amp;sig=0f2788c&amp;sid=27971&amp;ppid=51454422&amp;vpid=445986847&amp;ct=offers" TargetMode="External"/><Relationship Id="rId18" Type="http://schemas.openxmlformats.org/officeDocument/2006/relationships/hyperlink" Target="https://octopart.com/click/track?ai=8078&amp;sig=0207666&amp;sid=2401&amp;ppid=51454422&amp;vpid=178169497&amp;ct=offers" TargetMode="External"/><Relationship Id="rId19" Type="http://schemas.openxmlformats.org/officeDocument/2006/relationships/hyperlink" Target="https://octopart.com/click/track?ai=8078&amp;sig=0d37eed&amp;sid=2402&amp;ppid=51454422&amp;vpid=529126546&amp;ct=offers" TargetMode="External"/><Relationship Id="rId20" Type="http://schemas.openxmlformats.org/officeDocument/2006/relationships/hyperlink" Target="https://octopart.com/click/track?ai=8078&amp;sig=0fe5791&amp;sid=10022&amp;ppid=51454422&amp;vpid=562632809&amp;ct=offers" TargetMode="External"/><Relationship Id="rId21" Type="http://schemas.openxmlformats.org/officeDocument/2006/relationships/hyperlink" Target="https://www.murata.com/products/productdetail.aspx?partno=GRM155R60J106ME05J" TargetMode="External"/><Relationship Id="rId22" Type="http://schemas.openxmlformats.org/officeDocument/2006/relationships/hyperlink" Target="https://octopart.com/click/track?c=1&amp;ai=8078&amp;sig=07356ec&amp;sid=459&amp;ppid=106705433&amp;vpid=699998639&amp;ct=offers" TargetMode="External"/><Relationship Id="rId23" Type="http://schemas.openxmlformats.org/officeDocument/2006/relationships/hyperlink" Target="https://octopart.com/click/track?c=1&amp;ai=8078&amp;sig=0cc048c&amp;sid=819&amp;ppid=106705433&amp;vpid=757047412&amp;ct=offers" TargetMode="External"/><Relationship Id="rId24" Type="http://schemas.openxmlformats.org/officeDocument/2006/relationships/hyperlink" Target="https://octopart.com/click/track?ai=8078&amp;sig=02e2548&amp;sid=2401&amp;ppid=106705433&amp;vpid=609821795&amp;ct=offers" TargetMode="External"/><Relationship Id="rId25" Type="http://schemas.openxmlformats.org/officeDocument/2006/relationships/hyperlink" Target="https://www.murata.com/products/productdetail.aspx?partno=GRM155R61E225ME11D" TargetMode="External"/><Relationship Id="rId26" Type="http://schemas.openxmlformats.org/officeDocument/2006/relationships/hyperlink" Target="https://octopart.com/click/track?ai=8078&amp;sig=0bf2f55&amp;sid=1106&amp;ppid=46692831&amp;vpid=473331984&amp;ct=offers" TargetMode="External"/><Relationship Id="rId27" Type="http://schemas.openxmlformats.org/officeDocument/2006/relationships/hyperlink" Target="https://octopart.com/click/track?ai=8078&amp;sig=00769d9&amp;sid=459&amp;ppid=46692831&amp;vpid=242051473&amp;ct=offers" TargetMode="External"/><Relationship Id="rId28" Type="http://schemas.openxmlformats.org/officeDocument/2006/relationships/hyperlink" Target="https://octopart.com/click/track?c=1&amp;ai=8078&amp;sig=0068366&amp;sid=819&amp;ppid=46692831&amp;vpid=670691908&amp;ct=offers" TargetMode="External"/><Relationship Id="rId29" Type="http://schemas.openxmlformats.org/officeDocument/2006/relationships/hyperlink" Target="https://octopart.com/click/track?ai=8078&amp;sig=05f9ad3&amp;sid=27971&amp;ppid=46692831&amp;vpid=791860132&amp;ct=offers" TargetMode="External"/><Relationship Id="rId30" Type="http://schemas.openxmlformats.org/officeDocument/2006/relationships/hyperlink" Target="https://octopart.com/click/track?ai=8078&amp;sig=075e695&amp;sid=2401&amp;ppid=46692831&amp;vpid=202849811&amp;ct=offers" TargetMode="External"/><Relationship Id="rId31" Type="http://schemas.openxmlformats.org/officeDocument/2006/relationships/hyperlink" Target="https://octopart.com/click/track?c=1&amp;ai=8078&amp;sig=0cd1567&amp;sid=2402&amp;ppid=46692831&amp;vpid=671481202&amp;ct=offers" TargetMode="External"/><Relationship Id="rId32" Type="http://schemas.openxmlformats.org/officeDocument/2006/relationships/hyperlink" Target="https://www.murata.com/products/productdetail.aspx?partno=GRM155C81C225KE11D" TargetMode="External"/><Relationship Id="rId33" Type="http://schemas.openxmlformats.org/officeDocument/2006/relationships/hyperlink" Target="https://octopart.com/click/track?ai=8078&amp;sig=0017922&amp;sid=1106&amp;ppid=46692789&amp;vpid=485848787&amp;ct=offers" TargetMode="External"/><Relationship Id="rId34" Type="http://schemas.openxmlformats.org/officeDocument/2006/relationships/hyperlink" Target="https://octopart.com/click/track?ai=8078&amp;sig=0b165bb&amp;sid=459&amp;ppid=46692789&amp;vpid=410305221&amp;ct=offers" TargetMode="External"/><Relationship Id="rId35" Type="http://schemas.openxmlformats.org/officeDocument/2006/relationships/hyperlink" Target="https://octopart.com/click/track?ai=8078&amp;sig=0d9d05a&amp;sid=819&amp;ppid=46692789&amp;vpid=666721052&amp;ct=offers" TargetMode="External"/><Relationship Id="rId36" Type="http://schemas.openxmlformats.org/officeDocument/2006/relationships/hyperlink" Target="https://octopart.com/click/track?ai=8078&amp;sig=005ea9f&amp;sid=27971&amp;ppid=46692789&amp;vpid=666930444&amp;ct=offers" TargetMode="External"/><Relationship Id="rId37" Type="http://schemas.openxmlformats.org/officeDocument/2006/relationships/hyperlink" Target="https://octopart.com/click/track?ai=8078&amp;sig=0cdb919&amp;sid=2401&amp;ppid=46692789&amp;vpid=230758256&amp;ct=offers" TargetMode="External"/><Relationship Id="rId38" Type="http://schemas.openxmlformats.org/officeDocument/2006/relationships/hyperlink" Target="https://octopart.com/click/track?ai=8078&amp;sig=0849c23&amp;sid=2402&amp;ppid=46692789&amp;vpid=669036303&amp;ct=offers" TargetMode="External"/><Relationship Id="rId39" Type="http://schemas.openxmlformats.org/officeDocument/2006/relationships/hyperlink" Target="https://www.murata.com/products/productdetail.aspx?partno=GRM188R60J226ME15D" TargetMode="External"/><Relationship Id="rId40" Type="http://schemas.openxmlformats.org/officeDocument/2006/relationships/hyperlink" Target="https://octopart.com/click/track?ai=8078&amp;sig=01f04b3&amp;sid=1106&amp;ppid=49426892&amp;vpid=474278961&amp;ct=offers" TargetMode="External"/><Relationship Id="rId41" Type="http://schemas.openxmlformats.org/officeDocument/2006/relationships/hyperlink" Target="https://octopart.com/click/track?ai=8078&amp;sig=0eb85fb&amp;sid=459&amp;ppid=49426892&amp;vpid=697100878&amp;ct=offers" TargetMode="External"/><Relationship Id="rId42" Type="http://schemas.openxmlformats.org/officeDocument/2006/relationships/hyperlink" Target="https://octopart.com/click/track?ai=8078&amp;sig=0dce5bc&amp;sid=11744&amp;ppid=49426892&amp;vpid=667012255&amp;ct=offers" TargetMode="External"/><Relationship Id="rId43" Type="http://schemas.openxmlformats.org/officeDocument/2006/relationships/hyperlink" Target="https://octopart.com/click/track?ai=8078&amp;sig=0b3ce4c&amp;sid=27971&amp;ppid=49426892&amp;vpid=719729088&amp;ct=offers" TargetMode="External"/><Relationship Id="rId44" Type="http://schemas.openxmlformats.org/officeDocument/2006/relationships/hyperlink" Target="https://octopart.com/click/track?ai=8078&amp;sig=05605b1&amp;sid=2401&amp;ppid=49426892&amp;vpid=248621702&amp;ct=offers" TargetMode="External"/><Relationship Id="rId45" Type="http://schemas.openxmlformats.org/officeDocument/2006/relationships/hyperlink" Target="https://octopart.com/click/track?ai=8078&amp;sig=01d4b29&amp;sid=2402&amp;ppid=49426892&amp;vpid=669036403&amp;ct=offers" TargetMode="External"/><Relationship Id="rId46" Type="http://schemas.openxmlformats.org/officeDocument/2006/relationships/hyperlink" Target="https://www.murata.com/products/productdetail.aspx?partno=GRM155R60G106ME01D" TargetMode="External"/><Relationship Id="rId47" Type="http://schemas.openxmlformats.org/officeDocument/2006/relationships/hyperlink" Target="https://octopart.com/click/track?c=1&amp;ai=8078&amp;sig=0926ac3&amp;sid=459&amp;ppid=106705429&amp;vpid=697018846&amp;ct=offers" TargetMode="External"/><Relationship Id="rId48" Type="http://schemas.openxmlformats.org/officeDocument/2006/relationships/hyperlink" Target="https://octopart.com/click/track?c=1&amp;ai=8078&amp;sig=00736b6&amp;sid=819&amp;ppid=106705429&amp;vpid=757047408&amp;ct=offers" TargetMode="External"/><Relationship Id="rId49" Type="http://schemas.openxmlformats.org/officeDocument/2006/relationships/hyperlink" Target="https://octopart.com/click/track?c=1&amp;ai=8078&amp;sig=0db3e0c&amp;sid=2401&amp;ppid=106705429&amp;vpid=601104790&amp;ct=offers" TargetMode="External"/><Relationship Id="rId50" Type="http://schemas.openxmlformats.org/officeDocument/2006/relationships/hyperlink" Target="https://www.murata.com/products/productdetail.aspx?partno=GRM035R61A225ME01D" TargetMode="External"/><Relationship Id="rId51" Type="http://schemas.openxmlformats.org/officeDocument/2006/relationships/hyperlink" Target="https://octopart.com/click/track?c=1&amp;ai=8078&amp;sig=00561c1&amp;sid=2401&amp;ppid=121090382&amp;vpid=781768601&amp;ct=offers" TargetMode="External"/><Relationship Id="rId52" Type="http://schemas.openxmlformats.org/officeDocument/2006/relationships/hyperlink" Target="https://www.onsemi.com/pdf/datasheet/esd7241-d.pdf" TargetMode="External"/><Relationship Id="rId53" Type="http://schemas.openxmlformats.org/officeDocument/2006/relationships/hyperlink" Target="https://octopart.com/click/track?c=1&amp;ai=8078&amp;sig=0c32aac&amp;sid=459&amp;ppid=75535408&amp;vpid=469782186&amp;ct=offers" TargetMode="External"/><Relationship Id="rId54" Type="http://schemas.openxmlformats.org/officeDocument/2006/relationships/hyperlink" Target="https://octopart.com/click/track?c=1&amp;ai=8078&amp;sig=0f97155&amp;sid=11744&amp;ppid=75535408&amp;vpid=612326448&amp;ct=offers" TargetMode="External"/><Relationship Id="rId55" Type="http://schemas.openxmlformats.org/officeDocument/2006/relationships/hyperlink" Target="https://octopart.com/click/track?ai=8078&amp;sig=06bf997&amp;sid=2401&amp;ppid=75535408&amp;vpid=419117981&amp;ct=offers" TargetMode="External"/><Relationship Id="rId56" Type="http://schemas.openxmlformats.org/officeDocument/2006/relationships/hyperlink" Target="https://octopart.com/click/track?c=1&amp;ai=8078&amp;sig=09122bc&amp;sid=2402&amp;ppid=75535408&amp;vpid=625770976&amp;ct=offers" TargetMode="External"/><Relationship Id="rId57" Type="http://schemas.openxmlformats.org/officeDocument/2006/relationships/hyperlink" Target="https://www.vishay.com/docs/81311/vesd05a6.pdf" TargetMode="External"/><Relationship Id="rId58" Type="http://schemas.openxmlformats.org/officeDocument/2006/relationships/hyperlink" Target="https://octopart.com/click/track?ai=8078&amp;sig=0c8659d&amp;sid=1106&amp;ppid=42182781&amp;vpid=482031279&amp;ct=offers" TargetMode="External"/><Relationship Id="rId59" Type="http://schemas.openxmlformats.org/officeDocument/2006/relationships/hyperlink" Target="https://octopart.com/click/track?ai=8078&amp;sig=066da7a&amp;sid=459&amp;ppid=42182781&amp;vpid=159788920&amp;ct=offers" TargetMode="External"/><Relationship Id="rId60" Type="http://schemas.openxmlformats.org/officeDocument/2006/relationships/hyperlink" Target="https://octopart.com/click/track?ai=8078&amp;sig=073b182&amp;sid=27971&amp;ppid=42182781&amp;vpid=804285873&amp;ct=offers" TargetMode="External"/><Relationship Id="rId61" Type="http://schemas.openxmlformats.org/officeDocument/2006/relationships/hyperlink" Target="https://octopart.com/click/track?ai=8078&amp;sig=0f8b020&amp;sid=2401&amp;ppid=42182781&amp;vpid=115161063&amp;ct=offers" TargetMode="External"/><Relationship Id="rId62" Type="http://schemas.openxmlformats.org/officeDocument/2006/relationships/hyperlink" Target="https://octopart.com/click/track?c=1&amp;ai=8078&amp;sig=0d9f854&amp;sid=2402&amp;ppid=42182781&amp;vpid=249320425&amp;ct=offers" TargetMode="External"/><Relationship Id="rId63" Type="http://schemas.openxmlformats.org/officeDocument/2006/relationships/hyperlink" Target="https://octopart.com/click/track?ai=8078&amp;sig=0c0d9dc&amp;sid=10022&amp;ppid=42182781&amp;vpid=757114302&amp;ct=offers" TargetMode="External"/><Relationship Id="rId64" Type="http://schemas.openxmlformats.org/officeDocument/2006/relationships/hyperlink" Target="https://www.diodes.com/assets/Datasheets/D3V3F8U9LP3810.pdf" TargetMode="External"/><Relationship Id="rId65" Type="http://schemas.openxmlformats.org/officeDocument/2006/relationships/hyperlink" Target="https://octopart.com/click/track?ai=8078&amp;sig=0375af7&amp;sid=1106&amp;ppid=91620605&amp;vpid=486677128&amp;ct=offers" TargetMode="External"/><Relationship Id="rId66" Type="http://schemas.openxmlformats.org/officeDocument/2006/relationships/hyperlink" Target="https://octopart.com/click/track?ai=8078&amp;sig=02b6308&amp;sid=459&amp;ppid=91620605&amp;vpid=479893368&amp;ct=offers" TargetMode="External"/><Relationship Id="rId67" Type="http://schemas.openxmlformats.org/officeDocument/2006/relationships/hyperlink" Target="https://octopart.com/click/track?ai=8078&amp;sig=045c227&amp;sid=2401&amp;ppid=91620605&amp;vpid=478299237&amp;ct=offers" TargetMode="External"/><Relationship Id="rId68" Type="http://schemas.openxmlformats.org/officeDocument/2006/relationships/hyperlink" Target="https://octopart.com/click/track?c=1&amp;ai=8078&amp;sig=09c877a&amp;sid=2402&amp;ppid=91620605&amp;vpid=804248950&amp;ct=offers" TargetMode="External"/><Relationship Id="rId69" Type="http://schemas.openxmlformats.org/officeDocument/2006/relationships/hyperlink" Target="https://octopart.com/click/track?ai=8078&amp;sig=09f71ac&amp;sid=10022&amp;ppid=91620605&amp;vpid=529868522&amp;ct=offers" TargetMode="External"/><Relationship Id="rId70" Type="http://schemas.openxmlformats.org/officeDocument/2006/relationships/hyperlink" Target="https://www.lumex.com/datasheet/SMD-LX0707RGB-TR.html" TargetMode="External"/><Relationship Id="rId71" Type="http://schemas.openxmlformats.org/officeDocument/2006/relationships/hyperlink" Target="https://octopart.com/click/track?ai=8078&amp;sig=011841b&amp;sid=459&amp;ppid=98770141&amp;vpid=527582517&amp;ct=offers" TargetMode="External"/><Relationship Id="rId72" Type="http://schemas.openxmlformats.org/officeDocument/2006/relationships/hyperlink" Target="https://octopart.com/click/track?c=1&amp;ai=8078&amp;sig=08846a9&amp;sid=819&amp;ppid=98770141&amp;vpid=575179783&amp;ct=offers" TargetMode="External"/><Relationship Id="rId73" Type="http://schemas.openxmlformats.org/officeDocument/2006/relationships/hyperlink" Target="https://octopart.com/click/track?ai=8078&amp;sig=01b9309&amp;sid=2401&amp;ppid=98770141&amp;vpid=527691918&amp;ct=offers" TargetMode="External"/><Relationship Id="rId74" Type="http://schemas.openxmlformats.org/officeDocument/2006/relationships/hyperlink" Target="https://octopart.com/click/track?c=1&amp;ai=8078&amp;sig=0c78da6&amp;sid=2402&amp;ppid=98770141&amp;vpid=547451562&amp;ct=offers" TargetMode="External"/><Relationship Id="rId75" Type="http://schemas.openxmlformats.org/officeDocument/2006/relationships/hyperlink" Target="https://octopart.com/click/track?ai=8078&amp;sig=0f2b5ee&amp;sid=1532&amp;ppid=98770141&amp;vpid=709065371&amp;ct=offers" TargetMode="External"/><Relationship Id="rId76" Type="http://schemas.openxmlformats.org/officeDocument/2006/relationships/hyperlink" Target="https://www.murata.com/products/productdetail.aspx?partno=BLM18KG601SN1%23" TargetMode="External"/><Relationship Id="rId77" Type="http://schemas.openxmlformats.org/officeDocument/2006/relationships/hyperlink" Target="https://octopart.com/click/track?c=1&amp;ai=8078&amp;sig=05de17f&amp;sid=459&amp;ppid=12276433&amp;vpid=34232882&amp;ct=offers" TargetMode="External"/><Relationship Id="rId78" Type="http://schemas.openxmlformats.org/officeDocument/2006/relationships/hyperlink" Target="https://octopart.com/click/track?c=1&amp;ai=8078&amp;sig=05f8942&amp;sid=11744&amp;ppid=12276433&amp;vpid=132490409&amp;ct=offers" TargetMode="External"/><Relationship Id="rId79" Type="http://schemas.openxmlformats.org/officeDocument/2006/relationships/hyperlink" Target="https://octopart.com/click/track?ai=8078&amp;sig=0061b01&amp;sid=27971&amp;ppid=12276433&amp;vpid=445986611&amp;ct=offers" TargetMode="External"/><Relationship Id="rId80" Type="http://schemas.openxmlformats.org/officeDocument/2006/relationships/hyperlink" Target="https://octopart.com/click/track?c=1&amp;ai=8078&amp;sig=09647bb&amp;sid=2401&amp;ppid=12276433&amp;vpid=37789808&amp;ct=offers" TargetMode="External"/><Relationship Id="rId81" Type="http://schemas.openxmlformats.org/officeDocument/2006/relationships/hyperlink" Target="https://octopart.com/click/track?c=1&amp;ai=8078&amp;sig=036829a&amp;sid=2402&amp;ppid=12276433&amp;vpid=21384392&amp;ct=offers" TargetMode="External"/><Relationship Id="rId82" Type="http://schemas.openxmlformats.org/officeDocument/2006/relationships/hyperlink" Target="https://octopart.com/click/track?c=1&amp;ai=8078&amp;sig=0cd141a&amp;sid=10022&amp;ppid=12276433&amp;vpid=199071093&amp;ct=offers" TargetMode="External"/><Relationship Id="rId83" Type="http://schemas.openxmlformats.org/officeDocument/2006/relationships/hyperlink" Target="https://octopart.com/click/track?ai=8078&amp;sig=055d269&amp;sid=1532&amp;ppid=12276433&amp;vpid=709097365&amp;ct=offers" TargetMode="External"/><Relationship Id="rId84" Type="http://schemas.openxmlformats.org/officeDocument/2006/relationships/hyperlink" Target="https://gct.co/connector/usb4080" TargetMode="External"/><Relationship Id="rId85" Type="http://schemas.openxmlformats.org/officeDocument/2006/relationships/hyperlink" Target="https://octopart.com/click/track?c=1&amp;ai=8078&amp;sig=0694e8c&amp;sid=459&amp;ppid=119997701&amp;vpid=748212182&amp;ct=offers" TargetMode="External"/><Relationship Id="rId86" Type="http://schemas.openxmlformats.org/officeDocument/2006/relationships/hyperlink" Target="https://octopart.com/click/track?c=1&amp;ai=8078&amp;sig=0e37a85&amp;sid=819&amp;ppid=119988781&amp;vpid=767729240&amp;ct=offers" TargetMode="External"/><Relationship Id="rId87" Type="http://schemas.openxmlformats.org/officeDocument/2006/relationships/hyperlink" Target="https://octopart.com/click/track?ai=8078&amp;sig=01b79f2&amp;sid=2401&amp;ppid=119997701&amp;vpid=748837880&amp;ct=offers" TargetMode="External"/><Relationship Id="rId88" Type="http://schemas.openxmlformats.org/officeDocument/2006/relationships/hyperlink" Target="https://octopart.com/click/track?ai=8078&amp;sig=0fd0602&amp;sid=2402&amp;ppid=119988781&amp;vpid=748501826&amp;ct=offers" TargetMode="External"/><Relationship Id="rId89" Type="http://schemas.openxmlformats.org/officeDocument/2006/relationships/hyperlink" Target="https://cnctech.us/productdetails.asp?ID=772" TargetMode="External"/><Relationship Id="rId90" Type="http://schemas.openxmlformats.org/officeDocument/2006/relationships/hyperlink" Target="https://octopart.com/click/track?ai=8078&amp;sig=020cc6f&amp;sid=1106&amp;ppid=23165433&amp;vpid=476303886&amp;ct=offers" TargetMode="External"/><Relationship Id="rId91" Type="http://schemas.openxmlformats.org/officeDocument/2006/relationships/hyperlink" Target="https://octopart.com/click/track?ai=8078&amp;sig=0eef7b9&amp;sid=459&amp;ppid=23165433&amp;vpid=69867392&amp;ct=offers" TargetMode="External"/><Relationship Id="rId92" Type="http://schemas.openxmlformats.org/officeDocument/2006/relationships/hyperlink" Target="https://drawings-pdf.s3.amazonaws.com/11635.pdf" TargetMode="External"/><Relationship Id="rId93" Type="http://schemas.openxmlformats.org/officeDocument/2006/relationships/hyperlink" Target="https://octopart.com/click/track?ai=8078&amp;sig=076316f&amp;sid=459&amp;ppid=22265699&amp;vpid=47550685&amp;ct=offers" TargetMode="External"/><Relationship Id="rId94" Type="http://schemas.openxmlformats.org/officeDocument/2006/relationships/hyperlink" Target="https://drawings-pdf.s3.amazonaws.com/11636.pdf" TargetMode="External"/><Relationship Id="rId95" Type="http://schemas.openxmlformats.org/officeDocument/2006/relationships/hyperlink" Target="https://octopart.com/click/track?ai=8078&amp;sig=01fc03d&amp;sid=459&amp;ppid=22265834&amp;vpid=47550820&amp;ct=offers" TargetMode="External"/><Relationship Id="rId96" Type="http://schemas.openxmlformats.org/officeDocument/2006/relationships/hyperlink" Target="https://s3.amazonaws.com/catalogspreads-pdf/PAGE94-95%20.050%20MALE%20HDR%20ST%20RA%20SMT.pdf" TargetMode="External"/><Relationship Id="rId97" Type="http://schemas.openxmlformats.org/officeDocument/2006/relationships/hyperlink" Target="https://octopart.com/click/track?ai=8078&amp;sig=0a66c24&amp;sid=459&amp;ppid=12650566&amp;vpid=33973679&amp;ct=offers" TargetMode="External"/><Relationship Id="rId98" Type="http://schemas.openxmlformats.org/officeDocument/2006/relationships/hyperlink" Target="https://ds.yuden.co.jp/TYCOMPAS/ut/detail?pn=LSCNB1608HKT1R0MD&amp;u=M" TargetMode="External"/><Relationship Id="rId99" Type="http://schemas.openxmlformats.org/officeDocument/2006/relationships/hyperlink" Target="https://octopart.com/click/track?ai=8078&amp;sig=045c1fe&amp;sid=459&amp;ppid=109373546&amp;vpid=667948831&amp;ct=offers" TargetMode="External"/><Relationship Id="rId100" Type="http://schemas.openxmlformats.org/officeDocument/2006/relationships/hyperlink" Target="https://octopart.com/click/track?ai=8078&amp;sig=0e39665&amp;sid=11744&amp;ppid=109373546&amp;vpid=700356037&amp;ct=offers" TargetMode="External"/><Relationship Id="rId101" Type="http://schemas.openxmlformats.org/officeDocument/2006/relationships/hyperlink" Target="https://octopart.com/click/track?ai=8078&amp;sig=0177ca0&amp;sid=2401&amp;ppid=109373546&amp;vpid=658751706&amp;ct=offers" TargetMode="External"/><Relationship Id="rId102" Type="http://schemas.openxmlformats.org/officeDocument/2006/relationships/hyperlink" Target="https://octopart.com/click/track?ai=8078&amp;sig=0b45e3a&amp;sid=2402&amp;ppid=109373546&amp;vpid=692918870&amp;ct=offers" TargetMode="External"/><Relationship Id="rId103" Type="http://schemas.openxmlformats.org/officeDocument/2006/relationships/hyperlink" Target="https://ds.yuden.co.jp/TYCOMPAS/ut/detail?pn=LSCNA1608FKTR47MA&amp;u=M" TargetMode="External"/><Relationship Id="rId104" Type="http://schemas.openxmlformats.org/officeDocument/2006/relationships/hyperlink" Target="https://octopart.com/click/track?ai=8078&amp;sig=0fd1c36&amp;sid=459&amp;ppid=81855409&amp;vpid=421147784&amp;ct=offers" TargetMode="External"/><Relationship Id="rId105" Type="http://schemas.openxmlformats.org/officeDocument/2006/relationships/hyperlink" Target="https://octopart.com/click/track?ai=8078&amp;sig=048df07&amp;sid=819&amp;ppid=81855409&amp;vpid=787118673&amp;ct=offers" TargetMode="External"/><Relationship Id="rId106" Type="http://schemas.openxmlformats.org/officeDocument/2006/relationships/hyperlink" Target="https://octopart.com/click/track?ai=8078&amp;sig=0e5af96&amp;sid=2401&amp;ppid=81855409&amp;vpid=421236231&amp;ct=offers" TargetMode="External"/><Relationship Id="rId107" Type="http://schemas.openxmlformats.org/officeDocument/2006/relationships/hyperlink" Target="https://octopart.com/click/track?ai=8078&amp;sig=046f483&amp;sid=2402&amp;ppid=81855409&amp;vpid=593549417&amp;ct=offers" TargetMode="External"/><Relationship Id="rId108" Type="http://schemas.openxmlformats.org/officeDocument/2006/relationships/hyperlink" Target="https://assets.nexperia.com/documents/data-sheet/PDTA143ZMB.pdf" TargetMode="External"/><Relationship Id="rId109" Type="http://schemas.openxmlformats.org/officeDocument/2006/relationships/hyperlink" Target="https://octopart.com/click/track?c=1&amp;ai=8078&amp;sig=0944463&amp;sid=459&amp;ppid=78754604&amp;vpid=413679736&amp;ct=offers" TargetMode="External"/><Relationship Id="rId110" Type="http://schemas.openxmlformats.org/officeDocument/2006/relationships/hyperlink" Target="https://octopart.com/click/track?ai=8078&amp;sig=0d6ccfc&amp;sid=2401&amp;ppid=78754604&amp;vpid=504003500&amp;ct=offers" TargetMode="External"/><Relationship Id="rId111" Type="http://schemas.openxmlformats.org/officeDocument/2006/relationships/hyperlink" Target="https://octopart.com/click/track?c=1&amp;ai=8078&amp;sig=039799e&amp;sid=2402&amp;ppid=78754604&amp;vpid=804259804&amp;ct=offers" TargetMode="External"/><Relationship Id="rId112" Type="http://schemas.openxmlformats.org/officeDocument/2006/relationships/hyperlink" Target="https://industrial.panasonic.com/ww/products/pt/general-purpose-chip-resistors/models/ERJ1GNJ222C" TargetMode="External"/><Relationship Id="rId113" Type="http://schemas.openxmlformats.org/officeDocument/2006/relationships/hyperlink" Target="https://octopart.com/click/track?ai=8078&amp;sig=05ea2d5&amp;sid=1106&amp;ppid=44403350&amp;vpid=473398349&amp;ct=offers" TargetMode="External"/><Relationship Id="rId114" Type="http://schemas.openxmlformats.org/officeDocument/2006/relationships/hyperlink" Target="https://octopart.com/click/track?ai=8078&amp;sig=0fe0904&amp;sid=459&amp;ppid=44403350&amp;vpid=465235292&amp;ct=offers" TargetMode="External"/><Relationship Id="rId115" Type="http://schemas.openxmlformats.org/officeDocument/2006/relationships/hyperlink" Target="https://octopart.com/click/track?c=1&amp;ai=8078&amp;sig=098df08&amp;sid=819&amp;ppid=44403350&amp;vpid=603690887&amp;ct=offers" TargetMode="External"/><Relationship Id="rId116" Type="http://schemas.openxmlformats.org/officeDocument/2006/relationships/hyperlink" Target="https://octopart.com/click/track?ai=8078&amp;sig=07d1d1b&amp;sid=2401&amp;ppid=44403350&amp;vpid=248150297&amp;ct=offers" TargetMode="External"/><Relationship Id="rId117" Type="http://schemas.openxmlformats.org/officeDocument/2006/relationships/hyperlink" Target="https://octopart.com/click/track?c=1&amp;ai=8078&amp;sig=01bc52e&amp;sid=2402&amp;ppid=44403350&amp;vpid=632042349&amp;ct=offers" TargetMode="External"/><Relationship Id="rId118" Type="http://schemas.openxmlformats.org/officeDocument/2006/relationships/hyperlink" Target="https://octopart.com/click/track?ai=8078&amp;sig=0a098df&amp;sid=10022&amp;ppid=44403350&amp;vpid=577025041&amp;ct=offers" TargetMode="External"/><Relationship Id="rId119" Type="http://schemas.openxmlformats.org/officeDocument/2006/relationships/hyperlink" Target="https://industrial.panasonic.com/ww/products/pt/general-purpose-chip-resistors/models/ERJ1GNJ103C" TargetMode="External"/><Relationship Id="rId120" Type="http://schemas.openxmlformats.org/officeDocument/2006/relationships/hyperlink" Target="https://octopart.com/click/track?ai=8078&amp;sig=0afa606&amp;sid=1106&amp;ppid=44322539&amp;vpid=474279624&amp;ct=offers" TargetMode="External"/><Relationship Id="rId121" Type="http://schemas.openxmlformats.org/officeDocument/2006/relationships/hyperlink" Target="https://octopart.com/click/track?ai=8078&amp;sig=0301d78&amp;sid=459&amp;ppid=44322539&amp;vpid=465235182&amp;ct=offers" TargetMode="External"/><Relationship Id="rId122" Type="http://schemas.openxmlformats.org/officeDocument/2006/relationships/hyperlink" Target="https://octopart.com/click/track?c=1&amp;ai=8078&amp;sig=0fd9335&amp;sid=819&amp;ppid=44322539&amp;vpid=603690832&amp;ct=offers" TargetMode="External"/><Relationship Id="rId123" Type="http://schemas.openxmlformats.org/officeDocument/2006/relationships/hyperlink" Target="https://octopart.com/click/track?ai=8078&amp;sig=06c973b&amp;sid=27971&amp;ppid=44322539&amp;vpid=495511688&amp;ct=offers" TargetMode="External"/><Relationship Id="rId124" Type="http://schemas.openxmlformats.org/officeDocument/2006/relationships/hyperlink" Target="https://octopart.com/click/track?ai=8078&amp;sig=0a64394&amp;sid=2401&amp;ppid=44322539&amp;vpid=120580014&amp;ct=offers" TargetMode="External"/><Relationship Id="rId125" Type="http://schemas.openxmlformats.org/officeDocument/2006/relationships/hyperlink" Target="https://octopart.com/click/track?c=1&amp;ai=8078&amp;sig=050ae47&amp;sid=2402&amp;ppid=44322539&amp;vpid=173683819&amp;ct=offers" TargetMode="External"/><Relationship Id="rId126" Type="http://schemas.openxmlformats.org/officeDocument/2006/relationships/hyperlink" Target="https://octopart.com/click/track?ai=8078&amp;sig=0c48158&amp;sid=10022&amp;ppid=44322539&amp;vpid=577025032&amp;ct=offers" TargetMode="External"/><Relationship Id="rId127" Type="http://schemas.openxmlformats.org/officeDocument/2006/relationships/hyperlink" Target="https://industrial.panasonic.com/ww/products/pt/general-purpose-chip-resistors/models/ERJ1GNJ152C" TargetMode="External"/><Relationship Id="rId128" Type="http://schemas.openxmlformats.org/officeDocument/2006/relationships/hyperlink" Target="https://octopart.com/click/track?ai=8078&amp;sig=0b212f8&amp;sid=1106&amp;ppid=55940368&amp;vpid=507401781&amp;ct=offers" TargetMode="External"/><Relationship Id="rId129" Type="http://schemas.openxmlformats.org/officeDocument/2006/relationships/hyperlink" Target="https://octopart.com/click/track?ai=8078&amp;sig=06f5537&amp;sid=459&amp;ppid=55940368&amp;vpid=465235230&amp;ct=offers" TargetMode="External"/><Relationship Id="rId130" Type="http://schemas.openxmlformats.org/officeDocument/2006/relationships/hyperlink" Target="https://octopart.com/click/track?c=1&amp;ai=8078&amp;sig=031cc2c&amp;sid=819&amp;ppid=55940368&amp;vpid=603690856&amp;ct=offers" TargetMode="External"/><Relationship Id="rId131" Type="http://schemas.openxmlformats.org/officeDocument/2006/relationships/hyperlink" Target="https://octopart.com/click/track?ai=8078&amp;sig=01a465a&amp;sid=2401&amp;ppid=55940368&amp;vpid=165486557&amp;ct=offers" TargetMode="External"/><Relationship Id="rId132" Type="http://schemas.openxmlformats.org/officeDocument/2006/relationships/hyperlink" Target="https://octopart.com/click/track?c=1&amp;ai=8078&amp;sig=0e5d5c9&amp;sid=2402&amp;ppid=55940368&amp;vpid=192308633&amp;ct=offers" TargetMode="External"/><Relationship Id="rId133" Type="http://schemas.openxmlformats.org/officeDocument/2006/relationships/hyperlink" Target="https://octopart.com/click/track?ai=8078&amp;sig=08f769b&amp;sid=10022&amp;ppid=55940368&amp;vpid=577025035&amp;ct=offers" TargetMode="External"/><Relationship Id="rId134" Type="http://schemas.openxmlformats.org/officeDocument/2006/relationships/hyperlink" Target="https://industrial.panasonic.com/ww/products/pt/general-purpose-chip-resistors/models/ERJ1GNJ220C" TargetMode="External"/><Relationship Id="rId135" Type="http://schemas.openxmlformats.org/officeDocument/2006/relationships/hyperlink" Target="https://octopart.com/click/track?ai=8078&amp;sig=06e7b3a&amp;sid=1106&amp;ppid=42505965&amp;vpid=473398347&amp;ct=offers" TargetMode="External"/><Relationship Id="rId136" Type="http://schemas.openxmlformats.org/officeDocument/2006/relationships/hyperlink" Target="https://octopart.com/click/track?ai=8078&amp;sig=052dc68&amp;sid=459&amp;ppid=42505965&amp;vpid=465235288&amp;ct=offers" TargetMode="External"/><Relationship Id="rId137" Type="http://schemas.openxmlformats.org/officeDocument/2006/relationships/hyperlink" Target="https://octopart.com/click/track?c=1&amp;ai=8078&amp;sig=0433a1d&amp;sid=819&amp;ppid=42505965&amp;vpid=603690885&amp;ct=offers" TargetMode="External"/><Relationship Id="rId138" Type="http://schemas.openxmlformats.org/officeDocument/2006/relationships/hyperlink" Target="https://octopart.com/click/track?ai=8078&amp;sig=0d716f6&amp;sid=2401&amp;ppid=42505965&amp;vpid=165486571&amp;ct=offers" TargetMode="External"/><Relationship Id="rId139" Type="http://schemas.openxmlformats.org/officeDocument/2006/relationships/hyperlink" Target="https://octopart.com/click/track?c=1&amp;ai=8078&amp;sig=0965e6c&amp;sid=2402&amp;ppid=42505965&amp;vpid=524371516&amp;ct=offers" TargetMode="External"/><Relationship Id="rId140" Type="http://schemas.openxmlformats.org/officeDocument/2006/relationships/hyperlink" Target="https://octopart.com/click/track?ai=8078&amp;sig=09ab0d1&amp;sid=10022&amp;ppid=42505965&amp;vpid=577025038&amp;ct=offers" TargetMode="External"/><Relationship Id="rId141" Type="http://schemas.openxmlformats.org/officeDocument/2006/relationships/hyperlink" Target="https://industrial.panasonic.com/ww/products/pt/general-purpose-chip-resistors/models/ERJ1GNF1000C" TargetMode="External"/><Relationship Id="rId142" Type="http://schemas.openxmlformats.org/officeDocument/2006/relationships/hyperlink" Target="https://octopart.com/click/track?ai=8078&amp;sig=0ff7a00&amp;sid=1106&amp;ppid=55419695&amp;vpid=473398243&amp;ct=offers" TargetMode="External"/><Relationship Id="rId143" Type="http://schemas.openxmlformats.org/officeDocument/2006/relationships/hyperlink" Target="https://octopart.com/click/track?ai=8078&amp;sig=0ed396b&amp;sid=459&amp;ppid=55419695&amp;vpid=465234046&amp;ct=offers" TargetMode="External"/><Relationship Id="rId144" Type="http://schemas.openxmlformats.org/officeDocument/2006/relationships/hyperlink" Target="https://octopart.com/click/track?ai=8078&amp;sig=0f281cc&amp;sid=819&amp;ppid=55419695&amp;vpid=139309628&amp;ct=offers" TargetMode="External"/><Relationship Id="rId145" Type="http://schemas.openxmlformats.org/officeDocument/2006/relationships/hyperlink" Target="https://octopart.com/click/track?ai=8078&amp;sig=0a77d19&amp;sid=2401&amp;ppid=55419695&amp;vpid=187838583&amp;ct=offers" TargetMode="External"/><Relationship Id="rId146" Type="http://schemas.openxmlformats.org/officeDocument/2006/relationships/hyperlink" Target="https://octopart.com/click/track?ai=8078&amp;sig=0a75cd0&amp;sid=2402&amp;ppid=55419695&amp;vpid=191369176&amp;ct=offers" TargetMode="External"/><Relationship Id="rId147" Type="http://schemas.openxmlformats.org/officeDocument/2006/relationships/hyperlink" Target="https://octopart.com/click/track?ai=8078&amp;sig=0dabfaa&amp;sid=10022&amp;ppid=55419695&amp;vpid=577025001&amp;ct=offers" TargetMode="External"/><Relationship Id="rId148" Type="http://schemas.openxmlformats.org/officeDocument/2006/relationships/hyperlink" Target="https://industrial.panasonic.com/ww/products/pt/general-purpose-chip-resistors/models/ERJ1GNJ104C" TargetMode="External"/><Relationship Id="rId149" Type="http://schemas.openxmlformats.org/officeDocument/2006/relationships/hyperlink" Target="https://octopart.com/click/track?ai=8078&amp;sig=0481988&amp;sid=1106&amp;ppid=44275189&amp;vpid=473398343&amp;ct=offers" TargetMode="External"/><Relationship Id="rId150" Type="http://schemas.openxmlformats.org/officeDocument/2006/relationships/hyperlink" Target="https://octopart.com/click/track?ai=8078&amp;sig=0ea42f0&amp;sid=459&amp;ppid=44275189&amp;vpid=465235184&amp;ct=offers" TargetMode="External"/><Relationship Id="rId151" Type="http://schemas.openxmlformats.org/officeDocument/2006/relationships/hyperlink" Target="https://octopart.com/click/track?c=1&amp;ai=8078&amp;sig=0769873&amp;sid=819&amp;ppid=44275189&amp;vpid=603690833&amp;ct=offers" TargetMode="External"/><Relationship Id="rId152" Type="http://schemas.openxmlformats.org/officeDocument/2006/relationships/hyperlink" Target="https://octopart.com/click/track?ai=8078&amp;sig=0c08398&amp;sid=27971&amp;ppid=44275189&amp;vpid=669037579&amp;ct=offers" TargetMode="External"/><Relationship Id="rId153" Type="http://schemas.openxmlformats.org/officeDocument/2006/relationships/hyperlink" Target="https://octopart.com/click/track?ai=8078&amp;sig=099c1ff&amp;sid=2401&amp;ppid=44275189&amp;vpid=118165429&amp;ct=offers" TargetMode="External"/><Relationship Id="rId154" Type="http://schemas.openxmlformats.org/officeDocument/2006/relationships/hyperlink" Target="https://octopart.com/click/track?c=1&amp;ai=8078&amp;sig=0c8bb71&amp;sid=2402&amp;ppid=44275189&amp;vpid=166626674&amp;ct=offers" TargetMode="External"/><Relationship Id="rId155" Type="http://schemas.openxmlformats.org/officeDocument/2006/relationships/hyperlink" Target="https://octopart.com/click/track?ai=8078&amp;sig=0c2b9be&amp;sid=10022&amp;ppid=44275189&amp;vpid=577025033&amp;ct=offers" TargetMode="External"/><Relationship Id="rId156" Type="http://schemas.openxmlformats.org/officeDocument/2006/relationships/hyperlink" Target="https://industrial.panasonic.com/ww/products/pt/general-purpose-chip-resistors/models/ERJ1GNF3831C" TargetMode="External"/><Relationship Id="rId157" Type="http://schemas.openxmlformats.org/officeDocument/2006/relationships/hyperlink" Target="https://octopart.com/click/track?ai=8078&amp;sig=0296014&amp;sid=459&amp;ppid=44403109&amp;vpid=465234692&amp;ct=offers" TargetMode="External"/><Relationship Id="rId158" Type="http://schemas.openxmlformats.org/officeDocument/2006/relationships/hyperlink" Target="https://octopart.com/click/track?c=1&amp;ai=8078&amp;sig=0bc16c5&amp;sid=819&amp;ppid=44403109&amp;vpid=603690635&amp;ct=offers" TargetMode="External"/><Relationship Id="rId159" Type="http://schemas.openxmlformats.org/officeDocument/2006/relationships/hyperlink" Target="https://octopart.com/click/track?c=1&amp;ai=8078&amp;sig=08b2b5e&amp;sid=2401&amp;ppid=44403109&amp;vpid=447833062&amp;ct=offers" TargetMode="External"/><Relationship Id="rId160" Type="http://schemas.openxmlformats.org/officeDocument/2006/relationships/hyperlink" Target="https://industrial.panasonic.com/ww/products/pt/general-purpose-chip-resistors/models/ERJ1GNF1001C" TargetMode="External"/><Relationship Id="rId161" Type="http://schemas.openxmlformats.org/officeDocument/2006/relationships/hyperlink" Target="https://octopart.com/click/track?c=1&amp;ai=8078&amp;sig=02b4475&amp;sid=459&amp;ppid=55419696&amp;vpid=436711937&amp;ct=offers" TargetMode="External"/><Relationship Id="rId162" Type="http://schemas.openxmlformats.org/officeDocument/2006/relationships/hyperlink" Target="https://octopart.com/click/track?ai=8078&amp;sig=04693d8&amp;sid=819&amp;ppid=55419696&amp;vpid=139309632&amp;ct=offers" TargetMode="External"/><Relationship Id="rId163" Type="http://schemas.openxmlformats.org/officeDocument/2006/relationships/hyperlink" Target="https://octopart.com/click/track?ai=8078&amp;sig=095265f&amp;sid=27971&amp;ppid=55419696&amp;vpid=669037553&amp;ct=offers" TargetMode="External"/><Relationship Id="rId164" Type="http://schemas.openxmlformats.org/officeDocument/2006/relationships/hyperlink" Target="https://octopart.com/click/track?ai=8078&amp;sig=0133103&amp;sid=2401&amp;ppid=55419696&amp;vpid=187838585&amp;ct=offers" TargetMode="External"/><Relationship Id="rId165" Type="http://schemas.openxmlformats.org/officeDocument/2006/relationships/hyperlink" Target="https://octopart.com/click/track?ai=8078&amp;sig=0c7bd83&amp;sid=2402&amp;ppid=55419696&amp;vpid=423915171&amp;ct=offers" TargetMode="External"/><Relationship Id="rId166" Type="http://schemas.openxmlformats.org/officeDocument/2006/relationships/hyperlink" Target="https://octopart.com/click/track?ai=8078&amp;sig=0546fa6&amp;sid=10022&amp;ppid=55419696&amp;vpid=577025002&amp;ct=offers" TargetMode="External"/><Relationship Id="rId167" Type="http://schemas.openxmlformats.org/officeDocument/2006/relationships/hyperlink" Target="https://industrial.panasonic.com/ww/products/pt/general-purpose-chip-resistors/models/ERJ1GNF1071C" TargetMode="External"/><Relationship Id="rId168" Type="http://schemas.openxmlformats.org/officeDocument/2006/relationships/hyperlink" Target="https://octopart.com/click/track?ai=8078&amp;sig=031976f&amp;sid=1106&amp;ppid=44402865&amp;vpid=507401741&amp;ct=offers" TargetMode="External"/><Relationship Id="rId169" Type="http://schemas.openxmlformats.org/officeDocument/2006/relationships/hyperlink" Target="https://octopart.com/click/track?ai=8078&amp;sig=08fcae9&amp;sid=459&amp;ppid=44402865&amp;vpid=465234070&amp;ct=offers" TargetMode="External"/><Relationship Id="rId170" Type="http://schemas.openxmlformats.org/officeDocument/2006/relationships/hyperlink" Target="https://octopart.com/click/track?c=1&amp;ai=8078&amp;sig=04ae84f&amp;sid=819&amp;ppid=44402865&amp;vpid=603690387&amp;ct=offers" TargetMode="External"/><Relationship Id="rId171" Type="http://schemas.openxmlformats.org/officeDocument/2006/relationships/hyperlink" Target="https://octopart.com/click/track?ai=8078&amp;sig=0ff08d6&amp;sid=2401&amp;ppid=44402865&amp;vpid=450110671&amp;ct=offers" TargetMode="External"/><Relationship Id="rId172" Type="http://schemas.openxmlformats.org/officeDocument/2006/relationships/hyperlink" Target="https://industrial.panasonic.com/ww/products/pt/general-purpose-chip-resistors/models/ERJ1GNF6201C" TargetMode="External"/><Relationship Id="rId173" Type="http://schemas.openxmlformats.org/officeDocument/2006/relationships/hyperlink" Target="https://octopart.com/click/track?ai=8078&amp;sig=0016ade&amp;sid=459&amp;ppid=55649301&amp;vpid=465234948&amp;ct=offers" TargetMode="External"/><Relationship Id="rId174" Type="http://schemas.openxmlformats.org/officeDocument/2006/relationships/hyperlink" Target="https://octopart.com/click/track?c=1&amp;ai=8078&amp;sig=05330d5&amp;sid=819&amp;ppid=55649301&amp;vpid=139310078&amp;ct=offers" TargetMode="External"/><Relationship Id="rId175" Type="http://schemas.openxmlformats.org/officeDocument/2006/relationships/hyperlink" Target="https://octopart.com/click/track?ai=8078&amp;sig=0ff0795&amp;sid=2401&amp;ppid=55649301&amp;vpid=322736988&amp;ct=offers" TargetMode="External"/><Relationship Id="rId176" Type="http://schemas.openxmlformats.org/officeDocument/2006/relationships/hyperlink" Target="https://octopart.com/click/track?c=1&amp;ai=8078&amp;sig=02b7713&amp;sid=2402&amp;ppid=55649301&amp;vpid=708013530&amp;ct=offers" TargetMode="External"/><Relationship Id="rId177" Type="http://schemas.openxmlformats.org/officeDocument/2006/relationships/hyperlink" Target="https://industrial.panasonic.com/ww/products/pt/general-purpose-chip-resistors/models/ERJ1GNJ472C" TargetMode="External"/><Relationship Id="rId178" Type="http://schemas.openxmlformats.org/officeDocument/2006/relationships/hyperlink" Target="https://octopart.com/click/track?ai=8078&amp;sig=008360a&amp;sid=459&amp;ppid=44322540&amp;vpid=118270227&amp;ct=offers" TargetMode="External"/><Relationship Id="rId179" Type="http://schemas.openxmlformats.org/officeDocument/2006/relationships/hyperlink" Target="https://octopart.com/click/track?c=1&amp;ai=8078&amp;sig=0a6d4f9&amp;sid=819&amp;ppid=44322540&amp;vpid=670693410&amp;ct=offers" TargetMode="External"/><Relationship Id="rId180" Type="http://schemas.openxmlformats.org/officeDocument/2006/relationships/hyperlink" Target="https://octopart.com/click/track?ai=8078&amp;sig=0daa60e&amp;sid=2401&amp;ppid=44322540&amp;vpid=118923340&amp;ct=offers" TargetMode="External"/><Relationship Id="rId181" Type="http://schemas.openxmlformats.org/officeDocument/2006/relationships/hyperlink" Target="https://octopart.com/click/track?c=1&amp;ai=8078&amp;sig=01df890&amp;sid=2402&amp;ppid=44322540&amp;vpid=804261048&amp;ct=offers" TargetMode="External"/><Relationship Id="rId182" Type="http://schemas.openxmlformats.org/officeDocument/2006/relationships/hyperlink" Target="https://octopart.com/click/track?ai=8078&amp;sig=04cc5ac&amp;sid=10022&amp;ppid=44322540&amp;vpid=577025049&amp;ct=offers" TargetMode="External"/><Relationship Id="rId183" Type="http://schemas.openxmlformats.org/officeDocument/2006/relationships/hyperlink" Target="https://industrial.panasonic.com/ww/products/pt/general-purpose-chip-resistors/models/ERJ1GNF1001C" TargetMode="External"/><Relationship Id="rId184" Type="http://schemas.openxmlformats.org/officeDocument/2006/relationships/hyperlink" Target="https://octopart.com/click/track?c=1&amp;ai=8078&amp;sig=02b4475&amp;sid=459&amp;ppid=55419696&amp;vpid=436711937&amp;ct=offers" TargetMode="External"/><Relationship Id="rId185" Type="http://schemas.openxmlformats.org/officeDocument/2006/relationships/hyperlink" Target="https://octopart.com/click/track?ai=8078&amp;sig=04693d8&amp;sid=819&amp;ppid=55419696&amp;vpid=139309632&amp;ct=offers" TargetMode="External"/><Relationship Id="rId186" Type="http://schemas.openxmlformats.org/officeDocument/2006/relationships/hyperlink" Target="https://octopart.com/click/track?ai=8078&amp;sig=095265f&amp;sid=27971&amp;ppid=55419696&amp;vpid=669037553&amp;ct=offers" TargetMode="External"/><Relationship Id="rId187" Type="http://schemas.openxmlformats.org/officeDocument/2006/relationships/hyperlink" Target="https://octopart.com/click/track?ai=8078&amp;sig=0133103&amp;sid=2401&amp;ppid=55419696&amp;vpid=187838585&amp;ct=offers" TargetMode="External"/><Relationship Id="rId188" Type="http://schemas.openxmlformats.org/officeDocument/2006/relationships/hyperlink" Target="https://octopart.com/click/track?ai=8078&amp;sig=0c7bd83&amp;sid=2402&amp;ppid=55419696&amp;vpid=423915171&amp;ct=offers" TargetMode="External"/><Relationship Id="rId189" Type="http://schemas.openxmlformats.org/officeDocument/2006/relationships/hyperlink" Target="https://octopart.com/click/track?ai=8078&amp;sig=0546fa6&amp;sid=10022&amp;ppid=55419696&amp;vpid=577025002&amp;ct=offers" TargetMode="External"/><Relationship Id="rId190" Type="http://schemas.openxmlformats.org/officeDocument/2006/relationships/hyperlink" Target="https://www.ckswitches.com/media/1465/kxt3.pdf" TargetMode="External"/><Relationship Id="rId191" Type="http://schemas.openxmlformats.org/officeDocument/2006/relationships/hyperlink" Target="https://octopart.com/click/track?ai=8078&amp;sig=0223530&amp;sid=459&amp;ppid=81056064&amp;vpid=409558688&amp;ct=offers" TargetMode="External"/><Relationship Id="rId192" Type="http://schemas.openxmlformats.org/officeDocument/2006/relationships/hyperlink" Target="https://octopart.com/click/track?ai=8078&amp;sig=008fd99&amp;sid=11744&amp;ppid=81056064&amp;vpid=573795781&amp;ct=offers" TargetMode="External"/><Relationship Id="rId193" Type="http://schemas.openxmlformats.org/officeDocument/2006/relationships/hyperlink" Target="https://octopart.com/click/track?ai=8078&amp;sig=0c0d3ac&amp;sid=27971&amp;ppid=81056064&amp;vpid=499988073&amp;ct=offers" TargetMode="External"/><Relationship Id="rId194" Type="http://schemas.openxmlformats.org/officeDocument/2006/relationships/hyperlink" Target="https://octopart.com/click/track?ai=8078&amp;sig=02cc0b6&amp;sid=2401&amp;ppid=81056064&amp;vpid=418675924&amp;ct=offers" TargetMode="External"/><Relationship Id="rId195" Type="http://schemas.openxmlformats.org/officeDocument/2006/relationships/hyperlink" Target="https://octopart.com/click/track?c=1&amp;ai=8078&amp;sig=0bcd80a&amp;sid=2402&amp;ppid=81056064&amp;vpid=591711208&amp;ct=offers" TargetMode="External"/><Relationship Id="rId196" Type="http://schemas.openxmlformats.org/officeDocument/2006/relationships/hyperlink" Target="https://www.nxp.com/docs/en/data-sheet/PTN5110_DS.pdf" TargetMode="External"/><Relationship Id="rId197" Type="http://schemas.openxmlformats.org/officeDocument/2006/relationships/hyperlink" Target="https://octopart.com/click/track?ai=8078&amp;sig=0d21ca6&amp;sid=459&amp;ppid=88799072&amp;vpid=463483901&amp;ct=offers" TargetMode="External"/><Relationship Id="rId198" Type="http://schemas.openxmlformats.org/officeDocument/2006/relationships/hyperlink" Target="https://octopart.com/click/track?ai=8078&amp;sig=0e7e7b3&amp;sid=819&amp;ppid=88799072&amp;vpid=611263287&amp;ct=offers" TargetMode="External"/><Relationship Id="rId199" Type="http://schemas.openxmlformats.org/officeDocument/2006/relationships/hyperlink" Target="https://octopart.com/click/track?ai=8078&amp;sig=02537e4&amp;sid=2401&amp;ppid=88799072&amp;vpid=486559640&amp;ct=offers" TargetMode="External"/><Relationship Id="rId200" Type="http://schemas.openxmlformats.org/officeDocument/2006/relationships/hyperlink" Target="https://octopart.com/click/track?ai=8078&amp;sig=04bad9b&amp;sid=2402&amp;ppid=88799072&amp;vpid=626868266&amp;ct=offers" TargetMode="External"/><Relationship Id="rId201" Type="http://schemas.openxmlformats.org/officeDocument/2006/relationships/hyperlink" Target="https://www.latticesemi.com/view_document?document_id=50461" TargetMode="External"/><Relationship Id="rId202" Type="http://schemas.openxmlformats.org/officeDocument/2006/relationships/hyperlink" Target="https://octopart.com/click/track?c=1&amp;ai=8078&amp;sig=007a1b1&amp;sid=459&amp;ppid=75367160&amp;vpid=271186289&amp;ct=offers" TargetMode="External"/><Relationship Id="rId203" Type="http://schemas.openxmlformats.org/officeDocument/2006/relationships/hyperlink" Target="https://octopart.com/click/track?c=1&amp;ai=8078&amp;sig=04e46f1&amp;sid=2402&amp;ppid=75367160&amp;vpid=727134525&amp;ct=offers" TargetMode="External"/><Relationship Id="rId204" Type="http://schemas.openxmlformats.org/officeDocument/2006/relationships/hyperlink" Target="https://www.onsemi.com/pdf/datasheet/fusb340-d.pdf" TargetMode="External"/><Relationship Id="rId205" Type="http://schemas.openxmlformats.org/officeDocument/2006/relationships/hyperlink" Target="https://octopart.com/click/track?c=1&amp;ai=8078&amp;sig=0f86676&amp;sid=459&amp;ppid=84328700&amp;vpid=452467737&amp;ct=offers" TargetMode="External"/><Relationship Id="rId206" Type="http://schemas.openxmlformats.org/officeDocument/2006/relationships/hyperlink" Target="https://octopart.com/click/track?c=1&amp;ai=8078&amp;sig=0ef9a82&amp;sid=819&amp;ppid=84328700&amp;vpid=440254585&amp;ct=offers" TargetMode="External"/><Relationship Id="rId207" Type="http://schemas.openxmlformats.org/officeDocument/2006/relationships/hyperlink" Target="https://octopart.com/click/track?c=1&amp;ai=8078&amp;sig=0a2158e&amp;sid=2401&amp;ppid=84328700&amp;vpid=438584370&amp;ct=offers" TargetMode="External"/><Relationship Id="rId208" Type="http://schemas.openxmlformats.org/officeDocument/2006/relationships/hyperlink" Target="https://octopart.com/click/track?c=1&amp;ai=8078&amp;sig=05ed39f&amp;sid=2402&amp;ppid=84328700&amp;vpid=440386720&amp;ct=offers" TargetMode="External"/><Relationship Id="rId209" Type="http://schemas.openxmlformats.org/officeDocument/2006/relationships/hyperlink" Target="https://ww1.microchip.com/downloads/en/DeviceDoc/DSC1103-23-Low-Jitter-Precision-LVDS-Oscillator-DS20005745C.pdf" TargetMode="External"/><Relationship Id="rId210" Type="http://schemas.openxmlformats.org/officeDocument/2006/relationships/hyperlink" Target="https://octopart.com/click/track?c=1&amp;ai=8078&amp;sig=0bd1298&amp;sid=459&amp;ppid=66645726&amp;vpid=240065704&amp;ct=offers" TargetMode="External"/><Relationship Id="rId211" Type="http://schemas.openxmlformats.org/officeDocument/2006/relationships/hyperlink" Target="https://octopart.com/click/track?c=1&amp;ai=8078&amp;sig=02ae754&amp;sid=2401&amp;ppid=66645726&amp;vpid=248137995&amp;ct=offers" TargetMode="External"/><Relationship Id="rId212" Type="http://schemas.openxmlformats.org/officeDocument/2006/relationships/hyperlink" Target="https://octopart.com/click/track?c=1&amp;ai=8078&amp;sig=0cfbb5f&amp;sid=2402&amp;ppid=66645726&amp;vpid=252546613&amp;ct=offers" TargetMode="External"/><Relationship Id="rId213" Type="http://schemas.openxmlformats.org/officeDocument/2006/relationships/hyperlink" Target="https://www.onsemi.com/pdf/datasheet/fsusb42-d.pdf" TargetMode="External"/><Relationship Id="rId214" Type="http://schemas.openxmlformats.org/officeDocument/2006/relationships/hyperlink" Target="https://octopart.com/click/track?c=1&amp;ai=8078&amp;sig=09c5d11&amp;sid=459&amp;ppid=84328636&amp;vpid=452467551&amp;ct=offers" TargetMode="External"/><Relationship Id="rId215" Type="http://schemas.openxmlformats.org/officeDocument/2006/relationships/hyperlink" Target="https://octopart.com/click/track?c=1&amp;ai=8078&amp;sig=0d5df6a&amp;sid=819&amp;ppid=84328636&amp;vpid=464889456&amp;ct=offers" TargetMode="External"/><Relationship Id="rId216" Type="http://schemas.openxmlformats.org/officeDocument/2006/relationships/hyperlink" Target="https://octopart.com/click/track?ai=8078&amp;sig=0f3df4d&amp;sid=27971&amp;ppid=84328636&amp;vpid=481523941&amp;ct=offers" TargetMode="External"/><Relationship Id="rId217" Type="http://schemas.openxmlformats.org/officeDocument/2006/relationships/hyperlink" Target="https://octopart.com/click/track?c=1&amp;ai=8078&amp;sig=0792980&amp;sid=2401&amp;ppid=84328636&amp;vpid=438584306&amp;ct=offers" TargetMode="External"/><Relationship Id="rId218" Type="http://schemas.openxmlformats.org/officeDocument/2006/relationships/hyperlink" Target="https://octopart.com/click/track?c=1&amp;ai=8078&amp;sig=01e5762&amp;sid=2402&amp;ppid=84328636&amp;vpid=504806070&amp;ct=offers" TargetMode="External"/><Relationship Id="rId219" Type="http://schemas.openxmlformats.org/officeDocument/2006/relationships/hyperlink" Target="https://octopart.com/click/track?c=1&amp;ai=8078&amp;sig=02d303a&amp;sid=10022&amp;ppid=84328636&amp;vpid=454563509&amp;ct=offers" TargetMode="External"/><Relationship Id="rId220" Type="http://schemas.openxmlformats.org/officeDocument/2006/relationships/hyperlink" Target="https://www.onsemi.com/pdf/datasheet/fpf2286ucx-d.pdf" TargetMode="External"/><Relationship Id="rId221" Type="http://schemas.openxmlformats.org/officeDocument/2006/relationships/hyperlink" Target="https://octopart.com/click/track?c=1&amp;ai=8078&amp;sig=0ec57a0&amp;sid=459&amp;ppid=91375494&amp;vpid=511220604&amp;ct=offers" TargetMode="External"/><Relationship Id="rId222" Type="http://schemas.openxmlformats.org/officeDocument/2006/relationships/hyperlink" Target="https://octopart.com/click/track?c=1&amp;ai=8078&amp;sig=096c0d3&amp;sid=11744&amp;ppid=91375494&amp;vpid=511860028&amp;ct=offers" TargetMode="External"/><Relationship Id="rId223" Type="http://schemas.openxmlformats.org/officeDocument/2006/relationships/hyperlink" Target="https://octopart.com/click/track?c=1&amp;ai=8078&amp;sig=0feaf97&amp;sid=2401&amp;ppid=91375494&amp;vpid=506790783&amp;ct=offers" TargetMode="External"/><Relationship Id="rId224" Type="http://schemas.openxmlformats.org/officeDocument/2006/relationships/hyperlink" Target="https://octopart.com/click/track?c=1&amp;ai=8078&amp;sig=056ea9e&amp;sid=2402&amp;ppid=91375494&amp;vpid=590382958&amp;ct=offers" TargetMode="External"/><Relationship Id="rId225" Type="http://schemas.openxmlformats.org/officeDocument/2006/relationships/hyperlink" Target="https://octopart.com/click/track?c=1&amp;ai=8078&amp;sig=05325dc&amp;sid=10022&amp;ppid=91375494&amp;vpid=562639823&amp;ct=offers" TargetMode="External"/><Relationship Id="rId226" Type="http://schemas.openxmlformats.org/officeDocument/2006/relationships/hyperlink" Target="https://www.onsemi.com/pdf/datasheet/fpf1048-d.pdf" TargetMode="External"/><Relationship Id="rId227" Type="http://schemas.openxmlformats.org/officeDocument/2006/relationships/hyperlink" Target="https://octopart.com/click/track?ai=8078&amp;sig=09bb9b5&amp;sid=1106&amp;ppid=84327717&amp;vpid=769270123&amp;ct=offers" TargetMode="External"/><Relationship Id="rId228" Type="http://schemas.openxmlformats.org/officeDocument/2006/relationships/hyperlink" Target="https://octopart.com/click/track?c=1&amp;ai=8078&amp;sig=09e01e7&amp;sid=459&amp;ppid=84327717&amp;vpid=452465952&amp;ct=offers" TargetMode="External"/><Relationship Id="rId229" Type="http://schemas.openxmlformats.org/officeDocument/2006/relationships/hyperlink" Target="https://octopart.com/click/track?c=1&amp;ai=8078&amp;sig=02c5fe8&amp;sid=819&amp;ppid=84327717&amp;vpid=611263499&amp;ct=offers" TargetMode="External"/><Relationship Id="rId230" Type="http://schemas.openxmlformats.org/officeDocument/2006/relationships/hyperlink" Target="https://octopart.com/click/track?ai=8078&amp;sig=0ee8727&amp;sid=27971&amp;ppid=84327717&amp;vpid=609063482&amp;ct=offers" TargetMode="External"/><Relationship Id="rId231" Type="http://schemas.openxmlformats.org/officeDocument/2006/relationships/hyperlink" Target="https://octopart.com/click/track?c=1&amp;ai=8078&amp;sig=0eacf48&amp;sid=2401&amp;ppid=84327717&amp;vpid=438583537&amp;ct=offers" TargetMode="External"/><Relationship Id="rId232" Type="http://schemas.openxmlformats.org/officeDocument/2006/relationships/hyperlink" Target="https://octopart.com/click/track?c=1&amp;ai=8078&amp;sig=0807c21&amp;sid=2402&amp;ppid=84327717&amp;vpid=610637249&amp;ct=offers" TargetMode="External"/><Relationship Id="rId233" Type="http://schemas.openxmlformats.org/officeDocument/2006/relationships/hyperlink" Target="https://www.ti.com/lit/gpn/tps22916" TargetMode="External"/><Relationship Id="rId234" Type="http://schemas.openxmlformats.org/officeDocument/2006/relationships/hyperlink" Target="https://octopart.com/click/track?c=1&amp;ai=8078&amp;sig=099c6ba&amp;sid=459&amp;ppid=87252421&amp;vpid=467116903&amp;ct=offers" TargetMode="External"/><Relationship Id="rId235" Type="http://schemas.openxmlformats.org/officeDocument/2006/relationships/hyperlink" Target="https://octopart.com/click/track?c=1&amp;ai=8078&amp;sig=0171477&amp;sid=2401&amp;ppid=87252421&amp;vpid=454164242&amp;ct=offers" TargetMode="External"/><Relationship Id="rId236" Type="http://schemas.openxmlformats.org/officeDocument/2006/relationships/hyperlink" Target="https://www.onsemi.com/pdf/datasheet/fan53610-d.pdf" TargetMode="External"/><Relationship Id="rId237" Type="http://schemas.openxmlformats.org/officeDocument/2006/relationships/hyperlink" Target="https://octopart.com/click/track?ai=8078&amp;sig=0c245ae&amp;sid=1106&amp;ppid=84325215&amp;vpid=485899446&amp;ct=offers" TargetMode="External"/><Relationship Id="rId238" Type="http://schemas.openxmlformats.org/officeDocument/2006/relationships/hyperlink" Target="https://octopart.com/click/track?c=1&amp;ai=8078&amp;sig=0133cb1&amp;sid=459&amp;ppid=84325215&amp;vpid=464288746&amp;ct=offers" TargetMode="External"/><Relationship Id="rId239" Type="http://schemas.openxmlformats.org/officeDocument/2006/relationships/hyperlink" Target="https://octopart.com/click/track?c=1&amp;ai=8078&amp;sig=01dc02d&amp;sid=819&amp;ppid=84325215&amp;vpid=679563145&amp;ct=offers" TargetMode="External"/><Relationship Id="rId240" Type="http://schemas.openxmlformats.org/officeDocument/2006/relationships/hyperlink" Target="https://octopart.com/click/track?ai=8078&amp;sig=0cd4b7e&amp;sid=2401&amp;ppid=84325215&amp;vpid=438581143&amp;ct=offers" TargetMode="External"/><Relationship Id="rId241" Type="http://schemas.openxmlformats.org/officeDocument/2006/relationships/hyperlink" Target="https://octopart.com/click/track?c=1&amp;ai=8078&amp;sig=0acfbe8&amp;sid=2402&amp;ppid=84325215&amp;vpid=751179144&amp;ct=offers" TargetMode="External"/><Relationship Id="rId242" Type="http://schemas.openxmlformats.org/officeDocument/2006/relationships/hyperlink" Target="https://www.onsemi.com/pdf/datasheet/fpf2495c-d.pdf" TargetMode="External"/><Relationship Id="rId243" Type="http://schemas.openxmlformats.org/officeDocument/2006/relationships/hyperlink" Target="https://octopart.com/click/track?c=1&amp;ai=8078&amp;sig=0258ff5&amp;sid=459&amp;ppid=87879001&amp;vpid=618645641&amp;ct=offers" TargetMode="External"/><Relationship Id="rId244" Type="http://schemas.openxmlformats.org/officeDocument/2006/relationships/hyperlink" Target="https://octopart.com/click/track?c=1&amp;ai=8078&amp;sig=045ebf5&amp;sid=819&amp;ppid=87879001&amp;vpid=653860846&amp;ct=offers" TargetMode="External"/><Relationship Id="rId245" Type="http://schemas.openxmlformats.org/officeDocument/2006/relationships/hyperlink" Target="https://octopart.com/click/track?ai=8078&amp;sig=0b9b1be&amp;sid=2401&amp;ppid=87879001&amp;vpid=653124313&amp;ct=offers" TargetMode="External"/><Relationship Id="rId246" Type="http://schemas.openxmlformats.org/officeDocument/2006/relationships/hyperlink" Target="https://octopart.com/click/track?c=1&amp;ai=8078&amp;sig=07821a4&amp;sid=2402&amp;ppid=87879001&amp;vpid=655845831&amp;ct=offers" TargetMode="External"/><Relationship Id="rId247" Type="http://schemas.openxmlformats.org/officeDocument/2006/relationships/hyperlink" Target="https://octopart.com/click/track?ai=8078&amp;sig=000ed7a&amp;sid=10022&amp;ppid=87879001&amp;vpid=693995979&amp;ct=offers" TargetMode="External"/><Relationship Id="rId248" Type="http://schemas.openxmlformats.org/officeDocument/2006/relationships/hyperlink" Target="https://www.onsemi.com/pdf/datasheet/fan53611-d.pdf" TargetMode="External"/><Relationship Id="rId249" Type="http://schemas.openxmlformats.org/officeDocument/2006/relationships/hyperlink" Target="https://octopart.com/click/track?c=1&amp;ai=8078&amp;sig=00a3ef4&amp;sid=459&amp;ppid=84325219&amp;vpid=452460614&amp;ct=offers" TargetMode="External"/><Relationship Id="rId250" Type="http://schemas.openxmlformats.org/officeDocument/2006/relationships/hyperlink" Target="https://octopart.com/click/track?c=1&amp;ai=8078&amp;sig=0322fec&amp;sid=819&amp;ppid=84325219&amp;vpid=679563149&amp;ct=offers" TargetMode="External"/><Relationship Id="rId251" Type="http://schemas.openxmlformats.org/officeDocument/2006/relationships/hyperlink" Target="https://octopart.com/click/track?ai=8078&amp;sig=0f11796&amp;sid=2401&amp;ppid=84325219&amp;vpid=438581147&amp;ct=offers" TargetMode="External"/><Relationship Id="rId252" Type="http://schemas.openxmlformats.org/officeDocument/2006/relationships/hyperlink" Target="https://octopart.com/click/track?c=1&amp;ai=8078&amp;sig=09ad02c&amp;sid=2402&amp;ppid=84325219&amp;vpid=760040915&amp;ct=offers" TargetMode="External"/><Relationship Id="rId253" Type="http://schemas.openxmlformats.org/officeDocument/2006/relationships/hyperlink" Target="https://www.onsemi.com/pdf/datasheet/ncp163-d.pdf" TargetMode="External"/><Relationship Id="rId254" Type="http://schemas.openxmlformats.org/officeDocument/2006/relationships/hyperlink" Target="https://octopart.com/click/track?c=1&amp;ai=8078&amp;sig=018b5ac&amp;sid=459&amp;ppid=85189370&amp;vpid=784480812&amp;ct=offers" TargetMode="External"/><Relationship Id="rId255" Type="http://schemas.openxmlformats.org/officeDocument/2006/relationships/hyperlink" Target="https://octopart.com/click/track?c=1&amp;ai=8078&amp;sig=05d5745&amp;sid=819&amp;ppid=85189370&amp;vpid=679567311&amp;ct=offers" TargetMode="External"/><Relationship Id="rId256" Type="http://schemas.openxmlformats.org/officeDocument/2006/relationships/hyperlink" Target="https://octopart.com/click/track?ai=8078&amp;sig=0203d55&amp;sid=2401&amp;ppid=85189370&amp;vpid=458432971&amp;ct=offers" TargetMode="External"/><Relationship Id="rId257" Type="http://schemas.openxmlformats.org/officeDocument/2006/relationships/hyperlink" Target="https://octopart.com/click/track?c=1&amp;ai=8078&amp;sig=02e0072&amp;sid=2402&amp;ppid=85189370&amp;vpid=508722815&amp;ct=offers" TargetMode="External"/><Relationship Id="rId258" Type="http://schemas.openxmlformats.org/officeDocument/2006/relationships/hyperlink" Target="https://www.onsemi.com/pdf/datasheet/ncp163-d.pdf" TargetMode="External"/><Relationship Id="rId259" Type="http://schemas.openxmlformats.org/officeDocument/2006/relationships/hyperlink" Target="https://octopart.com/click/track?ai=8078&amp;sig=09424d8&amp;sid=1106&amp;ppid=92004806&amp;vpid=769271347&amp;ct=offers" TargetMode="External"/><Relationship Id="rId260" Type="http://schemas.openxmlformats.org/officeDocument/2006/relationships/hyperlink" Target="https://octopart.com/click/track?c=1&amp;ai=8078&amp;sig=00254e7&amp;sid=459&amp;ppid=92004806&amp;vpid=511220914&amp;ct=offers" TargetMode="External"/><Relationship Id="rId261" Type="http://schemas.openxmlformats.org/officeDocument/2006/relationships/hyperlink" Target="https://octopart.com/click/track?c=1&amp;ai=8078&amp;sig=0b7f20b&amp;sid=819&amp;ppid=92004806&amp;vpid=521259751&amp;ct=offers" TargetMode="External"/><Relationship Id="rId262" Type="http://schemas.openxmlformats.org/officeDocument/2006/relationships/hyperlink" Target="https://octopart.com/click/track?ai=8078&amp;sig=0566863&amp;sid=2401&amp;ppid=92004806&amp;vpid=506790883&amp;ct=offers" TargetMode="External"/><Relationship Id="rId263" Type="http://schemas.openxmlformats.org/officeDocument/2006/relationships/hyperlink" Target="https://octopart.com/click/track?c=1&amp;ai=8078&amp;sig=04865c9&amp;sid=2402&amp;ppid=92004806&amp;vpid=578977745&amp;ct=offers" TargetMode="External"/><Relationship Id="rId264" Type="http://schemas.openxmlformats.org/officeDocument/2006/relationships/hyperlink" Target="https://octopart.com/click/track?ai=8078&amp;sig=0843d13&amp;sid=10022&amp;ppid=92004806&amp;vpid=562641117&amp;ct=offers" TargetMode="External"/><Relationship Id="rId265" Type="http://schemas.openxmlformats.org/officeDocument/2006/relationships/hyperlink" Target="https://octopart.com/click/track?ai=8078&amp;sig=0a8f43a&amp;sid=1532&amp;ppid=92004806&amp;vpid=780042467&amp;ct=offers" TargetMode="External"/><Relationship Id="rId266" Type="http://schemas.openxmlformats.org/officeDocument/2006/relationships/hyperlink" Target="https://www.onsemi.com/pdf/datasheet/ncp163-d.pdf" TargetMode="External"/><Relationship Id="rId267" Type="http://schemas.openxmlformats.org/officeDocument/2006/relationships/hyperlink" Target="https://octopart.com/click/track?c=1&amp;ai=8078&amp;sig=050a486&amp;sid=459&amp;ppid=76379052&amp;vpid=417229430&amp;ct=offers" TargetMode="External"/><Relationship Id="rId268" Type="http://schemas.openxmlformats.org/officeDocument/2006/relationships/hyperlink" Target="https://octopart.com/click/track?c=1&amp;ai=8078&amp;sig=0fbce63&amp;sid=11744&amp;ppid=76379052&amp;vpid=424030195&amp;ct=offers" TargetMode="External"/><Relationship Id="rId269" Type="http://schemas.openxmlformats.org/officeDocument/2006/relationships/hyperlink" Target="https://octopart.com/click/track?c=1&amp;ai=8078&amp;sig=0fba8ff&amp;sid=2401&amp;ppid=76379052&amp;vpid=416169735&amp;ct=offers" TargetMode="External"/><Relationship Id="rId270" Type="http://schemas.openxmlformats.org/officeDocument/2006/relationships/hyperlink" Target="https://octopart.com/click/track?c=1&amp;ai=8078&amp;sig=0dd8c06&amp;sid=2402&amp;ppid=76379052&amp;vpid=432952010&amp;ct=offers" TargetMode="External"/><Relationship Id="rId271" Type="http://schemas.openxmlformats.org/officeDocument/2006/relationships/hyperlink" Target="https://octopart.com/click/track?c=1&amp;ai=8078&amp;sig=057c326&amp;sid=10022&amp;ppid=76379052&amp;vpid=501211165&amp;ct=offers" TargetMode="External"/><Relationship Id="rId272" Type="http://schemas.openxmlformats.org/officeDocument/2006/relationships/hyperlink" Target="https://www.ti.com/lit/ds/symlink/sn74cbt16211a.pdf" TargetMode="External"/><Relationship Id="rId273" Type="http://schemas.openxmlformats.org/officeDocument/2006/relationships/hyperlink" Target="https://octopart.com/click/track?ai=8078&amp;sig=0c6c25b&amp;sid=459&amp;ppid=472602&amp;vpid=1179239&amp;ct=offers" TargetMode="External"/><Relationship Id="rId274" Type="http://schemas.openxmlformats.org/officeDocument/2006/relationships/hyperlink" Target="https://octopart.com/click/track?ai=8078&amp;sig=0cbb348&amp;sid=2401&amp;ppid=472602&amp;vpid=165578678&amp;ct=offers" TargetMode="External"/><Relationship Id="rId275" Type="http://schemas.openxmlformats.org/officeDocument/2006/relationships/hyperlink" Target="https://www.winbond.com/resource-files/W957x8MFYA_128Mb_HyperRAM_TFBGA24_DDP_datasheet_A01-001_20200903.pdf" TargetMode="External"/><Relationship Id="rId276" Type="http://schemas.openxmlformats.org/officeDocument/2006/relationships/hyperlink" Target="https://octopart.com/click/track?ai=8078&amp;sig=01fd446&amp;sid=1106&amp;ppid=109011156&amp;vpid=663766788&amp;ct=offers" TargetMode="External"/><Relationship Id="rId277" Type="http://schemas.openxmlformats.org/officeDocument/2006/relationships/hyperlink" Target="https://octopart.com/click/track?c=1&amp;ai=8078&amp;sig=0aee877&amp;sid=459&amp;ppid=109011156&amp;vpid=756029463&amp;ct=offers" TargetMode="External"/><Relationship Id="rId278" Type="http://schemas.openxmlformats.org/officeDocument/2006/relationships/hyperlink" Target="https://www.winbond.com/resource-files/W25Q128JV%20RevI%2008232021%20Plus.pdf" TargetMode="External"/><Relationship Id="rId279" Type="http://schemas.openxmlformats.org/officeDocument/2006/relationships/hyperlink" Target="https://octopart.com/click/track?ai=8078&amp;sig=074beb7&amp;sid=1106&amp;ppid=81762594&amp;vpid=486419345&amp;ct=offers" TargetMode="External"/><Relationship Id="rId280" Type="http://schemas.openxmlformats.org/officeDocument/2006/relationships/hyperlink" Target="https://octopart.com/click/track?ai=8078&amp;sig=0c22e88&amp;sid=459&amp;ppid=81762594&amp;vpid=420816932&amp;ct=offers" TargetMode="External"/><Relationship Id="rId281" Type="http://schemas.openxmlformats.org/officeDocument/2006/relationships/hyperlink" Target="https://www.nxp.com/docs/en/data-sheet/SGTL5000.pdf" TargetMode="External"/><Relationship Id="rId282" Type="http://schemas.openxmlformats.org/officeDocument/2006/relationships/hyperlink" Target="https://octopart.com/click/track?c=1&amp;ai=8078&amp;sig=0e67bb5&amp;sid=459&amp;ppid=70302733&amp;vpid=248305906&amp;ct=offers" TargetMode="External"/><Relationship Id="rId283" Type="http://schemas.openxmlformats.org/officeDocument/2006/relationships/hyperlink" Target="https://octopart.com/click/track?c=1&amp;ai=8078&amp;sig=090de4c&amp;sid=819&amp;ppid=70302733&amp;vpid=247821581&amp;ct=offers" TargetMode="External"/><Relationship Id="rId284" Type="http://schemas.openxmlformats.org/officeDocument/2006/relationships/hyperlink" Target="https://octopart.com/click/track?c=1&amp;ai=8078&amp;sig=047f522&amp;sid=2401&amp;ppid=70302733&amp;vpid=251555959&amp;ct=offers" TargetMode="External"/><Relationship Id="rId285" Type="http://schemas.openxmlformats.org/officeDocument/2006/relationships/hyperlink" Target="https://octopart.com/click/track?c=1&amp;ai=8078&amp;sig=00417c4&amp;sid=2402&amp;ppid=70302733&amp;vpid=270421497&amp;ct=offers" TargetMode="External"/><Relationship Id="rId286" Type="http://schemas.openxmlformats.org/officeDocument/2006/relationships/hyperlink" Target="https://www.arrow.com/en/bom-tool/" TargetMode="External"/><Relationship Id="rId287" Type="http://schemas.openxmlformats.org/officeDocument/2006/relationships/hyperlink" Target="https://www.digikey.com/ordering/shoppingcart" TargetMode="External"/><Relationship Id="rId288" Type="http://schemas.openxmlformats.org/officeDocument/2006/relationships/hyperlink" Target="https://fr.farnell.com/en-FR/quick-order?isQuickPaste=true" TargetMode="External"/><Relationship Id="rId289" Type="http://schemas.openxmlformats.org/officeDocument/2006/relationships/hyperlink" Target="https://lcsc.com/bom.html" TargetMode="External"/><Relationship Id="rId290" Type="http://schemas.openxmlformats.org/officeDocument/2006/relationships/hyperlink" Target="https://mouser.com/bom/" TargetMode="External"/><Relationship Id="rId291" Type="http://schemas.openxmlformats.org/officeDocument/2006/relationships/hyperlink" Target="https://www.newark.com/quick-order?isQuickPaste=true" TargetMode="External"/><Relationship Id="rId292" Type="http://schemas.openxmlformats.org/officeDocument/2006/relationships/hyperlink" Target="https://uk.rs-online.com/web/mylists/manualQuotes.html?method=showEnquiryCreationPage&amp;mode=new" TargetMode="External"/><Relationship Id="rId293" Type="http://schemas.openxmlformats.org/officeDocument/2006/relationships/hyperlink" Target="https://www.tme.eu/en/Profile/QuickBuy/load.html" TargetMode="External"/><Relationship Id="rId294" Type="http://schemas.openxmlformats.org/officeDocument/2006/relationships/vmlDrawing" Target="../drawings/vmlDrawing1.vml"/><Relationship Id="rId29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69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9.7109375" customWidth="1"/>
    <col min="3" max="3" width="33.7109375" customWidth="1" outlineLevel="2"/>
    <col min="4" max="4" width="33.7109375" customWidth="1"/>
    <col min="5" max="5" width="33.7109375" customWidth="1" outlineLevel="2"/>
    <col min="6" max="6" width="12.7109375" customWidth="1" outlineLevel="1"/>
    <col min="7" max="7" width="21.7109375" customWidth="1" outlineLevel="1"/>
    <col min="8" max="8" width="9.140625" outlineLevel="1"/>
    <col min="9" max="9" width="22.7109375" customWidth="1"/>
    <col min="10" max="10" width="16.7109375" customWidth="1"/>
    <col min="11" max="11" width="9.7109375" customWidth="1" outlineLevel="1"/>
    <col min="12" max="12" width="9.140625" outlineLevel="2"/>
    <col min="13" max="13" width="10.7109375" customWidth="1" outlineLevel="2"/>
    <col min="14" max="14" width="0" hidden="1" customWidth="1" outlineLevel="3" collapsed="1"/>
    <col min="15" max="15" width="16.7109375" customWidth="1"/>
    <col min="16" max="16" width="19.7109375" customWidth="1" outlineLevel="2"/>
    <col min="17" max="17" width="9.7109375" customWidth="1" outlineLevel="1"/>
    <col min="18" max="18" width="9.140625" outlineLevel="2"/>
    <col min="19" max="19" width="10.7109375" customWidth="1" outlineLevel="2"/>
    <col min="20" max="20" width="0" hidden="1" customWidth="1" outlineLevel="3" collapsed="1"/>
    <col min="21" max="21" width="16.7109375" customWidth="1"/>
    <col min="22" max="22" width="28.7109375" customWidth="1" outlineLevel="2"/>
    <col min="23" max="23" width="9.7109375" customWidth="1" outlineLevel="1"/>
    <col min="24" max="24" width="9.140625" outlineLevel="2"/>
    <col min="25" max="25" width="10.7109375" customWidth="1" outlineLevel="2"/>
    <col min="26" max="26" width="0" hidden="1" customWidth="1" outlineLevel="3" collapsed="1"/>
    <col min="27" max="27" width="16.7109375" customWidth="1"/>
    <col min="28" max="28" width="16.7109375" customWidth="1" outlineLevel="2"/>
    <col min="29" max="29" width="9.7109375" customWidth="1" outlineLevel="1"/>
    <col min="30" max="30" width="9.140625" outlineLevel="2"/>
    <col min="31" max="31" width="10.7109375" customWidth="1" outlineLevel="2"/>
    <col min="32" max="32" width="0" hidden="1" customWidth="1" outlineLevel="3" collapsed="1"/>
    <col min="33" max="33" width="16.7109375" customWidth="1"/>
    <col min="34" max="34" width="16.7109375" customWidth="1" outlineLevel="2"/>
    <col min="35" max="35" width="9.7109375" customWidth="1" outlineLevel="1"/>
    <col min="36" max="36" width="9.140625" outlineLevel="2"/>
    <col min="37" max="37" width="10.7109375" customWidth="1" outlineLevel="2"/>
    <col min="38" max="38" width="0" hidden="1" customWidth="1" outlineLevel="3" collapsed="1"/>
    <col min="39" max="39" width="16.7109375" customWidth="1"/>
    <col min="40" max="40" width="20.7109375" customWidth="1" outlineLevel="2"/>
    <col min="41" max="41" width="9.7109375" customWidth="1" outlineLevel="1"/>
    <col min="42" max="42" width="9.140625" outlineLevel="2"/>
    <col min="43" max="43" width="10.7109375" customWidth="1" outlineLevel="2"/>
    <col min="44" max="44" width="0" hidden="1" customWidth="1" outlineLevel="3" collapsed="1"/>
    <col min="45" max="45" width="16.7109375" customWidth="1"/>
    <col min="46" max="46" width="16.7109375" customWidth="1" outlineLevel="2"/>
    <col min="47" max="47" width="9.7109375" customWidth="1" outlineLevel="1"/>
    <col min="48" max="48" width="9.140625" outlineLevel="2"/>
    <col min="49" max="49" width="10.7109375" customWidth="1" outlineLevel="2"/>
    <col min="50" max="50" width="0" hidden="1" customWidth="1" outlineLevel="3" collapsed="1"/>
    <col min="51" max="51" width="16.7109375" customWidth="1"/>
    <col min="52" max="52" width="16.7109375" customWidth="1" outlineLevel="2"/>
    <col min="53" max="53" width="9.7109375" customWidth="1" outlineLevel="1"/>
    <col min="54" max="54" width="9.140625" outlineLevel="2"/>
    <col min="55" max="55" width="10.7109375" customWidth="1" outlineLevel="2"/>
    <col min="56" max="56" width="0" hidden="1" customWidth="1" outlineLevel="3" collapsed="1"/>
    <col min="57" max="57" width="16.7109375" customWidth="1"/>
    <col min="58" max="58" width="19.7109375" customWidth="1" outlineLevel="2"/>
  </cols>
  <sheetData>
    <row r="1" spans="1:58">
      <c r="A1" s="1" t="s">
        <v>491</v>
      </c>
      <c r="B1" s="2" t="s">
        <v>492</v>
      </c>
      <c r="I1" s="3" t="s">
        <v>497</v>
      </c>
      <c r="J1" s="3">
        <v>100</v>
      </c>
    </row>
    <row r="2" spans="1:58">
      <c r="A2" s="1" t="s">
        <v>493</v>
      </c>
      <c r="B2" s="2" t="s">
        <v>494</v>
      </c>
      <c r="I2" s="1" t="s">
        <v>499</v>
      </c>
      <c r="J2" s="4">
        <f>TotalCost/BoardQty</f>
        <v>45.3792</v>
      </c>
    </row>
    <row r="3" spans="1:58">
      <c r="A3" s="1" t="s">
        <v>495</v>
      </c>
      <c r="B3" s="2" t="s">
        <v>496</v>
      </c>
      <c r="I3" s="1" t="s">
        <v>498</v>
      </c>
      <c r="J3" s="5">
        <f>SUM(J7:J59)</f>
        <v>4537.9228</v>
      </c>
      <c r="O3" s="5">
        <f>SUM(O7:O59)</f>
        <v>1050.41</v>
      </c>
      <c r="P3" s="6" t="str">
        <f>(COUNTA(O7:O59)&amp;" of "&amp;ROWS(O7:O59)&amp;" parts found")</f>
        <v>20 of 53 parts found</v>
      </c>
      <c r="U3" s="5">
        <f>SUM(U7:U59)</f>
        <v>3139.418</v>
      </c>
      <c r="V3" s="6" t="str">
        <f>(COUNTA(U7:U59)&amp;" of "&amp;ROWS(U7:U59)&amp;" parts found")</f>
        <v>52 of 53 parts found</v>
      </c>
      <c r="AA3" s="5">
        <f>SUM(AA7:AA59)</f>
        <v>1449.3897</v>
      </c>
      <c r="AB3" s="6" t="str">
        <f>(COUNTA(AA7:AA59)&amp;" of "&amp;ROWS(AA7:AA59)&amp;" parts found")</f>
        <v>38 of 53 parts found</v>
      </c>
      <c r="AG3" s="5">
        <f>SUM(AG7:AG59)</f>
        <v>237.41</v>
      </c>
      <c r="AH3" s="6" t="str">
        <f>(COUNTA(AG7:AG59)&amp;" of "&amp;ROWS(AG7:AG59)&amp;" parts found")</f>
        <v>15 of 53 parts found</v>
      </c>
      <c r="AM3" s="5">
        <f>SUM(AM7:AM59)</f>
        <v>2533.4</v>
      </c>
      <c r="AN3" s="6" t="str">
        <f>(COUNTA(AM7:AM59)&amp;" of "&amp;ROWS(AM7:AM59)&amp;" parts found")</f>
        <v>46 of 53 parts found</v>
      </c>
      <c r="AS3" s="5">
        <f>SUM(AS7:AS59)</f>
        <v>3015.1</v>
      </c>
      <c r="AT3" s="6" t="str">
        <f>(COUNTA(AS7:AS59)&amp;" of "&amp;ROWS(AS7:AS59)&amp;" parts found")</f>
        <v>39 of 53 parts found</v>
      </c>
      <c r="AY3" s="5">
        <f>SUM(AY7:AY59)</f>
        <v>321.1915</v>
      </c>
      <c r="AZ3" s="6" t="str">
        <f>(COUNTA(AY7:AY59)&amp;" of "&amp;ROWS(AY7:AY59)&amp;" parts found")</f>
        <v>18 of 53 parts found</v>
      </c>
      <c r="BE3" s="5">
        <f>SUM(BE7:BE59)</f>
        <v>61.5643</v>
      </c>
      <c r="BF3" s="6" t="str">
        <f>(COUNTA(BE7:BE59)&amp;" of "&amp;ROWS(BE7:BE59)&amp;" parts found")</f>
        <v>4 of 53 parts found</v>
      </c>
    </row>
    <row r="4" spans="1:58">
      <c r="A4" s="1" t="s">
        <v>500</v>
      </c>
      <c r="B4" s="2" t="s">
        <v>501</v>
      </c>
    </row>
    <row r="5" spans="1:58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8" t="s">
        <v>267</v>
      </c>
      <c r="L5" s="8"/>
      <c r="M5" s="8"/>
      <c r="N5" s="8"/>
      <c r="O5" s="8"/>
      <c r="P5" s="8"/>
      <c r="Q5" s="9" t="s">
        <v>276</v>
      </c>
      <c r="R5" s="9"/>
      <c r="S5" s="9"/>
      <c r="T5" s="9"/>
      <c r="U5" s="9"/>
      <c r="V5" s="9"/>
      <c r="W5" s="10" t="s">
        <v>329</v>
      </c>
      <c r="X5" s="10"/>
      <c r="Y5" s="10"/>
      <c r="Z5" s="10"/>
      <c r="AA5" s="10"/>
      <c r="AB5" s="10"/>
      <c r="AC5" s="11" t="s">
        <v>367</v>
      </c>
      <c r="AD5" s="11"/>
      <c r="AE5" s="11"/>
      <c r="AF5" s="11"/>
      <c r="AG5" s="11"/>
      <c r="AH5" s="11"/>
      <c r="AI5" s="12" t="s">
        <v>382</v>
      </c>
      <c r="AJ5" s="12"/>
      <c r="AK5" s="12"/>
      <c r="AL5" s="12"/>
      <c r="AM5" s="12"/>
      <c r="AN5" s="12"/>
      <c r="AO5" s="13" t="s">
        <v>428</v>
      </c>
      <c r="AP5" s="13"/>
      <c r="AQ5" s="13"/>
      <c r="AR5" s="13"/>
      <c r="AS5" s="13"/>
      <c r="AT5" s="13"/>
      <c r="AU5" s="14" t="s">
        <v>467</v>
      </c>
      <c r="AV5" s="14"/>
      <c r="AW5" s="14"/>
      <c r="AX5" s="14"/>
      <c r="AY5" s="14"/>
      <c r="AZ5" s="14"/>
      <c r="BA5" s="15" t="s">
        <v>485</v>
      </c>
      <c r="BB5" s="15"/>
      <c r="BC5" s="15"/>
      <c r="BD5" s="15"/>
      <c r="BE5" s="15"/>
      <c r="BF5" s="15"/>
    </row>
    <row r="6" spans="1:58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268</v>
      </c>
      <c r="L6" s="16" t="s">
        <v>269</v>
      </c>
      <c r="M6" s="16" t="s">
        <v>9</v>
      </c>
      <c r="N6" s="16" t="s">
        <v>270</v>
      </c>
      <c r="O6" s="16" t="s">
        <v>10</v>
      </c>
      <c r="P6" s="16" t="s">
        <v>271</v>
      </c>
      <c r="Q6" s="16" t="s">
        <v>268</v>
      </c>
      <c r="R6" s="16" t="s">
        <v>269</v>
      </c>
      <c r="S6" s="16" t="s">
        <v>9</v>
      </c>
      <c r="T6" s="16" t="s">
        <v>270</v>
      </c>
      <c r="U6" s="16" t="s">
        <v>10</v>
      </c>
      <c r="V6" s="16" t="s">
        <v>271</v>
      </c>
      <c r="W6" s="16" t="s">
        <v>268</v>
      </c>
      <c r="X6" s="16" t="s">
        <v>269</v>
      </c>
      <c r="Y6" s="16" t="s">
        <v>9</v>
      </c>
      <c r="Z6" s="16" t="s">
        <v>270</v>
      </c>
      <c r="AA6" s="16" t="s">
        <v>10</v>
      </c>
      <c r="AB6" s="16" t="s">
        <v>271</v>
      </c>
      <c r="AC6" s="16" t="s">
        <v>268</v>
      </c>
      <c r="AD6" s="16" t="s">
        <v>269</v>
      </c>
      <c r="AE6" s="16" t="s">
        <v>9</v>
      </c>
      <c r="AF6" s="16" t="s">
        <v>270</v>
      </c>
      <c r="AG6" s="16" t="s">
        <v>10</v>
      </c>
      <c r="AH6" s="16" t="s">
        <v>271</v>
      </c>
      <c r="AI6" s="16" t="s">
        <v>268</v>
      </c>
      <c r="AJ6" s="16" t="s">
        <v>269</v>
      </c>
      <c r="AK6" s="16" t="s">
        <v>9</v>
      </c>
      <c r="AL6" s="16" t="s">
        <v>270</v>
      </c>
      <c r="AM6" s="16" t="s">
        <v>10</v>
      </c>
      <c r="AN6" s="16" t="s">
        <v>271</v>
      </c>
      <c r="AO6" s="16" t="s">
        <v>268</v>
      </c>
      <c r="AP6" s="16" t="s">
        <v>269</v>
      </c>
      <c r="AQ6" s="16" t="s">
        <v>9</v>
      </c>
      <c r="AR6" s="16" t="s">
        <v>270</v>
      </c>
      <c r="AS6" s="16" t="s">
        <v>10</v>
      </c>
      <c r="AT6" s="16" t="s">
        <v>271</v>
      </c>
      <c r="AU6" s="16" t="s">
        <v>268</v>
      </c>
      <c r="AV6" s="16" t="s">
        <v>269</v>
      </c>
      <c r="AW6" s="16" t="s">
        <v>9</v>
      </c>
      <c r="AX6" s="16" t="s">
        <v>270</v>
      </c>
      <c r="AY6" s="16" t="s">
        <v>10</v>
      </c>
      <c r="AZ6" s="16" t="s">
        <v>271</v>
      </c>
      <c r="BA6" s="16" t="s">
        <v>268</v>
      </c>
      <c r="BB6" s="16" t="s">
        <v>269</v>
      </c>
      <c r="BC6" s="16" t="s">
        <v>9</v>
      </c>
      <c r="BD6" s="16" t="s">
        <v>270</v>
      </c>
      <c r="BE6" s="16" t="s">
        <v>10</v>
      </c>
      <c r="BF6" s="16" t="s">
        <v>271</v>
      </c>
    </row>
    <row r="7" spans="1:58" ht="135" customHeight="1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>
        <f>CEILING(BoardQty*22.0,1)</f>
        <v>2200</v>
      </c>
      <c r="I7" s="18">
        <f>IF(MIN(M7,S7,Y7,AE7,AK7,AQ7,AW7,BC7)&lt;&gt;0,MIN(M7,S7,Y7,AE7,AK7,AQ7,AW7,BC7),"")</f>
        <v>0.0264</v>
      </c>
      <c r="J7" s="19">
        <f>IF(AND(ISNUMBER(H7),ISNUMBER(I7)),H7*I7,"")</f>
        <v>58.08</v>
      </c>
      <c r="Q7" s="17">
        <v>28400</v>
      </c>
      <c r="R7" s="17"/>
      <c r="S7" s="18">
        <f>IFERROR(IF(OR(R7&gt;=T7,H7&gt;=T7),LOOKUP(IF(R7="",H7,R7),{0,1,10,50,100,500,1000,2500,5000,15000,30000,75000,150000},{0.0,0.18,0.124,0.0742,0.0627,0.0429,0.03795,0.0363,0.033,0.0297,0.02805,0.0264,0.02195}),"MOQ="&amp;T7),"")</f>
        <v>0.03795</v>
      </c>
      <c r="T7" s="17">
        <v>1</v>
      </c>
      <c r="U7" s="19">
        <f>IFERROR(IF(R7="",H7,R7)*S7,"")</f>
        <v>83.49</v>
      </c>
      <c r="V7" s="17" t="s">
        <v>277</v>
      </c>
      <c r="AC7" s="17">
        <v>12520</v>
      </c>
      <c r="AD7" s="17"/>
      <c r="AE7" s="18">
        <f>IFERROR(IF(OR(AD7&gt;=AF7,H7&gt;=AF7),LOOKUP(IF(AD7="",H7,AD7),{0,1,10,100,300,1000,5000,10000},{0.0,0.0444,0.0444,0.0367,0.0311,0.0264,0.0257,0.0253}),"MOQ="&amp;AF7),"")</f>
        <v>0.0264</v>
      </c>
      <c r="AF7" s="17">
        <v>10</v>
      </c>
      <c r="AG7" s="19">
        <f>IFERROR(IF(AD7="",H7,AD7)*AE7,"")</f>
        <v>58.08</v>
      </c>
      <c r="AH7" s="17" t="s">
        <v>368</v>
      </c>
      <c r="AI7" s="17">
        <v>670</v>
      </c>
      <c r="AJ7" s="17"/>
      <c r="AK7" s="18">
        <f>IFERROR(IF(OR(AJ7&gt;=AL7,H7&gt;=AL7),LOOKUP(IF(AJ7="",H7,AJ7),{0,1,10,50,100,1000,10000},{0.0,0.21,0.142,0.142,0.072,0.044,0.03}),"MOQ="&amp;AL7),"")</f>
        <v>0.044</v>
      </c>
      <c r="AL7" s="17">
        <v>1</v>
      </c>
      <c r="AM7" s="19">
        <f>IFERROR(IF(AJ7="",H7,AJ7)*AK7,"")</f>
        <v>96.8</v>
      </c>
      <c r="AN7" s="17" t="s">
        <v>383</v>
      </c>
    </row>
    <row r="8" spans="1:58">
      <c r="A8" s="17" t="s">
        <v>18</v>
      </c>
      <c r="B8" s="17" t="s">
        <v>19</v>
      </c>
      <c r="C8" s="17" t="s">
        <v>20</v>
      </c>
      <c r="E8" s="17" t="s">
        <v>15</v>
      </c>
      <c r="F8" s="17" t="s">
        <v>16</v>
      </c>
      <c r="G8" s="17" t="s">
        <v>21</v>
      </c>
      <c r="H8" s="17">
        <f>CEILING(BoardQty*6.0,1)</f>
        <v>600</v>
      </c>
      <c r="I8" s="18">
        <f>IF(MIN(M8,S8,Y8,AE8,AK8,AQ8,AW8,BC8)&lt;&gt;0,MIN(M8,S8,Y8,AE8,AK8,AQ8,AW8,BC8),"")</f>
        <v>0.002</v>
      </c>
      <c r="J8" s="19">
        <f>IF(AND(ISNUMBER(H8),ISNUMBER(I8)),H8*I8,"")</f>
        <v>1.2</v>
      </c>
      <c r="K8" s="17">
        <v>6210000</v>
      </c>
      <c r="L8" s="17"/>
      <c r="M8" s="18">
        <f>IFERROR(IF(OR(L8&gt;=N8,H8&gt;=N8),LOOKUP(IF(L8="",H8,L8),{0,1,15000},{0.0,0.0036,0.0036}),"MOQ="&amp;N8),"")</f>
        <v/>
      </c>
      <c r="N8" s="17">
        <v>15000</v>
      </c>
      <c r="O8" s="19">
        <f>IFERROR(IF(L8="",H8,L8)*M8,"")</f>
        <v/>
      </c>
      <c r="P8" s="17" t="s">
        <v>21</v>
      </c>
      <c r="Q8" s="17">
        <v>33044985</v>
      </c>
      <c r="R8" s="17"/>
      <c r="S8" s="18">
        <f>IFERROR(IF(OR(R8&gt;=T8,H8&gt;=T8),LOOKUP(IF(R8="",H8,R8),{0,1,10,50,100,500,1000,2500,5000,15000,30000,75000,150000},{0.0,0.1,0.02,0.011,0.009,0.00642,0.00505,0.00459,0.00423,0.00367,0.00349,0.00312,0.00244}),"MOQ="&amp;T8),"")</f>
        <v>0.00642</v>
      </c>
      <c r="T8" s="17">
        <v>1</v>
      </c>
      <c r="U8" s="19">
        <f>IFERROR(IF(R8="",H8,R8)*S8,"")</f>
        <v>3.852</v>
      </c>
      <c r="V8" s="17" t="s">
        <v>278</v>
      </c>
      <c r="W8" s="17">
        <v>152611</v>
      </c>
      <c r="X8" s="17"/>
      <c r="Y8" s="18">
        <f>IFERROR(IF(OR(X8&gt;=Z8,H8&gt;=Z8),USD_GBP*LOOKUP(IF(X8="",H8,X8),{0,1,10,100,500,2500,7500,15000,75000},{0.0,0.0399,0.0399,0.0391,0.0384,0.0375,0.0367,0.036,0.0353}),"MOQ="&amp;Z8),"")</f>
        <v>0.05038297872340426</v>
      </c>
      <c r="Z8" s="17">
        <v>10</v>
      </c>
      <c r="AA8" s="19">
        <f>IFERROR(IF(X8="",H8,X8)*Y8,"")</f>
        <v>30.2298</v>
      </c>
      <c r="AB8" s="17" t="s">
        <v>330</v>
      </c>
      <c r="AC8" s="17">
        <v>2631400</v>
      </c>
      <c r="AD8" s="17"/>
      <c r="AE8" s="18">
        <f>IFERROR(IF(OR(AD8&gt;=AF8,H8&gt;=AF8),LOOKUP(IF(AD8="",H8,AD8),{0,1,100,1000,3000,10000,50000,100000},{0.0,0.002,0.002,0.0016,0.0013,0.0011,0.0011,0.0011}),"MOQ="&amp;AF8),"")</f>
        <v>0.002</v>
      </c>
      <c r="AF8" s="17">
        <v>100</v>
      </c>
      <c r="AG8" s="19">
        <f>IFERROR(IF(AD8="",H8,AD8)*AE8,"")</f>
        <v>1.2</v>
      </c>
      <c r="AH8" s="17" t="s">
        <v>369</v>
      </c>
      <c r="AI8" s="17">
        <v>6486487</v>
      </c>
      <c r="AJ8" s="17"/>
      <c r="AK8" s="18">
        <f>IFERROR(IF(OR(AJ8&gt;=AL8,H8&gt;=AL8),LOOKUP(IF(AJ8="",H8,AJ8),{0,1,10,50,100,1000,10000},{0.0,0.1,0.011,0.011,0.009,0.006,0.005}),"MOQ="&amp;AL8),"")</f>
        <v>0.009</v>
      </c>
      <c r="AL8" s="17">
        <v>1</v>
      </c>
      <c r="AM8" s="19">
        <f>IFERROR(IF(AJ8="",H8,AJ8)*AK8,"")</f>
        <v>5.4</v>
      </c>
      <c r="AN8" s="17" t="s">
        <v>384</v>
      </c>
      <c r="AO8" s="17">
        <v>105000</v>
      </c>
      <c r="AP8" s="17"/>
      <c r="AQ8" s="18">
        <f>IFERROR(IF(OR(AP8&gt;=AR8,H8&gt;=AR8),LOOKUP(IF(AP8="",H8,AP8),{0,1,10,25,50,100,250,500,1000,15000},{0.0,0.088,0.037,0.03,0.024,0.017,0.015,0.012,0.01,0.003}),"MOQ="&amp;AR8),"")</f>
        <v>0.012</v>
      </c>
      <c r="AR8" s="17">
        <v>1</v>
      </c>
      <c r="AS8" s="19">
        <f>IFERROR(IF(AP8="",H8,AP8)*AQ8,"")</f>
        <v>7.2</v>
      </c>
      <c r="AT8" s="17" t="s">
        <v>429</v>
      </c>
      <c r="BA8" s="17">
        <v>25600</v>
      </c>
      <c r="BB8" s="17"/>
      <c r="BC8" s="18">
        <f>IFERROR(IF(OR(BB8&gt;=BD8,H8&gt;=BD8),USD_GBP*LOOKUP(IF(BB8="",H8,BB8),{0,1,100,1000,15000},{0.0,0.0097,0.0097,0.00632,0.00262}),"MOQ="&amp;BD8),"")</f>
        <v>0.012726950354609932</v>
      </c>
      <c r="BD8" s="17">
        <v>100</v>
      </c>
      <c r="BE8" s="19">
        <f>IFERROR(IF(BB8="",H8,BB8)*BC8,"")</f>
        <v>7.6362</v>
      </c>
      <c r="BF8" s="17" t="s">
        <v>21</v>
      </c>
    </row>
    <row r="9" spans="1:58" ht="120" customHeight="1">
      <c r="A9" s="17" t="s">
        <v>22</v>
      </c>
      <c r="B9" s="17" t="s">
        <v>23</v>
      </c>
      <c r="C9" s="17" t="s">
        <v>24</v>
      </c>
      <c r="D9" s="17" t="s">
        <v>25</v>
      </c>
      <c r="E9" s="17" t="s">
        <v>15</v>
      </c>
      <c r="F9" s="17" t="s">
        <v>16</v>
      </c>
      <c r="G9" s="17" t="s">
        <v>26</v>
      </c>
      <c r="H9" s="17">
        <f>CEILING(BoardQty*26.0,1)</f>
        <v>2600</v>
      </c>
      <c r="I9" s="18">
        <f>IF(MIN(M9,S9,Y9,AE9,AK9,AQ9,AW9,BC9)&lt;&gt;0,MIN(M9,S9,Y9,AE9,AK9,AQ9,AW9,BC9),"")</f>
        <v>0.0036</v>
      </c>
      <c r="J9" s="19">
        <f>IF(AND(ISNUMBER(H9),ISNUMBER(I9)),H9*I9,"")</f>
        <v>9.36</v>
      </c>
      <c r="K9" s="17">
        <v>115702</v>
      </c>
      <c r="L9" s="17"/>
      <c r="M9" s="18">
        <f>IFERROR(IF(OR(L9&gt;=N9,H9&gt;=N9),LOOKUP(IF(L9="",H9,L9),{0,1,15000},{0.0,0.0067,0.0067}),"MOQ="&amp;N9),"")</f>
        <v/>
      </c>
      <c r="N9" s="17">
        <v>15000</v>
      </c>
      <c r="O9" s="19">
        <f>IFERROR(IF(L9="",H9,L9)*M9,"")</f>
        <v/>
      </c>
      <c r="P9" s="17" t="s">
        <v>26</v>
      </c>
      <c r="Q9" s="17">
        <v>2576632</v>
      </c>
      <c r="R9" s="17"/>
      <c r="S9" s="18">
        <f>IFERROR(IF(OR(R9&gt;=T9,H9&gt;=T9),LOOKUP(IF(R9="",H9,R9),{0,1,10,50,100,500,1000,2500,5000,15000,30000,75000,105000,150000,375000},{0.0,0.1,0.033,0.0178,0.0146,0.0104,0.00817,0.00742,0.00683,0.00594,0.00564,0.00505,0.00408,0.00395,0.00371}),"MOQ="&amp;T9),"")</f>
        <v>0.00742</v>
      </c>
      <c r="T9" s="17">
        <v>1</v>
      </c>
      <c r="U9" s="19">
        <f>IFERROR(IF(R9="",H9,R9)*S9,"")</f>
        <v>19.292</v>
      </c>
      <c r="V9" s="17" t="s">
        <v>279</v>
      </c>
      <c r="W9" s="17">
        <v>210000</v>
      </c>
      <c r="X9" s="17"/>
      <c r="Y9" s="18">
        <f>IFERROR(IF(OR(X9&gt;=Z9,H9&gt;=Z9),USD_GBP*LOOKUP(IF(X9="",H9,X9),{0,1,10,100,500,2500,7500,15000,75000},{0.0,0.0271,0.0271,0.0114,0.0073,0.0052,0.0051,0.0054,0.0047}),"MOQ="&amp;Z9),"")</f>
        <v>0.006822695035460994</v>
      </c>
      <c r="Z9" s="17">
        <v>10</v>
      </c>
      <c r="AA9" s="19">
        <f>IFERROR(IF(X9="",H9,X9)*Y9,"")</f>
        <v>17.739</v>
      </c>
      <c r="AB9" s="17" t="s">
        <v>331</v>
      </c>
      <c r="AC9" s="17">
        <v>21600</v>
      </c>
      <c r="AD9" s="17"/>
      <c r="AE9" s="18">
        <f>IFERROR(IF(OR(AD9&gt;=AF9,H9&gt;=AF9),LOOKUP(IF(AD9="",H9,AD9),{0,1,100,1000,3000,10000,50000,100000},{0.0,0.0043,0.0043,0.0036,0.0031,0.0019,0.0019,0.0019}),"MOQ="&amp;AF9),"")</f>
        <v>0.0036</v>
      </c>
      <c r="AF9" s="17">
        <v>100</v>
      </c>
      <c r="AG9" s="19">
        <f>IFERROR(IF(AD9="",H9,AD9)*AE9,"")</f>
        <v>9.36</v>
      </c>
      <c r="AH9" s="17" t="s">
        <v>370</v>
      </c>
      <c r="AI9" s="17">
        <v>350407</v>
      </c>
      <c r="AJ9" s="17"/>
      <c r="AK9" s="18">
        <f>IFERROR(IF(OR(AJ9&gt;=AL9,H9&gt;=AL9),LOOKUP(IF(AJ9="",H9,AJ9),{0,1,10,50,100,1000,10000},{0.0,0.1,0.034,0.034,0.015,0.009,0.007}),"MOQ="&amp;AL9),"")</f>
        <v>0.009</v>
      </c>
      <c r="AL9" s="17">
        <v>1</v>
      </c>
      <c r="AM9" s="19">
        <f>IFERROR(IF(AJ9="",H9,AJ9)*AK9,"")</f>
        <v>23.4</v>
      </c>
      <c r="AN9" s="17" t="s">
        <v>385</v>
      </c>
      <c r="AO9" s="17">
        <v>210000</v>
      </c>
      <c r="AP9" s="17"/>
      <c r="AQ9" s="18">
        <f>IFERROR(IF(OR(AP9&gt;=AR9,H9&gt;=AR9),LOOKUP(IF(AP9="",H9,AP9),{0,1,10,25,50,100,15000},{0.0,0.12,0.041,0.033,0.026,0.018,0.008}),"MOQ="&amp;AR9),"")</f>
        <v>0.018</v>
      </c>
      <c r="AR9" s="17">
        <v>1</v>
      </c>
      <c r="AS9" s="19">
        <f>IFERROR(IF(AP9="",H9,AP9)*AQ9,"")</f>
        <v>46.8</v>
      </c>
      <c r="AT9" s="17" t="s">
        <v>430</v>
      </c>
      <c r="AU9" s="17">
        <v>21000</v>
      </c>
      <c r="AV9" s="17"/>
      <c r="AW9" s="18">
        <f>IFERROR(IF(OR(AV9&gt;=AX9,H9&gt;=AX9),USD_GBP*LOOKUP(IF(AV9="",H9,AV9),{0,1,1000,5000,10000,15000,60000},{0.0,0.007,0.007,0.006,0.006,0.004,0.004}),"MOQ="&amp;AX9),"")</f>
        <v>0.00918439716312057</v>
      </c>
      <c r="AX9" s="17">
        <v>1000</v>
      </c>
      <c r="AY9" s="19">
        <f>IFERROR(IF(AV9="",H9,AV9)*AW9,"")</f>
        <v>23.8794</v>
      </c>
      <c r="AZ9" s="17" t="s">
        <v>468</v>
      </c>
    </row>
    <row r="10" spans="1:58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7" t="s">
        <v>16</v>
      </c>
      <c r="G10" s="17" t="s">
        <v>32</v>
      </c>
      <c r="H10" s="17">
        <f>CEILING(BoardQty*2.0,1)</f>
        <v>200</v>
      </c>
      <c r="I10" s="18">
        <f>IF(MIN(M10,S10,Y10,AE10,AK10,AQ10,AW10,BC10)&lt;&gt;0,MIN(M10,S10,Y10,AE10,AK10,AQ10,AW10,BC10),"")</f>
        <v>0.0367</v>
      </c>
      <c r="J10" s="19">
        <f>IF(AND(ISNUMBER(H10),ISNUMBER(I10)),H10*I10,"")</f>
        <v>7.34</v>
      </c>
      <c r="Q10" s="20" t="s">
        <v>281</v>
      </c>
      <c r="R10" s="17"/>
      <c r="S10" s="18">
        <f>IFERROR(IF(OR(R10&gt;=T10,H10&gt;=T10),LOOKUP(IF(R10="",H10,R10),{0,1,10,50,100,500,1000,2500,5000,40000,80000,120000,200000,400000},{0.0,0.11,0.082,0.0448,0.0367,0.02618,0.02057,0.0187,0.0172,0.01421,0.01272,0.01029,0.00995,0.00935}),"MOQ="&amp;T10),"")</f>
        <v>0.0367</v>
      </c>
      <c r="T10" s="17">
        <v>1</v>
      </c>
      <c r="U10" s="19">
        <f>IFERROR(IF(R10="",H10,R10)*S10,"")</f>
        <v>7.34</v>
      </c>
      <c r="V10" s="17" t="s">
        <v>280</v>
      </c>
      <c r="W10" s="20" t="s">
        <v>281</v>
      </c>
      <c r="X10" s="17"/>
      <c r="Y10" s="18">
        <f>IFERROR(IF(OR(X10&gt;=Z10,H10&gt;=Z10),USD_GBP*LOOKUP(IF(X10="",H10,X10),{0,1,40000},{0.0,0.012,0.012}),"MOQ="&amp;Z10),"")</f>
        <v/>
      </c>
      <c r="Z10" s="17">
        <v>40000</v>
      </c>
      <c r="AA10" s="19">
        <f>IFERROR(IF(X10="",H10,X10)*Y10,"")</f>
        <v/>
      </c>
      <c r="AB10" s="17" t="s">
        <v>332</v>
      </c>
      <c r="AI10" s="17">
        <v>1596</v>
      </c>
      <c r="AJ10" s="17"/>
      <c r="AK10" s="18">
        <f>IFERROR(IF(OR(AJ10&gt;=AL10,H10&gt;=AL10),LOOKUP(IF(AJ10="",H10,AJ10),{0,1,10,50,100,1000,10000},{0.0,0.18,0.086,0.086,0.039,0.022,0.016}),"MOQ="&amp;AL10),"")</f>
        <v>0.039</v>
      </c>
      <c r="AL10" s="17">
        <v>1</v>
      </c>
      <c r="AM10" s="19">
        <f>IFERROR(IF(AJ10="",H10,AJ10)*AK10,"")</f>
        <v>7.8</v>
      </c>
      <c r="AN10" s="17" t="s">
        <v>386</v>
      </c>
    </row>
    <row r="11" spans="1:58">
      <c r="A11" s="17" t="s">
        <v>33</v>
      </c>
      <c r="B11" s="17" t="s">
        <v>12</v>
      </c>
      <c r="C11" s="17" t="s">
        <v>34</v>
      </c>
      <c r="D11" s="17" t="s">
        <v>35</v>
      </c>
      <c r="E11" s="17" t="s">
        <v>31</v>
      </c>
      <c r="F11" s="17" t="s">
        <v>16</v>
      </c>
      <c r="G11" s="17" t="s">
        <v>36</v>
      </c>
      <c r="H11" s="17">
        <f>CEILING(BoardQty*2.0,1)</f>
        <v>200</v>
      </c>
      <c r="I11" s="18">
        <f>IF(MIN(M11,S11,Y11,AE11,AK11,AQ11,AW11,BC11)&lt;&gt;0,MIN(M11,S11,Y11,AE11,AK11,AQ11,AW11,BC11),"")</f>
        <v>0.0414</v>
      </c>
      <c r="J11" s="19">
        <f>IF(AND(ISNUMBER(H11),ISNUMBER(I11)),H11*I11,"")</f>
        <v>8.28</v>
      </c>
      <c r="K11" s="17">
        <v>41387</v>
      </c>
      <c r="L11" s="17"/>
      <c r="M11" s="18">
        <f>IFERROR(IF(OR(L11&gt;=N11,H11&gt;=N11),LOOKUP(IF(L11="",H11,L11),{0,1,10,25,100,250,500,1000,3000,6000,15000,30000},{0.0,0.2647,0.1782,0.1766,0.0929,0.092,0.0644,0.0571,0.0518,0.0506,0.0357,0.0354}),"MOQ="&amp;N11),"")</f>
        <v>0.0929</v>
      </c>
      <c r="N11" s="17">
        <v>1</v>
      </c>
      <c r="O11" s="19">
        <f>IFERROR(IF(L11="",H11,L11)*M11,"")</f>
        <v>18.58</v>
      </c>
      <c r="P11" s="17" t="s">
        <v>36</v>
      </c>
      <c r="Q11" s="17">
        <v>163998</v>
      </c>
      <c r="R11" s="17"/>
      <c r="S11" s="18">
        <f>IFERROR(IF(OR(R11&gt;=T11,H11&gt;=T11),LOOKUP(IF(R11="",H11,R11),{0,1,10,50,100,500,1000,2500,5000,10000,20000,30000,50000,100000},{0.0,0.28,0.19,0.1138,0.0961,0.06578,0.05819,0.05566,0.0506,0.04807,0.04554,0.04301,0.04048,0.03416}),"MOQ="&amp;T11),"")</f>
        <v>0.0961</v>
      </c>
      <c r="T11" s="17">
        <v>1</v>
      </c>
      <c r="U11" s="19">
        <f>IFERROR(IF(R11="",H11,R11)*S11,"")</f>
        <v>19.22</v>
      </c>
      <c r="V11" s="17" t="s">
        <v>282</v>
      </c>
      <c r="W11" s="17">
        <v>20000</v>
      </c>
      <c r="X11" s="17"/>
      <c r="Y11" s="18">
        <f>IFERROR(IF(OR(X11&gt;=Z11,H11&gt;=Z11),USD_GBP*LOOKUP(IF(X11="",H11,X11),{0,1,10,100,500,2500,5000,10000,50000},{0.0,0.151,0.151,0.077,0.052,0.05,0.047,0.0377,0.0369}),"MOQ="&amp;Z11),"")</f>
        <v>0.10102836879432625</v>
      </c>
      <c r="Z11" s="17">
        <v>10</v>
      </c>
      <c r="AA11" s="19">
        <f>IFERROR(IF(X11="",H11,X11)*Y11,"")</f>
        <v>20.2057</v>
      </c>
      <c r="AB11" s="17" t="s">
        <v>333</v>
      </c>
      <c r="AC11" s="17">
        <v>8200</v>
      </c>
      <c r="AD11" s="17"/>
      <c r="AE11" s="18">
        <f>IFERROR(IF(OR(AD11&gt;=AF11,H11&gt;=AF11),LOOKUP(IF(AD11="",H11,AD11),{0,1,10,100,300,1000,5000,10000},{0.0,0.0498,0.0498,0.0414,0.0352,0.0241,0.0235,0.0231}),"MOQ="&amp;AF11),"")</f>
        <v>0.0414</v>
      </c>
      <c r="AF11" s="17">
        <v>10</v>
      </c>
      <c r="AG11" s="19">
        <f>IFERROR(IF(AD11="",H11,AD11)*AE11,"")</f>
        <v>8.28</v>
      </c>
      <c r="AH11" s="17" t="s">
        <v>371</v>
      </c>
      <c r="AI11" s="17">
        <v>248694</v>
      </c>
      <c r="AJ11" s="17"/>
      <c r="AK11" s="18">
        <f>IFERROR(IF(OR(AJ11&gt;=AL11,H11&gt;=AL11),LOOKUP(IF(AJ11="",H11,AJ11),{0,1,10,50,100,1000,10000},{0.0,0.3,0.197,0.197,0.1,0.067,0.05}),"MOQ="&amp;AL11),"")</f>
        <v>0.1</v>
      </c>
      <c r="AL11" s="17">
        <v>1</v>
      </c>
      <c r="AM11" s="19">
        <f>IFERROR(IF(AJ11="",H11,AJ11)*AK11,"")</f>
        <v>20.0</v>
      </c>
      <c r="AN11" s="17" t="s">
        <v>387</v>
      </c>
      <c r="AO11" s="17">
        <v>20000</v>
      </c>
      <c r="AP11" s="17"/>
      <c r="AQ11" s="18">
        <f>IFERROR(IF(OR(AP11&gt;=AR11,H11&gt;=AR11),LOOKUP(IF(AP11="",H11,AP11),{0,1,10,25,50,100,10000},{0.0,0.05,0.197,0.165,0.132,0.1,0.05}),"MOQ="&amp;AR11),"")</f>
        <v>0.1</v>
      </c>
      <c r="AR11" s="17">
        <v>1</v>
      </c>
      <c r="AS11" s="19">
        <f>IFERROR(IF(AP11="",H11,AP11)*AQ11,"")</f>
        <v>20.0</v>
      </c>
      <c r="AT11" s="17" t="s">
        <v>431</v>
      </c>
    </row>
    <row r="12" spans="1:58">
      <c r="A12" s="17" t="s">
        <v>37</v>
      </c>
      <c r="B12" s="17" t="s">
        <v>12</v>
      </c>
      <c r="C12" s="17" t="s">
        <v>38</v>
      </c>
      <c r="D12" s="17" t="s">
        <v>35</v>
      </c>
      <c r="E12" s="17" t="s">
        <v>31</v>
      </c>
      <c r="F12" s="17" t="s">
        <v>16</v>
      </c>
      <c r="G12" s="17" t="s">
        <v>39</v>
      </c>
      <c r="H12" s="17">
        <f>CEILING(BoardQty*6.0,1)</f>
        <v>600</v>
      </c>
      <c r="I12" s="18">
        <f>IF(MIN(M12,S12,Y12,AE12,AK12,AQ12,AW12,BC12)&lt;&gt;0,MIN(M12,S12,Y12,AE12,AK12,AQ12,AW12,BC12),"")</f>
        <v>0.0322</v>
      </c>
      <c r="J12" s="19">
        <f>IF(AND(ISNUMBER(H12),ISNUMBER(I12)),H12*I12,"")</f>
        <v>19.32</v>
      </c>
      <c r="K12" s="17">
        <v>9005</v>
      </c>
      <c r="L12" s="17"/>
      <c r="M12" s="18">
        <f>IFERROR(IF(OR(L12&gt;=N12,H12&gt;=N12),LOOKUP(IF(L12="",H12,L12),{0,1,10,25,100,250,500,1000,3000,6000},{0.0,0.2526,0.183,0.1126,0.0946,0.0936,0.0924,0.0801,0.0534,0.0532}),"MOQ="&amp;N12),"")</f>
        <v>0.0924</v>
      </c>
      <c r="N12" s="17">
        <v>1</v>
      </c>
      <c r="O12" s="19">
        <f>IFERROR(IF(L12="",H12,L12)*M12,"")</f>
        <v>55.44</v>
      </c>
      <c r="P12" s="17" t="s">
        <v>39</v>
      </c>
      <c r="Q12" s="17">
        <v>21504</v>
      </c>
      <c r="R12" s="17"/>
      <c r="S12" s="18">
        <f>IFERROR(IF(OR(R12&gt;=T12,H12&gt;=T12),LOOKUP(IF(R12="",H12,R12),{0,1,10,50,100,500,1000,2500,5000,10000,20000,30000,50000,100000,250000},{0.0,0.28,0.19,0.1138,0.0961,0.06578,0.05819,0.05566,0.0506,0.04807,0.04554,0.04301,0.04048,0.03416,0.03163}),"MOQ="&amp;T12),"")</f>
        <v>0.06578</v>
      </c>
      <c r="T12" s="17">
        <v>1</v>
      </c>
      <c r="U12" s="19">
        <f>IFERROR(IF(R12="",H12,R12)*S12,"")</f>
        <v>39.468</v>
      </c>
      <c r="V12" s="17" t="s">
        <v>283</v>
      </c>
      <c r="W12" s="17">
        <v>45549</v>
      </c>
      <c r="X12" s="17"/>
      <c r="Y12" s="18">
        <f>IFERROR(IF(OR(X12&gt;=Z12,H12&gt;=Z12),USD_GBP*LOOKUP(IF(X12="",H12,X12),{0,1,10,100,500,2500,5000,10000,50000},{0.0,0.088,0.088,0.075,0.046,0.043,0.04,0.034,0.0333}),"MOQ="&amp;Z12),"")</f>
        <v>0.060354609929078026</v>
      </c>
      <c r="Z12" s="17">
        <v>10</v>
      </c>
      <c r="AA12" s="19">
        <f>IFERROR(IF(X12="",H12,X12)*Y12,"")</f>
        <v>36.2128</v>
      </c>
      <c r="AB12" s="17" t="s">
        <v>334</v>
      </c>
      <c r="AC12" s="17">
        <v>6010</v>
      </c>
      <c r="AD12" s="17"/>
      <c r="AE12" s="18">
        <f>IFERROR(IF(OR(AD12&gt;=AF12,H12&gt;=AF12),LOOKUP(IF(AD12="",H12,AD12),{0,1,10,100,300,1000,5000,10000},{0.0,0.0483,0.0483,0.039,0.0322,0.0261,0.0251,0.0247}),"MOQ="&amp;AF12),"")</f>
        <v>0.0322</v>
      </c>
      <c r="AF12" s="17">
        <v>10</v>
      </c>
      <c r="AG12" s="19">
        <f>IFERROR(IF(AD12="",H12,AD12)*AE12,"")</f>
        <v>19.32</v>
      </c>
      <c r="AH12" s="17" t="s">
        <v>372</v>
      </c>
      <c r="AI12" s="17">
        <v>4715</v>
      </c>
      <c r="AJ12" s="17"/>
      <c r="AK12" s="18">
        <f>IFERROR(IF(OR(AJ12&gt;=AL12,H12&gt;=AL12),LOOKUP(IF(AJ12="",H12,AJ12),{0,1,10,50,100,1000,10000},{0.0,0.28,0.114,0.114,0.097,0.059,0.048}),"MOQ="&amp;AL12),"")</f>
        <v>0.097</v>
      </c>
      <c r="AL12" s="17">
        <v>1</v>
      </c>
      <c r="AM12" s="19">
        <f>IFERROR(IF(AJ12="",H12,AJ12)*AK12,"")</f>
        <v>58.2</v>
      </c>
      <c r="AN12" s="17" t="s">
        <v>388</v>
      </c>
      <c r="AO12" s="17">
        <v>45549</v>
      </c>
      <c r="AP12" s="17"/>
      <c r="AQ12" s="18">
        <f>IFERROR(IF(OR(AP12&gt;=AR12,H12&gt;=AR12),LOOKUP(IF(AP12="",H12,AP12),{0,1,10,25,50,100},{0.0,0.336,0.137,0.13,0.123,0.116}),"MOQ="&amp;AR12),"")</f>
        <v>0.116</v>
      </c>
      <c r="AR12" s="17">
        <v>1</v>
      </c>
      <c r="AS12" s="19">
        <f>IFERROR(IF(AP12="",H12,AP12)*AQ12,"")</f>
        <v>69.6</v>
      </c>
      <c r="AT12" s="17" t="s">
        <v>432</v>
      </c>
    </row>
    <row r="13" spans="1:58">
      <c r="A13" s="17" t="s">
        <v>40</v>
      </c>
      <c r="B13" s="17" t="s">
        <v>41</v>
      </c>
      <c r="C13" s="17" t="s">
        <v>42</v>
      </c>
      <c r="D13" s="17" t="s">
        <v>43</v>
      </c>
      <c r="E13" s="17" t="s">
        <v>44</v>
      </c>
      <c r="F13" s="17" t="s">
        <v>16</v>
      </c>
      <c r="G13" s="17" t="s">
        <v>45</v>
      </c>
      <c r="H13" s="17">
        <f>CEILING(BoardQty*1.0,1)</f>
        <v>100</v>
      </c>
      <c r="I13" s="18">
        <f>IF(MIN(M13,S13,Y13,AE13,AK13,AQ13,AW13,BC13)&lt;&gt;0,MIN(M13,S13,Y13,AE13,AK13,AQ13,AW13,BC13),"")</f>
        <v>0.0511</v>
      </c>
      <c r="J13" s="19">
        <f>IF(AND(ISNUMBER(H13),ISNUMBER(I13)),H13*I13,"")</f>
        <v>5.11</v>
      </c>
      <c r="K13" s="17">
        <v>19798</v>
      </c>
      <c r="L13" s="17"/>
      <c r="M13" s="18">
        <f>IFERROR(IF(OR(L13&gt;=N13,H13&gt;=N13),LOOKUP(IF(L13="",H13,L13),{0,1,10,25,100,250,500,1000,3000,6000,15000},{0.0,0.2854,0.1981,0.1676,0.1225,0.1144,0.1132,0.1121,0.0624,0.0572,0.0528}),"MOQ="&amp;N13),"")</f>
        <v>0.1225</v>
      </c>
      <c r="N13" s="17">
        <v>1</v>
      </c>
      <c r="O13" s="19">
        <f>IFERROR(IF(L13="",H13,L13)*M13,"")</f>
        <v>12.25</v>
      </c>
      <c r="P13" s="17" t="s">
        <v>45</v>
      </c>
      <c r="Q13" s="17">
        <v>18262</v>
      </c>
      <c r="R13" s="17"/>
      <c r="S13" s="18">
        <f>IFERROR(IF(OR(R13&gt;=T13,H13&gt;=T13),LOOKUP(IF(R13="",H13,R13),{0,1,10,50,100,500,1000,4000,8000,12000,28000,100000},{0.0,0.22,0.148,0.0886,0.0748,0.0512,0.04529,0.03938,0.03741,0.03544,0.03347,0.02658}),"MOQ="&amp;T13),"")</f>
        <v>0.0748</v>
      </c>
      <c r="T13" s="17">
        <v>1</v>
      </c>
      <c r="U13" s="19">
        <f>IFERROR(IF(R13="",H13,R13)*S13,"")</f>
        <v>7.48</v>
      </c>
      <c r="V13" s="17" t="s">
        <v>284</v>
      </c>
      <c r="W13" s="17">
        <v>11660</v>
      </c>
      <c r="X13" s="17"/>
      <c r="Y13" s="18">
        <f>IFERROR(IF(OR(X13&gt;=Z13,H13&gt;=Z13),USD_GBP*LOOKUP(IF(X13="",H13,X13),{0,1,10,100,500,1000,2000,4000,20000},{0.0,0.108,0.108,0.092,0.065,0.057,0.052,0.047,0.0461}),"MOQ="&amp;Z13),"")</f>
        <v>0.12070921985815605</v>
      </c>
      <c r="Z13" s="17">
        <v>10</v>
      </c>
      <c r="AA13" s="19">
        <f>IFERROR(IF(X13="",H13,X13)*Y13,"")</f>
        <v>12.0709</v>
      </c>
      <c r="AB13" s="17" t="s">
        <v>335</v>
      </c>
      <c r="AC13" s="17">
        <v>6710</v>
      </c>
      <c r="AD13" s="17"/>
      <c r="AE13" s="18">
        <f>IFERROR(IF(OR(AD13&gt;=AF13,H13&gt;=AF13),LOOKUP(IF(AD13="",H13,AD13),{0,1,10,100,300,1000,5000,10000},{0.0,0.0602,0.0602,0.0511,0.0444,0.0254,0.0247,0.0245}),"MOQ="&amp;AF13),"")</f>
        <v>0.0511</v>
      </c>
      <c r="AF13" s="17">
        <v>10</v>
      </c>
      <c r="AG13" s="19">
        <f>IFERROR(IF(AD13="",H13,AD13)*AE13,"")</f>
        <v>5.11</v>
      </c>
      <c r="AH13" s="17" t="s">
        <v>373</v>
      </c>
      <c r="AI13" s="17">
        <v>2522</v>
      </c>
      <c r="AJ13" s="17"/>
      <c r="AK13" s="18">
        <f>IFERROR(IF(OR(AJ13&gt;=AL13,H13&gt;=AL13),LOOKUP(IF(AJ13="",H13,AJ13),{0,1,10,50,100,1000,10000},{0.0,0.32,0.154,0.154,0.118,0.072,0.058}),"MOQ="&amp;AL13),"")</f>
        <v>0.118</v>
      </c>
      <c r="AL13" s="17">
        <v>1</v>
      </c>
      <c r="AM13" s="19">
        <f>IFERROR(IF(AJ13="",H13,AJ13)*AK13,"")</f>
        <v>11.8</v>
      </c>
      <c r="AN13" s="17" t="s">
        <v>389</v>
      </c>
      <c r="AO13" s="17">
        <v>11660</v>
      </c>
      <c r="AP13" s="17"/>
      <c r="AQ13" s="18">
        <f>IFERROR(IF(OR(AP13&gt;=AR13,H13&gt;=AR13),LOOKUP(IF(AP13="",H13,AP13),{0,1,10,25,50,100},{0.0,0.185,0.185,0.17,0.156,0.142}),"MOQ="&amp;AR13),"")</f>
        <v>0.142</v>
      </c>
      <c r="AR13" s="17">
        <v>10</v>
      </c>
      <c r="AS13" s="19">
        <f>IFERROR(IF(AP13="",H13,AP13)*AQ13,"")</f>
        <v>14.2</v>
      </c>
      <c r="AT13" s="17" t="s">
        <v>433</v>
      </c>
    </row>
    <row r="14" spans="1:58">
      <c r="A14" s="17" t="s">
        <v>46</v>
      </c>
      <c r="B14" s="17" t="s">
        <v>41</v>
      </c>
      <c r="C14" s="17" t="s">
        <v>47</v>
      </c>
      <c r="D14" s="17" t="s">
        <v>48</v>
      </c>
      <c r="E14" s="17" t="s">
        <v>31</v>
      </c>
      <c r="F14" s="17" t="s">
        <v>16</v>
      </c>
      <c r="G14" s="17" t="s">
        <v>49</v>
      </c>
      <c r="H14" s="17">
        <f>CEILING(BoardQty*1.0,1)</f>
        <v>100</v>
      </c>
      <c r="I14" s="18">
        <f>IF(MIN(M14,S14,Y14,AE14,AK14,AQ14,AW14,BC14)&lt;&gt;0,MIN(M14,S14,Y14,AE14,AK14,AQ14,AW14,BC14),"")</f>
        <v>0.046</v>
      </c>
      <c r="J14" s="19">
        <f>IF(AND(ISNUMBER(H14),ISNUMBER(I14)),H14*I14,"")</f>
        <v>4.6</v>
      </c>
      <c r="Q14" s="20" t="s">
        <v>281</v>
      </c>
      <c r="R14" s="17"/>
      <c r="S14" s="18">
        <f>IFERROR(IF(OR(R14&gt;=T14,H14&gt;=T14),LOOKUP(IF(R14="",H14,R14),{0,1,10000},{0.0,0.01571,0.01571}),"MOQ="&amp;T14),"")</f>
        <v/>
      </c>
      <c r="T14" s="17">
        <v>10000</v>
      </c>
      <c r="U14" s="19">
        <f>IFERROR(IF(R14="",H14,R14)*S14,"")</f>
        <v/>
      </c>
      <c r="V14" s="17" t="s">
        <v>285</v>
      </c>
      <c r="W14" s="20" t="s">
        <v>281</v>
      </c>
      <c r="X14" s="17"/>
      <c r="Y14" s="18">
        <f>IFERROR(IF(OR(X14&gt;=Z14,H14&gt;=Z14),USD_GBP*LOOKUP(IF(X14="",H14,X14),{0,1,10000},{0.0,0.016,0.016}),"MOQ="&amp;Z14),"")</f>
        <v/>
      </c>
      <c r="Z14" s="17">
        <v>10000</v>
      </c>
      <c r="AA14" s="19">
        <f>IFERROR(IF(X14="",H14,X14)*Y14,"")</f>
        <v/>
      </c>
      <c r="AB14" s="17" t="s">
        <v>336</v>
      </c>
      <c r="AI14" s="20" t="s">
        <v>281</v>
      </c>
      <c r="AJ14" s="17"/>
      <c r="AK14" s="18">
        <f>IFERROR(IF(OR(AJ14&gt;=AL14,H14&gt;=AL14),LOOKUP(IF(AJ14="",H14,AJ14),{0,1,10,50,100,1000,10000},{0.0,0.14,0.097,0.097,0.046,0.027,0.02}),"MOQ="&amp;AL14),"")</f>
        <v>0.046</v>
      </c>
      <c r="AL14" s="17">
        <v>1</v>
      </c>
      <c r="AM14" s="19">
        <f>IFERROR(IF(AJ14="",H14,AJ14)*AK14,"")</f>
        <v>4.6</v>
      </c>
      <c r="AN14" s="17" t="s">
        <v>390</v>
      </c>
    </row>
    <row r="15" spans="1:58">
      <c r="A15" s="17" t="s">
        <v>50</v>
      </c>
      <c r="B15" s="17" t="s">
        <v>12</v>
      </c>
      <c r="C15" s="17" t="s">
        <v>51</v>
      </c>
      <c r="D15" s="17" t="s">
        <v>52</v>
      </c>
      <c r="E15" s="17" t="s">
        <v>15</v>
      </c>
      <c r="F15" s="17" t="s">
        <v>16</v>
      </c>
      <c r="G15" s="17" t="s">
        <v>53</v>
      </c>
      <c r="H15" s="17">
        <f>CEILING(BoardQty*4.0,1)</f>
        <v>400</v>
      </c>
      <c r="I15" s="18">
        <f>IF(MIN(M15,S15,Y15,AE15,AK15,AQ15,AW15,BC15)&lt;&gt;0,MIN(M15,S15,Y15,AE15,AK15,AQ15,AW15,BC15),"")</f>
        <v>0.185</v>
      </c>
      <c r="J15" s="19">
        <f>IF(AND(ISNUMBER(H15),ISNUMBER(I15)),H15*I15,"")</f>
        <v>74.0</v>
      </c>
      <c r="AI15" s="20" t="s">
        <v>281</v>
      </c>
      <c r="AJ15" s="17"/>
      <c r="AK15" s="18">
        <f>IFERROR(IF(OR(AJ15&gt;=AL15,H15&gt;=AL15),LOOKUP(IF(AJ15="",H15,AJ15),{0,1,10,50,100,1000,10000},{0.0,0.44,0.307,0.307,0.185,0.117,0.085}),"MOQ="&amp;AL15),"")</f>
        <v>0.185</v>
      </c>
      <c r="AL15" s="17">
        <v>1</v>
      </c>
      <c r="AM15" s="19">
        <f>IFERROR(IF(AJ15="",H15,AJ15)*AK15,"")</f>
        <v>74.0</v>
      </c>
      <c r="AN15" s="17" t="s">
        <v>391</v>
      </c>
    </row>
    <row r="16" spans="1:58">
      <c r="A16" s="17" t="s">
        <v>54</v>
      </c>
      <c r="B16" s="17" t="s">
        <v>55</v>
      </c>
      <c r="C16" s="17" t="s">
        <v>56</v>
      </c>
      <c r="E16" s="17" t="s">
        <v>57</v>
      </c>
      <c r="F16" s="17" t="s">
        <v>58</v>
      </c>
      <c r="G16" s="17" t="s">
        <v>59</v>
      </c>
      <c r="H16" s="17">
        <f>CEILING(BoardQty*1.0,1)</f>
        <v>100</v>
      </c>
      <c r="I16" s="18">
        <f>IF(MIN(M16,S16,Y16,AE16,AK16,AQ16,AW16,BC16)&lt;&gt;0,MIN(M16,S16,Y16,AE16,AK16,AQ16,AW16,BC16),"")</f>
        <v>0.176</v>
      </c>
      <c r="J16" s="19">
        <f>IF(AND(ISNUMBER(H16),ISNUMBER(I16)),H16*I16,"")</f>
        <v>17.6</v>
      </c>
      <c r="Q16" s="20" t="s">
        <v>281</v>
      </c>
      <c r="R16" s="17"/>
      <c r="S16" s="18">
        <f>IFERROR(IF(OR(R16&gt;=T16,H16&gt;=T16),LOOKUP(IF(R16="",H16,R16),{0,1,10,100,500,1000,2000,8000},{0.0,0.37,0.302,0.2056,0.15416,0.11562,0.10605,0.10605}),"MOQ="&amp;T16),"")</f>
        <v>0.2056</v>
      </c>
      <c r="T16" s="17">
        <v>1</v>
      </c>
      <c r="U16" s="19">
        <f>IFERROR(IF(R16="",H16,R16)*S16,"")</f>
        <v>20.56</v>
      </c>
      <c r="V16" s="17" t="s">
        <v>286</v>
      </c>
      <c r="W16" s="20" t="s">
        <v>281</v>
      </c>
      <c r="X16" s="17"/>
      <c r="Y16" s="18">
        <f>IFERROR(IF(OR(X16&gt;=Z16,H16&gt;=Z16),USD_GBP*LOOKUP(IF(X16="",H16,X16),{0,1,5,10,100,500},{0.0,0.436,0.436,0.35,0.212,0.104}),"MOQ="&amp;Z16),"")</f>
        <v>0.2781560283687944</v>
      </c>
      <c r="Z16" s="17">
        <v>5</v>
      </c>
      <c r="AA16" s="19">
        <f>IFERROR(IF(X16="",H16,X16)*Y16,"")</f>
        <v>27.8156</v>
      </c>
      <c r="AB16" s="17" t="s">
        <v>337</v>
      </c>
      <c r="AI16" s="17">
        <v>3983</v>
      </c>
      <c r="AJ16" s="17"/>
      <c r="AK16" s="18">
        <f>IFERROR(IF(OR(AJ16&gt;=AL16,H16&gt;=AL16),LOOKUP(IF(AJ16="",H16,AJ16),{0,1,10,50,100,1000,10000},{0.0,0.37,0.302,0.302,0.206,0.116,0.096}),"MOQ="&amp;AL16),"")</f>
        <v>0.206</v>
      </c>
      <c r="AL16" s="17">
        <v>1</v>
      </c>
      <c r="AM16" s="19">
        <f>IFERROR(IF(AJ16="",H16,AJ16)*AK16,"")</f>
        <v>20.6</v>
      </c>
      <c r="AN16" s="17" t="s">
        <v>392</v>
      </c>
      <c r="AO16" s="20" t="s">
        <v>281</v>
      </c>
      <c r="AP16" s="17"/>
      <c r="AQ16" s="18">
        <f>IFERROR(IF(OR(AP16&gt;=AR16,H16&gt;=AR16),LOOKUP(IF(AP16="",H16,AP16),{0,1,5,10,100},{0.0,0.36,0.36,0.296,0.176}),"MOQ="&amp;AR16),"")</f>
        <v>0.176</v>
      </c>
      <c r="AR16" s="17">
        <v>1</v>
      </c>
      <c r="AS16" s="19">
        <f>IFERROR(IF(AP16="",H16,AP16)*AQ16,"")</f>
        <v>17.6</v>
      </c>
      <c r="AT16" s="17" t="s">
        <v>434</v>
      </c>
    </row>
    <row r="17" spans="1:58">
      <c r="A17" s="17" t="s">
        <v>60</v>
      </c>
      <c r="B17" s="17" t="s">
        <v>61</v>
      </c>
      <c r="C17" s="17" t="s">
        <v>62</v>
      </c>
      <c r="E17" s="17" t="s">
        <v>63</v>
      </c>
      <c r="F17" s="17" t="s">
        <v>64</v>
      </c>
      <c r="G17" s="17" t="s">
        <v>65</v>
      </c>
      <c r="H17" s="17">
        <f>CEILING(BoardQty*1.0,1)</f>
        <v>100</v>
      </c>
      <c r="I17" s="18">
        <f>IF(MIN(M17,S17,Y17,AE17,AK17,AQ17,AW17,BC17)&lt;&gt;0,MIN(M17,S17,Y17,AE17,AK17,AQ17,AW17,BC17),"")</f>
        <v>0.1527</v>
      </c>
      <c r="J17" s="19">
        <f>IF(AND(ISNUMBER(H17),ISNUMBER(I17)),H17*I17,"")</f>
        <v>15.27</v>
      </c>
      <c r="K17" s="17">
        <v>14503</v>
      </c>
      <c r="L17" s="17"/>
      <c r="M17" s="18">
        <f>IFERROR(IF(OR(L17&gt;=N17,H17&gt;=N17),LOOKUP(IF(L17="",H17,L17),{0,1,10,25,100,250,500,1000,3000,6000},{0.0,0.4932,0.432,0.4281,0.3171,0.3145,0.2089,0.1903,0.1611,0.1595}),"MOQ="&amp;N17),"")</f>
        <v>0.3171</v>
      </c>
      <c r="N17" s="17">
        <v>1</v>
      </c>
      <c r="O17" s="19">
        <f>IFERROR(IF(L17="",H17,L17)*M17,"")</f>
        <v>31.71</v>
      </c>
      <c r="P17" s="17" t="s">
        <v>272</v>
      </c>
      <c r="Q17" s="17">
        <v>2</v>
      </c>
      <c r="R17" s="17"/>
      <c r="S17" s="18">
        <f>IFERROR(IF(OR(R17&gt;=T17,H17&gt;=T17),LOOKUP(IF(R17="",H17,R17),{0,1,10,100,500,1000,3000,6000},{0.0,0.55,0.474,0.3542,0.2783,0.21505,0.19607,0.18975}),"MOQ="&amp;T17),"")</f>
        <v>0.3542</v>
      </c>
      <c r="T17" s="17">
        <v>1</v>
      </c>
      <c r="U17" s="19">
        <f>IFERROR(IF(R17="",H17,R17)*S17,"")</f>
        <v>35.42</v>
      </c>
      <c r="V17" s="17" t="s">
        <v>287</v>
      </c>
      <c r="AC17" s="17">
        <v>15000</v>
      </c>
      <c r="AD17" s="17"/>
      <c r="AE17" s="18">
        <f>IFERROR(IF(OR(AD17&gt;=AF17,H17&gt;=AF17),LOOKUP(IF(AD17="",H17,AD17),{0,1,10,30,100,500,1000},{0.0,0.2638,0.216,0.1813,0.1527,0.1478,0.1454}),"MOQ="&amp;AF17),"")</f>
        <v>0.1527</v>
      </c>
      <c r="AF17" s="17">
        <v>1</v>
      </c>
      <c r="AG17" s="19">
        <f>IFERROR(IF(AD17="",H17,AD17)*AE17,"")</f>
        <v>15.27</v>
      </c>
      <c r="AH17" s="17" t="s">
        <v>374</v>
      </c>
      <c r="AI17" s="17">
        <v>2855</v>
      </c>
      <c r="AJ17" s="17"/>
      <c r="AK17" s="18">
        <f>IFERROR(IF(OR(AJ17&gt;=AL17,H17&gt;=AL17),LOOKUP(IF(AJ17="",H17,AJ17),{0,1,10,50,100,1000,10000},{0.0,0.55,0.475,0.475,0.355,0.216,0.179}),"MOQ="&amp;AL17),"")</f>
        <v>0.355</v>
      </c>
      <c r="AL17" s="17">
        <v>1</v>
      </c>
      <c r="AM17" s="19">
        <f>IFERROR(IF(AJ17="",H17,AJ17)*AK17,"")</f>
        <v>35.5</v>
      </c>
      <c r="AN17" s="17" t="s">
        <v>393</v>
      </c>
      <c r="AO17" s="20" t="s">
        <v>281</v>
      </c>
      <c r="AP17" s="17"/>
      <c r="AQ17" s="18">
        <f>IFERROR(IF(OR(AP17&gt;=AR17,H17&gt;=AR17),LOOKUP(IF(AP17="",H17,AP17),{0,1,15000},{0.0,0.175,0.175}),"MOQ="&amp;AR17),"")</f>
        <v/>
      </c>
      <c r="AR17" s="17">
        <v>15000</v>
      </c>
      <c r="AS17" s="19">
        <f>IFERROR(IF(AP17="",H17,AP17)*AQ17,"")</f>
        <v/>
      </c>
      <c r="AT17" s="17" t="s">
        <v>435</v>
      </c>
      <c r="AU17" s="17">
        <v>120</v>
      </c>
      <c r="AV17" s="17"/>
      <c r="AW17" s="18">
        <f>IFERROR(IF(OR(AV17&gt;=AX17,H17&gt;=AX17),USD_GBP*LOOKUP(IF(AV17="",H17,AV17),{0,1,20,40,100,500,1000,3000,6000,9000},{0.0,0.376,0.376,0.323,0.279,0.229,0.179,0.156,0.148,0.14}),"MOQ="&amp;AX17),"")</f>
        <v>0.3660638297872341</v>
      </c>
      <c r="AX17" s="17">
        <v>20</v>
      </c>
      <c r="AY17" s="19">
        <f>IFERROR(IF(AV17="",H17,AV17)*AW17,"")</f>
        <v>36.6064</v>
      </c>
      <c r="AZ17" s="17" t="s">
        <v>469</v>
      </c>
    </row>
    <row r="18" spans="1:58" ht="30" customHeight="1">
      <c r="A18" s="17" t="s">
        <v>66</v>
      </c>
      <c r="B18" s="17" t="s">
        <v>67</v>
      </c>
      <c r="C18" s="17" t="s">
        <v>68</v>
      </c>
      <c r="E18" s="17" t="s">
        <v>69</v>
      </c>
      <c r="F18" s="17" t="s">
        <v>70</v>
      </c>
      <c r="G18" s="17" t="s">
        <v>71</v>
      </c>
      <c r="H18" s="17">
        <f>CEILING(BoardQty*1.0,1)</f>
        <v>100</v>
      </c>
      <c r="I18" s="18">
        <f>IF(MIN(M18,S18,Y18,AE18,AK18,AQ18,AW18,BC18)&lt;&gt;0,MIN(M18,S18,Y18,AE18,AK18,AQ18,AW18,BC18),"")</f>
        <v>0.1802</v>
      </c>
      <c r="J18" s="19">
        <f>IF(AND(ISNUMBER(H18),ISNUMBER(I18)),H18*I18,"")</f>
        <v>18.02</v>
      </c>
      <c r="K18" s="17">
        <v>2769</v>
      </c>
      <c r="L18" s="17"/>
      <c r="M18" s="18">
        <f>IFERROR(IF(OR(L18&gt;=N18,H18&gt;=N18),LOOKUP(IF(L18="",H18,L18),{0,1,10,25,100,250,500,1000},{0.0,0.4238,0.3167,0.3113,0.1802,0.1736,0.1324,0.1025}),"MOQ="&amp;N18),"")</f>
        <v>0.1802</v>
      </c>
      <c r="N18" s="17">
        <v>1</v>
      </c>
      <c r="O18" s="19">
        <f>IFERROR(IF(L18="",H18,L18)*M18,"")</f>
        <v>18.02</v>
      </c>
      <c r="P18" s="17" t="s">
        <v>273</v>
      </c>
      <c r="Q18" s="17">
        <v>1025</v>
      </c>
      <c r="R18" s="17"/>
      <c r="S18" s="18">
        <f>IFERROR(IF(OR(R18&gt;=T18,H18&gt;=T18),LOOKUP(IF(R18="",H18,R18),{0,1,10,100,500,1000,2000,5000,10000,25000},{0.0,0.47,0.352,0.2194,0.15016,0.1155,0.10395,0.09818,0.08951,0.08768}),"MOQ="&amp;T18),"")</f>
        <v>0.2194</v>
      </c>
      <c r="T18" s="17">
        <v>1</v>
      </c>
      <c r="U18" s="19">
        <f>IFERROR(IF(R18="",H18,R18)*S18,"")</f>
        <v>21.94</v>
      </c>
      <c r="V18" s="17" t="s">
        <v>288</v>
      </c>
      <c r="AI18" s="17">
        <v>1550</v>
      </c>
      <c r="AJ18" s="17"/>
      <c r="AK18" s="18">
        <f>IFERROR(IF(OR(AJ18&gt;=AL18,H18&gt;=AL18),LOOKUP(IF(AJ18="",H18,AJ18),{0,1,10,50,100,1000,10000},{0.0,0.47,0.353,0.353,0.22,0.116,0.089}),"MOQ="&amp;AL18),"")</f>
        <v>0.22</v>
      </c>
      <c r="AL18" s="17">
        <v>1</v>
      </c>
      <c r="AM18" s="19">
        <f>IFERROR(IF(AJ18="",H18,AJ18)*AK18,"")</f>
        <v>22.0</v>
      </c>
      <c r="AN18" s="17" t="s">
        <v>394</v>
      </c>
      <c r="AO18" s="20" t="s">
        <v>281</v>
      </c>
      <c r="AP18" s="17"/>
      <c r="AQ18" s="18">
        <f>IFERROR(IF(OR(AP18&gt;=AR18,H18&gt;=AR18),LOOKUP(IF(AP18="",H18,AP18),{0,1,5,10,25,50,100,250},{0.0,0.415,0.415,0.32,0.266,0.223,0.187,0.159}),"MOQ="&amp;AR18),"")</f>
        <v>0.187</v>
      </c>
      <c r="AR18" s="17">
        <v>5</v>
      </c>
      <c r="AS18" s="19">
        <f>IFERROR(IF(AP18="",H18,AP18)*AQ18,"")</f>
        <v>18.7</v>
      </c>
      <c r="AT18" s="17" t="s">
        <v>436</v>
      </c>
      <c r="AU18" s="17">
        <v>752</v>
      </c>
      <c r="AV18" s="17"/>
      <c r="AW18" s="18">
        <f>IFERROR(IF(OR(AV18&gt;=AX18,H18&gt;=AX18),USD_GBP*LOOKUP(IF(AV18="",H18,AV18),{0,1,50,100,500,1000,2500,5000},{0.0,0.312,0.312,0.249,0.208,0.178,0.166,0.087}),"MOQ="&amp;AX18),"")</f>
        <v>0.3267021276595745</v>
      </c>
      <c r="AX18" s="17">
        <v>50</v>
      </c>
      <c r="AY18" s="19">
        <f>IFERROR(IF(AV18="",H18,AV18)*AW18,"")</f>
        <v>32.6702</v>
      </c>
      <c r="AZ18" s="17" t="s">
        <v>470</v>
      </c>
    </row>
    <row r="19" spans="1:58" ht="45" customHeight="1">
      <c r="A19" s="17" t="s">
        <v>72</v>
      </c>
      <c r="B19" s="17" t="s">
        <v>73</v>
      </c>
      <c r="C19" s="17" t="s">
        <v>74</v>
      </c>
      <c r="D19" s="17" t="s">
        <v>75</v>
      </c>
      <c r="E19" s="17" t="s">
        <v>73</v>
      </c>
      <c r="F19" s="17" t="s">
        <v>76</v>
      </c>
      <c r="G19" s="17" t="s">
        <v>73</v>
      </c>
      <c r="H19" s="17">
        <f>CEILING(BoardQty*1.0,1)</f>
        <v>100</v>
      </c>
      <c r="I19" s="18">
        <f>IF(MIN(M19,S19,Y19,AE19,AK19,AQ19,AW19,BC19)&lt;&gt;0,MIN(M19,S19,Y19,AE19,AK19,AQ19,AW19,BC19),"")</f>
        <v>0.23813829787234045</v>
      </c>
      <c r="J19" s="19">
        <f>IF(AND(ISNUMBER(H19),ISNUMBER(I19)),H19*I19,"")</f>
        <v>23.8138</v>
      </c>
      <c r="Q19" s="17">
        <v>95870</v>
      </c>
      <c r="R19" s="17"/>
      <c r="S19" s="18">
        <f>IFERROR(IF(OR(R19&gt;=T19,H19&gt;=T19),LOOKUP(IF(R19="",H19,R19),{0,1,10,100,1000,2000,6000},{0.0,0.72,0.475,0.3145,0.24282,0.21942,0.207}),"MOQ="&amp;T19),"")</f>
        <v>0.3145</v>
      </c>
      <c r="T19" s="17">
        <v>1</v>
      </c>
      <c r="U19" s="19">
        <f>IFERROR(IF(R19="",H19,R19)*S19,"")</f>
        <v>31.45</v>
      </c>
      <c r="V19" s="17" t="s">
        <v>289</v>
      </c>
      <c r="W19" s="20" t="s">
        <v>281</v>
      </c>
      <c r="X19" s="17"/>
      <c r="Y19" s="18">
        <f>IFERROR(IF(OR(X19&gt;=Z19,H19&gt;=Z19),USD_GBP*LOOKUP(IF(X19="",H19,X19),{0,1,10,100,500},{0.0,0.683,0.451,0.347,0.299}),"MOQ="&amp;Z19),"")</f>
        <v>0.45528368794326246</v>
      </c>
      <c r="Z19" s="17">
        <v>1</v>
      </c>
      <c r="AA19" s="19">
        <f>IFERROR(IF(X19="",H19,X19)*Y19,"")</f>
        <v>45.5284</v>
      </c>
      <c r="AB19" s="17" t="s">
        <v>338</v>
      </c>
      <c r="AI19" s="17">
        <v>1679</v>
      </c>
      <c r="AJ19" s="17"/>
      <c r="AK19" s="18">
        <f>IFERROR(IF(OR(AJ19&gt;=AL19,H19&gt;=AL19),LOOKUP(IF(AJ19="",H19,AJ19),{0,1,10,50,100,1000,10000},{0.0,0.72,0.476,0.476,0.315,0.243,0.2}),"MOQ="&amp;AL19),"")</f>
        <v>0.315</v>
      </c>
      <c r="AL19" s="17">
        <v>1</v>
      </c>
      <c r="AM19" s="19">
        <f>IFERROR(IF(AJ19="",H19,AJ19)*AK19,"")</f>
        <v>31.5</v>
      </c>
      <c r="AN19" s="17" t="s">
        <v>395</v>
      </c>
      <c r="AO19" s="20" t="s">
        <v>281</v>
      </c>
      <c r="AP19" s="17"/>
      <c r="AQ19" s="18">
        <f>IFERROR(IF(OR(AP19&gt;=AR19,H19&gt;=AR19),LOOKUP(IF(AP19="",H19,AP19),{0,1,10,100,500,1000,10000},{0.0,0.72,0.475,0.314,0.278,0.242,0.242}),"MOQ="&amp;AR19),"")</f>
        <v>0.314</v>
      </c>
      <c r="AR19" s="17">
        <v>1</v>
      </c>
      <c r="AS19" s="19">
        <f>IFERROR(IF(AP19="",H19,AP19)*AQ19,"")</f>
        <v>31.4</v>
      </c>
      <c r="AT19" s="17" t="s">
        <v>437</v>
      </c>
      <c r="BA19" s="20" t="s">
        <v>281</v>
      </c>
      <c r="BB19" s="17"/>
      <c r="BC19" s="18">
        <f>IFERROR(IF(OR(BB19&gt;=BD19,H19&gt;=BD19),USD_GBP*LOOKUP(IF(BB19="",H19,BB19),{0,1,5,25,100,500},{0.0,0.65,0.288,0.22,0.1815,0.1655}),"MOQ="&amp;BD19),"")</f>
        <v>0.23813829787234045</v>
      </c>
      <c r="BD19" s="17">
        <v>1</v>
      </c>
      <c r="BE19" s="19">
        <f>IFERROR(IF(BB19="",H19,BB19)*BC19,"")</f>
        <v>23.8138</v>
      </c>
      <c r="BF19" s="17" t="s">
        <v>486</v>
      </c>
    </row>
    <row r="20" spans="1:58">
      <c r="A20" s="17" t="s">
        <v>77</v>
      </c>
      <c r="B20" s="17" t="s">
        <v>78</v>
      </c>
      <c r="C20" s="17" t="s">
        <v>79</v>
      </c>
      <c r="E20" s="17" t="s">
        <v>80</v>
      </c>
      <c r="F20" s="17" t="s">
        <v>16</v>
      </c>
      <c r="G20" s="17" t="s">
        <v>81</v>
      </c>
      <c r="H20" s="17">
        <f>CEILING(BoardQty*4.0,1)</f>
        <v>400</v>
      </c>
      <c r="I20" s="18">
        <f>IF(MIN(M20,S20,Y20,AE20,AK20,AQ20,AW20,BC20)&lt;&gt;0,MIN(M20,S20,Y20,AE20,AK20,AQ20,AW20,BC20),"")</f>
        <v>0.0171</v>
      </c>
      <c r="J20" s="19">
        <f>IF(AND(ISNUMBER(H20),ISNUMBER(I20)),H20*I20,"")</f>
        <v>6.84</v>
      </c>
      <c r="Q20" s="20" t="s">
        <v>281</v>
      </c>
      <c r="R20" s="17"/>
      <c r="S20" s="18">
        <f>IFERROR(IF(OR(R20&gt;=T20,H20&gt;=T20),LOOKUP(IF(R20="",H20,R20),{0,1,10,25,50,100,250,500,1000,4000,8000,12000,28000,100000},{0.0,0.1,0.087,0.0792,0.0712,0.0523,0.038,0.03484,0.0301,0.02535,0.02297,0.02218,0.02059,0.02035}),"MOQ="&amp;T20),"")</f>
        <v>0.038</v>
      </c>
      <c r="T20" s="17">
        <v>1</v>
      </c>
      <c r="U20" s="19">
        <f>IFERROR(IF(R20="",H20,R20)*S20,"")</f>
        <v>15.2</v>
      </c>
      <c r="V20" s="17" t="s">
        <v>290</v>
      </c>
      <c r="W20" s="20" t="s">
        <v>281</v>
      </c>
      <c r="X20" s="17"/>
      <c r="Y20" s="18">
        <f>IFERROR(IF(OR(X20&gt;=Z20,H20&gt;=Z20),USD_GBP*LOOKUP(IF(X20="",H20,X20),{0,1,10,250,500,1000,5000,10000,20000,100000},{0.0,0.027,0.027,0.025,0.025,0.019,0.0186,0.0182,0.0179,0.0175}),"MOQ="&amp;Z20),"")</f>
        <v>0.03280141843971632</v>
      </c>
      <c r="Z20" s="17">
        <v>10</v>
      </c>
      <c r="AA20" s="19">
        <f>IFERROR(IF(X20="",H20,X20)*Y20,"")</f>
        <v>13.1206</v>
      </c>
      <c r="AB20" s="17" t="s">
        <v>339</v>
      </c>
      <c r="AC20" s="17">
        <v>325000</v>
      </c>
      <c r="AD20" s="17"/>
      <c r="AE20" s="18">
        <f>IFERROR(IF(OR(AD20&gt;=AF20,H20&gt;=AF20),LOOKUP(IF(AD20="",H20,AD20),{0,1,50,500,1500,5000,25000,50000},{0.0,0.0171,0.0171,0.0143,0.0123,0.008,0.0078,0.0077}),"MOQ="&amp;AF20),"")</f>
        <v>0.0171</v>
      </c>
      <c r="AF20" s="17">
        <v>50</v>
      </c>
      <c r="AG20" s="19">
        <f>IFERROR(IF(AD20="",H20,AD20)*AE20,"")</f>
        <v>6.84</v>
      </c>
      <c r="AH20" s="17" t="s">
        <v>375</v>
      </c>
      <c r="AI20" s="20" t="s">
        <v>281</v>
      </c>
      <c r="AJ20" s="17"/>
      <c r="AK20" s="18">
        <f>IFERROR(IF(OR(AJ20&gt;=AL20,H20&gt;=AL20),LOOKUP(IF(AJ20="",H20,AJ20),{0,1,10,50,100,1000,10000},{0.0,0.1,0.057,0.057,0.035,0.028,0.025}),"MOQ="&amp;AL20),"")</f>
        <v>0.035</v>
      </c>
      <c r="AL20" s="17">
        <v>1</v>
      </c>
      <c r="AM20" s="19">
        <f>IFERROR(IF(AJ20="",H20,AJ20)*AK20,"")</f>
        <v>14.0</v>
      </c>
      <c r="AN20" s="17" t="s">
        <v>396</v>
      </c>
      <c r="AO20" s="20" t="s">
        <v>281</v>
      </c>
      <c r="AP20" s="17"/>
      <c r="AQ20" s="18">
        <f>IFERROR(IF(OR(AP20&gt;=AR20,H20&gt;=AR20),LOOKUP(IF(AP20="",H20,AP20),{0,1,10,25,50,100},{0.0,0.1,0.057,0.05,0.042,0.035}),"MOQ="&amp;AR20),"")</f>
        <v>0.035</v>
      </c>
      <c r="AR20" s="17">
        <v>1</v>
      </c>
      <c r="AS20" s="19">
        <f>IFERROR(IF(AP20="",H20,AP20)*AQ20,"")</f>
        <v>14.0</v>
      </c>
      <c r="AT20" s="17" t="s">
        <v>438</v>
      </c>
      <c r="AU20" s="20" t="s">
        <v>281</v>
      </c>
      <c r="AV20" s="17"/>
      <c r="AW20" s="18">
        <f>IFERROR(IF(OR(AV20&gt;=AX20,H20&gt;=AX20),USD_GBP*LOOKUP(IF(AV20="",H20,AV20),{0,1,100,1000,2000,5000,10000},{0.0,0.025,0.025,0.021,0.019,0.016,0.015}),"MOQ="&amp;AX20),"")</f>
        <v>0.03280141843971632</v>
      </c>
      <c r="AX20" s="17">
        <v>100</v>
      </c>
      <c r="AY20" s="19">
        <f>IFERROR(IF(AV20="",H20,AV20)*AW20,"")</f>
        <v>13.1206</v>
      </c>
      <c r="AZ20" s="17" t="s">
        <v>471</v>
      </c>
      <c r="BA20" s="17">
        <v>44200</v>
      </c>
      <c r="BB20" s="17"/>
      <c r="BC20" s="18">
        <f>IFERROR(IF(OR(BB20&gt;=BD20,H20&gt;=BD20),USD_GBP*LOOKUP(IF(BB20="",H20,BB20),{0,1,50,250,1000,4000},{0.0,0.0554,0.0554,0.03868,0.03013,0.02492}),"MOQ="&amp;BD20),"")</f>
        <v>0.050750354609929084</v>
      </c>
      <c r="BD20" s="17">
        <v>50</v>
      </c>
      <c r="BE20" s="19">
        <f>IFERROR(IF(BB20="",H20,BB20)*BC20,"")</f>
        <v>20.3001</v>
      </c>
      <c r="BF20" s="17" t="s">
        <v>81</v>
      </c>
    </row>
    <row r="21" spans="1:58" ht="30" customHeight="1">
      <c r="A21" s="17" t="s">
        <v>82</v>
      </c>
      <c r="B21" s="17" t="s">
        <v>83</v>
      </c>
      <c r="C21" s="17" t="s">
        <v>84</v>
      </c>
      <c r="D21" s="17" t="s">
        <v>85</v>
      </c>
      <c r="E21" s="17" t="s">
        <v>86</v>
      </c>
      <c r="F21" s="17" t="s">
        <v>87</v>
      </c>
      <c r="G21" s="17" t="s">
        <v>88</v>
      </c>
      <c r="H21" s="17">
        <f>CEILING(BoardQty*1.0,1)</f>
        <v>100</v>
      </c>
      <c r="I21" s="18">
        <f>IF(MIN(M21,S21,Y21,AE21,AK21,AQ21,AW21,BC21)&lt;&gt;0,MIN(M21,S21,Y21,AE21,AK21,AQ21,AW21,BC21),"")</f>
        <v>0.8187234042553193</v>
      </c>
      <c r="J21" s="19">
        <f>IF(AND(ISNUMBER(H21),ISNUMBER(I21)),H21*I21,"")</f>
        <v>81.8723</v>
      </c>
      <c r="Q21" s="20" t="s">
        <v>281</v>
      </c>
      <c r="R21" s="17"/>
      <c r="S21" s="18">
        <f>IFERROR(IF(OR(R21&gt;=T21,H21&gt;=T21),LOOKUP(IF(R21="",H21,R21),{0,1,10,25,50,100,250,900,1800,2700,6300,9000},{0.0,1.22,1.029,0.9872,0.966,0.924,0.84,0.735,0.63,0.609,0.588,0.56}),"MOQ="&amp;T21),"")</f>
        <v>0.924</v>
      </c>
      <c r="T21" s="17">
        <v>1</v>
      </c>
      <c r="U21" s="19">
        <f>IFERROR(IF(R21="",H21,R21)*S21,"")</f>
        <v>92.4</v>
      </c>
      <c r="V21" s="17" t="s">
        <v>291</v>
      </c>
      <c r="W21" s="20" t="s">
        <v>281</v>
      </c>
      <c r="X21" s="17"/>
      <c r="Y21" s="18">
        <f>IFERROR(IF(OR(X21&gt;=Z21,H21&gt;=Z21),USD_GBP*LOOKUP(IF(X21="",H21,X21),{0,1,10,100,500,900,1000,2500,4500,9000,18000},{0.0,0.738,0.669,0.624,0.581,0.744,0.579,0.562,0.674,0.628,0.586}),"MOQ="&amp;Z21),"")</f>
        <v>0.8187234042553193</v>
      </c>
      <c r="Z21" s="17">
        <v>1</v>
      </c>
      <c r="AA21" s="19">
        <f>IFERROR(IF(X21="",H21,X21)*Y21,"")</f>
        <v>81.8723</v>
      </c>
      <c r="AB21" s="17" t="s">
        <v>340</v>
      </c>
      <c r="AI21" s="17">
        <v>1723</v>
      </c>
      <c r="AJ21" s="17"/>
      <c r="AK21" s="18">
        <f>IFERROR(IF(OR(AJ21&gt;=AL21,H21&gt;=AL21),LOOKUP(IF(AJ21="",H21,AJ21),{0,1,10,50,100,1000,10000},{0.0,1.17,0.939,0.939,0.879,0.64,0.531}),"MOQ="&amp;AL21),"")</f>
        <v>0.879</v>
      </c>
      <c r="AL21" s="17">
        <v>1</v>
      </c>
      <c r="AM21" s="19">
        <f>IFERROR(IF(AJ21="",H21,AJ21)*AK21,"")</f>
        <v>87.9</v>
      </c>
      <c r="AN21" s="17" t="s">
        <v>397</v>
      </c>
      <c r="AO21" s="17">
        <v>1575</v>
      </c>
      <c r="AP21" s="17"/>
      <c r="AQ21" s="18">
        <f>IFERROR(IF(OR(AP21&gt;=AR21,H21&gt;=AR21),LOOKUP(IF(AP21="",H21,AP21),{0,1,10,25,50,100,250,500,900,1000},{0.0,1.4,0.667,0.616,0.616,1.1,1.0,0.916,0.916,0.852}),"MOQ="&amp;AR21),"")</f>
        <v>1.1</v>
      </c>
      <c r="AR21" s="17">
        <v>1</v>
      </c>
      <c r="AS21" s="19">
        <f>IFERROR(IF(AP21="",H21,AP21)*AQ21,"")</f>
        <v>110.0</v>
      </c>
      <c r="AT21" s="17" t="s">
        <v>439</v>
      </c>
    </row>
    <row r="22" spans="1:58" ht="30" customHeight="1">
      <c r="A22" s="17" t="s">
        <v>89</v>
      </c>
      <c r="B22" s="17" t="s">
        <v>90</v>
      </c>
      <c r="C22" s="17" t="s">
        <v>91</v>
      </c>
      <c r="E22" s="17" t="s">
        <v>92</v>
      </c>
      <c r="F22" s="17" t="s">
        <v>93</v>
      </c>
      <c r="G22" s="17" t="s">
        <v>94</v>
      </c>
      <c r="H22" s="17">
        <f>CEILING(BoardQty*1.0,1)</f>
        <v>100</v>
      </c>
      <c r="I22" s="18">
        <f>IF(MIN(M22,S22,Y22,AE22,AK22,AQ22,AW22,BC22)&lt;&gt;0,MIN(M22,S22,Y22,AE22,AK22,AQ22,AW22,BC22),"")</f>
        <v>2.43</v>
      </c>
      <c r="J22" s="19">
        <f>IF(AND(ISNUMBER(H22),ISNUMBER(I22)),H22*I22,"")</f>
        <v>243.0</v>
      </c>
      <c r="K22" s="17">
        <v>2397</v>
      </c>
      <c r="L22" s="17"/>
      <c r="M22" s="18">
        <f>IFERROR(IF(OR(L22&gt;=N22,H22&gt;=N22),LOOKUP(IF(L22="",H22,L22),{0,1,10,25,50,100,250,500,1000,2500},{0.0,3.03,2.91,2.67,2.55,2.43,2.12,2.06,1.76,1.64}),"MOQ="&amp;N22),"")</f>
        <v>2.43</v>
      </c>
      <c r="N22" s="17">
        <v>1</v>
      </c>
      <c r="O22" s="19">
        <f>IFERROR(IF(L22="",H22,L22)*M22,"")</f>
        <v>243.0</v>
      </c>
      <c r="P22" s="17" t="s">
        <v>274</v>
      </c>
      <c r="Q22" s="17">
        <v>1643</v>
      </c>
      <c r="R22" s="17"/>
      <c r="S22" s="18">
        <f>IFERROR(IF(OR(R22&gt;=T22,H22&gt;=T22),LOOKUP(IF(R22="",H22,R22),{0,1,12,36,48,84,240,444,948,2400},{0.0,3.48,3.16417,2.99667,2.92708,2.78762,2.43917,2.36946,2.02101,1.88163}),"MOQ="&amp;T22),"")</f>
        <v>2.78762</v>
      </c>
      <c r="T22" s="17">
        <v>1</v>
      </c>
      <c r="U22" s="19">
        <f>IFERROR(IF(R22="",H22,R22)*S22,"")</f>
        <v>278.762</v>
      </c>
      <c r="V22" s="17" t="s">
        <v>292</v>
      </c>
    </row>
    <row r="23" spans="1:58" ht="30" customHeight="1">
      <c r="A23" s="17" t="s">
        <v>95</v>
      </c>
      <c r="B23" s="17" t="s">
        <v>96</v>
      </c>
      <c r="C23" s="17" t="s">
        <v>97</v>
      </c>
      <c r="E23" s="17" t="s">
        <v>98</v>
      </c>
      <c r="F23" s="17" t="s">
        <v>99</v>
      </c>
      <c r="G23" s="17" t="s">
        <v>100</v>
      </c>
      <c r="H23" s="17">
        <f>CEILING(BoardQty*1.0,1)</f>
        <v>100</v>
      </c>
      <c r="I23" s="18">
        <f>IF(MIN(M23,S23,Y23,AE23,AK23,AQ23,AW23,BC23)&lt;&gt;0,MIN(M23,S23,Y23,AE23,AK23,AQ23,AW23,BC23),"")</f>
        <v>0.1896</v>
      </c>
      <c r="J23" s="19">
        <f>IF(AND(ISNUMBER(H23),ISNUMBER(I23)),H23*I23,"")</f>
        <v>18.96</v>
      </c>
      <c r="Q23" s="17">
        <v>7344</v>
      </c>
      <c r="R23" s="17"/>
      <c r="S23" s="18">
        <f>IFERROR(IF(OR(R23&gt;=T23,H23&gt;=T23),LOOKUP(IF(R23="",H23,R23),{0,1,10,25,50,100,250,500},{0.0,0.29,0.271,0.2324,0.1974,0.1896,0.17028,0.16254}),"MOQ="&amp;T23),"")</f>
        <v>0.1896</v>
      </c>
      <c r="T23" s="17">
        <v>1</v>
      </c>
      <c r="U23" s="19">
        <f>IFERROR(IF(R23="",H23,R23)*S23,"")</f>
        <v>18.96</v>
      </c>
      <c r="V23" s="17" t="s">
        <v>293</v>
      </c>
    </row>
    <row r="24" spans="1:58" ht="30" customHeight="1">
      <c r="A24" s="17" t="s">
        <v>101</v>
      </c>
      <c r="B24" s="17" t="s">
        <v>102</v>
      </c>
      <c r="C24" s="17" t="s">
        <v>103</v>
      </c>
      <c r="E24" s="17" t="s">
        <v>104</v>
      </c>
      <c r="F24" s="17" t="s">
        <v>99</v>
      </c>
      <c r="G24" s="17" t="s">
        <v>105</v>
      </c>
      <c r="H24" s="17">
        <f>CEILING(BoardQty*1.0,1)</f>
        <v>100</v>
      </c>
      <c r="I24" s="18">
        <f>IF(MIN(M24,S24,Y24,AE24,AK24,AQ24,AW24,BC24)&lt;&gt;0,MIN(M24,S24,Y24,AE24,AK24,AQ24,AW24,BC24),"")</f>
        <v>0.6811</v>
      </c>
      <c r="J24" s="19">
        <f>IF(AND(ISNUMBER(H24),ISNUMBER(I24)),H24*I24,"")</f>
        <v>68.11</v>
      </c>
      <c r="Q24" s="17">
        <v>1458</v>
      </c>
      <c r="R24" s="17"/>
      <c r="S24" s="18">
        <f>IFERROR(IF(OR(R24&gt;=T24,H24&gt;=T24),LOOKUP(IF(R24="",H24,R24),{0,1,10,25,50,100,250,500},{0.0,0.9,0.789,0.7432,0.712,0.6811,0.6192,0.55728}),"MOQ="&amp;T24),"")</f>
        <v>0.6811</v>
      </c>
      <c r="T24" s="17">
        <v>1</v>
      </c>
      <c r="U24" s="19">
        <f>IFERROR(IF(R24="",H24,R24)*S24,"")</f>
        <v>68.11</v>
      </c>
      <c r="V24" s="17" t="s">
        <v>294</v>
      </c>
    </row>
    <row r="25" spans="1:58" ht="30" customHeight="1">
      <c r="A25" s="17" t="s">
        <v>106</v>
      </c>
      <c r="B25" s="17" t="s">
        <v>107</v>
      </c>
      <c r="C25" s="17" t="s">
        <v>108</v>
      </c>
      <c r="E25" s="17" t="s">
        <v>109</v>
      </c>
      <c r="F25" s="17" t="s">
        <v>99</v>
      </c>
      <c r="G25" s="17" t="s">
        <v>110</v>
      </c>
      <c r="H25" s="17">
        <f>CEILING(BoardQty*1.0,1)</f>
        <v>100</v>
      </c>
      <c r="I25" s="18">
        <f>IF(MIN(M25,S25,Y25,AE25,AK25,AQ25,AW25,BC25)&lt;&gt;0,MIN(M25,S25,Y25,AE25,AK25,AQ25,AW25,BC25),"")</f>
        <v>0.3436</v>
      </c>
      <c r="J25" s="19">
        <f>IF(AND(ISNUMBER(H25),ISNUMBER(I25)),H25*I25,"")</f>
        <v>34.36</v>
      </c>
      <c r="Q25" s="17">
        <v>38633</v>
      </c>
      <c r="R25" s="17"/>
      <c r="S25" s="18">
        <f>IFERROR(IF(OR(R25&gt;=T25,H25&gt;=T25),LOOKUP(IF(R25="",H25,R25),{0,1,10,100,500,1000,5000,10000},{0.0,0.48,0.417,0.3436,0.2988,0.24651,0.21663,0.2158}),"MOQ="&amp;T25),"")</f>
        <v>0.3436</v>
      </c>
      <c r="T25" s="17">
        <v>1</v>
      </c>
      <c r="U25" s="19">
        <f>IFERROR(IF(R25="",H25,R25)*S25,"")</f>
        <v>34.36</v>
      </c>
      <c r="V25" s="17" t="s">
        <v>295</v>
      </c>
    </row>
    <row r="26" spans="1:58">
      <c r="A26" s="17" t="s">
        <v>111</v>
      </c>
      <c r="B26" s="17" t="s">
        <v>112</v>
      </c>
      <c r="C26" s="17" t="s">
        <v>113</v>
      </c>
      <c r="D26" s="17" t="s">
        <v>114</v>
      </c>
      <c r="E26" s="17" t="s">
        <v>80</v>
      </c>
      <c r="F26" s="17" t="s">
        <v>115</v>
      </c>
      <c r="G26" s="17" t="s">
        <v>116</v>
      </c>
      <c r="H26" s="17">
        <f>CEILING(BoardQty*1.0,1)</f>
        <v>100</v>
      </c>
      <c r="I26" s="18">
        <f>IF(MIN(M26,S26,Y26,AE26,AK26,AQ26,AW26,BC26)&lt;&gt;0,MIN(M26,S26,Y26,AE26,AK26,AQ26,AW26,BC26),"")</f>
        <v>0.248</v>
      </c>
      <c r="J26" s="19">
        <f>IF(AND(ISNUMBER(H26),ISNUMBER(I26)),H26*I26,"")</f>
        <v>24.8</v>
      </c>
      <c r="Q26" s="17">
        <v>11787</v>
      </c>
      <c r="R26" s="17"/>
      <c r="S26" s="18">
        <f>IFERROR(IF(OR(R26&gt;=T26,H26&gt;=T26),LOOKUP(IF(R26="",H26,R26),{0,1,10,25,50,100,250,500,1000,4000},{0.0,0.45,0.396,0.3468,0.2974,0.2726,0.24776,0.2329,0.1784,0.16849}),"MOQ="&amp;T26),"")</f>
        <v>0.2726</v>
      </c>
      <c r="T26" s="17">
        <v>1</v>
      </c>
      <c r="U26" s="19">
        <f>IFERROR(IF(R26="",H26,R26)*S26,"")</f>
        <v>27.26</v>
      </c>
      <c r="V26" s="17" t="s">
        <v>296</v>
      </c>
      <c r="W26" s="17">
        <v>317</v>
      </c>
      <c r="X26" s="17"/>
      <c r="Y26" s="18">
        <f>IFERROR(IF(OR(X26&gt;=Z26,H26&gt;=Z26),USD_GBP*LOOKUP(IF(X26="",H26,X26),{0,1,25,50,100,250,500},{0.0,0.367,0.243,0.222,0.202,0.195,0.187}),"MOQ="&amp;Z26),"")</f>
        <v>0.26503546099290787</v>
      </c>
      <c r="Z26" s="17">
        <v>1</v>
      </c>
      <c r="AA26" s="19">
        <f>IFERROR(IF(X26="",H26,X26)*Y26,"")</f>
        <v>26.5035</v>
      </c>
      <c r="AB26" s="17" t="s">
        <v>341</v>
      </c>
      <c r="AI26" s="17">
        <v>15060</v>
      </c>
      <c r="AJ26" s="17"/>
      <c r="AK26" s="18">
        <f>IFERROR(IF(OR(AJ26&gt;=AL26,H26&gt;=AL26),LOOKUP(IF(AJ26="",H26,AJ26),{0,1,10,50,100,1000,10000},{0.0,0.45,0.298,0.298,0.248,0.179,0.158}),"MOQ="&amp;AL26),"")</f>
        <v>0.248</v>
      </c>
      <c r="AL26" s="17">
        <v>1</v>
      </c>
      <c r="AM26" s="19">
        <f>IFERROR(IF(AJ26="",H26,AJ26)*AK26,"")</f>
        <v>24.8</v>
      </c>
      <c r="AN26" s="17" t="s">
        <v>398</v>
      </c>
      <c r="AO26" s="17">
        <v>317</v>
      </c>
      <c r="AP26" s="17"/>
      <c r="AQ26" s="18">
        <f>IFERROR(IF(OR(AP26&gt;=AR26,H26&gt;=AR26),LOOKUP(IF(AP26="",H26,AP26),{0,1,25,50,100,250,500,4000,8000,16000},{0.0,0.45,0.298,0.273,0.248,0.239,0.229,0.161,0.158,0.157}),"MOQ="&amp;AR26),"")</f>
        <v>0.248</v>
      </c>
      <c r="AR26" s="17">
        <v>1</v>
      </c>
      <c r="AS26" s="19">
        <f>IFERROR(IF(AP26="",H26,AP26)*AQ26,"")</f>
        <v>24.8</v>
      </c>
      <c r="AT26" s="17" t="s">
        <v>440</v>
      </c>
    </row>
    <row r="27" spans="1:58">
      <c r="A27" s="17" t="s">
        <v>117</v>
      </c>
      <c r="B27" s="17" t="s">
        <v>118</v>
      </c>
      <c r="C27" s="17" t="s">
        <v>119</v>
      </c>
      <c r="D27" s="17" t="s">
        <v>120</v>
      </c>
      <c r="E27" s="17" t="s">
        <v>80</v>
      </c>
      <c r="F27" s="17" t="s">
        <v>115</v>
      </c>
      <c r="G27" s="17" t="s">
        <v>121</v>
      </c>
      <c r="H27" s="17">
        <f>CEILING(BoardQty*1.0,1)</f>
        <v>100</v>
      </c>
      <c r="I27" s="18">
        <f>IF(MIN(M27,S27,Y27,AE27,AK27,AQ27,AW27,BC27)&lt;&gt;0,MIN(M27,S27,Y27,AE27,AK27,AQ27,AW27,BC27),"")</f>
        <v>0.223</v>
      </c>
      <c r="J27" s="19">
        <f>IF(AND(ISNUMBER(H27),ISNUMBER(I27)),H27*I27,"")</f>
        <v>22.3</v>
      </c>
      <c r="Q27" s="17">
        <v>6335</v>
      </c>
      <c r="R27" s="17"/>
      <c r="S27" s="18">
        <f>IFERROR(IF(OR(R27&gt;=T27,H27&gt;=T27),LOOKUP(IF(R27="",H27,R27),{0,1,10,25,50,100,250,500,1000,4000,8000},{0.0,0.4,0.357,0.312,0.2674,0.2451,0.22288,0.2095,0.16046,0.15155,0.14263}),"MOQ="&amp;T27),"")</f>
        <v>0.2451</v>
      </c>
      <c r="T27" s="17">
        <v>1</v>
      </c>
      <c r="U27" s="19">
        <f>IFERROR(IF(R27="",H27,R27)*S27,"")</f>
        <v>24.51</v>
      </c>
      <c r="V27" s="17" t="s">
        <v>297</v>
      </c>
      <c r="W27" s="17">
        <v>4000</v>
      </c>
      <c r="X27" s="17"/>
      <c r="Y27" s="18">
        <f>IFERROR(IF(OR(X27&gt;=Z27,H27&gt;=Z27),USD_GBP*LOOKUP(IF(X27="",H27,X27),{0,1,25,50,100,250,500,4000,8000,16000},{0.0,0.326,0.219,0.201,0.181,0.177,0.171,0.122,0.121,0.12}),"MOQ="&amp;Z27),"")</f>
        <v>0.23748226950354615</v>
      </c>
      <c r="Z27" s="17">
        <v>1</v>
      </c>
      <c r="AA27" s="19">
        <f>IFERROR(IF(X27="",H27,X27)*Y27,"")</f>
        <v>23.7482</v>
      </c>
      <c r="AB27" s="17" t="s">
        <v>342</v>
      </c>
      <c r="AI27" s="17">
        <v>10648</v>
      </c>
      <c r="AJ27" s="17"/>
      <c r="AK27" s="18">
        <f>IFERROR(IF(OR(AJ27&gt;=AL27,H27&gt;=AL27),LOOKUP(IF(AJ27="",H27,AJ27),{0,1,10,50,100,1000,10000},{0.0,0.4,0.268,0.268,0.223,0.161,0.142}),"MOQ="&amp;AL27),"")</f>
        <v>0.223</v>
      </c>
      <c r="AL27" s="17">
        <v>1</v>
      </c>
      <c r="AM27" s="19">
        <f>IFERROR(IF(AJ27="",H27,AJ27)*AK27,"")</f>
        <v>22.3</v>
      </c>
      <c r="AN27" s="17" t="s">
        <v>399</v>
      </c>
      <c r="AO27" s="17">
        <v>4000</v>
      </c>
      <c r="AP27" s="17"/>
      <c r="AQ27" s="18">
        <f>IFERROR(IF(OR(AP27&gt;=AR27,H27&gt;=AR27),LOOKUP(IF(AP27="",H27,AP27),{0,1,25,50,100,250,500,4000,8000,16000},{0.0,0.4,0.268,0.246,0.223,0.217,0.21,0.147,0.142,0.141}),"MOQ="&amp;AR27),"")</f>
        <v>0.223</v>
      </c>
      <c r="AR27" s="17">
        <v>1</v>
      </c>
      <c r="AS27" s="19">
        <f>IFERROR(IF(AP27="",H27,AP27)*AQ27,"")</f>
        <v>22.3</v>
      </c>
      <c r="AT27" s="17" t="s">
        <v>441</v>
      </c>
    </row>
    <row r="28" spans="1:58" ht="30" customHeight="1">
      <c r="A28" s="17" t="s">
        <v>122</v>
      </c>
      <c r="B28" s="17" t="s">
        <v>123</v>
      </c>
      <c r="C28" s="17" t="s">
        <v>124</v>
      </c>
      <c r="E28" s="17" t="s">
        <v>125</v>
      </c>
      <c r="F28" s="17" t="s">
        <v>126</v>
      </c>
      <c r="G28" s="17" t="s">
        <v>127</v>
      </c>
      <c r="H28" s="17">
        <f>CEILING(BoardQty*1.0,1)</f>
        <v>100</v>
      </c>
      <c r="I28" s="18">
        <f>IF(MIN(M28,S28,Y28,AE28,AK28,AQ28,AW28,BC28)&lt;&gt;0,MIN(M28,S28,Y28,AE28,AK28,AQ28,AW28,BC28),"")</f>
        <v>0.061</v>
      </c>
      <c r="J28" s="19">
        <f>IF(AND(ISNUMBER(H28),ISNUMBER(I28)),H28*I28,"")</f>
        <v>6.1</v>
      </c>
      <c r="Q28" s="20" t="s">
        <v>281</v>
      </c>
      <c r="R28" s="17"/>
      <c r="S28" s="18">
        <f>IFERROR(IF(OR(R28&gt;=T28,H28&gt;=T28),LOOKUP(IF(R28="",H28,R28),{0,1,10000},{0.0,0.03532,0.03532}),"MOQ="&amp;T28),"")</f>
        <v/>
      </c>
      <c r="T28" s="17">
        <v>10000</v>
      </c>
      <c r="U28" s="19">
        <f>IFERROR(IF(R28="",H28,R28)*S28,"")</f>
        <v/>
      </c>
      <c r="V28" s="17" t="s">
        <v>298</v>
      </c>
      <c r="AI28" s="17">
        <v>9989</v>
      </c>
      <c r="AJ28" s="17"/>
      <c r="AK28" s="18">
        <f>IFERROR(IF(OR(AJ28&gt;=AL28,H28&gt;=AL28),LOOKUP(IF(AJ28="",H28,AJ28),{0,1,10,50,100,1000,10000},{0.0,0.27,0.223,0.223,0.119,0.053,0.035}),"MOQ="&amp;AL28),"")</f>
        <v>0.119</v>
      </c>
      <c r="AL28" s="17">
        <v>1</v>
      </c>
      <c r="AM28" s="19">
        <f>IFERROR(IF(AJ28="",H28,AJ28)*AK28,"")</f>
        <v>11.9</v>
      </c>
      <c r="AN28" s="17" t="s">
        <v>400</v>
      </c>
      <c r="AO28" s="20" t="s">
        <v>281</v>
      </c>
      <c r="AP28" s="17"/>
      <c r="AQ28" s="18">
        <f>IFERROR(IF(OR(AP28&gt;=AR28,H28&gt;=AR28),LOOKUP(IF(AP28="",H28,AP28),{0,1,10000,20000,40000,60000},{0.0,0.061,0.056,0.049,0.042,0.034}),"MOQ="&amp;AR28),"")</f>
        <v>0.061</v>
      </c>
      <c r="AR28" s="17">
        <v>1</v>
      </c>
      <c r="AS28" s="19">
        <f>IFERROR(IF(AP28="",H28,AP28)*AQ28,"")</f>
        <v>6.1</v>
      </c>
      <c r="AT28" s="17" t="s">
        <v>442</v>
      </c>
    </row>
    <row r="29" spans="1:58">
      <c r="A29" s="17" t="s">
        <v>128</v>
      </c>
      <c r="B29" s="17" t="s">
        <v>129</v>
      </c>
      <c r="C29" s="17" t="s">
        <v>130</v>
      </c>
      <c r="E29" s="17" t="s">
        <v>131</v>
      </c>
      <c r="F29" s="17" t="s">
        <v>132</v>
      </c>
      <c r="G29" s="17" t="s">
        <v>133</v>
      </c>
      <c r="H29" s="17">
        <f>CEILING(BoardQty*2.0,1)</f>
        <v>200</v>
      </c>
      <c r="I29" s="18">
        <f>IF(MIN(M29,S29,Y29,AE29,AK29,AQ29,AW29,BC29)&lt;&gt;0,MIN(M29,S29,Y29,AE29,AK29,AQ29,AW29,BC29),"")</f>
        <v>0.0103</v>
      </c>
      <c r="J29" s="19">
        <f>IF(AND(ISNUMBER(H29),ISNUMBER(I29)),H29*I29,"")</f>
        <v>2.06</v>
      </c>
      <c r="K29" s="17">
        <v>63696</v>
      </c>
      <c r="L29" s="17"/>
      <c r="M29" s="18">
        <f>IFERROR(IF(OR(L29&gt;=N29,H29&gt;=N29),LOOKUP(IF(L29="",H29,L29),{0,1,10,25,100,250,500,1000,3000,6000,15000,30000},{0.0,0.0653,0.0254,0.0251,0.0103,0.0102,0.01,0.0053,0.0052,0.0042,0.0033,0.0032}),"MOQ="&amp;N29),"")</f>
        <v>0.0103</v>
      </c>
      <c r="N29" s="17">
        <v>1</v>
      </c>
      <c r="O29" s="19">
        <f>IFERROR(IF(L29="",H29,L29)*M29,"")</f>
        <v>2.06</v>
      </c>
      <c r="P29" s="17" t="s">
        <v>133</v>
      </c>
      <c r="Q29" s="17">
        <v>92538</v>
      </c>
      <c r="R29" s="17"/>
      <c r="S29" s="18">
        <f>IFERROR(IF(OR(R29&gt;=T29,H29&gt;=T29),LOOKUP(IF(R29="",H29,R29),{0,1,10,100,1000,2500,5000,15000},{0.0,0.1,0.034,0.014,0.00629,0.00546,0.00451,0.00392}),"MOQ="&amp;T29),"")</f>
        <v>0.014</v>
      </c>
      <c r="T29" s="17">
        <v>1</v>
      </c>
      <c r="U29" s="19">
        <f>IFERROR(IF(R29="",H29,R29)*S29,"")</f>
        <v>2.8</v>
      </c>
      <c r="V29" s="17" t="s">
        <v>299</v>
      </c>
      <c r="W29" s="20" t="s">
        <v>281</v>
      </c>
      <c r="X29" s="17"/>
      <c r="Y29" s="18">
        <f>IFERROR(IF(OR(X29&gt;=Z29,H29&gt;=Z29),USD_GBP*LOOKUP(IF(X29="",H29,X29),{0,1,30000},{0.0,0.0054,0.0054}),"MOQ="&amp;Z29),"")</f>
        <v/>
      </c>
      <c r="Z29" s="17">
        <v>30000</v>
      </c>
      <c r="AA29" s="19">
        <f>IFERROR(IF(X29="",H29,X29)*Y29,"")</f>
        <v/>
      </c>
      <c r="AB29" s="17" t="s">
        <v>343</v>
      </c>
      <c r="AI29" s="17">
        <v>3112</v>
      </c>
      <c r="AJ29" s="17"/>
      <c r="AK29" s="18">
        <f>IFERROR(IF(OR(AJ29&gt;=AL29,H29&gt;=AL29),LOOKUP(IF(AJ29="",H29,AJ29),{0,1,10,50,100,1000,10000},{0.0,0.1,0.032,0.032,0.013,0.006,0.004}),"MOQ="&amp;AL29),"")</f>
        <v>0.013</v>
      </c>
      <c r="AL29" s="17">
        <v>1</v>
      </c>
      <c r="AM29" s="19">
        <f>IFERROR(IF(AJ29="",H29,AJ29)*AK29,"")</f>
        <v>2.6</v>
      </c>
      <c r="AN29" s="17" t="s">
        <v>401</v>
      </c>
      <c r="AO29" s="20" t="s">
        <v>281</v>
      </c>
      <c r="AP29" s="17"/>
      <c r="AQ29" s="18">
        <f>IFERROR(IF(OR(AP29&gt;=AR29,H29&gt;=AR29),LOOKUP(IF(AP29="",H29,AP29),{0,1,15000,30000},{0.0,0.005,0.005,0.004}),"MOQ="&amp;AR29),"")</f>
        <v/>
      </c>
      <c r="AR29" s="17">
        <v>15000</v>
      </c>
      <c r="AS29" s="19">
        <f>IFERROR(IF(AP29="",H29,AP29)*AQ29,"")</f>
        <v/>
      </c>
      <c r="AT29" s="17" t="s">
        <v>443</v>
      </c>
      <c r="AU29" s="17">
        <v>28000</v>
      </c>
      <c r="AV29" s="17"/>
      <c r="AW29" s="18">
        <f>IFERROR(IF(OR(AV29&gt;=AX29,H29&gt;=AX29),USD_GBP*LOOKUP(IF(AV29="",H29,AV29),{0,1,1000,5000,10000,15000},{0.0,0.005,0.005,0.005,0.005,0.005}),"MOQ="&amp;AX29),"")</f>
        <v/>
      </c>
      <c r="AX29" s="17">
        <v>1000</v>
      </c>
      <c r="AY29" s="19">
        <f>IFERROR(IF(AV29="",H29,AV29)*AW29,"")</f>
        <v/>
      </c>
      <c r="AZ29" s="17" t="s">
        <v>472</v>
      </c>
    </row>
    <row r="30" spans="1:58">
      <c r="A30" s="17" t="s">
        <v>134</v>
      </c>
      <c r="B30" s="17" t="s">
        <v>135</v>
      </c>
      <c r="C30" s="17" t="s">
        <v>136</v>
      </c>
      <c r="E30" s="17" t="s">
        <v>131</v>
      </c>
      <c r="F30" s="17" t="s">
        <v>132</v>
      </c>
      <c r="G30" s="17" t="s">
        <v>137</v>
      </c>
      <c r="H30" s="17">
        <f>CEILING(BoardQty*4.0,1)</f>
        <v>400</v>
      </c>
      <c r="I30" s="18">
        <f>IF(MIN(M30,S30,Y30,AE30,AK30,AQ30,AW30,BC30)&lt;&gt;0,MIN(M30,S30,Y30,AE30,AK30,AQ30,AW30,BC30),"")</f>
        <v>0.008</v>
      </c>
      <c r="J30" s="19">
        <f>IF(AND(ISNUMBER(H30),ISNUMBER(I30)),H30*I30,"")</f>
        <v>3.2</v>
      </c>
      <c r="K30" s="17">
        <v>54200</v>
      </c>
      <c r="L30" s="17"/>
      <c r="M30" s="18">
        <f>IFERROR(IF(OR(L30&gt;=N30,H30&gt;=N30),LOOKUP(IF(L30="",H30,L30),{0,1,15000},{0.0,0.004,0.004}),"MOQ="&amp;N30),"")</f>
        <v/>
      </c>
      <c r="N30" s="17">
        <v>15000</v>
      </c>
      <c r="O30" s="19">
        <f>IFERROR(IF(L30="",H30,L30)*M30,"")</f>
        <v/>
      </c>
      <c r="P30" s="17" t="s">
        <v>137</v>
      </c>
      <c r="Q30" s="17">
        <v>552072</v>
      </c>
      <c r="R30" s="17"/>
      <c r="S30" s="18">
        <f>IFERROR(IF(OR(R30&gt;=T30,H30&gt;=T30),LOOKUP(IF(R30="",H30,R30),{0,1,10,100,1000,2500,5000,15000},{0.0,0.1,0.034,0.014,0.00629,0.00546,0.00451,0.00392}),"MOQ="&amp;T30),"")</f>
        <v>0.014</v>
      </c>
      <c r="T30" s="17">
        <v>1</v>
      </c>
      <c r="U30" s="19">
        <f>IFERROR(IF(R30="",H30,R30)*S30,"")</f>
        <v>5.6</v>
      </c>
      <c r="V30" s="17" t="s">
        <v>300</v>
      </c>
      <c r="W30" s="20" t="s">
        <v>281</v>
      </c>
      <c r="X30" s="17"/>
      <c r="Y30" s="18">
        <f>IFERROR(IF(OR(X30&gt;=Z30,H30&gt;=Z30),USD_GBP*LOOKUP(IF(X30="",H30,X30),{0,1,30000},{0.0,0.0054,0.0054}),"MOQ="&amp;Z30),"")</f>
        <v/>
      </c>
      <c r="Z30" s="17">
        <v>30000</v>
      </c>
      <c r="AA30" s="19">
        <f>IFERROR(IF(X30="",H30,X30)*Y30,"")</f>
        <v/>
      </c>
      <c r="AB30" s="17" t="s">
        <v>344</v>
      </c>
      <c r="AC30" s="17">
        <v>750</v>
      </c>
      <c r="AD30" s="17"/>
      <c r="AE30" s="18">
        <f>IFERROR(IF(OR(AD30&gt;=AF30,H30&gt;=AF30),LOOKUP(IF(AD30="",H30,AD30),{0,1,50,500,1500,5000,25000,50000},{0.0,0.0193,0.0193,0.0157,0.0131,0.0109,0.0105,0.0104}),"MOQ="&amp;AF30),"")</f>
        <v>0.0193</v>
      </c>
      <c r="AF30" s="17">
        <v>50</v>
      </c>
      <c r="AG30" s="19">
        <f>IFERROR(IF(AD30="",H30,AD30)*AE30,"")</f>
        <v>7.72</v>
      </c>
      <c r="AH30" s="17" t="s">
        <v>376</v>
      </c>
      <c r="AI30" s="17">
        <v>849384</v>
      </c>
      <c r="AJ30" s="17"/>
      <c r="AK30" s="18">
        <f>IFERROR(IF(OR(AJ30&gt;=AL30,H30&gt;=AL30),LOOKUP(IF(AJ30="",H30,AJ30),{0,1,10,50,100,1000,10000},{0.0,0.1,0.032,0.032,0.013,0.006,0.004}),"MOQ="&amp;AL30),"")</f>
        <v>0.013</v>
      </c>
      <c r="AL30" s="17">
        <v>1</v>
      </c>
      <c r="AM30" s="19">
        <f>IFERROR(IF(AJ30="",H30,AJ30)*AK30,"")</f>
        <v>5.2</v>
      </c>
      <c r="AN30" s="17" t="s">
        <v>402</v>
      </c>
      <c r="AO30" s="20" t="s">
        <v>281</v>
      </c>
      <c r="AP30" s="17"/>
      <c r="AQ30" s="18">
        <f>IFERROR(IF(OR(AP30&gt;=AR30,H30&gt;=AR30),LOOKUP(IF(AP30="",H30,AP30),{0,1,5000,10000,15000},{0.0,0.008,0.007,0.006,0.006}),"MOQ="&amp;AR30),"")</f>
        <v>0.008</v>
      </c>
      <c r="AR30" s="17">
        <v>1</v>
      </c>
      <c r="AS30" s="19">
        <f>IFERROR(IF(AP30="",H30,AP30)*AQ30,"")</f>
        <v>3.2</v>
      </c>
      <c r="AT30" s="17" t="s">
        <v>444</v>
      </c>
      <c r="AU30" s="17">
        <v>71000</v>
      </c>
      <c r="AV30" s="17"/>
      <c r="AW30" s="18">
        <f>IFERROR(IF(OR(AV30&gt;=AX30,H30&gt;=AX30),USD_GBP*LOOKUP(IF(AV30="",H30,AV30),{0,1,1000,5000,10000,15000},{0.0,0.011,0.011,0.009,0.008,0.006}),"MOQ="&amp;AX30),"")</f>
        <v/>
      </c>
      <c r="AX30" s="17">
        <v>1000</v>
      </c>
      <c r="AY30" s="19">
        <f>IFERROR(IF(AV30="",H30,AV30)*AW30,"")</f>
        <v/>
      </c>
      <c r="AZ30" s="17" t="s">
        <v>473</v>
      </c>
    </row>
    <row r="31" spans="1:58">
      <c r="A31" s="17" t="s">
        <v>138</v>
      </c>
      <c r="B31" s="17" t="s">
        <v>139</v>
      </c>
      <c r="C31" s="17" t="s">
        <v>140</v>
      </c>
      <c r="E31" s="17" t="s">
        <v>131</v>
      </c>
      <c r="F31" s="17" t="s">
        <v>132</v>
      </c>
      <c r="G31" s="17" t="s">
        <v>141</v>
      </c>
      <c r="H31" s="17">
        <f>CEILING(BoardQty*1.0,1)</f>
        <v>100</v>
      </c>
      <c r="I31" s="18">
        <f>IF(MIN(M31,S31,Y31,AE31,AK31,AQ31,AW31,BC31)&lt;&gt;0,MIN(M31,S31,Y31,AE31,AK31,AQ31,AW31,BC31),"")</f>
        <v>0.0103</v>
      </c>
      <c r="J31" s="19">
        <f>IF(AND(ISNUMBER(H31),ISNUMBER(I31)),H31*I31,"")</f>
        <v>1.03</v>
      </c>
      <c r="K31" s="17">
        <v>60000</v>
      </c>
      <c r="L31" s="17"/>
      <c r="M31" s="18">
        <f>IFERROR(IF(OR(L31&gt;=N31,H31&gt;=N31),LOOKUP(IF(L31="",H31,L31),{0,1,10,25,100,250,500,1000,3000,15000},{0.0,0.0682,0.0239,0.0237,0.0103,0.0102,0.01,0.006,0.0028,0.0027}),"MOQ="&amp;N31),"")</f>
        <v>0.0103</v>
      </c>
      <c r="N31" s="17">
        <v>1</v>
      </c>
      <c r="O31" s="19">
        <f>IFERROR(IF(L31="",H31,L31)*M31,"")</f>
        <v>1.03</v>
      </c>
      <c r="P31" s="17" t="s">
        <v>141</v>
      </c>
      <c r="Q31" s="17">
        <v>143810</v>
      </c>
      <c r="R31" s="17"/>
      <c r="S31" s="18">
        <f>IFERROR(IF(OR(R31&gt;=T31,H31&gt;=T31),LOOKUP(IF(R31="",H31,R31),{0,1,10,100,1000,2500,5000,15000},{0.0,0.1,0.034,0.014,0.00629,0.00546,0.00451,0.00392}),"MOQ="&amp;T31),"")</f>
        <v>0.014</v>
      </c>
      <c r="T31" s="17">
        <v>1</v>
      </c>
      <c r="U31" s="19">
        <f>IFERROR(IF(R31="",H31,R31)*S31,"")</f>
        <v>1.4</v>
      </c>
      <c r="V31" s="17" t="s">
        <v>301</v>
      </c>
      <c r="W31" s="20" t="s">
        <v>281</v>
      </c>
      <c r="X31" s="17"/>
      <c r="Y31" s="18">
        <f>IFERROR(IF(OR(X31&gt;=Z31,H31&gt;=Z31),USD_GBP*LOOKUP(IF(X31="",H31,X31),{0,1,30000},{0.0,0.0054,0.0054}),"MOQ="&amp;Z31),"")</f>
        <v/>
      </c>
      <c r="Z31" s="17">
        <v>30000</v>
      </c>
      <c r="AA31" s="19">
        <f>IFERROR(IF(X31="",H31,X31)*Y31,"")</f>
        <v/>
      </c>
      <c r="AB31" s="17" t="s">
        <v>345</v>
      </c>
      <c r="AI31" s="17">
        <v>23842</v>
      </c>
      <c r="AJ31" s="17"/>
      <c r="AK31" s="18">
        <f>IFERROR(IF(OR(AJ31&gt;=AL31,H31&gt;=AL31),LOOKUP(IF(AJ31="",H31,AJ31),{0,1,10,50,100,1000,10000},{0.0,0.1,0.032,0.032,0.013,0.006,0.004}),"MOQ="&amp;AL31),"")</f>
        <v>0.013</v>
      </c>
      <c r="AL31" s="17">
        <v>1</v>
      </c>
      <c r="AM31" s="19">
        <f>IFERROR(IF(AJ31="",H31,AJ31)*AK31,"")</f>
        <v>1.3</v>
      </c>
      <c r="AN31" s="17" t="s">
        <v>403</v>
      </c>
      <c r="AO31" s="20" t="s">
        <v>281</v>
      </c>
      <c r="AP31" s="17"/>
      <c r="AQ31" s="18">
        <f>IFERROR(IF(OR(AP31&gt;=AR31,H31&gt;=AR31),LOOKUP(IF(AP31="",H31,AP31),{0,1,15000,30000},{0.0,0.005,0.005,0.004}),"MOQ="&amp;AR31),"")</f>
        <v/>
      </c>
      <c r="AR31" s="17">
        <v>15000</v>
      </c>
      <c r="AS31" s="19">
        <f>IFERROR(IF(AP31="",H31,AP31)*AQ31,"")</f>
        <v/>
      </c>
      <c r="AT31" s="17" t="s">
        <v>445</v>
      </c>
      <c r="AU31" s="17">
        <v>28000</v>
      </c>
      <c r="AV31" s="17"/>
      <c r="AW31" s="18">
        <f>IFERROR(IF(OR(AV31&gt;=AX31,H31&gt;=AX31),USD_GBP*LOOKUP(IF(AV31="",H31,AV31),{0,1,1000,15000},{0.0,0.004,0.004,0.004}),"MOQ="&amp;AX31),"")</f>
        <v/>
      </c>
      <c r="AX31" s="17">
        <v>1000</v>
      </c>
      <c r="AY31" s="19">
        <f>IFERROR(IF(AV31="",H31,AV31)*AW31,"")</f>
        <v/>
      </c>
      <c r="AZ31" s="17" t="s">
        <v>474</v>
      </c>
    </row>
    <row r="32" spans="1:58">
      <c r="A32" s="17" t="s">
        <v>142</v>
      </c>
      <c r="B32" s="17" t="s">
        <v>143</v>
      </c>
      <c r="C32" s="17" t="s">
        <v>144</v>
      </c>
      <c r="E32" s="17" t="s">
        <v>131</v>
      </c>
      <c r="F32" s="17" t="s">
        <v>132</v>
      </c>
      <c r="G32" s="17" t="s">
        <v>145</v>
      </c>
      <c r="H32" s="17">
        <f>CEILING(BoardQty*3.0,1)</f>
        <v>300</v>
      </c>
      <c r="I32" s="18">
        <f>IF(MIN(M32,S32,Y32,AE32,AK32,AQ32,AW32,BC32)&lt;&gt;0,MIN(M32,S32,Y32,AE32,AK32,AQ32,AW32,BC32),"")</f>
        <v>0.009</v>
      </c>
      <c r="J32" s="19">
        <f>IF(AND(ISNUMBER(H32),ISNUMBER(I32)),H32*I32,"")</f>
        <v>2.7</v>
      </c>
      <c r="K32" s="17">
        <v>20</v>
      </c>
      <c r="L32" s="17"/>
      <c r="M32" s="18">
        <f>IFERROR(IF(OR(L32&gt;=N32,H32&gt;=N32),LOOKUP(IF(L32="",H32,L32),{0,1,10},{0.0,0.0653,0.0132}),"MOQ="&amp;N32),"")</f>
        <v>0.0132</v>
      </c>
      <c r="N32" s="17">
        <v>1</v>
      </c>
      <c r="O32" s="19">
        <f>IFERROR(IF(L32="",H32,L32)*M32,"")</f>
        <v>3.96</v>
      </c>
      <c r="P32" s="17" t="s">
        <v>145</v>
      </c>
      <c r="Q32" s="17">
        <v>75</v>
      </c>
      <c r="R32" s="17"/>
      <c r="S32" s="18">
        <f>IFERROR(IF(OR(R32&gt;=T32,H32&gt;=T32),LOOKUP(IF(R32="",H32,R32),{0,1,10,100,1000,2500,5000,15000},{0.0,0.1,0.034,0.014,0.00629,0.00546,0.00451,0.00392}),"MOQ="&amp;T32),"")</f>
        <v>0.014</v>
      </c>
      <c r="T32" s="17">
        <v>1</v>
      </c>
      <c r="U32" s="19">
        <f>IFERROR(IF(R32="",H32,R32)*S32,"")</f>
        <v>4.2</v>
      </c>
      <c r="V32" s="17" t="s">
        <v>302</v>
      </c>
      <c r="W32" s="20" t="s">
        <v>281</v>
      </c>
      <c r="X32" s="17"/>
      <c r="Y32" s="18">
        <f>IFERROR(IF(OR(X32&gt;=Z32,H32&gt;=Z32),USD_GBP*LOOKUP(IF(X32="",H32,X32),{0,1,30000},{0.0,0.0054,0.0054}),"MOQ="&amp;Z32),"")</f>
        <v/>
      </c>
      <c r="Z32" s="17">
        <v>30000</v>
      </c>
      <c r="AA32" s="19">
        <f>IFERROR(IF(X32="",H32,X32)*Y32,"")</f>
        <v/>
      </c>
      <c r="AB32" s="17" t="s">
        <v>346</v>
      </c>
      <c r="AI32" s="17">
        <v>158</v>
      </c>
      <c r="AJ32" s="17"/>
      <c r="AK32" s="18">
        <f>IFERROR(IF(OR(AJ32&gt;=AL32,H32&gt;=AL32),LOOKUP(IF(AJ32="",H32,AJ32),{0,1,10,50,100,1000,10000},{0.0,0.1,0.032,0.032,0.013,0.006,0.005}),"MOQ="&amp;AL32),"")</f>
        <v>0.013</v>
      </c>
      <c r="AL32" s="17">
        <v>1</v>
      </c>
      <c r="AM32" s="19">
        <f>IFERROR(IF(AJ32="",H32,AJ32)*AK32,"")</f>
        <v>3.9</v>
      </c>
      <c r="AN32" s="17" t="s">
        <v>404</v>
      </c>
      <c r="AO32" s="20" t="s">
        <v>281</v>
      </c>
      <c r="AP32" s="17"/>
      <c r="AQ32" s="18">
        <f>IFERROR(IF(OR(AP32&gt;=AR32,H32&gt;=AR32),LOOKUP(IF(AP32="",H32,AP32),{0,1,5000,10000,15000},{0.0,0.009,0.008,0.007,0.007}),"MOQ="&amp;AR32),"")</f>
        <v>0.009</v>
      </c>
      <c r="AR32" s="17">
        <v>1</v>
      </c>
      <c r="AS32" s="19">
        <f>IFERROR(IF(AP32="",H32,AP32)*AQ32,"")</f>
        <v>2.7</v>
      </c>
      <c r="AT32" s="17" t="s">
        <v>446</v>
      </c>
      <c r="AU32" s="17">
        <v>44000</v>
      </c>
      <c r="AV32" s="17"/>
      <c r="AW32" s="18">
        <f>IFERROR(IF(OR(AV32&gt;=AX32,H32&gt;=AX32),USD_GBP*LOOKUP(IF(AV32="",H32,AV32),{0,1,1000,5000,10000,15000},{0.0,0.011,0.011,0.009,0.008,0.006}),"MOQ="&amp;AX32),"")</f>
        <v/>
      </c>
      <c r="AX32" s="17">
        <v>1000</v>
      </c>
      <c r="AY32" s="19">
        <f>IFERROR(IF(AV32="",H32,AV32)*AW32,"")</f>
        <v/>
      </c>
      <c r="AZ32" s="17" t="s">
        <v>475</v>
      </c>
    </row>
    <row r="33" spans="1:52">
      <c r="A33" s="17" t="s">
        <v>146</v>
      </c>
      <c r="B33" s="17" t="s">
        <v>147</v>
      </c>
      <c r="C33" s="17" t="s">
        <v>148</v>
      </c>
      <c r="E33" s="17" t="s">
        <v>131</v>
      </c>
      <c r="F33" s="17" t="s">
        <v>132</v>
      </c>
      <c r="G33" s="17" t="s">
        <v>149</v>
      </c>
      <c r="H33" s="17">
        <f>CEILING(BoardQty*3.0,1)</f>
        <v>300</v>
      </c>
      <c r="I33" s="18">
        <f>IF(MIN(M33,S33,Y33,AE33,AK33,AQ33,AW33,BC33)&lt;&gt;0,MIN(M33,S33,Y33,AE33,AK33,AQ33,AW33,BC33),"")</f>
        <v>0.022</v>
      </c>
      <c r="J33" s="19">
        <f>IF(AND(ISNUMBER(H33),ISNUMBER(I33)),H33*I33,"")</f>
        <v>6.6</v>
      </c>
      <c r="K33" s="17">
        <v>33</v>
      </c>
      <c r="L33" s="17"/>
      <c r="M33" s="18">
        <f>IFERROR(IF(OR(L33&gt;=N33,H33&gt;=N33),LOOKUP(IF(L33="",H33,L33),{0,1,10,25},{0.0,0.0657,0.0454,0.045}),"MOQ="&amp;N33),"")</f>
        <v>0.045</v>
      </c>
      <c r="N33" s="17">
        <v>1</v>
      </c>
      <c r="O33" s="19">
        <f>IFERROR(IF(L33="",H33,L33)*M33,"")</f>
        <v>13.5</v>
      </c>
      <c r="P33" s="17" t="s">
        <v>149</v>
      </c>
      <c r="Q33" s="17">
        <v>688293</v>
      </c>
      <c r="R33" s="17"/>
      <c r="S33" s="18">
        <f>IFERROR(IF(OR(R33&gt;=T33,H33&gt;=T33),LOOKUP(IF(R33="",H33,R33),{0,1,10,100,1000,2500,5000,15000},{0.0,0.1,0.065,0.0266,0.01192,0.01035,0.00855,0.00743}),"MOQ="&amp;T33),"")</f>
        <v>0.0266</v>
      </c>
      <c r="T33" s="17">
        <v>1</v>
      </c>
      <c r="U33" s="19">
        <f>IFERROR(IF(R33="",H33,R33)*S33,"")</f>
        <v>7.98</v>
      </c>
      <c r="V33" s="17" t="s">
        <v>303</v>
      </c>
      <c r="W33" s="17">
        <v>2183</v>
      </c>
      <c r="X33" s="17"/>
      <c r="Y33" s="18">
        <f>IFERROR(IF(OR(X33&gt;=Z33,H33&gt;=Z33),USD_GBP*LOOKUP(IF(X33="",H33,X33),{0,1,10,100,500,2500,7500,15000,75000},{0.0,0.0533,0.0533,0.0215,0.0102,0.0068,0.0067,0.0066,0.0065}),"MOQ="&amp;Z33),"")</f>
        <v>0.02820921985815603</v>
      </c>
      <c r="Z33" s="17">
        <v>10</v>
      </c>
      <c r="AA33" s="19">
        <f>IFERROR(IF(X33="",H33,X33)*Y33,"")</f>
        <v>8.4628</v>
      </c>
      <c r="AB33" s="17" t="s">
        <v>347</v>
      </c>
      <c r="AI33" s="17">
        <v>644855</v>
      </c>
      <c r="AJ33" s="17"/>
      <c r="AK33" s="18">
        <f>IFERROR(IF(OR(AJ33&gt;=AL33,H33&gt;=AL33),LOOKUP(IF(AJ33="",H33,AJ33),{0,1,10,50,100,1000,10000},{0.0,0.11,0.06,0.06,0.025,0.011,0.007}),"MOQ="&amp;AL33),"")</f>
        <v>0.025</v>
      </c>
      <c r="AL33" s="17">
        <v>1</v>
      </c>
      <c r="AM33" s="19">
        <f>IFERROR(IF(AJ33="",H33,AJ33)*AK33,"")</f>
        <v>7.5</v>
      </c>
      <c r="AN33" s="17" t="s">
        <v>405</v>
      </c>
      <c r="AO33" s="17">
        <v>25381</v>
      </c>
      <c r="AP33" s="17"/>
      <c r="AQ33" s="18">
        <f>IFERROR(IF(OR(AP33&gt;=AR33,H33&gt;=AR33),LOOKUP(IF(AP33="",H33,AP33),{0,1,10,25,50,100,250,500,1000,2500,5000,10000,15000},{0.0,0.114,0.06,0.066,0.037,0.027,0.022,0.017,0.012,0.009,0.021,0.016,0.016}),"MOQ="&amp;AR33),"")</f>
        <v>0.022</v>
      </c>
      <c r="AR33" s="17">
        <v>1</v>
      </c>
      <c r="AS33" s="19">
        <f>IFERROR(IF(AP33="",H33,AP33)*AQ33,"")</f>
        <v>6.6</v>
      </c>
      <c r="AT33" s="17" t="s">
        <v>447</v>
      </c>
      <c r="AU33" s="17">
        <v>54000</v>
      </c>
      <c r="AV33" s="17"/>
      <c r="AW33" s="18">
        <f>IFERROR(IF(OR(AV33&gt;=AX33,H33&gt;=AX33),USD_GBP*LOOKUP(IF(AV33="",H33,AV33),{0,1,1000,5000,10000,15000},{0.0,0.008,0.008,0.006,0.006,0.006}),"MOQ="&amp;AX33),"")</f>
        <v/>
      </c>
      <c r="AX33" s="17">
        <v>1000</v>
      </c>
      <c r="AY33" s="19">
        <f>IFERROR(IF(AV33="",H33,AV33)*AW33,"")</f>
        <v/>
      </c>
      <c r="AZ33" s="17" t="s">
        <v>476</v>
      </c>
    </row>
    <row r="34" spans="1:52">
      <c r="A34" s="17" t="s">
        <v>150</v>
      </c>
      <c r="B34" s="17" t="s">
        <v>151</v>
      </c>
      <c r="C34" s="17" t="s">
        <v>152</v>
      </c>
      <c r="E34" s="17" t="s">
        <v>131</v>
      </c>
      <c r="F34" s="17" t="s">
        <v>132</v>
      </c>
      <c r="G34" s="17" t="s">
        <v>153</v>
      </c>
      <c r="H34" s="17">
        <f>CEILING(BoardQty*2.0,1)</f>
        <v>200</v>
      </c>
      <c r="I34" s="18">
        <f>IF(MIN(M34,S34,Y34,AE34,AK34,AQ34,AW34,BC34)&lt;&gt;0,MIN(M34,S34,Y34,AE34,AK34,AQ34,AW34,BC34),"")</f>
        <v>0.0083</v>
      </c>
      <c r="J34" s="19">
        <f>IF(AND(ISNUMBER(H34),ISNUMBER(I34)),H34*I34,"")</f>
        <v>1.66</v>
      </c>
      <c r="K34" s="17">
        <v>70</v>
      </c>
      <c r="L34" s="17"/>
      <c r="M34" s="18">
        <f>IFERROR(IF(OR(L34&gt;=N34,H34&gt;=N34),LOOKUP(IF(L34="",H34,L34),{0,1,15000},{0.0,0.004,0.004}),"MOQ="&amp;N34),"")</f>
        <v/>
      </c>
      <c r="N34" s="17">
        <v>15000</v>
      </c>
      <c r="O34" s="19">
        <f>IFERROR(IF(L34="",H34,L34)*M34,"")</f>
        <v/>
      </c>
      <c r="P34" s="17" t="s">
        <v>153</v>
      </c>
      <c r="Q34" s="17">
        <v>224839</v>
      </c>
      <c r="R34" s="17"/>
      <c r="S34" s="18">
        <f>IFERROR(IF(OR(R34&gt;=T34,H34&gt;=T34),LOOKUP(IF(R34="",H34,R34),{0,1,10,100,1000,2500,5000,15000},{0.0,0.1,0.034,0.014,0.00629,0.00546,0.00451,0.00392}),"MOQ="&amp;T34),"")</f>
        <v>0.014</v>
      </c>
      <c r="T34" s="17">
        <v>1</v>
      </c>
      <c r="U34" s="19">
        <f>IFERROR(IF(R34="",H34,R34)*S34,"")</f>
        <v>2.8</v>
      </c>
      <c r="V34" s="17" t="s">
        <v>304</v>
      </c>
      <c r="W34" s="20" t="s">
        <v>281</v>
      </c>
      <c r="X34" s="17"/>
      <c r="Y34" s="18">
        <f>IFERROR(IF(OR(X34&gt;=Z34,H34&gt;=Z34),USD_GBP*LOOKUP(IF(X34="",H34,X34),{0,1,30000},{0.0,0.0054,0.0054}),"MOQ="&amp;Z34),"")</f>
        <v/>
      </c>
      <c r="Z34" s="17">
        <v>30000</v>
      </c>
      <c r="AA34" s="19">
        <f>IFERROR(IF(X34="",H34,X34)*Y34,"")</f>
        <v/>
      </c>
      <c r="AB34" s="17" t="s">
        <v>348</v>
      </c>
      <c r="AC34" s="17">
        <v>14350</v>
      </c>
      <c r="AD34" s="17"/>
      <c r="AE34" s="18">
        <f>IFERROR(IF(OR(AD34&gt;=AF34,H34&gt;=AF34),LOOKUP(IF(AD34="",H34,AD34),{0,1,50,500,1500,5000,25000,50000},{0.0,0.0083,0.0083,0.007,0.0061,0.0053,0.0052,0.0051}),"MOQ="&amp;AF34),"")</f>
        <v>0.0083</v>
      </c>
      <c r="AF34" s="17">
        <v>50</v>
      </c>
      <c r="AG34" s="19">
        <f>IFERROR(IF(AD34="",H34,AD34)*AE34,"")</f>
        <v>1.66</v>
      </c>
      <c r="AH34" s="17" t="s">
        <v>377</v>
      </c>
      <c r="AI34" s="17">
        <v>137563</v>
      </c>
      <c r="AJ34" s="17"/>
      <c r="AK34" s="18">
        <f>IFERROR(IF(OR(AJ34&gt;=AL34,H34&gt;=AL34),LOOKUP(IF(AJ34="",H34,AJ34),{0,1,10,50,100,1000,10000},{0.0,0.1,0.032,0.032,0.013,0.006,0.004}),"MOQ="&amp;AL34),"")</f>
        <v>0.013</v>
      </c>
      <c r="AL34" s="17">
        <v>1</v>
      </c>
      <c r="AM34" s="19">
        <f>IFERROR(IF(AJ34="",H34,AJ34)*AK34,"")</f>
        <v>2.6</v>
      </c>
      <c r="AN34" s="17" t="s">
        <v>406</v>
      </c>
      <c r="AO34" s="20" t="s">
        <v>281</v>
      </c>
      <c r="AP34" s="17"/>
      <c r="AQ34" s="18">
        <f>IFERROR(IF(OR(AP34&gt;=AR34,H34&gt;=AR34),LOOKUP(IF(AP34="",H34,AP34),{0,1,15000},{0.0,0.006,0.006}),"MOQ="&amp;AR34),"")</f>
        <v/>
      </c>
      <c r="AR34" s="17">
        <v>15000</v>
      </c>
      <c r="AS34" s="19">
        <f>IFERROR(IF(AP34="",H34,AP34)*AQ34,"")</f>
        <v/>
      </c>
      <c r="AT34" s="17" t="s">
        <v>448</v>
      </c>
      <c r="AU34" s="17">
        <v>18000</v>
      </c>
      <c r="AV34" s="17"/>
      <c r="AW34" s="18">
        <f>IFERROR(IF(OR(AV34&gt;=AX34,H34&gt;=AX34),USD_GBP*LOOKUP(IF(AV34="",H34,AV34),{0,1,1000,5000,10000,15000},{0.0,0.005,0.005,0.005,0.005,0.004}),"MOQ="&amp;AX34),"")</f>
        <v/>
      </c>
      <c r="AX34" s="17">
        <v>1000</v>
      </c>
      <c r="AY34" s="19">
        <f>IFERROR(IF(AV34="",H34,AV34)*AW34,"")</f>
        <v/>
      </c>
      <c r="AZ34" s="17" t="s">
        <v>477</v>
      </c>
    </row>
    <row r="35" spans="1:52">
      <c r="A35" s="17" t="s">
        <v>154</v>
      </c>
      <c r="B35" s="17" t="s">
        <v>155</v>
      </c>
      <c r="C35" s="17" t="s">
        <v>156</v>
      </c>
      <c r="E35" s="17" t="s">
        <v>131</v>
      </c>
      <c r="F35" s="17" t="s">
        <v>132</v>
      </c>
      <c r="G35" s="17" t="s">
        <v>157</v>
      </c>
      <c r="H35" s="17">
        <f>CEILING(BoardQty*1.0,1)</f>
        <v>100</v>
      </c>
      <c r="I35" s="18">
        <f>IF(MIN(M35,S35,Y35,AE35,AK35,AQ35,AW35,BC35)&lt;&gt;0,MIN(M35,S35,Y35,AE35,AK35,AQ35,AW35,BC35),"")</f>
        <v>0.025</v>
      </c>
      <c r="J35" s="19">
        <f>IF(AND(ISNUMBER(H35),ISNUMBER(I35)),H35*I35,"")</f>
        <v>2.5</v>
      </c>
      <c r="Q35" s="17">
        <v>2944</v>
      </c>
      <c r="R35" s="17"/>
      <c r="S35" s="18">
        <f>IFERROR(IF(OR(R35&gt;=T35,H35&gt;=T35),LOOKUP(IF(R35="",H35,R35),{0,1,10,100,1000,2500,5000,15000},{0.0,0.1,0.065,0.0266,0.01192,0.01035,0.00855,0.00743}),"MOQ="&amp;T35),"")</f>
        <v>0.0266</v>
      </c>
      <c r="T35" s="17">
        <v>1</v>
      </c>
      <c r="U35" s="19">
        <f>IFERROR(IF(R35="",H35,R35)*S35,"")</f>
        <v>2.66</v>
      </c>
      <c r="V35" s="17" t="s">
        <v>305</v>
      </c>
      <c r="W35" s="20" t="s">
        <v>281</v>
      </c>
      <c r="X35" s="17"/>
      <c r="Y35" s="18">
        <f>IFERROR(IF(OR(X35&gt;=Z35,H35&gt;=Z35),USD_GBP*LOOKUP(IF(X35="",H35,X35),{0,1,30000},{0.0,0.0069,0.0069}),"MOQ="&amp;Z35),"")</f>
        <v/>
      </c>
      <c r="Z35" s="17">
        <v>30000</v>
      </c>
      <c r="AA35" s="19">
        <f>IFERROR(IF(X35="",H35,X35)*Y35,"")</f>
        <v/>
      </c>
      <c r="AB35" s="17" t="s">
        <v>349</v>
      </c>
      <c r="AI35" s="20" t="s">
        <v>281</v>
      </c>
      <c r="AJ35" s="17"/>
      <c r="AK35" s="18">
        <f>IFERROR(IF(OR(AJ35&gt;=AL35,H35&gt;=AL35),LOOKUP(IF(AJ35="",H35,AJ35),{0,1,10,50,100,1000,10000},{0.0,0.11,0.06,0.06,0.025,0.011,0.007}),"MOQ="&amp;AL35),"")</f>
        <v>0.025</v>
      </c>
      <c r="AL35" s="17">
        <v>1</v>
      </c>
      <c r="AM35" s="19">
        <f>IFERROR(IF(AJ35="",H35,AJ35)*AK35,"")</f>
        <v>2.5</v>
      </c>
      <c r="AN35" s="17" t="s">
        <v>407</v>
      </c>
    </row>
    <row r="36" spans="1:52">
      <c r="A36" s="17" t="s">
        <v>158</v>
      </c>
      <c r="B36" s="17" t="s">
        <v>159</v>
      </c>
      <c r="C36" s="17" t="s">
        <v>160</v>
      </c>
      <c r="E36" s="17" t="s">
        <v>131</v>
      </c>
      <c r="F36" s="17" t="s">
        <v>132</v>
      </c>
      <c r="G36" s="17" t="s">
        <v>161</v>
      </c>
      <c r="H36" s="17">
        <f>CEILING(BoardQty*2.0,1)</f>
        <v>200</v>
      </c>
      <c r="I36" s="18">
        <f>IF(MIN(M36,S36,Y36,AE36,AK36,AQ36,AW36,BC36)&lt;&gt;0,MIN(M36,S36,Y36,AE36,AK36,AQ36,AW36,BC36),"")</f>
        <v>0.0128</v>
      </c>
      <c r="J36" s="19">
        <f>IF(AND(ISNUMBER(H36),ISNUMBER(I36)),H36*I36,"")</f>
        <v>2.56</v>
      </c>
      <c r="Q36" s="20" t="s">
        <v>281</v>
      </c>
      <c r="R36" s="17"/>
      <c r="S36" s="18">
        <f>IFERROR(IF(OR(R36&gt;=T36,H36&gt;=T36),LOOKUP(IF(R36="",H36,R36),{0,1,10,100,1000,2500,5000,15000},{0.0,0.1,0.065,0.0266,0.01192,0.01035,0.00855,0.00743}),"MOQ="&amp;T36),"")</f>
        <v>0.0266</v>
      </c>
      <c r="T36" s="17">
        <v>1</v>
      </c>
      <c r="U36" s="19">
        <f>IFERROR(IF(R36="",H36,R36)*S36,"")</f>
        <v>5.32</v>
      </c>
      <c r="V36" s="17" t="s">
        <v>306</v>
      </c>
      <c r="W36" s="17">
        <v>4217</v>
      </c>
      <c r="X36" s="17"/>
      <c r="Y36" s="18">
        <f>IFERROR(IF(OR(X36&gt;=Z36,H36&gt;=Z36),USD_GBP*LOOKUP(IF(X36="",H36,X36),{0,1,10,100,500,2500,7500,15000,75000},{0.0,0.0533,0.0533,0.0215,0.0102,0.0068,0.0067,0.0066,0.0065}),"MOQ="&amp;Z36),"")</f>
        <v>0.02820921985815603</v>
      </c>
      <c r="Z36" s="17">
        <v>10</v>
      </c>
      <c r="AA36" s="19">
        <f>IFERROR(IF(X36="",H36,X36)*Y36,"")</f>
        <v>5.6418</v>
      </c>
      <c r="AB36" s="17" t="s">
        <v>350</v>
      </c>
      <c r="AC36" s="17">
        <v>6550</v>
      </c>
      <c r="AD36" s="17"/>
      <c r="AE36" s="18">
        <f>IFERROR(IF(OR(AD36&gt;=AF36,H36&gt;=AF36),LOOKUP(IF(AD36="",H36,AD36),{0,1,50,500,1500,5000,25000,50000},{0.0,0.0128,0.0128,0.0108,0.0093,0.008,0.0078,0.0077}),"MOQ="&amp;AF36),"")</f>
        <v>0.0128</v>
      </c>
      <c r="AF36" s="17">
        <v>50</v>
      </c>
      <c r="AG36" s="19">
        <f>IFERROR(IF(AD36="",H36,AD36)*AE36,"")</f>
        <v>2.56</v>
      </c>
      <c r="AH36" s="17" t="s">
        <v>378</v>
      </c>
      <c r="AI36" s="17">
        <v>1037341</v>
      </c>
      <c r="AJ36" s="17"/>
      <c r="AK36" s="18">
        <f>IFERROR(IF(OR(AJ36&gt;=AL36,H36&gt;=AL36),LOOKUP(IF(AJ36="",H36,AJ36),{0,1,10,50,100,1000,10000},{0.0,0.11,0.06,0.06,0.025,0.011,0.007}),"MOQ="&amp;AL36),"")</f>
        <v>0.025</v>
      </c>
      <c r="AL36" s="17">
        <v>1</v>
      </c>
      <c r="AM36" s="19">
        <f>IFERROR(IF(AJ36="",H36,AJ36)*AK36,"")</f>
        <v>5.0</v>
      </c>
      <c r="AN36" s="17" t="s">
        <v>408</v>
      </c>
      <c r="AO36" s="17">
        <v>15400</v>
      </c>
      <c r="AP36" s="17"/>
      <c r="AQ36" s="18">
        <f>IFERROR(IF(OR(AP36&gt;=AR36,H36&gt;=AR36),LOOKUP(IF(AP36="",H36,AP36),{0,1,10,25,50,100,250,500,1000,2500,5000,10000,15000},{0.0,0.022,0.066,0.053,0.04,0.028,0.022,0.017,0.012,0.009,0.021,0.016,0.016}),"MOQ="&amp;AR36),"")</f>
        <v>0.028</v>
      </c>
      <c r="AR36" s="17">
        <v>1</v>
      </c>
      <c r="AS36" s="19">
        <f>IFERROR(IF(AP36="",H36,AP36)*AQ36,"")</f>
        <v>5.6</v>
      </c>
      <c r="AT36" s="17" t="s">
        <v>449</v>
      </c>
      <c r="AU36" s="17">
        <v>53000</v>
      </c>
      <c r="AV36" s="17"/>
      <c r="AW36" s="18">
        <f>IFERROR(IF(OR(AV36&gt;=AX36,H36&gt;=AX36),USD_GBP*LOOKUP(IF(AV36="",H36,AV36),{0,1,1000,5000,10000,15000},{0.0,0.008,0.008,0.007,0.006,0.006}),"MOQ="&amp;AX36),"")</f>
        <v/>
      </c>
      <c r="AX36" s="17">
        <v>1000</v>
      </c>
      <c r="AY36" s="19">
        <f>IFERROR(IF(AV36="",H36,AV36)*AW36,"")</f>
        <v/>
      </c>
      <c r="AZ36" s="17" t="s">
        <v>478</v>
      </c>
    </row>
    <row r="37" spans="1:52">
      <c r="A37" s="17" t="s">
        <v>162</v>
      </c>
      <c r="B37" s="17" t="s">
        <v>163</v>
      </c>
      <c r="C37" s="17" t="s">
        <v>164</v>
      </c>
      <c r="E37" s="17" t="s">
        <v>131</v>
      </c>
      <c r="F37" s="17" t="s">
        <v>132</v>
      </c>
      <c r="G37" s="17" t="s">
        <v>165</v>
      </c>
      <c r="H37" s="17">
        <f>CEILING(BoardQty*1.0,1)</f>
        <v>100</v>
      </c>
      <c r="I37" s="18">
        <f>IF(MIN(M37,S37,Y37,AE37,AK37,AQ37,AW37,BC37)&lt;&gt;0,MIN(M37,S37,Y37,AE37,AK37,AQ37,AW37,BC37),"")</f>
        <v>0.0224</v>
      </c>
      <c r="J37" s="19">
        <f>IF(AND(ISNUMBER(H37),ISNUMBER(I37)),H37*I37,"")</f>
        <v>2.24</v>
      </c>
      <c r="K37" s="17">
        <v>4697</v>
      </c>
      <c r="L37" s="17"/>
      <c r="M37" s="18">
        <f>IFERROR(IF(OR(L37&gt;=N37,H37&gt;=N37),LOOKUP(IF(L37="",H37,L37),{0,1,10,25,100,250,500,1000,3000},{0.0,0.0825,0.0511,0.0506,0.0224,0.0221,0.0219,0.0131,0.0092}),"MOQ="&amp;N37),"")</f>
        <v>0.0224</v>
      </c>
      <c r="N37" s="17">
        <v>1</v>
      </c>
      <c r="O37" s="19">
        <f>IFERROR(IF(L37="",H37,L37)*M37,"")</f>
        <v>2.24</v>
      </c>
      <c r="P37" s="17" t="s">
        <v>165</v>
      </c>
      <c r="Q37" s="17">
        <v>59505</v>
      </c>
      <c r="R37" s="17"/>
      <c r="S37" s="18">
        <f>IFERROR(IF(OR(R37&gt;=T37,H37&gt;=T37),LOOKUP(IF(R37="",H37,R37),{0,1,10,100,1000,2500,5000,15000},{0.0,0.1,0.065,0.0266,0.01192,0.01035,0.00855,0.00743}),"MOQ="&amp;T37),"")</f>
        <v>0.0266</v>
      </c>
      <c r="T37" s="17">
        <v>1</v>
      </c>
      <c r="U37" s="19">
        <f>IFERROR(IF(R37="",H37,R37)*S37,"")</f>
        <v>2.66</v>
      </c>
      <c r="V37" s="17" t="s">
        <v>307</v>
      </c>
      <c r="W37" s="20" t="s">
        <v>281</v>
      </c>
      <c r="X37" s="17"/>
      <c r="Y37" s="18">
        <f>IFERROR(IF(OR(X37&gt;=Z37,H37&gt;=Z37),USD_GBP*LOOKUP(IF(X37="",H37,X37),{0,1,30000},{0.0,0.0069,0.0069}),"MOQ="&amp;Z37),"")</f>
        <v/>
      </c>
      <c r="Z37" s="17">
        <v>30000</v>
      </c>
      <c r="AA37" s="19">
        <f>IFERROR(IF(X37="",H37,X37)*Y37,"")</f>
        <v/>
      </c>
      <c r="AB37" s="17" t="s">
        <v>351</v>
      </c>
      <c r="AI37" s="17">
        <v>23490</v>
      </c>
      <c r="AJ37" s="17"/>
      <c r="AK37" s="18">
        <f>IFERROR(IF(OR(AJ37&gt;=AL37,H37&gt;=AL37),LOOKUP(IF(AJ37="",H37,AJ37),{0,1,10,50,100,1000,10000},{0.0,0.11,0.06,0.06,0.025,0.011,0.007}),"MOQ="&amp;AL37),"")</f>
        <v>0.025</v>
      </c>
      <c r="AL37" s="17">
        <v>1</v>
      </c>
      <c r="AM37" s="19">
        <f>IFERROR(IF(AJ37="",H37,AJ37)*AK37,"")</f>
        <v>2.5</v>
      </c>
      <c r="AN37" s="17" t="s">
        <v>409</v>
      </c>
    </row>
    <row r="38" spans="1:52">
      <c r="A38" s="17" t="s">
        <v>166</v>
      </c>
      <c r="B38" s="17" t="s">
        <v>167</v>
      </c>
      <c r="C38" s="17" t="s">
        <v>168</v>
      </c>
      <c r="E38" s="17" t="s">
        <v>131</v>
      </c>
      <c r="F38" s="17" t="s">
        <v>132</v>
      </c>
      <c r="G38" s="17" t="s">
        <v>169</v>
      </c>
      <c r="H38" s="17">
        <f>CEILING(BoardQty*1.0,1)</f>
        <v>100</v>
      </c>
      <c r="I38" s="18">
        <f>IF(MIN(M38,S38,Y38,AE38,AK38,AQ38,AW38,BC38)&lt;&gt;0,MIN(M38,S38,Y38,AE38,AK38,AQ38,AW38,BC38),"")</f>
        <v>0.018500000000000003</v>
      </c>
      <c r="J38" s="19">
        <f>IF(AND(ISNUMBER(H38),ISNUMBER(I38)),H38*I38,"")</f>
        <v>1.85</v>
      </c>
      <c r="Q38" s="17">
        <v>28274</v>
      </c>
      <c r="R38" s="17"/>
      <c r="S38" s="18">
        <f>IFERROR(IF(OR(R38&gt;=T38,H38&gt;=T38),LOOKUP(IF(R38="",H38,R38),{0,1,10,100,1000,2500,5000,15000},{0.0,0.1,0.065,0.0266,0.01192,0.01035,0.00855,0.00743}),"MOQ="&amp;T38),"")</f>
        <v>0.0266</v>
      </c>
      <c r="T38" s="17">
        <v>1</v>
      </c>
      <c r="U38" s="19">
        <f>IFERROR(IF(R38="",H38,R38)*S38,"")</f>
        <v>2.66</v>
      </c>
      <c r="V38" s="17" t="s">
        <v>308</v>
      </c>
      <c r="W38" s="20" t="s">
        <v>281</v>
      </c>
      <c r="X38" s="17"/>
      <c r="Y38" s="18">
        <f>IFERROR(IF(OR(X38&gt;=Z38,H38&gt;=Z38),USD_GBP*LOOKUP(IF(X38="",H38,X38),{0,1,10,100,150,500,2500,7500,15000,75000},{0.0,0.0257,0.0257,0.0141,0.0141,0.0087,0.0079,0.0041,0.0068,0.0056}),"MOQ="&amp;Z38),"")</f>
        <v>0.018500000000000003</v>
      </c>
      <c r="Z38" s="17">
        <v>10</v>
      </c>
      <c r="AA38" s="19">
        <f>IFERROR(IF(X38="",H38,X38)*Y38,"")</f>
        <v>1.85</v>
      </c>
      <c r="AB38" s="17" t="s">
        <v>352</v>
      </c>
      <c r="AI38" s="17">
        <v>26757</v>
      </c>
      <c r="AJ38" s="17"/>
      <c r="AK38" s="18">
        <f>IFERROR(IF(OR(AJ38&gt;=AL38,H38&gt;=AL38),LOOKUP(IF(AJ38="",H38,AJ38),{0,1,10,50,100,1000,10000},{0.0,0.11,0.06,0.06,0.025,0.011,0.007}),"MOQ="&amp;AL38),"")</f>
        <v>0.025</v>
      </c>
      <c r="AL38" s="17">
        <v>1</v>
      </c>
      <c r="AM38" s="19">
        <f>IFERROR(IF(AJ38="",H38,AJ38)*AK38,"")</f>
        <v>2.5</v>
      </c>
      <c r="AN38" s="17" t="s">
        <v>410</v>
      </c>
      <c r="AO38" s="20" t="s">
        <v>281</v>
      </c>
      <c r="AP38" s="17"/>
      <c r="AQ38" s="18">
        <f>IFERROR(IF(OR(AP38&gt;=AR38,H38&gt;=AR38),LOOKUP(IF(AP38="",H38,AP38),{0,1,10,25,50,100,250,500,1000,15000,20000},{0.0,0.006,0.08,0.069,0.047,0.036,0.028,0.023,0.019,0.015,0.011}),"MOQ="&amp;AR38),"")</f>
        <v>0.036</v>
      </c>
      <c r="AR38" s="17">
        <v>1</v>
      </c>
      <c r="AS38" s="19">
        <f>IFERROR(IF(AP38="",H38,AP38)*AQ38,"")</f>
        <v>3.6</v>
      </c>
      <c r="AT38" s="17" t="s">
        <v>450</v>
      </c>
    </row>
    <row r="39" spans="1:52">
      <c r="A39" s="17" t="s">
        <v>170</v>
      </c>
      <c r="B39" s="17" t="s">
        <v>171</v>
      </c>
      <c r="C39" s="17" t="s">
        <v>172</v>
      </c>
      <c r="E39" s="17" t="s">
        <v>131</v>
      </c>
      <c r="F39" s="17" t="s">
        <v>132</v>
      </c>
      <c r="G39" s="17" t="s">
        <v>173</v>
      </c>
      <c r="H39" s="17">
        <f>CEILING(BoardQty*5.0,1)</f>
        <v>500</v>
      </c>
      <c r="I39" s="18">
        <f>IF(MIN(M39,S39,Y39,AE39,AK39,AQ39,AW39,BC39)&lt;&gt;0,MIN(M39,S39,Y39,AE39,AK39,AQ39,AW39,BC39),"")</f>
        <v>0.013</v>
      </c>
      <c r="J39" s="19">
        <f>IF(AND(ISNUMBER(H39),ISNUMBER(I39)),H39*I39,"")</f>
        <v>6.5</v>
      </c>
      <c r="Q39" s="17">
        <v>12847</v>
      </c>
      <c r="R39" s="17"/>
      <c r="S39" s="18">
        <f>IFERROR(IF(OR(R39&gt;=T39,H39&gt;=T39),LOOKUP(IF(R39="",H39,R39),{0,1,10,100,1000,2500,5000,15000},{0.0,0.1,0.034,0.014,0.00629,0.00546,0.00451,0.00392}),"MOQ="&amp;T39),"")</f>
        <v>0.014</v>
      </c>
      <c r="T39" s="17">
        <v>1</v>
      </c>
      <c r="U39" s="19">
        <f>IFERROR(IF(R39="",H39,R39)*S39,"")</f>
        <v>7.0</v>
      </c>
      <c r="V39" s="17" t="s">
        <v>309</v>
      </c>
      <c r="W39" s="20" t="s">
        <v>281</v>
      </c>
      <c r="X39" s="17"/>
      <c r="Y39" s="18">
        <f>IFERROR(IF(OR(X39&gt;=Z39,H39&gt;=Z39),USD_GBP*LOOKUP(IF(X39="",H39,X39),{0,1,10,100,500,2500,7500,15000,75000},{0.0,0.0338,0.0338,0.0135,0.0108,0.0081,0.0054,0.0053,0.0044}),"MOQ="&amp;Z39),"")</f>
        <v>0.01417021276595745</v>
      </c>
      <c r="Z39" s="17">
        <v>10</v>
      </c>
      <c r="AA39" s="19">
        <f>IFERROR(IF(X39="",H39,X39)*Y39,"")</f>
        <v>7.0851</v>
      </c>
      <c r="AB39" s="17" t="s">
        <v>353</v>
      </c>
      <c r="AI39" s="17">
        <v>85453</v>
      </c>
      <c r="AJ39" s="17"/>
      <c r="AK39" s="18">
        <f>IFERROR(IF(OR(AJ39&gt;=AL39,H39&gt;=AL39),LOOKUP(IF(AJ39="",H39,AJ39),{0,1,10,50,100,1000,10000},{0.0,0.1,0.032,0.032,0.013,0.006,0.004}),"MOQ="&amp;AL39),"")</f>
        <v>0.013</v>
      </c>
      <c r="AL39" s="17">
        <v>1</v>
      </c>
      <c r="AM39" s="19">
        <f>IFERROR(IF(AJ39="",H39,AJ39)*AK39,"")</f>
        <v>6.5</v>
      </c>
      <c r="AN39" s="17" t="s">
        <v>411</v>
      </c>
      <c r="AO39" s="20" t="s">
        <v>281</v>
      </c>
      <c r="AP39" s="17"/>
      <c r="AQ39" s="18">
        <f>IFERROR(IF(OR(AP39&gt;=AR39,H39&gt;=AR39),LOOKUP(IF(AP39="",H39,AP39),{0,1,10,25,50,100,250,15000},{0.0,0.116,0.116,0.074,0.052,0.039,0.03,0.006}),"MOQ="&amp;AR39),"")</f>
        <v>0.03</v>
      </c>
      <c r="AR39" s="17">
        <v>10</v>
      </c>
      <c r="AS39" s="19">
        <f>IFERROR(IF(AP39="",H39,AP39)*AQ39,"")</f>
        <v>15.0</v>
      </c>
      <c r="AT39" s="17" t="s">
        <v>451</v>
      </c>
      <c r="AU39" s="17">
        <v>32000</v>
      </c>
      <c r="AV39" s="17"/>
      <c r="AW39" s="18">
        <f>IFERROR(IF(OR(AV39&gt;=AX39,H39&gt;=AX39),USD_GBP*LOOKUP(IF(AV39="",H39,AV39),{0,1,1000,5000,10000,15000},{0.0,0.005,0.005,0.004,0.004,0.004}),"MOQ="&amp;AX39),"")</f>
        <v/>
      </c>
      <c r="AX39" s="17">
        <v>1000</v>
      </c>
      <c r="AY39" s="19">
        <f>IFERROR(IF(AV39="",H39,AV39)*AW39,"")</f>
        <v/>
      </c>
      <c r="AZ39" s="17" t="s">
        <v>479</v>
      </c>
    </row>
    <row r="40" spans="1:52">
      <c r="A40" s="17" t="s">
        <v>174</v>
      </c>
      <c r="B40" s="17" t="s">
        <v>171</v>
      </c>
      <c r="C40" s="17" t="s">
        <v>160</v>
      </c>
      <c r="E40" s="17" t="s">
        <v>131</v>
      </c>
      <c r="F40" s="17" t="s">
        <v>132</v>
      </c>
      <c r="G40" s="17" t="s">
        <v>161</v>
      </c>
      <c r="H40" s="17">
        <f>CEILING(BoardQty*1.0,1)</f>
        <v>100</v>
      </c>
      <c r="I40" s="18">
        <f>IF(MIN(M40,S40,Y40,AE40,AK40,AQ40,AW40,BC40)&lt;&gt;0,MIN(M40,S40,Y40,AE40,AK40,AQ40,AW40,BC40),"")</f>
        <v>0.0128</v>
      </c>
      <c r="J40" s="19">
        <f>IF(AND(ISNUMBER(H40),ISNUMBER(I40)),H40*I40,"")</f>
        <v>1.28</v>
      </c>
      <c r="Q40" s="20" t="s">
        <v>281</v>
      </c>
      <c r="R40" s="17"/>
      <c r="S40" s="18">
        <f>IFERROR(IF(OR(R40&gt;=T40,H40&gt;=T40),LOOKUP(IF(R40="",H40,R40),{0,1,10,100,1000,2500,5000,15000},{0.0,0.1,0.065,0.0266,0.01192,0.01035,0.00855,0.00743}),"MOQ="&amp;T40),"")</f>
        <v>0.0266</v>
      </c>
      <c r="T40" s="17">
        <v>1</v>
      </c>
      <c r="U40" s="19">
        <f>IFERROR(IF(R40="",H40,R40)*S40,"")</f>
        <v>2.66</v>
      </c>
      <c r="V40" s="17" t="s">
        <v>306</v>
      </c>
      <c r="W40" s="17">
        <v>4217</v>
      </c>
      <c r="X40" s="17"/>
      <c r="Y40" s="18">
        <f>IFERROR(IF(OR(X40&gt;=Z40,H40&gt;=Z40),USD_GBP*LOOKUP(IF(X40="",H40,X40),{0,1,10,100,500,2500,7500,15000,75000},{0.0,0.0533,0.0533,0.0215,0.0102,0.0068,0.0067,0.0066,0.0065}),"MOQ="&amp;Z40),"")</f>
        <v>0.02820921985815603</v>
      </c>
      <c r="Z40" s="17">
        <v>10</v>
      </c>
      <c r="AA40" s="19">
        <f>IFERROR(IF(X40="",H40,X40)*Y40,"")</f>
        <v>2.8209</v>
      </c>
      <c r="AB40" s="17" t="s">
        <v>350</v>
      </c>
      <c r="AC40" s="17">
        <v>6550</v>
      </c>
      <c r="AD40" s="17"/>
      <c r="AE40" s="18">
        <f>IFERROR(IF(OR(AD40&gt;=AF40,H40&gt;=AF40),LOOKUP(IF(AD40="",H40,AD40),{0,1,50,500,1500,5000,25000,50000},{0.0,0.0128,0.0128,0.0108,0.0093,0.008,0.0078,0.0077}),"MOQ="&amp;AF40),"")</f>
        <v>0.0128</v>
      </c>
      <c r="AF40" s="17">
        <v>50</v>
      </c>
      <c r="AG40" s="19">
        <f>IFERROR(IF(AD40="",H40,AD40)*AE40,"")</f>
        <v>1.28</v>
      </c>
      <c r="AH40" s="17" t="s">
        <v>378</v>
      </c>
      <c r="AI40" s="17">
        <v>1037341</v>
      </c>
      <c r="AJ40" s="17"/>
      <c r="AK40" s="18">
        <f>IFERROR(IF(OR(AJ40&gt;=AL40,H40&gt;=AL40),LOOKUP(IF(AJ40="",H40,AJ40),{0,1,10,50,100,1000,10000},{0.0,0.11,0.06,0.06,0.025,0.011,0.007}),"MOQ="&amp;AL40),"")</f>
        <v>0.025</v>
      </c>
      <c r="AL40" s="17">
        <v>1</v>
      </c>
      <c r="AM40" s="19">
        <f>IFERROR(IF(AJ40="",H40,AJ40)*AK40,"")</f>
        <v>2.5</v>
      </c>
      <c r="AN40" s="17" t="s">
        <v>408</v>
      </c>
      <c r="AO40" s="17">
        <v>15400</v>
      </c>
      <c r="AP40" s="17"/>
      <c r="AQ40" s="18">
        <f>IFERROR(IF(OR(AP40&gt;=AR40,H40&gt;=AR40),LOOKUP(IF(AP40="",H40,AP40),{0,1,10,25,50,100,250,500,1000,2500,5000,10000,15000},{0.0,0.022,0.066,0.053,0.04,0.028,0.022,0.017,0.012,0.009,0.021,0.016,0.016}),"MOQ="&amp;AR40),"")</f>
        <v>0.028</v>
      </c>
      <c r="AR40" s="17">
        <v>1</v>
      </c>
      <c r="AS40" s="19">
        <f>IFERROR(IF(AP40="",H40,AP40)*AQ40,"")</f>
        <v>2.8</v>
      </c>
      <c r="AT40" s="17" t="s">
        <v>449</v>
      </c>
      <c r="AU40" s="17">
        <v>53000</v>
      </c>
      <c r="AV40" s="17"/>
      <c r="AW40" s="18">
        <f>IFERROR(IF(OR(AV40&gt;=AX40,H40&gt;=AX40),USD_GBP*LOOKUP(IF(AV40="",H40,AV40),{0,1,1000,5000,10000,15000},{0.0,0.008,0.008,0.007,0.006,0.006}),"MOQ="&amp;AX40),"")</f>
        <v/>
      </c>
      <c r="AX40" s="17">
        <v>1000</v>
      </c>
      <c r="AY40" s="19">
        <f>IFERROR(IF(AV40="",H40,AV40)*AW40,"")</f>
        <v/>
      </c>
      <c r="AZ40" s="17" t="s">
        <v>478</v>
      </c>
    </row>
    <row r="41" spans="1:52">
      <c r="A41" s="17" t="s">
        <v>175</v>
      </c>
      <c r="B41" s="17" t="s">
        <v>176</v>
      </c>
      <c r="C41" s="17" t="s">
        <v>177</v>
      </c>
      <c r="E41" s="17" t="s">
        <v>178</v>
      </c>
      <c r="F41" s="17" t="s">
        <v>179</v>
      </c>
      <c r="G41" s="17" t="s">
        <v>176</v>
      </c>
      <c r="H41" s="17">
        <f>CEILING(BoardQty*1.0,1)</f>
        <v>100</v>
      </c>
      <c r="I41" s="18">
        <f>IF(MIN(M41,S41,Y41,AE41,AK41,AQ41,AW41,BC41)&lt;&gt;0,MIN(M41,S41,Y41,AE41,AK41,AQ41,AW41,BC41),"")</f>
        <v>0.087</v>
      </c>
      <c r="J41" s="19">
        <f>IF(AND(ISNUMBER(H41),ISNUMBER(I41)),H41*I41,"")</f>
        <v>8.7</v>
      </c>
      <c r="Q41" s="17">
        <v>685</v>
      </c>
      <c r="R41" s="17"/>
      <c r="S41" s="18">
        <f>IFERROR(IF(OR(R41&gt;=T41,H41&gt;=T41),LOOKUP(IF(R41="",H41,R41),{0,1,10,25,100,250,500,1000,2500,8500,17000},{0.0,0.25,0.242,0.2296,0.2078,0.18944,0.1761,0.15023,0.14606,0.13771,0.12853}),"MOQ="&amp;T41),"")</f>
        <v>0.2078</v>
      </c>
      <c r="T41" s="17">
        <v>1</v>
      </c>
      <c r="U41" s="19">
        <f>IFERROR(IF(R41="",H41,R41)*S41,"")</f>
        <v>20.78</v>
      </c>
      <c r="V41" s="17" t="s">
        <v>310</v>
      </c>
      <c r="W41" s="17">
        <v>352</v>
      </c>
      <c r="X41" s="17"/>
      <c r="Y41" s="18">
        <f>IFERROR(IF(OR(X41&gt;=Z41,H41&gt;=Z41),USD_GBP*LOOKUP(IF(X41="",H41,X41),{0,1,10,50,100,500},{0.0,0.165,0.165,0.156,0.142,0.12}),"MOQ="&amp;Z41),"")</f>
        <v>0.18631205673758866</v>
      </c>
      <c r="Z41" s="17">
        <v>10</v>
      </c>
      <c r="AA41" s="19">
        <f>IFERROR(IF(X41="",H41,X41)*Y41,"")</f>
        <v>18.6312</v>
      </c>
      <c r="AB41" s="17" t="s">
        <v>354</v>
      </c>
      <c r="AC41" s="17">
        <v>4816</v>
      </c>
      <c r="AD41" s="17"/>
      <c r="AE41" s="18">
        <f>IFERROR(IF(OR(AD41&gt;=AF41,H41&gt;=AF41),LOOKUP(IF(AD41="",H41,AD41),{0,1,10,30,100,500,1000},{0.0,0.1146,0.1146,0.1146,0.1146,0.1146,0.1146}),"MOQ="&amp;AF41),"")</f>
        <v>0.1146</v>
      </c>
      <c r="AF41" s="17">
        <v>1</v>
      </c>
      <c r="AG41" s="19">
        <f>IFERROR(IF(AD41="",H41,AD41)*AE41,"")</f>
        <v>11.46</v>
      </c>
      <c r="AH41" s="17" t="s">
        <v>379</v>
      </c>
      <c r="AI41" s="17">
        <v>7199</v>
      </c>
      <c r="AJ41" s="17"/>
      <c r="AK41" s="18">
        <f>IFERROR(IF(OR(AJ41&gt;=AL41,H41&gt;=AL41),LOOKUP(IF(AJ41="",H41,AJ41),{0,1,10,50,100,1000,10000},{0.0,0.25,0.24,0.221,0.208,0.17,0.17}),"MOQ="&amp;AL41),"")</f>
        <v>0.208</v>
      </c>
      <c r="AL41" s="17">
        <v>1</v>
      </c>
      <c r="AM41" s="19">
        <f>IFERROR(IF(AJ41="",H41,AJ41)*AK41,"")</f>
        <v>20.8</v>
      </c>
      <c r="AN41" s="17" t="s">
        <v>412</v>
      </c>
      <c r="AO41" s="17">
        <v>6738</v>
      </c>
      <c r="AP41" s="17"/>
      <c r="AQ41" s="18">
        <f>IFERROR(IF(OR(AP41&gt;=AR41,H41&gt;=AR41),LOOKUP(IF(AP41="",H41,AP41),{0,1,8500,100000},{0.0,0.087,0.178,0.15}),"MOQ="&amp;AR41),"")</f>
        <v>0.087</v>
      </c>
      <c r="AR41" s="17">
        <v>1</v>
      </c>
      <c r="AS41" s="19">
        <f>IFERROR(IF(AP41="",H41,AP41)*AQ41,"")</f>
        <v>8.7</v>
      </c>
      <c r="AT41" s="17" t="s">
        <v>452</v>
      </c>
    </row>
    <row r="42" spans="1:52">
      <c r="A42" s="17" t="s">
        <v>180</v>
      </c>
      <c r="B42" s="17" t="s">
        <v>181</v>
      </c>
      <c r="C42" s="17" t="s">
        <v>182</v>
      </c>
      <c r="E42" s="17" t="s">
        <v>183</v>
      </c>
      <c r="F42" s="17" t="s">
        <v>184</v>
      </c>
      <c r="G42" s="17" t="s">
        <v>185</v>
      </c>
      <c r="H42" s="17">
        <f>CEILING(BoardQty*1.0,1)</f>
        <v>100</v>
      </c>
      <c r="I42" s="18">
        <f>IF(MIN(M42,S42,Y42,AE42,AK42,AQ42,AW42,BC42)&lt;&gt;0,MIN(M42,S42,Y42,AE42,AK42,AQ42,AW42,BC42),"")</f>
        <v>1.23</v>
      </c>
      <c r="J42" s="19">
        <f>IF(AND(ISNUMBER(H42),ISNUMBER(I42)),H42*I42,"")</f>
        <v>123.0</v>
      </c>
      <c r="Q42" s="17">
        <v>25494</v>
      </c>
      <c r="R42" s="17"/>
      <c r="S42" s="18">
        <f>IFERROR(IF(OR(R42&gt;=T42,H42&gt;=T42),LOOKUP(IF(R42="",H42,R42),{0,1,10,4000},{0.0,2.26,2.077,2.0042}),"MOQ="&amp;T42),"")</f>
        <v>2.077</v>
      </c>
      <c r="T42" s="17">
        <v>1</v>
      </c>
      <c r="U42" s="19">
        <f>IFERROR(IF(R42="",H42,R42)*S42,"")</f>
        <v>207.7</v>
      </c>
      <c r="V42" s="17" t="s">
        <v>311</v>
      </c>
      <c r="W42" s="17">
        <v>5374</v>
      </c>
      <c r="X42" s="17"/>
      <c r="Y42" s="18">
        <f>IFERROR(IF(OR(X42&gt;=Z42,H42&gt;=Z42),USD_GBP*LOOKUP(IF(X42="",H42,X42),{0,1,10,50,100},{0.0,2.11,1.8,1.67,1.54}),"MOQ="&amp;Z42),"")</f>
        <v>2.0205673758865252</v>
      </c>
      <c r="Z42" s="17">
        <v>1</v>
      </c>
      <c r="AA42" s="19">
        <f>IFERROR(IF(X42="",H42,X42)*Y42,"")</f>
        <v>202.0567</v>
      </c>
      <c r="AB42" s="17" t="s">
        <v>355</v>
      </c>
      <c r="AI42" s="17">
        <v>102</v>
      </c>
      <c r="AJ42" s="17"/>
      <c r="AK42" s="18">
        <f>IFERROR(IF(OR(AJ42&gt;=AL42,H42&gt;=AL42),LOOKUP(IF(AJ42="",H42,AJ42),{0,1,10,50,100,1000,10000},{0.0,2.27,2.05,1.94,1.65,1.46,1.45}),"MOQ="&amp;AL42),"")</f>
        <v>1.65</v>
      </c>
      <c r="AL42" s="17">
        <v>1</v>
      </c>
      <c r="AM42" s="19">
        <f>IFERROR(IF(AJ42="",H42,AJ42)*AK42,"")</f>
        <v>165.0</v>
      </c>
      <c r="AN42" s="17" t="s">
        <v>413</v>
      </c>
      <c r="AO42" s="17">
        <v>4374</v>
      </c>
      <c r="AP42" s="17"/>
      <c r="AQ42" s="18">
        <f>IFERROR(IF(OR(AP42&gt;=AR42,H42&gt;=AR42),LOOKUP(IF(AP42="",H42,AP42),{0,1,10,25,50,100},{0.0,1.95,1.65,1.49,1.33,1.23}),"MOQ="&amp;AR42),"")</f>
        <v>1.23</v>
      </c>
      <c r="AR42" s="17">
        <v>1</v>
      </c>
      <c r="AS42" s="19">
        <f>IFERROR(IF(AP42="",H42,AP42)*AQ42,"")</f>
        <v>123.0</v>
      </c>
      <c r="AT42" s="17" t="s">
        <v>453</v>
      </c>
    </row>
    <row r="43" spans="1:52">
      <c r="A43" s="17" t="s">
        <v>186</v>
      </c>
      <c r="B43" s="17" t="s">
        <v>187</v>
      </c>
      <c r="C43" s="17" t="s">
        <v>188</v>
      </c>
      <c r="E43" s="17" t="s">
        <v>189</v>
      </c>
      <c r="F43" s="17" t="s">
        <v>190</v>
      </c>
      <c r="G43" s="17" t="s">
        <v>187</v>
      </c>
      <c r="H43" s="17">
        <f>CEILING(BoardQty*1.0,1)</f>
        <v>100</v>
      </c>
      <c r="I43" s="18">
        <f>IF(MIN(M43,S43,Y43,AE43,AK43,AQ43,AW43,BC43)&lt;&gt;0,MIN(M43,S43,Y43,AE43,AK43,AQ43,AW43,BC43),"")</f>
        <v>14.56</v>
      </c>
      <c r="J43" s="19">
        <f>IF(AND(ISNUMBER(H43),ISNUMBER(I43)),H43*I43,"")</f>
        <v>1456.0</v>
      </c>
      <c r="Q43" s="20" t="s">
        <v>281</v>
      </c>
      <c r="R43" s="17"/>
      <c r="S43" s="18">
        <f>IFERROR(IF(OR(R43&gt;=T43,H43&gt;=T43),LOOKUP(IF(R43="",H43,R43),{0,1,168},{0.0,23.53,23.53}),"MOQ="&amp;T43),"")</f>
        <v/>
      </c>
      <c r="T43" s="17">
        <v>168</v>
      </c>
      <c r="U43" s="19">
        <f>IFERROR(IF(R43="",H43,R43)*S43,"")</f>
        <v/>
      </c>
      <c r="V43" s="17" t="s">
        <v>312</v>
      </c>
      <c r="AO43" s="20" t="s">
        <v>281</v>
      </c>
      <c r="AP43" s="17"/>
      <c r="AQ43" s="18">
        <f>IFERROR(IF(OR(AP43&gt;=AR43,H43&gt;=AR43),LOOKUP(IF(AP43="",H43,AP43),{0,1,168},{0.0,14.56,14.56}),"MOQ="&amp;AR43),"")</f>
        <v>14.56</v>
      </c>
      <c r="AR43" s="17">
        <v>1</v>
      </c>
      <c r="AS43" s="19">
        <f>IFERROR(IF(AP43="",H43,AP43)*AQ43,"")</f>
        <v>1456.0</v>
      </c>
      <c r="AT43" s="17" t="s">
        <v>454</v>
      </c>
    </row>
    <row r="44" spans="1:52">
      <c r="A44" s="17" t="s">
        <v>191</v>
      </c>
      <c r="B44" s="17" t="s">
        <v>192</v>
      </c>
      <c r="C44" s="17" t="s">
        <v>193</v>
      </c>
      <c r="E44" s="17" t="s">
        <v>194</v>
      </c>
      <c r="F44" s="17" t="s">
        <v>58</v>
      </c>
      <c r="G44" s="17" t="s">
        <v>195</v>
      </c>
      <c r="H44" s="17">
        <f>CEILING(BoardQty*1.0,1)</f>
        <v>100</v>
      </c>
      <c r="I44" s="18">
        <f>IF(MIN(M44,S44,Y44,AE44,AK44,AQ44,AW44,BC44)&lt;&gt;0,MIN(M44,S44,Y44,AE44,AK44,AQ44,AW44,BC44),"")</f>
        <v>0.8399</v>
      </c>
      <c r="J44" s="19">
        <f>IF(AND(ISNUMBER(H44),ISNUMBER(I44)),H44*I44,"")</f>
        <v>83.99</v>
      </c>
      <c r="Q44" s="20" t="s">
        <v>281</v>
      </c>
      <c r="R44" s="17"/>
      <c r="S44" s="18">
        <f>IFERROR(IF(OR(R44&gt;=T44,H44&gt;=T44),LOOKUP(IF(R44="",H44,R44),{0,1,10,25,100,250,500,1000,5000},{0.0,1.21,1.077,1.0224,0.8399,0.78512,0.69382,0.60288,0.60288}),"MOQ="&amp;T44),"")</f>
        <v>0.8399</v>
      </c>
      <c r="T44" s="17">
        <v>1</v>
      </c>
      <c r="U44" s="19">
        <f>IFERROR(IF(R44="",H44,R44)*S44,"")</f>
        <v>83.99</v>
      </c>
      <c r="V44" s="17" t="s">
        <v>313</v>
      </c>
      <c r="W44" s="20" t="s">
        <v>281</v>
      </c>
      <c r="X44" s="17"/>
      <c r="Y44" s="18">
        <f>IFERROR(IF(OR(X44&gt;=Z44,H44&gt;=Z44),USD_GBP*LOOKUP(IF(X44="",H44,X44),{0,1,10,100,500,1000},{0.0,1.14,1.01,0.791,0.655,0.569}),"MOQ="&amp;Z44),"")</f>
        <v>1.0378368794326243</v>
      </c>
      <c r="Z44" s="17">
        <v>1</v>
      </c>
      <c r="AA44" s="19">
        <f>IFERROR(IF(X44="",H44,X44)*Y44,"")</f>
        <v>103.7837</v>
      </c>
      <c r="AB44" s="17" t="s">
        <v>356</v>
      </c>
      <c r="AI44" s="20" t="s">
        <v>281</v>
      </c>
      <c r="AJ44" s="17"/>
      <c r="AK44" s="18">
        <f>IFERROR(IF(OR(AJ44&gt;=AL44,H44&gt;=AL44),LOOKUP(IF(AJ44="",H44,AJ44),{0,1,10,50,100,1000,10000},{0.0,1.2,1.08,1.03,0.84,0.548,0.533}),"MOQ="&amp;AL44),"")</f>
        <v>0.84</v>
      </c>
      <c r="AL44" s="17">
        <v>1</v>
      </c>
      <c r="AM44" s="19">
        <f>IFERROR(IF(AJ44="",H44,AJ44)*AK44,"")</f>
        <v>84.0</v>
      </c>
      <c r="AN44" s="17" t="s">
        <v>414</v>
      </c>
      <c r="AO44" s="20" t="s">
        <v>281</v>
      </c>
      <c r="AP44" s="17"/>
      <c r="AQ44" s="18">
        <f>IFERROR(IF(OR(AP44&gt;=AR44,H44&gt;=AR44),LOOKUP(IF(AP44="",H44,AP44),{0,1,10,100,500,1000,2500,5000,10000,20000,30000,40000},{0.0,1.68,1.51,1.18,0.972,0.767,0.748,0.517,0.503,0.49,0.476,0.462}),"MOQ="&amp;AR44),"")</f>
        <v>1.18</v>
      </c>
      <c r="AR44" s="17">
        <v>1</v>
      </c>
      <c r="AS44" s="19">
        <f>IFERROR(IF(AP44="",H44,AP44)*AQ44,"")</f>
        <v>118.0</v>
      </c>
      <c r="AT44" s="17" t="s">
        <v>455</v>
      </c>
    </row>
    <row r="45" spans="1:52" ht="30" customHeight="1">
      <c r="A45" s="17" t="s">
        <v>196</v>
      </c>
      <c r="B45" s="17" t="s">
        <v>197</v>
      </c>
      <c r="C45" s="17" t="s">
        <v>198</v>
      </c>
      <c r="E45" s="17" t="s">
        <v>199</v>
      </c>
      <c r="F45" s="17" t="s">
        <v>200</v>
      </c>
      <c r="G45" s="17" t="s">
        <v>197</v>
      </c>
      <c r="H45" s="17">
        <f>CEILING(BoardQty*1.0,1)</f>
        <v>100</v>
      </c>
      <c r="I45" s="18">
        <f>IF(MIN(M45,S45,Y45,AE45,AK45,AQ45,AW45,BC45)&lt;&gt;0,MIN(M45,S45,Y45,AE45,AK45,AQ45,AW45,BC45),"")</f>
        <v>2.355</v>
      </c>
      <c r="J45" s="19">
        <f>IF(AND(ISNUMBER(H45),ISNUMBER(I45)),H45*I45,"")</f>
        <v>235.5</v>
      </c>
      <c r="Q45" s="20" t="s">
        <v>281</v>
      </c>
      <c r="R45" s="17"/>
      <c r="S45" s="18">
        <f>IFERROR(IF(OR(R45&gt;=T45,H45&gt;=T45),LOOKUP(IF(R45="",H45,R45),{0,1,25,100},{0.0,2.89,2.41,2.355}),"MOQ="&amp;T45),"")</f>
        <v>2.355</v>
      </c>
      <c r="T45" s="17">
        <v>1</v>
      </c>
      <c r="U45" s="19">
        <f>IFERROR(IF(R45="",H45,R45)*S45,"")</f>
        <v>235.5</v>
      </c>
      <c r="V45" s="17" t="s">
        <v>314</v>
      </c>
      <c r="AI45" s="20" t="s">
        <v>281</v>
      </c>
      <c r="AJ45" s="17"/>
      <c r="AK45" s="18">
        <f>IFERROR(IF(OR(AJ45&gt;=AL45,H45&gt;=AL45),LOOKUP(IF(AJ45="",H45,AJ45),{0,1,10,50,100,1000,10000},{0.0,3.07,3.07,2.56,2.56,2.35,2.35}),"MOQ="&amp;AL45),"")</f>
        <v>2.56</v>
      </c>
      <c r="AL45" s="17">
        <v>1</v>
      </c>
      <c r="AM45" s="19">
        <f>IFERROR(IF(AJ45="",H45,AJ45)*AK45,"")</f>
        <v>256.0</v>
      </c>
      <c r="AN45" s="17" t="s">
        <v>415</v>
      </c>
      <c r="AO45" s="20" t="s">
        <v>281</v>
      </c>
      <c r="AP45" s="17"/>
      <c r="AQ45" s="18">
        <f>IFERROR(IF(OR(AP45&gt;=AR45,H45&gt;=AR45),LOOKUP(IF(AP45="",H45,AP45),{0,1,220},{0.0,2.19,2.19}),"MOQ="&amp;AR45),"")</f>
        <v/>
      </c>
      <c r="AR45" s="17">
        <v>220</v>
      </c>
      <c r="AS45" s="19">
        <f>IFERROR(IF(AP45="",H45,AP45)*AQ45,"")</f>
        <v/>
      </c>
      <c r="AT45" s="17" t="s">
        <v>456</v>
      </c>
    </row>
    <row r="46" spans="1:52">
      <c r="A46" s="17" t="s">
        <v>201</v>
      </c>
      <c r="B46" s="17" t="s">
        <v>202</v>
      </c>
      <c r="C46" s="17" t="s">
        <v>203</v>
      </c>
      <c r="E46" s="17" t="s">
        <v>204</v>
      </c>
      <c r="F46" s="17" t="s">
        <v>58</v>
      </c>
      <c r="G46" s="17" t="s">
        <v>202</v>
      </c>
      <c r="H46" s="17">
        <f>CEILING(BoardQty*1.0,1)</f>
        <v>100</v>
      </c>
      <c r="I46" s="18">
        <f>IF(MIN(M46,S46,Y46,AE46,AK46,AQ46,AW46,BC46)&lt;&gt;0,MIN(M46,S46,Y46,AE46,AK46,AQ46,AW46,BC46),"")</f>
        <v>0.404113475177305</v>
      </c>
      <c r="J46" s="19">
        <f>IF(AND(ISNUMBER(H46),ISNUMBER(I46)),H46*I46,"")</f>
        <v>40.4113</v>
      </c>
      <c r="Q46" s="20" t="s">
        <v>281</v>
      </c>
      <c r="R46" s="17"/>
      <c r="S46" s="18">
        <f>IFERROR(IF(OR(R46&gt;=T46,H46&gt;=T46),LOOKUP(IF(R46="",H46,R46),{0,1,10,25,100,250,500,1000,5000},{0.0,0.72,0.632,0.594,0.4849,0.45036,0.3833,0.3164,0.3164}),"MOQ="&amp;T46),"")</f>
        <v>0.4849</v>
      </c>
      <c r="T46" s="17">
        <v>1</v>
      </c>
      <c r="U46" s="19">
        <f>IFERROR(IF(R46="",H46,R46)*S46,"")</f>
        <v>48.49</v>
      </c>
      <c r="V46" s="17" t="s">
        <v>315</v>
      </c>
      <c r="W46" s="20" t="s">
        <v>281</v>
      </c>
      <c r="X46" s="17"/>
      <c r="Y46" s="18">
        <f>IFERROR(IF(OR(X46&gt;=Z46,H46&gt;=Z46),USD_GBP*LOOKUP(IF(X46="",H46,X46),{0,1,10,100,500},{0.0,0.747,0.656,0.468,0.398}),"MOQ="&amp;Z46),"")</f>
        <v>0.6140425531914895</v>
      </c>
      <c r="Z46" s="17">
        <v>1</v>
      </c>
      <c r="AA46" s="19">
        <f>IFERROR(IF(X46="",H46,X46)*Y46,"")</f>
        <v>61.4043</v>
      </c>
      <c r="AB46" s="17" t="s">
        <v>357</v>
      </c>
      <c r="AC46" s="17">
        <v>1</v>
      </c>
      <c r="AD46" s="17"/>
      <c r="AE46" s="18">
        <f>IFERROR(IF(OR(AD46&gt;=AF46,H46&gt;=AF46),LOOKUP(IF(AD46="",H46,AD46),{0,1,10,30,100,500,1000},{0.0,0.6871,0.5753,0.4923,0.4256,0.413,0.4076}),"MOQ="&amp;AF46),"")</f>
        <v>0.4256</v>
      </c>
      <c r="AF46" s="17">
        <v>1</v>
      </c>
      <c r="AG46" s="19">
        <f>IFERROR(IF(AD46="",H46,AD46)*AE46,"")</f>
        <v>42.56</v>
      </c>
      <c r="AH46" s="17" t="s">
        <v>380</v>
      </c>
      <c r="AI46" s="20" t="s">
        <v>281</v>
      </c>
      <c r="AJ46" s="17"/>
      <c r="AK46" s="18">
        <f>IFERROR(IF(OR(AJ46&gt;=AL46,H46&gt;=AL46),LOOKUP(IF(AJ46="",H46,AJ46),{0,1,10,50,100,1000,10000},{0.0,0.72,0.633,0.633,0.485,0.307,0.28}),"MOQ="&amp;AL46),"")</f>
        <v>0.485</v>
      </c>
      <c r="AL46" s="17">
        <v>1</v>
      </c>
      <c r="AM46" s="19">
        <f>IFERROR(IF(AJ46="",H46,AJ46)*AK46,"")</f>
        <v>48.5</v>
      </c>
      <c r="AN46" s="17" t="s">
        <v>416</v>
      </c>
      <c r="AO46" s="20" t="s">
        <v>281</v>
      </c>
      <c r="AP46" s="17"/>
      <c r="AQ46" s="18">
        <f>IFERROR(IF(OR(AP46&gt;=AR46,H46&gt;=AR46),LOOKUP(IF(AP46="",H46,AP46),{0,1,10,100,500,1000},{0.0,0.825,0.725,0.554,0.439,0.361}),"MOQ="&amp;AR46),"")</f>
        <v>0.554</v>
      </c>
      <c r="AR46" s="17">
        <v>1</v>
      </c>
      <c r="AS46" s="19">
        <f>IFERROR(IF(AP46="",H46,AP46)*AQ46,"")</f>
        <v>55.4</v>
      </c>
      <c r="AT46" s="17" t="s">
        <v>457</v>
      </c>
      <c r="AU46" s="20" t="s">
        <v>281</v>
      </c>
      <c r="AV46" s="17"/>
      <c r="AW46" s="18">
        <f>IFERROR(IF(OR(AV46&gt;=AX46,H46&gt;=AX46),USD_GBP*LOOKUP(IF(AV46="",H46,AV46),{0,1,5,10,100,500,1000,5000,10000},{0.0,0.594,0.594,0.478,0.308,0.294,0.204,0.21,0.209}),"MOQ="&amp;AX46),"")</f>
        <v>0.404113475177305</v>
      </c>
      <c r="AX46" s="17">
        <v>5</v>
      </c>
      <c r="AY46" s="19">
        <f>IFERROR(IF(AV46="",H46,AV46)*AW46,"")</f>
        <v>40.4113</v>
      </c>
      <c r="AZ46" s="17" t="s">
        <v>480</v>
      </c>
    </row>
    <row r="47" spans="1:52">
      <c r="A47" s="17" t="s">
        <v>205</v>
      </c>
      <c r="B47" s="17" t="s">
        <v>206</v>
      </c>
      <c r="C47" s="17" t="s">
        <v>207</v>
      </c>
      <c r="E47" s="17" t="s">
        <v>208</v>
      </c>
      <c r="F47" s="17" t="s">
        <v>58</v>
      </c>
      <c r="G47" s="17" t="s">
        <v>209</v>
      </c>
      <c r="H47" s="17">
        <f>CEILING(BoardQty*1.0,1)</f>
        <v>100</v>
      </c>
      <c r="I47" s="18">
        <f>IF(MIN(M47,S47,Y47,AE47,AK47,AQ47,AW47,BC47)&lt;&gt;0,MIN(M47,S47,Y47,AE47,AK47,AQ47,AW47,BC47),"")</f>
        <v>0.414</v>
      </c>
      <c r="J47" s="19">
        <f>IF(AND(ISNUMBER(H47),ISNUMBER(I47)),H47*I47,"")</f>
        <v>41.4</v>
      </c>
      <c r="Q47" s="20" t="s">
        <v>281</v>
      </c>
      <c r="R47" s="17"/>
      <c r="S47" s="18">
        <f>IFERROR(IF(OR(R47&gt;=T47,H47&gt;=T47),LOOKUP(IF(R47="",H47,R47),{0,1,10,25,100,250,500,1000,3000},{0.0,0.61,0.541,0.508,0.4146,0.38512,0.32776,0.27055,0.27055}),"MOQ="&amp;T47),"")</f>
        <v>0.4146</v>
      </c>
      <c r="T47" s="17">
        <v>1</v>
      </c>
      <c r="U47" s="19">
        <f>IFERROR(IF(R47="",H47,R47)*S47,"")</f>
        <v>41.46</v>
      </c>
      <c r="V47" s="17" t="s">
        <v>316</v>
      </c>
      <c r="W47" s="20" t="s">
        <v>281</v>
      </c>
      <c r="X47" s="17"/>
      <c r="Y47" s="18">
        <f>IFERROR(IF(OR(X47&gt;=Z47,H47&gt;=Z47),USD_GBP*LOOKUP(IF(X47="",H47,X47),{0,1,5,10,100,500},{0.0,0.732,0.732,0.617,0.397,0.271}),"MOQ="&amp;Z47),"")</f>
        <v>0.5208865248226952</v>
      </c>
      <c r="Z47" s="17">
        <v>5</v>
      </c>
      <c r="AA47" s="19">
        <f>IFERROR(IF(X47="",H47,X47)*Y47,"")</f>
        <v>52.0887</v>
      </c>
      <c r="AB47" s="17" t="s">
        <v>358</v>
      </c>
      <c r="AI47" s="20" t="s">
        <v>281</v>
      </c>
      <c r="AJ47" s="17"/>
      <c r="AK47" s="18">
        <f>IFERROR(IF(OR(AJ47&gt;=AL47,H47&gt;=AL47),LOOKUP(IF(AJ47="",H47,AJ47),{0,1,10,50,100,1000,10000},{0.0,0.62,0.541,0.541,0.415,0.263,0.239}),"MOQ="&amp;AL47),"")</f>
        <v>0.415</v>
      </c>
      <c r="AL47" s="17">
        <v>1</v>
      </c>
      <c r="AM47" s="19">
        <f>IFERROR(IF(AJ47="",H47,AJ47)*AK47,"")</f>
        <v>41.5</v>
      </c>
      <c r="AN47" s="17" t="s">
        <v>417</v>
      </c>
      <c r="AO47" s="20" t="s">
        <v>281</v>
      </c>
      <c r="AP47" s="17"/>
      <c r="AQ47" s="18">
        <f>IFERROR(IF(OR(AP47&gt;=AR47,H47&gt;=AR47),LOOKUP(IF(AP47="",H47,AP47),{0,1,5,10,100},{0.0,0.61,0.61,0.541,0.414}),"MOQ="&amp;AR47),"")</f>
        <v>0.414</v>
      </c>
      <c r="AR47" s="17">
        <v>1</v>
      </c>
      <c r="AS47" s="19">
        <f>IFERROR(IF(AP47="",H47,AP47)*AQ47,"")</f>
        <v>41.4</v>
      </c>
      <c r="AT47" s="17" t="s">
        <v>458</v>
      </c>
      <c r="AU47" s="20" t="s">
        <v>281</v>
      </c>
      <c r="AV47" s="17"/>
      <c r="AW47" s="18">
        <f>IFERROR(IF(OR(AV47&gt;=AX47,H47&gt;=AX47),USD_GBP*LOOKUP(IF(AV47="",H47,AV47),{0,1,15,105,1005,3000},{0.0,0.477,0.477,0.287,0.217,0.219}),"MOQ="&amp;AX47),"")</f>
        <v>0.6258510638297873</v>
      </c>
      <c r="AX47" s="17">
        <v>15</v>
      </c>
      <c r="AY47" s="19">
        <f>IFERROR(IF(AV47="",H47,AV47)*AW47,"")</f>
        <v>62.5851</v>
      </c>
      <c r="AZ47" s="17" t="s">
        <v>481</v>
      </c>
    </row>
    <row r="48" spans="1:52">
      <c r="A48" s="17" t="s">
        <v>210</v>
      </c>
      <c r="B48" s="17" t="s">
        <v>211</v>
      </c>
      <c r="C48" s="17" t="s">
        <v>212</v>
      </c>
      <c r="E48" s="17" t="s">
        <v>213</v>
      </c>
      <c r="F48" s="17" t="s">
        <v>58</v>
      </c>
      <c r="G48" s="17" t="s">
        <v>214</v>
      </c>
      <c r="H48" s="17">
        <f>CEILING(BoardQty*1.0,1)</f>
        <v>100</v>
      </c>
      <c r="I48" s="18">
        <f>IF(MIN(M48,S48,Y48,AE48,AK48,AQ48,AW48,BC48)&lt;&gt;0,MIN(M48,S48,Y48,AE48,AK48,AQ48,AW48,BC48),"")</f>
        <v>0.4671</v>
      </c>
      <c r="J48" s="19">
        <f>IF(AND(ISNUMBER(H48),ISNUMBER(I48)),H48*I48,"")</f>
        <v>46.71</v>
      </c>
      <c r="K48" s="17">
        <v>138</v>
      </c>
      <c r="L48" s="17"/>
      <c r="M48" s="18">
        <f>IFERROR(IF(OR(L48&gt;=N48,H48&gt;=N48),LOOKUP(IF(L48="",H48,L48),{0,1},{0.0,0.6706}),"MOQ="&amp;N48),"")</f>
        <v>0.6706</v>
      </c>
      <c r="N48" s="17">
        <v>1</v>
      </c>
      <c r="O48" s="19">
        <f>IFERROR(IF(L48="",H48,L48)*M48,"")</f>
        <v>67.06</v>
      </c>
      <c r="P48" s="17" t="s">
        <v>214</v>
      </c>
      <c r="Q48" s="20" t="s">
        <v>281</v>
      </c>
      <c r="R48" s="17"/>
      <c r="S48" s="18">
        <f>IFERROR(IF(OR(R48&gt;=T48,H48&gt;=T48),LOOKUP(IF(R48="",H48,R48),{0,1,10,25,100,250,500,1000,3000},{0.0,0.73,0.64,0.6012,0.4905,0.4556,0.38774,0.32008,0.32007}),"MOQ="&amp;T48),"")</f>
        <v>0.4905</v>
      </c>
      <c r="T48" s="17">
        <v>1</v>
      </c>
      <c r="U48" s="19">
        <f>IFERROR(IF(R48="",H48,R48)*S48,"")</f>
        <v>49.05</v>
      </c>
      <c r="V48" s="17" t="s">
        <v>317</v>
      </c>
      <c r="W48" s="20" t="s">
        <v>281</v>
      </c>
      <c r="X48" s="17"/>
      <c r="Y48" s="18">
        <f>IFERROR(IF(OR(X48&gt;=Z48,H48&gt;=Z48),USD_GBP*LOOKUP(IF(X48="",H48,X48),{0,1,5,10,100,500,3000,9000,24000,45000},{0.0,0.608,0.608,0.509,0.38,0.272,0.271,0.249,0.244,0.239}),"MOQ="&amp;Z48),"")</f>
        <v>0.49858156028368805</v>
      </c>
      <c r="Z48" s="17">
        <v>5</v>
      </c>
      <c r="AA48" s="19">
        <f>IFERROR(IF(X48="",H48,X48)*Y48,"")</f>
        <v>49.8582</v>
      </c>
      <c r="AB48" s="17" t="s">
        <v>359</v>
      </c>
      <c r="AC48" s="17">
        <v>10</v>
      </c>
      <c r="AD48" s="17"/>
      <c r="AE48" s="18">
        <f>IFERROR(IF(OR(AD48&gt;=AF48,H48&gt;=AF48),LOOKUP(IF(AD48="",H48,AD48),{0,1,10,30,100,500},{0.0,0.4959,0.4833,0.4743,0.4671,0.4671}),"MOQ="&amp;AF48),"")</f>
        <v>0.4671</v>
      </c>
      <c r="AF48" s="17">
        <v>1</v>
      </c>
      <c r="AG48" s="19">
        <f>IFERROR(IF(AD48="",H48,AD48)*AE48,"")</f>
        <v>46.71</v>
      </c>
      <c r="AH48" s="17" t="s">
        <v>381</v>
      </c>
      <c r="AI48" s="20" t="s">
        <v>281</v>
      </c>
      <c r="AJ48" s="17"/>
      <c r="AK48" s="18">
        <f>IFERROR(IF(OR(AJ48&gt;=AL48,H48&gt;=AL48),LOOKUP(IF(AJ48="",H48,AJ48),{0,1,10,50,100,1000,10000},{0.0,0.72,0.602,0.602,0.477,0.321,0.294}),"MOQ="&amp;AL48),"")</f>
        <v>0.477</v>
      </c>
      <c r="AL48" s="17">
        <v>1</v>
      </c>
      <c r="AM48" s="19">
        <f>IFERROR(IF(AJ48="",H48,AJ48)*AK48,"")</f>
        <v>47.7</v>
      </c>
      <c r="AN48" s="17" t="s">
        <v>418</v>
      </c>
      <c r="AO48" s="20" t="s">
        <v>281</v>
      </c>
      <c r="AP48" s="17"/>
      <c r="AQ48" s="18">
        <f>IFERROR(IF(OR(AP48&gt;=AR48,H48&gt;=AR48),LOOKUP(IF(AP48="",H48,AP48),{0,1,5,10,100,3000,9000,24000,45000},{0.0,0.72,0.792,0.602,0.477,0.352,0.313,0.289,0.27}),"MOQ="&amp;AR48),"")</f>
        <v>0.477</v>
      </c>
      <c r="AR48" s="17">
        <v>1</v>
      </c>
      <c r="AS48" s="19">
        <f>IFERROR(IF(AP48="",H48,AP48)*AQ48,"")</f>
        <v>47.7</v>
      </c>
      <c r="AT48" s="17" t="s">
        <v>459</v>
      </c>
    </row>
    <row r="49" spans="1:58" ht="30" customHeight="1">
      <c r="A49" s="17" t="s">
        <v>215</v>
      </c>
      <c r="B49" s="17" t="s">
        <v>216</v>
      </c>
      <c r="C49" s="17" t="s">
        <v>217</v>
      </c>
      <c r="D49" s="17" t="s">
        <v>218</v>
      </c>
      <c r="E49" s="17" t="s">
        <v>219</v>
      </c>
      <c r="F49" s="17" t="s">
        <v>220</v>
      </c>
      <c r="G49" s="17" t="s">
        <v>221</v>
      </c>
      <c r="H49" s="17">
        <f>CEILING(BoardQty*2.0,1)</f>
        <v>200</v>
      </c>
      <c r="I49" s="18">
        <f>IF(MIN(M49,S49,Y49,AE49,AK49,AQ49,AW49,BC49)&lt;&gt;0,MIN(M49,S49,Y49,AE49,AK49,AQ49,AW49,BC49),"")</f>
        <v>0.309</v>
      </c>
      <c r="J49" s="19">
        <f>IF(AND(ISNUMBER(H49),ISNUMBER(I49)),H49*I49,"")</f>
        <v>61.8</v>
      </c>
      <c r="Q49" s="20" t="s">
        <v>281</v>
      </c>
      <c r="R49" s="17"/>
      <c r="S49" s="18">
        <f>IFERROR(IF(OR(R49&gt;=T49,H49&gt;=T49),LOOKUP(IF(R49="",H49,R49),{0,1,10,25,100,250,500,1000,3000},{0.0,0.52,0.445,0.4156,0.3324,0.30868,0.26118,0.20182,0.196}),"MOQ="&amp;T49),"")</f>
        <v>0.3324</v>
      </c>
      <c r="T49" s="17">
        <v>1</v>
      </c>
      <c r="U49" s="19">
        <f>IFERROR(IF(R49="",H49,R49)*S49,"")</f>
        <v>66.48</v>
      </c>
      <c r="V49" s="17" t="s">
        <v>318</v>
      </c>
      <c r="AI49" s="20" t="s">
        <v>281</v>
      </c>
      <c r="AJ49" s="17"/>
      <c r="AK49" s="18">
        <f>IFERROR(IF(OR(AJ49&gt;=AL49,H49&gt;=AL49),LOOKUP(IF(AJ49="",H49,AJ49),{0,1,10,50,100,1000,10000},{0.0,0.52,0.446,0.446,0.309,0.202,0.184}),"MOQ="&amp;AL49),"")</f>
        <v>0.309</v>
      </c>
      <c r="AL49" s="17">
        <v>1</v>
      </c>
      <c r="AM49" s="19">
        <f>IFERROR(IF(AJ49="",H49,AJ49)*AK49,"")</f>
        <v>61.8</v>
      </c>
      <c r="AN49" s="17" t="s">
        <v>419</v>
      </c>
    </row>
    <row r="50" spans="1:58" ht="30" customHeight="1">
      <c r="A50" s="17" t="s">
        <v>222</v>
      </c>
      <c r="B50" s="17" t="s">
        <v>223</v>
      </c>
      <c r="C50" s="17" t="s">
        <v>224</v>
      </c>
      <c r="E50" s="17" t="s">
        <v>225</v>
      </c>
      <c r="F50" s="17" t="s">
        <v>58</v>
      </c>
      <c r="G50" s="17" t="s">
        <v>226</v>
      </c>
      <c r="H50" s="17">
        <f>CEILING(BoardQty*1.0,1)</f>
        <v>100</v>
      </c>
      <c r="I50" s="18">
        <f>IF(MIN(M50,S50,Y50,AE50,AK50,AQ50,AW50,BC50)&lt;&gt;0,MIN(M50,S50,Y50,AE50,AK50,AQ50,AW50,BC50),"")</f>
        <v>0.3907</v>
      </c>
      <c r="J50" s="19">
        <f>IF(AND(ISNUMBER(H50),ISNUMBER(I50)),H50*I50,"")</f>
        <v>39.07</v>
      </c>
      <c r="K50" s="17">
        <v>3000</v>
      </c>
      <c r="L50" s="17"/>
      <c r="M50" s="18">
        <f>IFERROR(IF(OR(L50&gt;=N50,H50&gt;=N50),LOOKUP(IF(L50="",H50,L50),{0,1},{0.0,0.3907}),"MOQ="&amp;N50),"")</f>
        <v>0.3907</v>
      </c>
      <c r="N50" s="17">
        <v>1</v>
      </c>
      <c r="O50" s="19">
        <f>IFERROR(IF(L50="",H50,L50)*M50,"")</f>
        <v>39.07</v>
      </c>
      <c r="P50" s="17" t="s">
        <v>226</v>
      </c>
      <c r="Q50" s="20" t="s">
        <v>281</v>
      </c>
      <c r="R50" s="17"/>
      <c r="S50" s="18">
        <f>IFERROR(IF(OR(R50&gt;=T50,H50&gt;=T50),LOOKUP(IF(R50="",H50,R50),{0,1,3000},{0.0,0.82,0.4375}),"MOQ="&amp;T50),"")</f>
        <v>0.82</v>
      </c>
      <c r="T50" s="17">
        <v>1</v>
      </c>
      <c r="U50" s="19">
        <f>IFERROR(IF(R50="",H50,R50)*S50,"")</f>
        <v>82.0</v>
      </c>
      <c r="V50" s="17" t="s">
        <v>319</v>
      </c>
      <c r="W50" s="20" t="s">
        <v>281</v>
      </c>
      <c r="X50" s="17"/>
      <c r="Y50" s="18">
        <f>IFERROR(IF(OR(X50&gt;=Z50,H50&gt;=Z50),USD_GBP*LOOKUP(IF(X50="",H50,X50),{0,1,3000},{0.0,0.295,0.295}),"MOQ="&amp;Z50),"")</f>
        <v/>
      </c>
      <c r="Z50" s="17">
        <v>3000</v>
      </c>
      <c r="AA50" s="19">
        <f>IFERROR(IF(X50="",H50,X50)*Y50,"")</f>
        <v/>
      </c>
      <c r="AB50" s="17" t="s">
        <v>360</v>
      </c>
      <c r="AI50" s="17">
        <v>5692</v>
      </c>
      <c r="AJ50" s="17"/>
      <c r="AK50" s="18">
        <f>IFERROR(IF(OR(AJ50&gt;=AL50,H50&gt;=AL50),LOOKUP(IF(AJ50="",H50,AJ50),{0,1,10,50,100,1000,10000},{0.0,0.87,0.782,0.742,0.6,0.4,0.387}),"MOQ="&amp;AL50),"")</f>
        <v>0.6</v>
      </c>
      <c r="AL50" s="17">
        <v>1</v>
      </c>
      <c r="AM50" s="19">
        <f>IFERROR(IF(AJ50="",H50,AJ50)*AK50,"")</f>
        <v>60.0</v>
      </c>
      <c r="AN50" s="17" t="s">
        <v>420</v>
      </c>
      <c r="AO50" s="20" t="s">
        <v>281</v>
      </c>
      <c r="AP50" s="17"/>
      <c r="AQ50" s="18">
        <f>IFERROR(IF(OR(AP50&gt;=AR50,H50&gt;=AR50),LOOKUP(IF(AP50="",H50,AP50),{0,1,10,100,500,1000,3000},{0.0,0.87,0.782,0.6,0.495,0.4,0.44}),"MOQ="&amp;AR50),"")</f>
        <v>0.6</v>
      </c>
      <c r="AR50" s="17">
        <v>1</v>
      </c>
      <c r="AS50" s="19">
        <f>IFERROR(IF(AP50="",H50,AP50)*AQ50,"")</f>
        <v>60.0</v>
      </c>
      <c r="AT50" s="17" t="s">
        <v>460</v>
      </c>
    </row>
    <row r="51" spans="1:58">
      <c r="A51" s="17" t="s">
        <v>227</v>
      </c>
      <c r="B51" s="17" t="s">
        <v>228</v>
      </c>
      <c r="C51" s="17" t="s">
        <v>229</v>
      </c>
      <c r="E51" s="17" t="s">
        <v>230</v>
      </c>
      <c r="F51" s="17" t="s">
        <v>58</v>
      </c>
      <c r="G51" s="17" t="s">
        <v>231</v>
      </c>
      <c r="H51" s="17">
        <f>CEILING(BoardQty*1.0,1)</f>
        <v>100</v>
      </c>
      <c r="I51" s="18">
        <f>IF(MIN(M51,S51,Y51,AE51,AK51,AQ51,AW51,BC51)&lt;&gt;0,MIN(M51,S51,Y51,AE51,AK51,AQ51,AW51,BC51),"")</f>
        <v>0.6035460992907803</v>
      </c>
      <c r="J51" s="19">
        <f>IF(AND(ISNUMBER(H51),ISNUMBER(I51)),H51*I51,"")</f>
        <v>60.3546</v>
      </c>
      <c r="Q51" s="20" t="s">
        <v>281</v>
      </c>
      <c r="R51" s="17"/>
      <c r="S51" s="18">
        <f>IFERROR(IF(OR(R51&gt;=T51,H51&gt;=T51),LOOKUP(IF(R51="",H51,R51),{0,1,10,25,100,250,500,1000,3000},{0.0,0.87,0.782,0.742,0.6095,0.56976,0.5035,0.4375,0.4375}),"MOQ="&amp;T51),"")</f>
        <v>0.6095</v>
      </c>
      <c r="T51" s="17">
        <v>1</v>
      </c>
      <c r="U51" s="19">
        <f>IFERROR(IF(R51="",H51,R51)*S51,"")</f>
        <v>60.95</v>
      </c>
      <c r="V51" s="17" t="s">
        <v>320</v>
      </c>
      <c r="W51" s="20" t="s">
        <v>281</v>
      </c>
      <c r="X51" s="17"/>
      <c r="Y51" s="18">
        <f>IFERROR(IF(OR(X51&gt;=Z51,H51&gt;=Z51),USD_GBP*LOOKUP(IF(X51="",H51,X51),{0,1,5,10,100,500,3000,9000,24000,45000},{0.0,0.735,0.735,0.627,0.482,0.337,0.328,0.321,0.315,0.308}),"MOQ="&amp;Z51),"")</f>
        <v>0.6324113475177305</v>
      </c>
      <c r="Z51" s="17">
        <v>5</v>
      </c>
      <c r="AA51" s="19">
        <f>IFERROR(IF(X51="",H51,X51)*Y51,"")</f>
        <v>63.2411</v>
      </c>
      <c r="AB51" s="17" t="s">
        <v>361</v>
      </c>
      <c r="AI51" s="17">
        <v>64</v>
      </c>
      <c r="AJ51" s="17"/>
      <c r="AK51" s="18">
        <f>IFERROR(IF(OR(AJ51&gt;=AL51,H51&gt;=AL51),LOOKUP(IF(AJ51="",H51,AJ51),{0,1,10,50,100,1000,10000},{0.0,0.99,0.889,0.844,0.693,0.452,0.44}),"MOQ="&amp;AL51),"")</f>
        <v>0.693</v>
      </c>
      <c r="AL51" s="17">
        <v>1</v>
      </c>
      <c r="AM51" s="19">
        <f>IFERROR(IF(AJ51="",H51,AJ51)*AK51,"")</f>
        <v>69.3</v>
      </c>
      <c r="AN51" s="17" t="s">
        <v>421</v>
      </c>
      <c r="AO51" s="20" t="s">
        <v>281</v>
      </c>
      <c r="AP51" s="17"/>
      <c r="AQ51" s="18">
        <f>IFERROR(IF(OR(AP51&gt;=AR51,H51&gt;=AR51),LOOKUP(IF(AP51="",H51,AP51),{0,1,5,10,100},{0.0,0.87,0.87,0.782,0.61}),"MOQ="&amp;AR51),"")</f>
        <v>0.61</v>
      </c>
      <c r="AR51" s="17">
        <v>1</v>
      </c>
      <c r="AS51" s="19">
        <f>IFERROR(IF(AP51="",H51,AP51)*AQ51,"")</f>
        <v>61.0</v>
      </c>
      <c r="AT51" s="17" t="s">
        <v>461</v>
      </c>
      <c r="AU51" s="17">
        <v>5</v>
      </c>
      <c r="AV51" s="17"/>
      <c r="AW51" s="18">
        <f>IFERROR(IF(OR(AV51&gt;=AX51,H51&gt;=AX51),USD_GBP*LOOKUP(IF(AV51="",H51,AV51),{0,1,10,100,500,1000,3000},{0.0,0.631,0.631,0.46,0.384,0.298,0.459}),"MOQ="&amp;AX51),"")</f>
        <v>0.6035460992907803</v>
      </c>
      <c r="AX51" s="17">
        <v>10</v>
      </c>
      <c r="AY51" s="19">
        <f>IFERROR(IF(AV51="",H51,AV51)*AW51,"")</f>
        <v>60.3546</v>
      </c>
      <c r="AZ51" s="17" t="s">
        <v>482</v>
      </c>
    </row>
    <row r="52" spans="1:58" ht="30" customHeight="1">
      <c r="A52" s="17" t="s">
        <v>232</v>
      </c>
      <c r="B52" s="17" t="s">
        <v>233</v>
      </c>
      <c r="C52" s="17" t="s">
        <v>234</v>
      </c>
      <c r="E52" s="17" t="s">
        <v>225</v>
      </c>
      <c r="F52" s="17" t="s">
        <v>58</v>
      </c>
      <c r="G52" s="17" t="s">
        <v>235</v>
      </c>
      <c r="H52" s="17">
        <f>CEILING(BoardQty*1.0,1)</f>
        <v>100</v>
      </c>
      <c r="I52" s="18">
        <f>IF(MIN(M52,S52,Y52,AE52,AK52,AQ52,AW52,BC52)&lt;&gt;0,MIN(M52,S52,Y52,AE52,AK52,AQ52,AW52,BC52),"")</f>
        <v>0.61</v>
      </c>
      <c r="J52" s="19">
        <f>IF(AND(ISNUMBER(H52),ISNUMBER(I52)),H52*I52,"")</f>
        <v>61.0</v>
      </c>
      <c r="Q52" s="20" t="s">
        <v>281</v>
      </c>
      <c r="R52" s="17"/>
      <c r="S52" s="18">
        <f>IFERROR(IF(OR(R52&gt;=T52,H52&gt;=T52),LOOKUP(IF(R52="",H52,R52),{0,1,3000},{0.0,0.82,0.4375}),"MOQ="&amp;T52),"")</f>
        <v>0.82</v>
      </c>
      <c r="T52" s="17">
        <v>1</v>
      </c>
      <c r="U52" s="19">
        <f>IFERROR(IF(R52="",H52,R52)*S52,"")</f>
        <v>82.0</v>
      </c>
      <c r="V52" s="17" t="s">
        <v>321</v>
      </c>
      <c r="W52" s="20" t="s">
        <v>281</v>
      </c>
      <c r="X52" s="17"/>
      <c r="Y52" s="18">
        <f>IFERROR(IF(OR(X52&gt;=Z52,H52&gt;=Z52),USD_GBP*LOOKUP(IF(X52="",H52,X52),{0,1,3000},{0.0,0.295,0.295}),"MOQ="&amp;Z52),"")</f>
        <v/>
      </c>
      <c r="Z52" s="17">
        <v>3000</v>
      </c>
      <c r="AA52" s="19">
        <f>IFERROR(IF(X52="",H52,X52)*Y52,"")</f>
        <v/>
      </c>
      <c r="AB52" s="17" t="s">
        <v>362</v>
      </c>
      <c r="AI52" s="17">
        <v>2000</v>
      </c>
      <c r="AJ52" s="17"/>
      <c r="AK52" s="18">
        <f>IFERROR(IF(OR(AJ52&gt;=AL52,H52&gt;=AL52),LOOKUP(IF(AJ52="",H52,AJ52),{0,1,10,50,100,1000,10000},{0.0,0.87,0.782,0.742,0.61,0.398,0.387}),"MOQ="&amp;AL52),"")</f>
        <v>0.61</v>
      </c>
      <c r="AL52" s="17">
        <v>1</v>
      </c>
      <c r="AM52" s="19">
        <f>IFERROR(IF(AJ52="",H52,AJ52)*AK52,"")</f>
        <v>61.0</v>
      </c>
      <c r="AN52" s="17" t="s">
        <v>422</v>
      </c>
      <c r="AO52" s="20" t="s">
        <v>281</v>
      </c>
      <c r="AP52" s="17"/>
      <c r="AQ52" s="18">
        <f>IFERROR(IF(OR(AP52&gt;=AR52,H52&gt;=AR52),LOOKUP(IF(AP52="",H52,AP52),{0,1,10,100,500,1000,3000},{0.0,0.957,0.86,0.671,0.554,0.438,0.438}),"MOQ="&amp;AR52),"")</f>
        <v>0.671</v>
      </c>
      <c r="AR52" s="17">
        <v>1</v>
      </c>
      <c r="AS52" s="19">
        <f>IFERROR(IF(AP52="",H52,AP52)*AQ52,"")</f>
        <v>67.1</v>
      </c>
      <c r="AT52" s="17" t="s">
        <v>462</v>
      </c>
    </row>
    <row r="53" spans="1:58" ht="30" customHeight="1">
      <c r="A53" s="17" t="s">
        <v>236</v>
      </c>
      <c r="B53" s="17" t="s">
        <v>237</v>
      </c>
      <c r="C53" s="17" t="s">
        <v>238</v>
      </c>
      <c r="D53" s="17" t="s">
        <v>239</v>
      </c>
      <c r="E53" s="17" t="s">
        <v>240</v>
      </c>
      <c r="F53" s="17" t="s">
        <v>58</v>
      </c>
      <c r="G53" s="17" t="s">
        <v>237</v>
      </c>
      <c r="H53" s="17">
        <f>CEILING(BoardQty*2.0,1)</f>
        <v>200</v>
      </c>
      <c r="I53" s="18">
        <f>IF(MIN(M53,S53,Y53,AE53,AK53,AQ53,AW53,BC53)&lt;&gt;0,MIN(M53,S53,Y53,AE53,AK53,AQ53,AW53,BC53),"")</f>
        <v>0.264</v>
      </c>
      <c r="J53" s="19">
        <f>IF(AND(ISNUMBER(H53),ISNUMBER(I53)),H53*I53,"")</f>
        <v>52.8</v>
      </c>
      <c r="Q53" s="20" t="s">
        <v>281</v>
      </c>
      <c r="R53" s="17"/>
      <c r="S53" s="18">
        <f>IFERROR(IF(OR(R53&gt;=T53,H53&gt;=T53),LOOKUP(IF(R53="",H53,R53),{0,1,10,25,100,250,500,1000,3000},{0.0,0.53,0.427,0.3912,0.291,0.26376,0.21828,0.16371,0.15015}),"MOQ="&amp;T53),"")</f>
        <v>0.291</v>
      </c>
      <c r="T53" s="17">
        <v>1</v>
      </c>
      <c r="U53" s="19">
        <f>IFERROR(IF(R53="",H53,R53)*S53,"")</f>
        <v>58.2</v>
      </c>
      <c r="V53" s="17" t="s">
        <v>322</v>
      </c>
      <c r="W53" s="20" t="s">
        <v>281</v>
      </c>
      <c r="X53" s="17"/>
      <c r="Y53" s="18">
        <f>IFERROR(IF(OR(X53&gt;=Z53,H53&gt;=Z53),USD_GBP*LOOKUP(IF(X53="",H53,X53),{0,1,3000},{0.0,0.114,0.114}),"MOQ="&amp;Z53),"")</f>
        <v/>
      </c>
      <c r="Z53" s="17">
        <v>3000</v>
      </c>
      <c r="AA53" s="19">
        <f>IFERROR(IF(X53="",H53,X53)*Y53,"")</f>
        <v/>
      </c>
      <c r="AB53" s="17" t="s">
        <v>363</v>
      </c>
      <c r="AI53" s="17">
        <v>6654</v>
      </c>
      <c r="AJ53" s="17"/>
      <c r="AK53" s="18">
        <f>IFERROR(IF(OR(AJ53&gt;=AL53,H53&gt;=AL53),LOOKUP(IF(AJ53="",H53,AJ53),{0,1,10,50,100,1000,10000},{0.0,0.53,0.428,0.428,0.264,0.164,0.132}),"MOQ="&amp;AL53),"")</f>
        <v>0.264</v>
      </c>
      <c r="AL53" s="17">
        <v>1</v>
      </c>
      <c r="AM53" s="19">
        <f>IFERROR(IF(AJ53="",H53,AJ53)*AK53,"")</f>
        <v>52.8</v>
      </c>
      <c r="AN53" s="17" t="s">
        <v>423</v>
      </c>
      <c r="AO53" s="20" t="s">
        <v>281</v>
      </c>
      <c r="AP53" s="17"/>
      <c r="AQ53" s="18">
        <f>IFERROR(IF(OR(AP53&gt;=AR53,H53&gt;=AR53),LOOKUP(IF(AP53="",H53,AP53),{0,1,3000},{0.0,0.18,0.18}),"MOQ="&amp;AR53),"")</f>
        <v/>
      </c>
      <c r="AR53" s="17">
        <v>3000</v>
      </c>
      <c r="AS53" s="19">
        <f>IFERROR(IF(AP53="",H53,AP53)*AQ53,"")</f>
        <v/>
      </c>
      <c r="AT53" s="17" t="s">
        <v>463</v>
      </c>
    </row>
    <row r="54" spans="1:58">
      <c r="A54" s="17" t="s">
        <v>241</v>
      </c>
      <c r="B54" s="17" t="s">
        <v>242</v>
      </c>
      <c r="C54" s="17" t="s">
        <v>243</v>
      </c>
      <c r="E54" s="17" t="s">
        <v>240</v>
      </c>
      <c r="F54" s="17" t="s">
        <v>58</v>
      </c>
      <c r="G54" s="17" t="s">
        <v>242</v>
      </c>
      <c r="H54" s="17">
        <f>CEILING(BoardQty*1.0,1)</f>
        <v>100</v>
      </c>
      <c r="I54" s="18">
        <f>IF(MIN(M54,S54,Y54,AE54,AK54,AQ54,AW54,BC54)&lt;&gt;0,MIN(M54,S54,Y54,AE54,AK54,AQ54,AW54,BC54),"")</f>
        <v>0.061666666666666675</v>
      </c>
      <c r="J54" s="19">
        <f>IF(AND(ISNUMBER(H54),ISNUMBER(I54)),H54*I54,"")</f>
        <v>6.1667</v>
      </c>
      <c r="K54" s="17">
        <v>896</v>
      </c>
      <c r="L54" s="17"/>
      <c r="M54" s="18">
        <f>IFERROR(IF(OR(L54&gt;=N54,H54&gt;=N54),LOOKUP(IF(L54="",H54,L54),{0,1,10,100,500,1000,3000},{0.0,0.352,0.3485,0.1949,0.1434,0.1227,0.0912}),"MOQ="&amp;N54),"")</f>
        <v>0.1949</v>
      </c>
      <c r="N54" s="17">
        <v>1</v>
      </c>
      <c r="O54" s="19">
        <f>IFERROR(IF(L54="",H54,L54)*M54,"")</f>
        <v>19.49</v>
      </c>
      <c r="P54" s="17" t="s">
        <v>242</v>
      </c>
      <c r="Q54" s="20" t="s">
        <v>281</v>
      </c>
      <c r="R54" s="17"/>
      <c r="S54" s="18">
        <f>IFERROR(IF(OR(R54&gt;=T54,H54&gt;=T54),LOOKUP(IF(R54="",H54,R54),{0,1,3000,6000,15000},{0.0,0.33,0.08777,0.08289,0.0805}),"MOQ="&amp;T54),"")</f>
        <v>0.33</v>
      </c>
      <c r="T54" s="17">
        <v>1</v>
      </c>
      <c r="U54" s="19">
        <f>IFERROR(IF(R54="",H54,R54)*S54,"")</f>
        <v>33.0</v>
      </c>
      <c r="V54" s="17" t="s">
        <v>323</v>
      </c>
      <c r="W54" s="20" t="s">
        <v>281</v>
      </c>
      <c r="X54" s="17"/>
      <c r="Y54" s="18">
        <f>IFERROR(IF(OR(X54&gt;=Z54,H54&gt;=Z54),USD_GBP*LOOKUP(IF(X54="",H54,X54),{0,1,5,10,100,500},{0.0,0.539,0.539,0.404,0.203,0.117}),"MOQ="&amp;Z54),"")</f>
        <v>0.26634751773049653</v>
      </c>
      <c r="Z54" s="17">
        <v>5</v>
      </c>
      <c r="AA54" s="19">
        <f>IFERROR(IF(X54="",H54,X54)*Y54,"")</f>
        <v>26.6348</v>
      </c>
      <c r="AB54" s="17" t="s">
        <v>364</v>
      </c>
      <c r="AI54" s="17">
        <v>3920</v>
      </c>
      <c r="AJ54" s="17"/>
      <c r="AK54" s="18">
        <f>IFERROR(IF(OR(AJ54&gt;=AL54,H54&gt;=AL54),LOOKUP(IF(AJ54="",H54,AJ54),{0,1,10,50,100,1000,10000},{0.0,0.52,0.39,0.39,0.195,0.113,0.087}),"MOQ="&amp;AL54),"")</f>
        <v>0.195</v>
      </c>
      <c r="AL54" s="17">
        <v>1</v>
      </c>
      <c r="AM54" s="19">
        <f>IFERROR(IF(AJ54="",H54,AJ54)*AK54,"")</f>
        <v>19.5</v>
      </c>
      <c r="AN54" s="17" t="s">
        <v>424</v>
      </c>
      <c r="AO54" s="20" t="s">
        <v>281</v>
      </c>
      <c r="AP54" s="17"/>
      <c r="AQ54" s="18">
        <f>IFERROR(IF(OR(AP54&gt;=AR54,H54&gt;=AR54),LOOKUP(IF(AP54="",H54,AP54),{0,1,5,10,100},{0.0,0.33,0.33,0.253,0.173}),"MOQ="&amp;AR54),"")</f>
        <v>0.173</v>
      </c>
      <c r="AR54" s="17">
        <v>1</v>
      </c>
      <c r="AS54" s="19">
        <f>IFERROR(IF(AP54="",H54,AP54)*AQ54,"")</f>
        <v>17.3</v>
      </c>
      <c r="AT54" s="17" t="s">
        <v>464</v>
      </c>
      <c r="AU54" s="17">
        <v>2608</v>
      </c>
      <c r="AV54" s="17"/>
      <c r="AW54" s="18">
        <f>IFERROR(IF(OR(AV54&gt;=AX54,H54&gt;=AX54),USD_GBP*LOOKUP(IF(AV54="",H54,AV54),{0,1,28,112,1008,3000,3024,9000,9016,24000,45000,99000},{0.0,0.047,0.047,0.046,0.045,0.069,0.044,0.062,0.043,0.057,0.054,0.052}),"MOQ="&amp;AX54),"")</f>
        <v>0.061666666666666675</v>
      </c>
      <c r="AX54" s="17">
        <v>28</v>
      </c>
      <c r="AY54" s="19">
        <f>IFERROR(IF(AV54="",H54,AV54)*AW54,"")</f>
        <v>6.1667</v>
      </c>
      <c r="AZ54" s="17" t="s">
        <v>483</v>
      </c>
      <c r="BA54" s="20" t="s">
        <v>281</v>
      </c>
      <c r="BB54" s="17"/>
      <c r="BC54" s="18">
        <f>IFERROR(IF(OR(BB54&gt;=BD54,H54&gt;=BD54),USD_GBP*LOOKUP(IF(BB54="",H54,BB54),{0,1,5,25,100,500,3000},{0.0,0.136,0.136,0.0864,0.0748,0.0652,0.0609}),"MOQ="&amp;BD54),"")</f>
        <v>0.09814184397163123</v>
      </c>
      <c r="BD54" s="17">
        <v>5</v>
      </c>
      <c r="BE54" s="19">
        <f>IFERROR(IF(BB54="",H54,BB54)*BC54,"")</f>
        <v>9.8142</v>
      </c>
      <c r="BF54" s="17" t="s">
        <v>242</v>
      </c>
    </row>
    <row r="55" spans="1:58" ht="30" customHeight="1">
      <c r="A55" s="17" t="s">
        <v>244</v>
      </c>
      <c r="B55" s="17" t="s">
        <v>245</v>
      </c>
      <c r="C55" s="17" t="s">
        <v>246</v>
      </c>
      <c r="D55" s="17" t="s">
        <v>247</v>
      </c>
      <c r="E55" s="17" t="s">
        <v>240</v>
      </c>
      <c r="F55" s="17" t="s">
        <v>58</v>
      </c>
      <c r="G55" s="17" t="s">
        <v>245</v>
      </c>
      <c r="H55" s="17">
        <f>CEILING(BoardQty*1.0,1)</f>
        <v>100</v>
      </c>
      <c r="I55" s="18">
        <f>IF(MIN(M55,S55,Y55,AE55,AK55,AQ55,AW55,BC55)&lt;&gt;0,MIN(M55,S55,Y55,AE55,AK55,AQ55,AW55,BC55),"")</f>
        <v>0.264</v>
      </c>
      <c r="J55" s="19">
        <f>IF(AND(ISNUMBER(H55),ISNUMBER(I55)),H55*I55,"")</f>
        <v>26.4</v>
      </c>
      <c r="Q55" s="20" t="s">
        <v>281</v>
      </c>
      <c r="R55" s="17"/>
      <c r="S55" s="18">
        <f>IFERROR(IF(OR(R55&gt;=T55,H55&gt;=T55),LOOKUP(IF(R55="",H55,R55),{0,1,10,25,100,250,500,1000,3000},{0.0,0.53,0.427,0.3912,0.291,0.26376,0.21828,0.16371,0.15015}),"MOQ="&amp;T55),"")</f>
        <v>0.291</v>
      </c>
      <c r="T55" s="17">
        <v>1</v>
      </c>
      <c r="U55" s="19">
        <f>IFERROR(IF(R55="",H55,R55)*S55,"")</f>
        <v>29.1</v>
      </c>
      <c r="V55" s="17" t="s">
        <v>324</v>
      </c>
      <c r="W55" s="20" t="s">
        <v>281</v>
      </c>
      <c r="X55" s="17"/>
      <c r="Y55" s="18">
        <f>IFERROR(IF(OR(X55&gt;=Z55,H55&gt;=Z55),USD_GBP*LOOKUP(IF(X55="",H55,X55),{0,1,5,10,100,500},{0.0,0.625,0.625,0.493,0.273,0.169}),"MOQ="&amp;Z55),"")</f>
        <v>0.3581914893617022</v>
      </c>
      <c r="Z55" s="17">
        <v>5</v>
      </c>
      <c r="AA55" s="19">
        <f>IFERROR(IF(X55="",H55,X55)*Y55,"")</f>
        <v>35.8191</v>
      </c>
      <c r="AB55" s="17" t="s">
        <v>365</v>
      </c>
      <c r="AI55" s="20" t="s">
        <v>281</v>
      </c>
      <c r="AJ55" s="17"/>
      <c r="AK55" s="18">
        <f>IFERROR(IF(OR(AJ55&gt;=AL55,H55&gt;=AL55),LOOKUP(IF(AJ55="",H55,AJ55),{0,1,10,50,100,1000,10000},{0.0,0.53,0.428,0.428,0.264,0.164,0.15}),"MOQ="&amp;AL55),"")</f>
        <v>0.264</v>
      </c>
      <c r="AL55" s="17">
        <v>1</v>
      </c>
      <c r="AM55" s="19">
        <f>IFERROR(IF(AJ55="",H55,AJ55)*AK55,"")</f>
        <v>26.4</v>
      </c>
      <c r="AN55" s="17" t="s">
        <v>425</v>
      </c>
      <c r="AO55" s="20" t="s">
        <v>281</v>
      </c>
      <c r="AP55" s="17"/>
      <c r="AQ55" s="18">
        <f>IFERROR(IF(OR(AP55&gt;=AR55,H55&gt;=AR55),LOOKUP(IF(AP55="",H55,AP55),{0,1,5,10,100},{0.0,0.729,0.729,0.589,0.363}),"MOQ="&amp;AR55),"")</f>
        <v>0.363</v>
      </c>
      <c r="AR55" s="17">
        <v>1</v>
      </c>
      <c r="AS55" s="19">
        <f>IFERROR(IF(AP55="",H55,AP55)*AQ55,"")</f>
        <v>36.3</v>
      </c>
      <c r="AT55" s="17" t="s">
        <v>465</v>
      </c>
      <c r="AU55" s="20" t="s">
        <v>281</v>
      </c>
      <c r="AV55" s="17"/>
      <c r="AW55" s="18">
        <f>IFERROR(IF(OR(AV55&gt;=AX55,H55&gt;=AX55),USD_GBP*LOOKUP(IF(AV55="",H55,AV55),{0,1,25,3000},{0.0,0.346,0.346,0.12}),"MOQ="&amp;AX55),"")</f>
        <v>0.4539716312056738</v>
      </c>
      <c r="AX55" s="17">
        <v>25</v>
      </c>
      <c r="AY55" s="19">
        <f>IFERROR(IF(AV55="",H55,AV55)*AW55,"")</f>
        <v>45.3972</v>
      </c>
      <c r="AZ55" s="17" t="s">
        <v>484</v>
      </c>
    </row>
    <row r="56" spans="1:58" ht="30" customHeight="1">
      <c r="A56" s="17" t="s">
        <v>248</v>
      </c>
      <c r="B56" s="17" t="s">
        <v>249</v>
      </c>
      <c r="C56" s="17" t="s">
        <v>250</v>
      </c>
      <c r="D56" s="17" t="s">
        <v>251</v>
      </c>
      <c r="E56" s="17" t="s">
        <v>252</v>
      </c>
      <c r="F56" s="17" t="s">
        <v>220</v>
      </c>
      <c r="G56" s="17" t="s">
        <v>249</v>
      </c>
      <c r="H56" s="17">
        <f>CEILING(BoardQty*4.0,1)</f>
        <v>400</v>
      </c>
      <c r="I56" s="18">
        <f>IF(MIN(M56,S56,Y56,AE56,AK56,AQ56,AW56,BC56)&lt;&gt;0,MIN(M56,S56,Y56,AE56,AK56,AQ56,AW56,BC56),"")</f>
        <v>1.26776</v>
      </c>
      <c r="J56" s="19">
        <f>IF(AND(ISNUMBER(H56),ISNUMBER(I56)),H56*I56,"")</f>
        <v>507.104</v>
      </c>
      <c r="Q56" s="17">
        <v>2950</v>
      </c>
      <c r="R56" s="17"/>
      <c r="S56" s="18">
        <f>IFERROR(IF(OR(R56&gt;=T56,H56&gt;=T56),LOOKUP(IF(R56="",H56,R56),{0,1,10,25,100,250,500,1000,2000},{0.0,1.87,1.68,1.5848,1.3502,1.26776,1.10928,1.0465,1.0465}),"MOQ="&amp;T56),"")</f>
        <v>1.26776</v>
      </c>
      <c r="T56" s="17">
        <v>1</v>
      </c>
      <c r="U56" s="19">
        <f>IFERROR(IF(R56="",H56,R56)*S56,"")</f>
        <v>507.104</v>
      </c>
      <c r="V56" s="17" t="s">
        <v>325</v>
      </c>
      <c r="AI56" s="17">
        <v>1630</v>
      </c>
      <c r="AJ56" s="17"/>
      <c r="AK56" s="18">
        <f>IFERROR(IF(OR(AJ56&gt;=AL56,H56&gt;=AL56),LOOKUP(IF(AJ56="",H56,AJ56),{0,1,10,50,100,1000,10000},{0.0,1.87,1.68,1.59,1.35,0.92,0.92}),"MOQ="&amp;AL56),"")</f>
        <v>1.35</v>
      </c>
      <c r="AL56" s="17">
        <v>1</v>
      </c>
      <c r="AM56" s="19">
        <f>IFERROR(IF(AJ56="",H56,AJ56)*AK56,"")</f>
        <v>540.0</v>
      </c>
      <c r="AN56" s="17" t="s">
        <v>426</v>
      </c>
    </row>
    <row r="57" spans="1:58">
      <c r="A57" s="17" t="s">
        <v>253</v>
      </c>
      <c r="B57" s="17" t="s">
        <v>254</v>
      </c>
      <c r="C57" s="17" t="s">
        <v>255</v>
      </c>
      <c r="E57" s="17" t="s">
        <v>256</v>
      </c>
      <c r="F57" s="17" t="s">
        <v>257</v>
      </c>
      <c r="G57" s="17" t="s">
        <v>254</v>
      </c>
      <c r="H57" s="17">
        <f>CEILING(BoardQty*1.0,1)</f>
        <v>100</v>
      </c>
      <c r="I57" s="18">
        <f>IF(MIN(M57,S57,Y57,AE57,AK57,AQ57,AW57,BC57)&lt;&gt;0,MIN(M57,S57,Y57,AE57,AK57,AQ57,AW57,BC57),"")</f>
        <v>3.675</v>
      </c>
      <c r="J57" s="19">
        <f>IF(AND(ISNUMBER(H57),ISNUMBER(I57)),H57*I57,"")</f>
        <v>367.5</v>
      </c>
      <c r="K57" s="17">
        <v>2109</v>
      </c>
      <c r="L57" s="17"/>
      <c r="M57" s="18">
        <f>IFERROR(IF(OR(L57&gt;=N57,H57&gt;=N57),LOOKUP(IF(L57="",H57,L57),{0,1,10,25,50},{0.0,4.404,3.973,3.847,3.675}),"MOQ="&amp;N57),"")</f>
        <v>3.675</v>
      </c>
      <c r="N57" s="17">
        <v>1</v>
      </c>
      <c r="O57" s="19">
        <f>IFERROR(IF(L57="",H57,L57)*M57,"")</f>
        <v>367.5</v>
      </c>
      <c r="P57" s="17" t="s">
        <v>254</v>
      </c>
      <c r="Q57" s="20" t="s">
        <v>281</v>
      </c>
      <c r="R57" s="17"/>
      <c r="S57" s="18">
        <f>IFERROR(IF(OR(R57&gt;=T57,H57&gt;=T57),LOOKUP(IF(R57="",H57,R57),{0,1,312},{0.0,3.66657,3.66657}),"MOQ="&amp;T57),"")</f>
        <v/>
      </c>
      <c r="T57" s="17">
        <v>312</v>
      </c>
      <c r="U57" s="19">
        <f>IFERROR(IF(R57="",H57,R57)*S57,"")</f>
        <v/>
      </c>
      <c r="V57" s="17" t="s">
        <v>326</v>
      </c>
    </row>
    <row r="58" spans="1:58" ht="30" customHeight="1">
      <c r="A58" s="17" t="s">
        <v>258</v>
      </c>
      <c r="B58" s="17" t="s">
        <v>259</v>
      </c>
      <c r="C58" s="17" t="s">
        <v>260</v>
      </c>
      <c r="E58" s="17" t="s">
        <v>261</v>
      </c>
      <c r="F58" s="17" t="s">
        <v>257</v>
      </c>
      <c r="G58" s="17" t="s">
        <v>259</v>
      </c>
      <c r="H58" s="17">
        <f>CEILING(BoardQty*1.0,1)</f>
        <v>100</v>
      </c>
      <c r="I58" s="18">
        <f>IF(MIN(M58,S58,Y58,AE58,AK58,AQ58,AW58,BC58)&lt;&gt;0,MIN(M58,S58,Y58,AE58,AK58,AQ58,AW58,BC58),"")</f>
        <v>1.555</v>
      </c>
      <c r="J58" s="19">
        <f>IF(AND(ISNUMBER(H58),ISNUMBER(I58)),H58*I58,"")</f>
        <v>155.5</v>
      </c>
      <c r="K58" s="17">
        <v>43</v>
      </c>
      <c r="L58" s="17"/>
      <c r="M58" s="18">
        <f>IFERROR(IF(OR(L58&gt;=N58,H58&gt;=N58),LOOKUP(IF(L58="",H58,L58),{0,1,10,25,50,100,250,500,1000,5000},{0.0,1.9645,1.7616,1.7344,1.6894,1.555,1.5546,1.4413,1.4151,1.2603}),"MOQ="&amp;N58),"")</f>
        <v>1.555</v>
      </c>
      <c r="N58" s="17">
        <v>1</v>
      </c>
      <c r="O58" s="19">
        <f>IFERROR(IF(L58="",H58,L58)*M58,"")</f>
        <v>155.5</v>
      </c>
      <c r="P58" s="17" t="s">
        <v>259</v>
      </c>
      <c r="Q58" s="17">
        <v>31864</v>
      </c>
      <c r="R58" s="17"/>
      <c r="S58" s="18">
        <f>IFERROR(IF(OR(R58&gt;=T58,H58&gt;=T58),LOOKUP(IF(R58="",H58,R58),{0,1,10,25,50,100,250,500,1000,5000},{0.0,1.97,1.798,1.7496,1.7408,1.556,1.55152,1.5281,1.46322,1.36231}),"MOQ="&amp;T58),"")</f>
        <v>1.556</v>
      </c>
      <c r="T58" s="17">
        <v>1</v>
      </c>
      <c r="U58" s="19">
        <f>IFERROR(IF(R58="",H58,R58)*S58,"")</f>
        <v>155.6</v>
      </c>
      <c r="V58" s="17" t="s">
        <v>327</v>
      </c>
    </row>
    <row r="59" spans="1:58" ht="30" customHeight="1">
      <c r="A59" s="17" t="s">
        <v>262</v>
      </c>
      <c r="B59" s="17" t="s">
        <v>263</v>
      </c>
      <c r="C59" s="17" t="s">
        <v>264</v>
      </c>
      <c r="D59" s="17" t="s">
        <v>265</v>
      </c>
      <c r="E59" s="17" t="s">
        <v>266</v>
      </c>
      <c r="F59" s="17" t="s">
        <v>184</v>
      </c>
      <c r="G59" s="17" t="s">
        <v>263</v>
      </c>
      <c r="H59" s="17">
        <f>CEILING(BoardQty*1.0,1)</f>
        <v>100</v>
      </c>
      <c r="I59" s="18">
        <f>IF(MIN(M59,S59,Y59,AE59,AK59,AQ59,AW59,BC59)&lt;&gt;0,MIN(M59,S59,Y59,AE59,AK59,AQ59,AW59,BC59),"")</f>
        <v>3.62</v>
      </c>
      <c r="J59" s="19">
        <f>IF(AND(ISNUMBER(H59),ISNUMBER(I59)),H59*I59,"")</f>
        <v>362.0</v>
      </c>
      <c r="Q59" s="20" t="s">
        <v>281</v>
      </c>
      <c r="R59" s="17"/>
      <c r="S59" s="18">
        <f>IFERROR(IF(OR(R59&gt;=T59,H59&gt;=T59),LOOKUP(IF(R59="",H59,R59),{0,1,10},{0.0,4.87,4.812}),"MOQ="&amp;T59),"")</f>
        <v>4.812</v>
      </c>
      <c r="T59" s="17">
        <v>1</v>
      </c>
      <c r="U59" s="19">
        <f>IFERROR(IF(R59="",H59,R59)*S59,"")</f>
        <v>481.2</v>
      </c>
      <c r="V59" s="17" t="s">
        <v>328</v>
      </c>
      <c r="W59" s="20" t="s">
        <v>281</v>
      </c>
      <c r="X59" s="17"/>
      <c r="Y59" s="18">
        <f>IFERROR(IF(OR(X59&gt;=Z59,H59&gt;=Z59),USD_GBP*LOOKUP(IF(X59="",H59,X59),{0,1,10,25,50},{0.0,4.35,3.91,3.69,3.62}),"MOQ="&amp;Z59),"")</f>
        <v>4.749645390070923</v>
      </c>
      <c r="Z59" s="17">
        <v>1</v>
      </c>
      <c r="AA59" s="19">
        <f>IFERROR(IF(X59="",H59,X59)*Y59,"")</f>
        <v>474.9645</v>
      </c>
      <c r="AB59" s="17" t="s">
        <v>366</v>
      </c>
      <c r="AI59" s="20" t="s">
        <v>281</v>
      </c>
      <c r="AJ59" s="17"/>
      <c r="AK59" s="18">
        <f>IFERROR(IF(OR(AJ59&gt;=AL59,H59&gt;=AL59),LOOKUP(IF(AJ59="",H59,AJ59),{0,1,10,50,100,1000,10000},{0.0,4.92,4.42,4.18,3.62,3.49,3.49}),"MOQ="&amp;AL59),"")</f>
        <v>3.62</v>
      </c>
      <c r="AL59" s="17">
        <v>1</v>
      </c>
      <c r="AM59" s="19">
        <f>IFERROR(IF(AJ59="",H59,AJ59)*AK59,"")</f>
        <v>362.0</v>
      </c>
      <c r="AN59" s="17" t="s">
        <v>427</v>
      </c>
      <c r="AO59" s="20" t="s">
        <v>281</v>
      </c>
      <c r="AP59" s="17"/>
      <c r="AQ59" s="18">
        <f>IFERROR(IF(OR(AP59&gt;=AR59,H59&gt;=AR59),LOOKUP(IF(AP59="",H59,AP59),{0,1,10,2450},{0.0,4.87,4.81,4.81}),"MOQ="&amp;AR59),"")</f>
        <v>4.81</v>
      </c>
      <c r="AR59" s="17">
        <v>1</v>
      </c>
      <c r="AS59" s="19">
        <f>IFERROR(IF(AP59="",H59,AP59)*AQ59,"")</f>
        <v>481.0</v>
      </c>
      <c r="AT59" s="17" t="s">
        <v>466</v>
      </c>
    </row>
    <row r="61" spans="1:58">
      <c r="B61" s="21" t="s">
        <v>489</v>
      </c>
      <c r="I61" s="1" t="s">
        <v>487</v>
      </c>
      <c r="J61" s="5">
        <f>SUM(O61,U61,AA61,AG61,AM61,AS61,AY61,BE61)</f>
        <v>0</v>
      </c>
      <c r="K61" s="22" t="s">
        <v>275</v>
      </c>
      <c r="L61" s="6">
        <f>IFERROR(IF(COUNTIF(L7:L59,"&gt;0")&gt;0,COUNTIF(L7:L59,"&gt;0")&amp;" of "&amp;(ROWS(N7:N59)-COUNTBLANK(N7:N59))&amp;" parts purchased",""),"")</f>
        <v/>
      </c>
      <c r="O61" s="5">
        <f>SUMIF(L7:L59,"&gt;0",O7:O59)</f>
        <v>0</v>
      </c>
      <c r="Q61" s="22" t="s">
        <v>275</v>
      </c>
      <c r="R61" s="6">
        <f>IFERROR(IF(COUNTIF(R7:R59,"&gt;0")&gt;0,COUNTIF(R7:R59,"&gt;0")&amp;" of "&amp;(ROWS(T7:T59)-COUNTBLANK(T7:T59))&amp;" parts purchased",""),"")</f>
        <v/>
      </c>
      <c r="U61" s="5">
        <f>SUMIF(R7:R59,"&gt;0",U7:U59)</f>
        <v>0</v>
      </c>
      <c r="W61" s="22" t="s">
        <v>275</v>
      </c>
      <c r="X61" s="6">
        <f>IFERROR(IF(COUNTIF(X7:X59,"&gt;0")&gt;0,COUNTIF(X7:X59,"&gt;0")&amp;" of "&amp;(ROWS(Z7:Z59)-COUNTBLANK(Z7:Z59))&amp;" parts purchased",""),"")</f>
        <v/>
      </c>
      <c r="AA61" s="5">
        <f>SUMIF(X7:X59,"&gt;0",AA7:AA59)</f>
        <v>0</v>
      </c>
      <c r="AC61" s="22" t="s">
        <v>275</v>
      </c>
      <c r="AD61" s="6">
        <f>IFERROR(IF(COUNTIF(AD7:AD59,"&gt;0")&gt;0,COUNTIF(AD7:AD59,"&gt;0")&amp;" of "&amp;(ROWS(AF7:AF59)-COUNTBLANK(AF7:AF59))&amp;" parts purchased",""),"")</f>
        <v/>
      </c>
      <c r="AG61" s="5">
        <f>SUMIF(AD7:AD59,"&gt;0",AG7:AG59)</f>
        <v>0</v>
      </c>
      <c r="AI61" s="22" t="s">
        <v>275</v>
      </c>
      <c r="AJ61" s="6">
        <f>IFERROR(IF(COUNTIF(AJ7:AJ59,"&gt;0")&gt;0,COUNTIF(AJ7:AJ59,"&gt;0")&amp;" of "&amp;(ROWS(AL7:AL59)-COUNTBLANK(AL7:AL59))&amp;" parts purchased",""),"")</f>
        <v/>
      </c>
      <c r="AM61" s="5">
        <f>SUMIF(AJ7:AJ59,"&gt;0",AM7:AM59)</f>
        <v>0</v>
      </c>
      <c r="AO61" s="22" t="s">
        <v>275</v>
      </c>
      <c r="AP61" s="6">
        <f>IFERROR(IF(COUNTIF(AP7:AP59,"&gt;0")&gt;0,COUNTIF(AP7:AP59,"&gt;0")&amp;" of "&amp;(ROWS(AR7:AR59)-COUNTBLANK(AR7:AR59))&amp;" parts purchased",""),"")</f>
        <v/>
      </c>
      <c r="AS61" s="5">
        <f>SUMIF(AP7:AP59,"&gt;0",AS7:AS59)</f>
        <v>0</v>
      </c>
      <c r="AU61" s="22" t="s">
        <v>275</v>
      </c>
      <c r="AV61" s="6">
        <f>IFERROR(IF(COUNTIF(AV7:AV59,"&gt;0")&gt;0,COUNTIF(AV7:AV59,"&gt;0")&amp;" of "&amp;(ROWS(AX7:AX59)-COUNTBLANK(AX7:AX59))&amp;" parts purchased",""),"")</f>
        <v/>
      </c>
      <c r="AY61" s="5">
        <f>SUMIF(AV7:AV59,"&gt;0",AY7:AY59)</f>
        <v>0</v>
      </c>
      <c r="BA61" s="22" t="s">
        <v>275</v>
      </c>
      <c r="BB61" s="6">
        <f>IFERROR(IF(COUNTIF(BB7:BB59,"&gt;0")&gt;0,COUNTIF(BB7:BB59,"&gt;0")&amp;" of "&amp;(ROWS(BD7:BD59)-COUNTBLANK(BD7:BD59))&amp;" parts purchased",""),"")</f>
        <v/>
      </c>
      <c r="BE61" s="5">
        <f>SUMIF(BB7:BB59,"&gt;0",BE7:BE59)</f>
        <v>0</v>
      </c>
    </row>
    <row r="62" spans="1:58">
      <c r="B62" s="21" t="s">
        <v>490</v>
      </c>
      <c r="C62">
        <v>1.312056737588653</v>
      </c>
      <c r="I62" s="21" t="s">
        <v>488</v>
      </c>
      <c r="L62" s="23">
        <f>CONCATENATE(L116,L117,L118,L119,L120,L121,L122,L123,L124,L125,L126,L127,L128,L129,L130,L131,L132,L133,L134,L135,L136,L137,L138,L139,L140,L141,L142,L143,L144,L145,L146,L147,L148,L149,L150,L151,L152,L153,L154,L155,L156,L157,L158,L159,L160,L161,L162,L163,L164,L165,L166,L167,L168)</f>
        <v/>
      </c>
      <c r="R62" s="23">
        <f>CONCATENATE(R116,R117,R118,R119,R120,R121,R122,R123,R124,R125,R126,R127,R128,R129,R130,R131,R132,R133,R134,R135,R136,R137,R138,R139,R140,R141,R142,R143,R144,R145,R146,R147,R148,R149,R150,R151,R152,R153,R154,R155,R156,R157,R158,R159,R160,R161,R162,R163,R164,R165,R166,R167,R168)</f>
        <v/>
      </c>
      <c r="X62" s="23">
        <f>CONCATENATE(X116,X117,X118,X119,X120,X121,X122,X123,X124,X125,X126,X127,X128,X129,X130,X131,X132,X133,X134,X135,X136,X137,X138,X139,X140,X141,X142,X143,X144,X145,X146,X147,X148,X149,X150,X151,X152,X153,X154,X155,X156,X157,X158,X159,X160,X161,X162,X163,X164,X165,X166,X167,X168)</f>
        <v/>
      </c>
      <c r="AD62" s="23" t="str">
        <f>CONCATENATE(AD169,AD116,AD117,AD118,AD119,AD120,AD121,AD122,AD123,AD124,AD125,AD126,AD127,AD128,AD129,AD130,AD131,AD132,AD133,AD134,AD135,AD136,AD137,AD138,AD139,AD140,AD141,AD142,AD143,AD144,AD145,AD146,AD147,AD148,AD149,AD150,AD151,AD152,AD153,AD154,AD155,AD156,AD157,AD158,AD159,AD160,AD161,AD162,AD163,AD164,AD165,AD166,AD167,AD168)</f>
        <v>Copy this header and order to a CSV
file and use it for JLCPCB 
manufacturer PCB house.
The multipart components that use
"#" symbol are not allowed by JLCPCB.</v>
      </c>
      <c r="AJ62" s="23">
        <f>CONCATENATE(AJ116,AJ117,AJ118,AJ119,AJ120,AJ121,AJ122,AJ123,AJ124,AJ125,AJ126,AJ127,AJ128,AJ129,AJ130,AJ131,AJ132,AJ133,AJ134,AJ135,AJ136,AJ137,AJ138,AJ139,AJ140,AJ141,AJ142,AJ143,AJ144,AJ145,AJ146,AJ147,AJ148,AJ149,AJ150,AJ151,AJ152,AJ153,AJ154,AJ155,AJ156,AJ157,AJ158,AJ159,AJ160,AJ161,AJ162,AJ163,AJ164,AJ165,AJ166,AJ167,AJ168)</f>
        <v/>
      </c>
      <c r="AP62" s="23">
        <f>CONCATENATE(AP116,AP117,AP118,AP119,AP120,AP121,AP122,AP123,AP124,AP125,AP126,AP127,AP128,AP129,AP130,AP131,AP132,AP133,AP134,AP135,AP136,AP137,AP138,AP139,AP140,AP141,AP142,AP143,AP144,AP145,AP146,AP147,AP148,AP149,AP150,AP151,AP152,AP153,AP154,AP155,AP156,AP157,AP158,AP159,AP160,AP161,AP162,AP163,AP164,AP165,AP166,AP167,AP168)</f>
        <v/>
      </c>
      <c r="AV62" s="23">
        <f>CONCATENATE(AV116,AV117,AV118,AV119,AV120,AV121,AV122,AV123,AV124,AV125,AV126,AV127,AV128,AV129,AV130,AV131,AV132,AV133,AV134,AV135,AV136,AV137,AV138,AV139,AV140,AV141,AV142,AV143,AV144,AV145,AV146,AV147,AV148,AV149,AV150,AV151,AV152,AV153,AV154,AV155,AV156,AV157,AV158,AV159,AV160,AV161,AV162,AV163,AV164,AV165,AV166,AV167,AV168)</f>
        <v/>
      </c>
      <c r="BB62" s="23">
        <f>CONCATENATE(BB116,BB117,BB118,BB119,BB120,BB121,BB122,BB123,BB124,BB125,BB126,BB127,BB128,BB129,BB130,BB131,BB132,BB133,BB134,BB135,BB136,BB137,BB138,BB139,BB140,BB141,BB142,BB143,BB144,BB145,BB146,BB147,BB148,BB149,BB150,BB151,BB152,BB153,BB154,BB155,BB156,BB157,BB158,BB159,BB160,BB161,BB162,BB163,BB164,BB165,BB166,BB167,BB168)</f>
        <v/>
      </c>
    </row>
    <row r="64" spans="1:58">
      <c r="A64" s="2" t="s">
        <v>502</v>
      </c>
    </row>
    <row r="116" spans="12:54" ht="30" hidden="1" customHeight="1">
      <c r="L116" t="str">
        <f t="array" ref="L116:L168">IF(ISNUMBER(L7:L59)*(L7:L59&gt;=N7:N59)*(P7:P59&lt;&gt;""),P7:P59&amp;","&amp;TEXT(ROUNDUP(L7:L59/IF(ISNUMBER(N7:N59),N7:N59,1))*N7:N59,"##0")&amp;","&amp;SUBSTITUTE(SUBSTITUTE(IF(PURCHASE_DESCRIPTION&lt;&gt;"",PURCHASE_DESCRIPTION&amp;":","")&amp;A7:A59,",",";"),"
"," ")&amp;CHAR(10),"")</f>
        <v/>
      </c>
      <c r="R116" t="str">
        <f t="array" ref="R116:R168">IF(ISNUMBER(R7:R59)*(R7:R59&gt;=T7:T59)*(V7:V59&lt;&gt;""),TEXT(ROUNDUP(R7:R59/IF(ISNUMBER(T7:T59),T7:T59,1))*T7:T59,"##0")&amp;","&amp;V7:V59&amp;","&amp;SUBSTITUTE(SUBSTITUTE(IF(PURCHASE_DESCRIPTION&lt;&gt;"",PURCHASE_DESCRIPTION&amp;":","")&amp;A7:A59,",",";"),"
"," ")&amp;CHAR(10),"")</f>
        <v/>
      </c>
      <c r="X116" t="str">
        <f t="array" ref="X116:X168">IF(ISNUMBER(X7:X59)*(X7:X59&gt;=Z7:Z59)*(AB7:AB59&lt;&gt;""),AB7:AB59&amp;","&amp;TEXT(ROUNDUP(X7:X59/IF(ISNUMBER(Z7:Z59),Z7:Z59,1))*Z7:Z59,"##0")&amp;","&amp;LEFT(SUBSTITUTE(SUBSTITUTE(IF(PURCHASE_DESCRIPTION&lt;&gt;"",PURCHASE_DESCRIPTION&amp;":","")&amp;C7:C59,",",";"),"
"," "),30)&amp;","&amp;LEFT(SUBSTITUTE(SUBSTITUTE(IF(PURCHASE_DESCRIPTION&lt;&gt;"",PURCHASE_DESCRIPTION&amp;":","")&amp;A7:A59,",",";"),"
"," "),30)&amp;CHAR(10),"")</f>
        <v/>
      </c>
      <c r="AD116" t="str">
        <f t="array" ref="AD116:AD168">IF(ISNUMBER(AD7:AD59)*(AD7:AD59&gt;=AF7:AF59)*(AH7:AH59&lt;&gt;""),TEXT(ROUNDUP(AD7:AD59/IF(ISNUMBER(AF7:AF59),AF7:AF59,1))*AF7:AF59,"##0")&amp;","&amp;SUBSTITUTE(SUBSTITUTE(IF(PURCHASE_DESCRIPTION&lt;&gt;"",PURCHASE_DESCRIPTION&amp;":","")&amp;A7:A59,",",";"),"
"," ")&amp;","&amp;SUBSTITUTE(SUBSTITUTE(IF(PURCHASE_DESCRIPTION&lt;&gt;"",PURCHASE_DESCRIPTION&amp;":","")&amp;E7:E59,",",";"),"
"," ")&amp;","&amp;AH7:AH59&amp;CHAR(10),"")</f>
        <v/>
      </c>
      <c r="AJ116" t="str">
        <f t="array" ref="AJ116:AJ168">IF(ISNUMBER(AJ7:AJ59)*(AJ7:AJ59&gt;=AL7:AL59)*(AN7:AN59&lt;&gt;""),AN7:AN59&amp;"|"&amp;TEXT(ROUNDUP(AJ7:AJ59/IF(ISNUMBER(AL7:AL59),AL7:AL59,1))*AL7:AL59,"##0")&amp;"|"&amp;SUBSTITUTE(SUBSTITUTE(SUBSTITUTE(IF(PURCHASE_DESCRIPTION&lt;&gt;"",PURCHASE_DESCRIPTION&amp;":","")&amp;A7:A59,"|",";")," ","_"),"
","_")&amp;CHAR(10),"")</f>
        <v/>
      </c>
      <c r="AP116" t="str">
        <f t="array" ref="AP116:AP168">IF(ISNUMBER(AP7:AP59)*(AP7:AP59&gt;=AR7:AR59)*(AT7:AT59&lt;&gt;""),AT7:AT59&amp;","&amp;TEXT(ROUNDUP(AP7:AP59/IF(ISNUMBER(AR7:AR59),AR7:AR59,1))*AR7:AR59,"##0")&amp;","&amp;SUBSTITUTE(SUBSTITUTE(IF(PURCHASE_DESCRIPTION&lt;&gt;"",PURCHASE_DESCRIPTION&amp;":","")&amp;A7:A59,",",";"),"
"," ")&amp;","&amp;SUBSTITUTE(SUBSTITUTE(IF(PURCHASE_DESCRIPTION&lt;&gt;"",PURCHASE_DESCRIPTION&amp;":","")&amp;C7:C59,",",";"),"
"," ")&amp;CHAR(10),"")</f>
        <v/>
      </c>
      <c r="AV116" t="str">
        <f t="array" ref="AV116:AV168">IF(ISNUMBER(AV7:AV59)*(AV7:AV59&gt;=AX7:AX59)*(AZ7:AZ59&lt;&gt;""),AZ7:AZ59&amp;","&amp;TEXT(ROUNDUP(AV7:AV59/IF(ISNUMBER(AX7:AX59),AX7:AX59,1))*AX7:AX59,"##0")&amp;","&amp;""&amp;","&amp;""&amp;","&amp;""&amp;","&amp;G7:G59&amp;","&amp;SUBSTITUTE(SUBSTITUTE(IF(PURCHASE_DESCRIPTION&lt;&gt;"",PURCHASE_DESCRIPTION&amp;":","")&amp;A7:A59,",",";"),"
"," ")&amp;CHAR(10),"")</f>
        <v/>
      </c>
      <c r="BB116" t="str">
        <f t="array" ref="BB116:BB168">IF(ISNUMBER(BB7:BB59)*(BB7:BB59&gt;=BD7:BD59)*(BF7:BF59&lt;&gt;""),BF7:BF59&amp;" "&amp;TEXT(ROUNDUP(BB7:BB59/IF(ISNUMBER(BD7:BD59),BD7:BD59,1))*BD7:BD59,"##0")&amp;" "&amp;SUBSTITUTE(SUBSTITUTE(IF(PURCHASE_DESCRIPTION&lt;&gt;"",PURCHASE_DESCRIPTION&amp;":","")&amp;A7:A59," ",";"),"
",";")&amp;CHAR(10),"")</f>
        <v/>
      </c>
    </row>
    <row r="117" spans="12:54" ht="30" hidden="1" customHeight="1">
      <c r="L117">
        <v>0</v>
      </c>
      <c r="R117">
        <v>0</v>
      </c>
      <c r="X117">
        <v>0</v>
      </c>
      <c r="AD117">
        <v>0</v>
      </c>
      <c r="AJ117">
        <v>0</v>
      </c>
      <c r="AP117">
        <v>0</v>
      </c>
      <c r="AV117">
        <v>0</v>
      </c>
      <c r="BB117">
        <v>0</v>
      </c>
    </row>
    <row r="118" spans="12:54" ht="30" hidden="1" customHeight="1">
      <c r="L118">
        <v>0</v>
      </c>
      <c r="R118">
        <v>0</v>
      </c>
      <c r="X118">
        <v>0</v>
      </c>
      <c r="AD118">
        <v>0</v>
      </c>
      <c r="AJ118">
        <v>0</v>
      </c>
      <c r="AP118">
        <v>0</v>
      </c>
      <c r="AV118">
        <v>0</v>
      </c>
      <c r="BB118">
        <v>0</v>
      </c>
    </row>
    <row r="119" spans="12:54" ht="30" hidden="1" customHeight="1">
      <c r="L119">
        <v>0</v>
      </c>
      <c r="R119">
        <v>0</v>
      </c>
      <c r="X119">
        <v>0</v>
      </c>
      <c r="AD119">
        <v>0</v>
      </c>
      <c r="AJ119">
        <v>0</v>
      </c>
      <c r="AP119">
        <v>0</v>
      </c>
      <c r="AV119">
        <v>0</v>
      </c>
      <c r="BB119">
        <v>0</v>
      </c>
    </row>
    <row r="120" spans="12:54" ht="30" hidden="1" customHeight="1">
      <c r="L120">
        <v>0</v>
      </c>
      <c r="R120">
        <v>0</v>
      </c>
      <c r="X120">
        <v>0</v>
      </c>
      <c r="AD120">
        <v>0</v>
      </c>
      <c r="AJ120">
        <v>0</v>
      </c>
      <c r="AP120">
        <v>0</v>
      </c>
      <c r="AV120">
        <v>0</v>
      </c>
      <c r="BB120">
        <v>0</v>
      </c>
    </row>
    <row r="121" spans="12:54" ht="30" hidden="1" customHeight="1">
      <c r="L121">
        <v>0</v>
      </c>
      <c r="R121">
        <v>0</v>
      </c>
      <c r="X121">
        <v>0</v>
      </c>
      <c r="AD121">
        <v>0</v>
      </c>
      <c r="AJ121">
        <v>0</v>
      </c>
      <c r="AP121">
        <v>0</v>
      </c>
      <c r="AV121">
        <v>0</v>
      </c>
      <c r="BB121">
        <v>0</v>
      </c>
    </row>
    <row r="122" spans="12:54" ht="30" hidden="1" customHeight="1">
      <c r="L122">
        <v>0</v>
      </c>
      <c r="R122">
        <v>0</v>
      </c>
      <c r="X122">
        <v>0</v>
      </c>
      <c r="AD122">
        <v>0</v>
      </c>
      <c r="AJ122">
        <v>0</v>
      </c>
      <c r="AP122">
        <v>0</v>
      </c>
      <c r="AV122">
        <v>0</v>
      </c>
      <c r="BB122">
        <v>0</v>
      </c>
    </row>
    <row r="123" spans="12:54" ht="30" hidden="1" customHeight="1">
      <c r="L123">
        <v>0</v>
      </c>
      <c r="R123">
        <v>0</v>
      </c>
      <c r="X123">
        <v>0</v>
      </c>
      <c r="AD123">
        <v>0</v>
      </c>
      <c r="AJ123">
        <v>0</v>
      </c>
      <c r="AP123">
        <v>0</v>
      </c>
      <c r="AV123">
        <v>0</v>
      </c>
      <c r="BB123">
        <v>0</v>
      </c>
    </row>
    <row r="124" spans="12:54" ht="30" hidden="1" customHeight="1">
      <c r="L124">
        <v>0</v>
      </c>
      <c r="R124">
        <v>0</v>
      </c>
      <c r="X124">
        <v>0</v>
      </c>
      <c r="AD124">
        <v>0</v>
      </c>
      <c r="AJ124">
        <v>0</v>
      </c>
      <c r="AP124">
        <v>0</v>
      </c>
      <c r="AV124">
        <v>0</v>
      </c>
      <c r="BB124">
        <v>0</v>
      </c>
    </row>
    <row r="125" spans="12:54" ht="30" hidden="1" customHeight="1">
      <c r="L125">
        <v>0</v>
      </c>
      <c r="R125">
        <v>0</v>
      </c>
      <c r="X125">
        <v>0</v>
      </c>
      <c r="AD125">
        <v>0</v>
      </c>
      <c r="AJ125">
        <v>0</v>
      </c>
      <c r="AP125">
        <v>0</v>
      </c>
      <c r="AV125">
        <v>0</v>
      </c>
      <c r="BB125">
        <v>0</v>
      </c>
    </row>
    <row r="126" spans="12:54" ht="30" hidden="1" customHeight="1">
      <c r="L126">
        <v>0</v>
      </c>
      <c r="R126">
        <v>0</v>
      </c>
      <c r="X126">
        <v>0</v>
      </c>
      <c r="AD126">
        <v>0</v>
      </c>
      <c r="AJ126">
        <v>0</v>
      </c>
      <c r="AP126">
        <v>0</v>
      </c>
      <c r="AV126">
        <v>0</v>
      </c>
      <c r="BB126">
        <v>0</v>
      </c>
    </row>
    <row r="127" spans="12:54" ht="30" hidden="1" customHeight="1">
      <c r="L127">
        <v>0</v>
      </c>
      <c r="R127">
        <v>0</v>
      </c>
      <c r="X127">
        <v>0</v>
      </c>
      <c r="AD127">
        <v>0</v>
      </c>
      <c r="AJ127">
        <v>0</v>
      </c>
      <c r="AP127">
        <v>0</v>
      </c>
      <c r="AV127">
        <v>0</v>
      </c>
      <c r="BB127">
        <v>0</v>
      </c>
    </row>
    <row r="128" spans="12:54" ht="30" hidden="1" customHeight="1">
      <c r="L128">
        <v>0</v>
      </c>
      <c r="R128">
        <v>0</v>
      </c>
      <c r="X128">
        <v>0</v>
      </c>
      <c r="AD128">
        <v>0</v>
      </c>
      <c r="AJ128">
        <v>0</v>
      </c>
      <c r="AP128">
        <v>0</v>
      </c>
      <c r="AV128">
        <v>0</v>
      </c>
      <c r="BB128">
        <v>0</v>
      </c>
    </row>
    <row r="129" spans="12:54" ht="30" hidden="1" customHeight="1">
      <c r="L129">
        <v>0</v>
      </c>
      <c r="R129">
        <v>0</v>
      </c>
      <c r="X129">
        <v>0</v>
      </c>
      <c r="AD129">
        <v>0</v>
      </c>
      <c r="AJ129">
        <v>0</v>
      </c>
      <c r="AP129">
        <v>0</v>
      </c>
      <c r="AV129">
        <v>0</v>
      </c>
      <c r="BB129">
        <v>0</v>
      </c>
    </row>
    <row r="130" spans="12:54" ht="30" hidden="1" customHeight="1">
      <c r="L130">
        <v>0</v>
      </c>
      <c r="R130">
        <v>0</v>
      </c>
      <c r="X130">
        <v>0</v>
      </c>
      <c r="AD130">
        <v>0</v>
      </c>
      <c r="AJ130">
        <v>0</v>
      </c>
      <c r="AP130">
        <v>0</v>
      </c>
      <c r="AV130">
        <v>0</v>
      </c>
      <c r="BB130">
        <v>0</v>
      </c>
    </row>
    <row r="131" spans="12:54" ht="30" hidden="1" customHeight="1">
      <c r="L131">
        <v>0</v>
      </c>
      <c r="R131">
        <v>0</v>
      </c>
      <c r="X131">
        <v>0</v>
      </c>
      <c r="AD131">
        <v>0</v>
      </c>
      <c r="AJ131">
        <v>0</v>
      </c>
      <c r="AP131">
        <v>0</v>
      </c>
      <c r="AV131">
        <v>0</v>
      </c>
      <c r="BB131">
        <v>0</v>
      </c>
    </row>
    <row r="132" spans="12:54" ht="30" hidden="1" customHeight="1">
      <c r="L132">
        <v>0</v>
      </c>
      <c r="R132">
        <v>0</v>
      </c>
      <c r="X132">
        <v>0</v>
      </c>
      <c r="AD132">
        <v>0</v>
      </c>
      <c r="AJ132">
        <v>0</v>
      </c>
      <c r="AP132">
        <v>0</v>
      </c>
      <c r="AV132">
        <v>0</v>
      </c>
      <c r="BB132">
        <v>0</v>
      </c>
    </row>
    <row r="133" spans="12:54" ht="30" hidden="1" customHeight="1">
      <c r="L133">
        <v>0</v>
      </c>
      <c r="R133">
        <v>0</v>
      </c>
      <c r="X133">
        <v>0</v>
      </c>
      <c r="AD133">
        <v>0</v>
      </c>
      <c r="AJ133">
        <v>0</v>
      </c>
      <c r="AP133">
        <v>0</v>
      </c>
      <c r="AV133">
        <v>0</v>
      </c>
      <c r="BB133">
        <v>0</v>
      </c>
    </row>
    <row r="134" spans="12:54" ht="30" hidden="1" customHeight="1">
      <c r="L134">
        <v>0</v>
      </c>
      <c r="R134">
        <v>0</v>
      </c>
      <c r="X134">
        <v>0</v>
      </c>
      <c r="AD134">
        <v>0</v>
      </c>
      <c r="AJ134">
        <v>0</v>
      </c>
      <c r="AP134">
        <v>0</v>
      </c>
      <c r="AV134">
        <v>0</v>
      </c>
      <c r="BB134">
        <v>0</v>
      </c>
    </row>
    <row r="135" spans="12:54" ht="30" hidden="1" customHeight="1">
      <c r="L135">
        <v>0</v>
      </c>
      <c r="R135">
        <v>0</v>
      </c>
      <c r="X135">
        <v>0</v>
      </c>
      <c r="AD135">
        <v>0</v>
      </c>
      <c r="AJ135">
        <v>0</v>
      </c>
      <c r="AP135">
        <v>0</v>
      </c>
      <c r="AV135">
        <v>0</v>
      </c>
      <c r="BB135">
        <v>0</v>
      </c>
    </row>
    <row r="136" spans="12:54" ht="30" hidden="1" customHeight="1">
      <c r="L136">
        <v>0</v>
      </c>
      <c r="R136">
        <v>0</v>
      </c>
      <c r="X136">
        <v>0</v>
      </c>
      <c r="AD136">
        <v>0</v>
      </c>
      <c r="AJ136">
        <v>0</v>
      </c>
      <c r="AP136">
        <v>0</v>
      </c>
      <c r="AV136">
        <v>0</v>
      </c>
      <c r="BB136">
        <v>0</v>
      </c>
    </row>
    <row r="137" spans="12:54" ht="30" hidden="1" customHeight="1">
      <c r="L137">
        <v>0</v>
      </c>
      <c r="R137">
        <v>0</v>
      </c>
      <c r="X137">
        <v>0</v>
      </c>
      <c r="AD137">
        <v>0</v>
      </c>
      <c r="AJ137">
        <v>0</v>
      </c>
      <c r="AP137">
        <v>0</v>
      </c>
      <c r="AV137">
        <v>0</v>
      </c>
      <c r="BB137">
        <v>0</v>
      </c>
    </row>
    <row r="138" spans="12:54" ht="30" hidden="1" customHeight="1">
      <c r="L138">
        <v>0</v>
      </c>
      <c r="R138">
        <v>0</v>
      </c>
      <c r="X138">
        <v>0</v>
      </c>
      <c r="AD138">
        <v>0</v>
      </c>
      <c r="AJ138">
        <v>0</v>
      </c>
      <c r="AP138">
        <v>0</v>
      </c>
      <c r="AV138">
        <v>0</v>
      </c>
      <c r="BB138">
        <v>0</v>
      </c>
    </row>
    <row r="139" spans="12:54" ht="30" hidden="1" customHeight="1">
      <c r="L139">
        <v>0</v>
      </c>
      <c r="R139">
        <v>0</v>
      </c>
      <c r="X139">
        <v>0</v>
      </c>
      <c r="AD139">
        <v>0</v>
      </c>
      <c r="AJ139">
        <v>0</v>
      </c>
      <c r="AP139">
        <v>0</v>
      </c>
      <c r="AV139">
        <v>0</v>
      </c>
      <c r="BB139">
        <v>0</v>
      </c>
    </row>
    <row r="140" spans="12:54" ht="30" hidden="1" customHeight="1">
      <c r="L140">
        <v>0</v>
      </c>
      <c r="R140">
        <v>0</v>
      </c>
      <c r="X140">
        <v>0</v>
      </c>
      <c r="AD140">
        <v>0</v>
      </c>
      <c r="AJ140">
        <v>0</v>
      </c>
      <c r="AP140">
        <v>0</v>
      </c>
      <c r="AV140">
        <v>0</v>
      </c>
      <c r="BB140">
        <v>0</v>
      </c>
    </row>
    <row r="141" spans="12:54" ht="30" hidden="1" customHeight="1">
      <c r="L141">
        <v>0</v>
      </c>
      <c r="R141">
        <v>0</v>
      </c>
      <c r="X141">
        <v>0</v>
      </c>
      <c r="AD141">
        <v>0</v>
      </c>
      <c r="AJ141">
        <v>0</v>
      </c>
      <c r="AP141">
        <v>0</v>
      </c>
      <c r="AV141">
        <v>0</v>
      </c>
      <c r="BB141">
        <v>0</v>
      </c>
    </row>
    <row r="142" spans="12:54" ht="30" hidden="1" customHeight="1">
      <c r="L142">
        <v>0</v>
      </c>
      <c r="R142">
        <v>0</v>
      </c>
      <c r="X142">
        <v>0</v>
      </c>
      <c r="AD142">
        <v>0</v>
      </c>
      <c r="AJ142">
        <v>0</v>
      </c>
      <c r="AP142">
        <v>0</v>
      </c>
      <c r="AV142">
        <v>0</v>
      </c>
      <c r="BB142">
        <v>0</v>
      </c>
    </row>
    <row r="143" spans="12:54" ht="30" hidden="1" customHeight="1">
      <c r="L143">
        <v>0</v>
      </c>
      <c r="R143">
        <v>0</v>
      </c>
      <c r="X143">
        <v>0</v>
      </c>
      <c r="AD143">
        <v>0</v>
      </c>
      <c r="AJ143">
        <v>0</v>
      </c>
      <c r="AP143">
        <v>0</v>
      </c>
      <c r="AV143">
        <v>0</v>
      </c>
      <c r="BB143">
        <v>0</v>
      </c>
    </row>
    <row r="144" spans="12:54" ht="30" hidden="1" customHeight="1">
      <c r="L144">
        <v>0</v>
      </c>
      <c r="R144">
        <v>0</v>
      </c>
      <c r="X144">
        <v>0</v>
      </c>
      <c r="AD144">
        <v>0</v>
      </c>
      <c r="AJ144">
        <v>0</v>
      </c>
      <c r="AP144">
        <v>0</v>
      </c>
      <c r="AV144">
        <v>0</v>
      </c>
      <c r="BB144">
        <v>0</v>
      </c>
    </row>
    <row r="145" spans="12:54" ht="30" hidden="1" customHeight="1">
      <c r="L145">
        <v>0</v>
      </c>
      <c r="R145">
        <v>0</v>
      </c>
      <c r="X145">
        <v>0</v>
      </c>
      <c r="AD145">
        <v>0</v>
      </c>
      <c r="AJ145">
        <v>0</v>
      </c>
      <c r="AP145">
        <v>0</v>
      </c>
      <c r="AV145">
        <v>0</v>
      </c>
      <c r="BB145">
        <v>0</v>
      </c>
    </row>
    <row r="146" spans="12:54" ht="30" hidden="1" customHeight="1">
      <c r="L146">
        <v>0</v>
      </c>
      <c r="R146">
        <v>0</v>
      </c>
      <c r="X146">
        <v>0</v>
      </c>
      <c r="AD146">
        <v>0</v>
      </c>
      <c r="AJ146">
        <v>0</v>
      </c>
      <c r="AP146">
        <v>0</v>
      </c>
      <c r="AV146">
        <v>0</v>
      </c>
      <c r="BB146">
        <v>0</v>
      </c>
    </row>
    <row r="147" spans="12:54" ht="30" hidden="1" customHeight="1">
      <c r="L147">
        <v>0</v>
      </c>
      <c r="R147">
        <v>0</v>
      </c>
      <c r="X147">
        <v>0</v>
      </c>
      <c r="AD147">
        <v>0</v>
      </c>
      <c r="AJ147">
        <v>0</v>
      </c>
      <c r="AP147">
        <v>0</v>
      </c>
      <c r="AV147">
        <v>0</v>
      </c>
      <c r="BB147">
        <v>0</v>
      </c>
    </row>
    <row r="148" spans="12:54" ht="30" hidden="1" customHeight="1">
      <c r="L148">
        <v>0</v>
      </c>
      <c r="R148">
        <v>0</v>
      </c>
      <c r="X148">
        <v>0</v>
      </c>
      <c r="AD148">
        <v>0</v>
      </c>
      <c r="AJ148">
        <v>0</v>
      </c>
      <c r="AP148">
        <v>0</v>
      </c>
      <c r="AV148">
        <v>0</v>
      </c>
      <c r="BB148">
        <v>0</v>
      </c>
    </row>
    <row r="149" spans="12:54" ht="30" hidden="1" customHeight="1">
      <c r="L149">
        <v>0</v>
      </c>
      <c r="R149">
        <v>0</v>
      </c>
      <c r="X149">
        <v>0</v>
      </c>
      <c r="AD149">
        <v>0</v>
      </c>
      <c r="AJ149">
        <v>0</v>
      </c>
      <c r="AP149">
        <v>0</v>
      </c>
      <c r="AV149">
        <v>0</v>
      </c>
      <c r="BB149">
        <v>0</v>
      </c>
    </row>
    <row r="150" spans="12:54" ht="30" hidden="1" customHeight="1">
      <c r="L150">
        <v>0</v>
      </c>
      <c r="R150">
        <v>0</v>
      </c>
      <c r="X150">
        <v>0</v>
      </c>
      <c r="AD150">
        <v>0</v>
      </c>
      <c r="AJ150">
        <v>0</v>
      </c>
      <c r="AP150">
        <v>0</v>
      </c>
      <c r="AV150">
        <v>0</v>
      </c>
      <c r="BB150">
        <v>0</v>
      </c>
    </row>
    <row r="151" spans="12:54" ht="30" hidden="1" customHeight="1">
      <c r="L151">
        <v>0</v>
      </c>
      <c r="R151">
        <v>0</v>
      </c>
      <c r="X151">
        <v>0</v>
      </c>
      <c r="AD151">
        <v>0</v>
      </c>
      <c r="AJ151">
        <v>0</v>
      </c>
      <c r="AP151">
        <v>0</v>
      </c>
      <c r="AV151">
        <v>0</v>
      </c>
      <c r="BB151">
        <v>0</v>
      </c>
    </row>
    <row r="152" spans="12:54" ht="30" hidden="1" customHeight="1">
      <c r="L152">
        <v>0</v>
      </c>
      <c r="R152">
        <v>0</v>
      </c>
      <c r="X152">
        <v>0</v>
      </c>
      <c r="AD152">
        <v>0</v>
      </c>
      <c r="AJ152">
        <v>0</v>
      </c>
      <c r="AP152">
        <v>0</v>
      </c>
      <c r="AV152">
        <v>0</v>
      </c>
      <c r="BB152">
        <v>0</v>
      </c>
    </row>
    <row r="153" spans="12:54" ht="30" hidden="1" customHeight="1">
      <c r="L153">
        <v>0</v>
      </c>
      <c r="R153">
        <v>0</v>
      </c>
      <c r="X153">
        <v>0</v>
      </c>
      <c r="AD153">
        <v>0</v>
      </c>
      <c r="AJ153">
        <v>0</v>
      </c>
      <c r="AP153">
        <v>0</v>
      </c>
      <c r="AV153">
        <v>0</v>
      </c>
      <c r="BB153">
        <v>0</v>
      </c>
    </row>
    <row r="154" spans="12:54" ht="30" hidden="1" customHeight="1">
      <c r="L154">
        <v>0</v>
      </c>
      <c r="R154">
        <v>0</v>
      </c>
      <c r="X154">
        <v>0</v>
      </c>
      <c r="AD154">
        <v>0</v>
      </c>
      <c r="AJ154">
        <v>0</v>
      </c>
      <c r="AP154">
        <v>0</v>
      </c>
      <c r="AV154">
        <v>0</v>
      </c>
      <c r="BB154">
        <v>0</v>
      </c>
    </row>
    <row r="155" spans="12:54" ht="30" hidden="1" customHeight="1">
      <c r="L155">
        <v>0</v>
      </c>
      <c r="R155">
        <v>0</v>
      </c>
      <c r="X155">
        <v>0</v>
      </c>
      <c r="AD155">
        <v>0</v>
      </c>
      <c r="AJ155">
        <v>0</v>
      </c>
      <c r="AP155">
        <v>0</v>
      </c>
      <c r="AV155">
        <v>0</v>
      </c>
      <c r="BB155">
        <v>0</v>
      </c>
    </row>
    <row r="156" spans="12:54" ht="30" hidden="1" customHeight="1">
      <c r="L156">
        <v>0</v>
      </c>
      <c r="R156">
        <v>0</v>
      </c>
      <c r="X156">
        <v>0</v>
      </c>
      <c r="AD156">
        <v>0</v>
      </c>
      <c r="AJ156">
        <v>0</v>
      </c>
      <c r="AP156">
        <v>0</v>
      </c>
      <c r="AV156">
        <v>0</v>
      </c>
      <c r="BB156">
        <v>0</v>
      </c>
    </row>
    <row r="157" spans="12:54" ht="30" hidden="1" customHeight="1">
      <c r="L157">
        <v>0</v>
      </c>
      <c r="R157">
        <v>0</v>
      </c>
      <c r="X157">
        <v>0</v>
      </c>
      <c r="AD157">
        <v>0</v>
      </c>
      <c r="AJ157">
        <v>0</v>
      </c>
      <c r="AP157">
        <v>0</v>
      </c>
      <c r="AV157">
        <v>0</v>
      </c>
      <c r="BB157">
        <v>0</v>
      </c>
    </row>
    <row r="158" spans="12:54" ht="30" hidden="1" customHeight="1">
      <c r="L158">
        <v>0</v>
      </c>
      <c r="R158">
        <v>0</v>
      </c>
      <c r="X158">
        <v>0</v>
      </c>
      <c r="AD158">
        <v>0</v>
      </c>
      <c r="AJ158">
        <v>0</v>
      </c>
      <c r="AP158">
        <v>0</v>
      </c>
      <c r="AV158">
        <v>0</v>
      </c>
      <c r="BB158">
        <v>0</v>
      </c>
    </row>
    <row r="159" spans="12:54" ht="30" hidden="1" customHeight="1">
      <c r="L159">
        <v>0</v>
      </c>
      <c r="R159">
        <v>0</v>
      </c>
      <c r="X159">
        <v>0</v>
      </c>
      <c r="AD159">
        <v>0</v>
      </c>
      <c r="AJ159">
        <v>0</v>
      </c>
      <c r="AP159">
        <v>0</v>
      </c>
      <c r="AV159">
        <v>0</v>
      </c>
      <c r="BB159">
        <v>0</v>
      </c>
    </row>
    <row r="160" spans="12:54" ht="30" hidden="1" customHeight="1">
      <c r="L160">
        <v>0</v>
      </c>
      <c r="R160">
        <v>0</v>
      </c>
      <c r="X160">
        <v>0</v>
      </c>
      <c r="AD160">
        <v>0</v>
      </c>
      <c r="AJ160">
        <v>0</v>
      </c>
      <c r="AP160">
        <v>0</v>
      </c>
      <c r="AV160">
        <v>0</v>
      </c>
      <c r="BB160">
        <v>0</v>
      </c>
    </row>
    <row r="161" spans="12:54" ht="30" hidden="1" customHeight="1">
      <c r="L161">
        <v>0</v>
      </c>
      <c r="R161">
        <v>0</v>
      </c>
      <c r="X161">
        <v>0</v>
      </c>
      <c r="AD161">
        <v>0</v>
      </c>
      <c r="AJ161">
        <v>0</v>
      </c>
      <c r="AP161">
        <v>0</v>
      </c>
      <c r="AV161">
        <v>0</v>
      </c>
      <c r="BB161">
        <v>0</v>
      </c>
    </row>
    <row r="162" spans="12:54" ht="30" hidden="1" customHeight="1">
      <c r="L162">
        <v>0</v>
      </c>
      <c r="R162">
        <v>0</v>
      </c>
      <c r="X162">
        <v>0</v>
      </c>
      <c r="AD162">
        <v>0</v>
      </c>
      <c r="AJ162">
        <v>0</v>
      </c>
      <c r="AP162">
        <v>0</v>
      </c>
      <c r="AV162">
        <v>0</v>
      </c>
      <c r="BB162">
        <v>0</v>
      </c>
    </row>
    <row r="163" spans="12:54" ht="30" hidden="1" customHeight="1">
      <c r="L163">
        <v>0</v>
      </c>
      <c r="R163">
        <v>0</v>
      </c>
      <c r="X163">
        <v>0</v>
      </c>
      <c r="AD163">
        <v>0</v>
      </c>
      <c r="AJ163">
        <v>0</v>
      </c>
      <c r="AP163">
        <v>0</v>
      </c>
      <c r="AV163">
        <v>0</v>
      </c>
      <c r="BB163">
        <v>0</v>
      </c>
    </row>
    <row r="164" spans="12:54" ht="30" hidden="1" customHeight="1">
      <c r="L164">
        <v>0</v>
      </c>
      <c r="R164">
        <v>0</v>
      </c>
      <c r="X164">
        <v>0</v>
      </c>
      <c r="AD164">
        <v>0</v>
      </c>
      <c r="AJ164">
        <v>0</v>
      </c>
      <c r="AP164">
        <v>0</v>
      </c>
      <c r="AV164">
        <v>0</v>
      </c>
      <c r="BB164">
        <v>0</v>
      </c>
    </row>
    <row r="165" spans="12:54" ht="30" hidden="1" customHeight="1">
      <c r="L165">
        <v>0</v>
      </c>
      <c r="R165">
        <v>0</v>
      </c>
      <c r="X165">
        <v>0</v>
      </c>
      <c r="AD165">
        <v>0</v>
      </c>
      <c r="AJ165">
        <v>0</v>
      </c>
      <c r="AP165">
        <v>0</v>
      </c>
      <c r="AV165">
        <v>0</v>
      </c>
      <c r="BB165">
        <v>0</v>
      </c>
    </row>
    <row r="166" spans="12:54" ht="30" hidden="1" customHeight="1">
      <c r="L166">
        <v>0</v>
      </c>
      <c r="R166">
        <v>0</v>
      </c>
      <c r="X166">
        <v>0</v>
      </c>
      <c r="AD166">
        <v>0</v>
      </c>
      <c r="AJ166">
        <v>0</v>
      </c>
      <c r="AP166">
        <v>0</v>
      </c>
      <c r="AV166">
        <v>0</v>
      </c>
      <c r="BB166">
        <v>0</v>
      </c>
    </row>
    <row r="167" spans="12:54" ht="30" hidden="1" customHeight="1">
      <c r="L167">
        <v>0</v>
      </c>
      <c r="R167">
        <v>0</v>
      </c>
      <c r="X167">
        <v>0</v>
      </c>
      <c r="AD167">
        <v>0</v>
      </c>
      <c r="AJ167">
        <v>0</v>
      </c>
      <c r="AP167">
        <v>0</v>
      </c>
      <c r="AV167">
        <v>0</v>
      </c>
      <c r="BB167">
        <v>0</v>
      </c>
    </row>
    <row r="168" spans="12:54" ht="30" hidden="1" customHeight="1">
      <c r="L168">
        <v>0</v>
      </c>
      <c r="R168">
        <v>0</v>
      </c>
      <c r="X168">
        <v>0</v>
      </c>
      <c r="AD168">
        <v>0</v>
      </c>
      <c r="AJ168">
        <v>0</v>
      </c>
      <c r="AP168">
        <v>0</v>
      </c>
      <c r="AV168">
        <v>0</v>
      </c>
      <c r="BB168">
        <v>0</v>
      </c>
    </row>
    <row r="169" spans="12:54" ht="30" hidden="1" customHeight="1">
      <c r="AD169">
        <f>IFERROR(IF(COUNTIFS(AD7:AD59,"&gt;0",AG7:AG59,"&lt;&gt;")&gt;0,"Quantity,Comment,Designator,Footprint,LCSC Part #(optional)"&amp;CHAR(10),""),"")</f>
        <v/>
      </c>
    </row>
  </sheetData>
  <mergeCells count="17">
    <mergeCell ref="A5:J5"/>
    <mergeCell ref="K5:P5"/>
    <mergeCell ref="L62:O115"/>
    <mergeCell ref="Q5:V5"/>
    <mergeCell ref="R62:U115"/>
    <mergeCell ref="W5:AB5"/>
    <mergeCell ref="X62:AA115"/>
    <mergeCell ref="AC5:AH5"/>
    <mergeCell ref="AD62:AG115"/>
    <mergeCell ref="AI5:AN5"/>
    <mergeCell ref="AJ62:AM115"/>
    <mergeCell ref="AO5:AT5"/>
    <mergeCell ref="AP62:AS115"/>
    <mergeCell ref="AU5:AZ5"/>
    <mergeCell ref="AV62:AY115"/>
    <mergeCell ref="BA5:BF5"/>
    <mergeCell ref="BB62:BE115"/>
  </mergeCells>
  <conditionalFormatting sqref="AA10">
    <cfRule type="cellIs" dxfId="3" priority="334" operator="lessThanOrEqual">
      <formula>J10</formula>
    </cfRule>
    <cfRule type="expression" dxfId="1" priority="338">
      <formula>AND(H10&lt;40000,X10&lt;40000)</formula>
    </cfRule>
  </conditionalFormatting>
  <conditionalFormatting sqref="AA11">
    <cfRule type="cellIs" dxfId="3" priority="342" operator="lessThanOrEqual">
      <formula>J11</formula>
    </cfRule>
  </conditionalFormatting>
  <conditionalFormatting sqref="AA12">
    <cfRule type="cellIs" dxfId="3" priority="347" operator="lessThanOrEqual">
      <formula>J12</formula>
    </cfRule>
  </conditionalFormatting>
  <conditionalFormatting sqref="AA13">
    <cfRule type="cellIs" dxfId="3" priority="352" operator="lessThanOrEqual">
      <formula>J13</formula>
    </cfRule>
  </conditionalFormatting>
  <conditionalFormatting sqref="AA14">
    <cfRule type="cellIs" dxfId="3" priority="357" operator="lessThanOrEqual">
      <formula>J14</formula>
    </cfRule>
    <cfRule type="expression" dxfId="1" priority="361">
      <formula>AND(H14&lt;10000,X14&lt;10000)</formula>
    </cfRule>
  </conditionalFormatting>
  <conditionalFormatting sqref="AA16">
    <cfRule type="cellIs" dxfId="3" priority="365" operator="lessThanOrEqual">
      <formula>J16</formula>
    </cfRule>
  </conditionalFormatting>
  <conditionalFormatting sqref="AA19">
    <cfRule type="cellIs" dxfId="3" priority="369" operator="lessThanOrEqual">
      <formula>J19</formula>
    </cfRule>
  </conditionalFormatting>
  <conditionalFormatting sqref="AA20">
    <cfRule type="cellIs" dxfId="3" priority="374" operator="lessThanOrEqual">
      <formula>J20</formula>
    </cfRule>
  </conditionalFormatting>
  <conditionalFormatting sqref="AA21">
    <cfRule type="cellIs" dxfId="3" priority="378" operator="lessThanOrEqual">
      <formula>J21</formula>
    </cfRule>
  </conditionalFormatting>
  <conditionalFormatting sqref="AA26">
    <cfRule type="cellIs" dxfId="3" priority="382" operator="lessThanOrEqual">
      <formula>J26</formula>
    </cfRule>
  </conditionalFormatting>
  <conditionalFormatting sqref="AA27">
    <cfRule type="cellIs" dxfId="3" priority="386" operator="lessThanOrEqual">
      <formula>J27</formula>
    </cfRule>
  </conditionalFormatting>
  <conditionalFormatting sqref="AA29">
    <cfRule type="cellIs" dxfId="3" priority="391" operator="lessThanOrEqual">
      <formula>J29</formula>
    </cfRule>
    <cfRule type="expression" dxfId="1" priority="395">
      <formula>AND(H29&lt;30000,X29&lt;30000)</formula>
    </cfRule>
  </conditionalFormatting>
  <conditionalFormatting sqref="AA30">
    <cfRule type="cellIs" dxfId="3" priority="399" operator="lessThanOrEqual">
      <formula>J30</formula>
    </cfRule>
    <cfRule type="expression" dxfId="1" priority="403">
      <formula>AND(H30&lt;30000,X30&lt;30000)</formula>
    </cfRule>
  </conditionalFormatting>
  <conditionalFormatting sqref="AA31">
    <cfRule type="cellIs" dxfId="3" priority="407" operator="lessThanOrEqual">
      <formula>J31</formula>
    </cfRule>
    <cfRule type="expression" dxfId="1" priority="411">
      <formula>AND(H31&lt;30000,X31&lt;30000)</formula>
    </cfRule>
  </conditionalFormatting>
  <conditionalFormatting sqref="AA32">
    <cfRule type="cellIs" dxfId="3" priority="415" operator="lessThanOrEqual">
      <formula>J32</formula>
    </cfRule>
    <cfRule type="expression" dxfId="1" priority="419">
      <formula>AND(H32&lt;30000,X32&lt;30000)</formula>
    </cfRule>
  </conditionalFormatting>
  <conditionalFormatting sqref="AA33">
    <cfRule type="cellIs" dxfId="3" priority="423" operator="lessThanOrEqual">
      <formula>J33</formula>
    </cfRule>
  </conditionalFormatting>
  <conditionalFormatting sqref="AA34">
    <cfRule type="cellIs" dxfId="3" priority="428" operator="lessThanOrEqual">
      <formula>J34</formula>
    </cfRule>
    <cfRule type="expression" dxfId="1" priority="432">
      <formula>AND(H34&lt;30000,X34&lt;30000)</formula>
    </cfRule>
  </conditionalFormatting>
  <conditionalFormatting sqref="AA35">
    <cfRule type="cellIs" dxfId="3" priority="436" operator="lessThanOrEqual">
      <formula>J35</formula>
    </cfRule>
    <cfRule type="expression" dxfId="1" priority="440">
      <formula>AND(H35&lt;30000,X35&lt;30000)</formula>
    </cfRule>
  </conditionalFormatting>
  <conditionalFormatting sqref="AA36">
    <cfRule type="cellIs" dxfId="3" priority="444" operator="lessThanOrEqual">
      <formula>J36</formula>
    </cfRule>
  </conditionalFormatting>
  <conditionalFormatting sqref="AA37">
    <cfRule type="cellIs" dxfId="3" priority="449" operator="lessThanOrEqual">
      <formula>J37</formula>
    </cfRule>
    <cfRule type="expression" dxfId="1" priority="453">
      <formula>AND(H37&lt;30000,X37&lt;30000)</formula>
    </cfRule>
  </conditionalFormatting>
  <conditionalFormatting sqref="AA38">
    <cfRule type="cellIs" dxfId="3" priority="457" operator="lessThanOrEqual">
      <formula>J38</formula>
    </cfRule>
  </conditionalFormatting>
  <conditionalFormatting sqref="AA39">
    <cfRule type="cellIs" dxfId="3" priority="462" operator="lessThanOrEqual">
      <formula>J39</formula>
    </cfRule>
  </conditionalFormatting>
  <conditionalFormatting sqref="AA40">
    <cfRule type="cellIs" dxfId="3" priority="467" operator="lessThanOrEqual">
      <formula>J40</formula>
    </cfRule>
  </conditionalFormatting>
  <conditionalFormatting sqref="AA41">
    <cfRule type="cellIs" dxfId="3" priority="472" operator="lessThanOrEqual">
      <formula>J41</formula>
    </cfRule>
  </conditionalFormatting>
  <conditionalFormatting sqref="AA42">
    <cfRule type="cellIs" dxfId="3" priority="476" operator="lessThanOrEqual">
      <formula>J42</formula>
    </cfRule>
  </conditionalFormatting>
  <conditionalFormatting sqref="AA44">
    <cfRule type="cellIs" dxfId="3" priority="480" operator="lessThanOrEqual">
      <formula>J44</formula>
    </cfRule>
  </conditionalFormatting>
  <conditionalFormatting sqref="AA46">
    <cfRule type="cellIs" dxfId="3" priority="484" operator="lessThanOrEqual">
      <formula>J46</formula>
    </cfRule>
  </conditionalFormatting>
  <conditionalFormatting sqref="AA47">
    <cfRule type="cellIs" dxfId="3" priority="489" operator="lessThanOrEqual">
      <formula>J47</formula>
    </cfRule>
  </conditionalFormatting>
  <conditionalFormatting sqref="AA48">
    <cfRule type="cellIs" dxfId="3" priority="494" operator="lessThanOrEqual">
      <formula>J48</formula>
    </cfRule>
  </conditionalFormatting>
  <conditionalFormatting sqref="AA50">
    <cfRule type="cellIs" dxfId="3" priority="499" operator="lessThanOrEqual">
      <formula>J50</formula>
    </cfRule>
    <cfRule type="expression" dxfId="1" priority="503">
      <formula>AND(H50&lt;3000,X50&lt;3000)</formula>
    </cfRule>
  </conditionalFormatting>
  <conditionalFormatting sqref="AA51">
    <cfRule type="cellIs" dxfId="3" priority="507" operator="lessThanOrEqual">
      <formula>J51</formula>
    </cfRule>
  </conditionalFormatting>
  <conditionalFormatting sqref="AA52">
    <cfRule type="cellIs" dxfId="3" priority="512" operator="lessThanOrEqual">
      <formula>J52</formula>
    </cfRule>
    <cfRule type="expression" dxfId="1" priority="516">
      <formula>AND(H52&lt;3000,X52&lt;3000)</formula>
    </cfRule>
  </conditionalFormatting>
  <conditionalFormatting sqref="AA53">
    <cfRule type="cellIs" dxfId="3" priority="520" operator="lessThanOrEqual">
      <formula>J53</formula>
    </cfRule>
    <cfRule type="expression" dxfId="1" priority="524">
      <formula>AND(H53&lt;3000,X53&lt;3000)</formula>
    </cfRule>
  </conditionalFormatting>
  <conditionalFormatting sqref="AA54">
    <cfRule type="cellIs" dxfId="3" priority="528" operator="lessThanOrEqual">
      <formula>J54</formula>
    </cfRule>
  </conditionalFormatting>
  <conditionalFormatting sqref="AA55">
    <cfRule type="cellIs" dxfId="3" priority="533" operator="lessThanOrEqual">
      <formula>J55</formula>
    </cfRule>
  </conditionalFormatting>
  <conditionalFormatting sqref="AA59">
    <cfRule type="cellIs" dxfId="3" priority="537" operator="lessThanOrEqual">
      <formula>J59</formula>
    </cfRule>
  </conditionalFormatting>
  <conditionalFormatting sqref="AA8">
    <cfRule type="cellIs" dxfId="3" priority="324" operator="lessThanOrEqual">
      <formula>J8</formula>
    </cfRule>
  </conditionalFormatting>
  <conditionalFormatting sqref="AA9">
    <cfRule type="cellIs" dxfId="3" priority="329" operator="lessThanOrEqual">
      <formula>J9</formula>
    </cfRule>
  </conditionalFormatting>
  <conditionalFormatting sqref="AC11">
    <cfRule type="cellIs" dxfId="0" priority="554" operator="lessThan">
      <formula>H11</formula>
    </cfRule>
  </conditionalFormatting>
  <conditionalFormatting sqref="AC12">
    <cfRule type="cellIs" dxfId="0" priority="559" operator="lessThan">
      <formula>H12</formula>
    </cfRule>
  </conditionalFormatting>
  <conditionalFormatting sqref="AC13">
    <cfRule type="cellIs" dxfId="0" priority="564" operator="lessThan">
      <formula>H13</formula>
    </cfRule>
  </conditionalFormatting>
  <conditionalFormatting sqref="AC17">
    <cfRule type="cellIs" dxfId="0" priority="569" operator="lessThan">
      <formula>H17</formula>
    </cfRule>
  </conditionalFormatting>
  <conditionalFormatting sqref="AC20">
    <cfRule type="cellIs" dxfId="0" priority="573" operator="lessThan">
      <formula>H20</formula>
    </cfRule>
  </conditionalFormatting>
  <conditionalFormatting sqref="AC30">
    <cfRule type="cellIs" dxfId="0" priority="578" operator="lessThan">
      <formula>H30</formula>
    </cfRule>
  </conditionalFormatting>
  <conditionalFormatting sqref="AC34">
    <cfRule type="cellIs" dxfId="0" priority="583" operator="lessThan">
      <formula>H34</formula>
    </cfRule>
  </conditionalFormatting>
  <conditionalFormatting sqref="AC36">
    <cfRule type="cellIs" dxfId="0" priority="588" operator="lessThan">
      <formula>H36</formula>
    </cfRule>
  </conditionalFormatting>
  <conditionalFormatting sqref="AC40">
    <cfRule type="cellIs" dxfId="0" priority="593" operator="lessThan">
      <formula>H40</formula>
    </cfRule>
  </conditionalFormatting>
  <conditionalFormatting sqref="AC41">
    <cfRule type="cellIs" dxfId="0" priority="598" operator="lessThan">
      <formula>H41</formula>
    </cfRule>
  </conditionalFormatting>
  <conditionalFormatting sqref="AC46">
    <cfRule type="cellIs" dxfId="0" priority="602" operator="lessThan">
      <formula>H46</formula>
    </cfRule>
  </conditionalFormatting>
  <conditionalFormatting sqref="AC48">
    <cfRule type="cellIs" dxfId="0" priority="606" operator="lessThan">
      <formula>H48</formula>
    </cfRule>
  </conditionalFormatting>
  <conditionalFormatting sqref="AC7">
    <cfRule type="cellIs" dxfId="0" priority="539" operator="lessThan">
      <formula>H7</formula>
    </cfRule>
  </conditionalFormatting>
  <conditionalFormatting sqref="AC8">
    <cfRule type="cellIs" dxfId="0" priority="544" operator="lessThan">
      <formula>H8</formula>
    </cfRule>
  </conditionalFormatting>
  <conditionalFormatting sqref="AC9">
    <cfRule type="cellIs" dxfId="0" priority="549" operator="lessThan">
      <formula>H9</formula>
    </cfRule>
  </conditionalFormatting>
  <conditionalFormatting sqref="AD11">
    <cfRule type="expression" dxfId="1" priority="555">
      <formula>AND(AD11&gt;0,MOD(AD11,AF11)&lt;&gt;0)</formula>
    </cfRule>
    <cfRule type="expression" dxfId="2" priority="556">
      <formula>AND(NOT(ISBLANK(AD11)),OR(AC11="NonStk",AD11&gt;AC11))</formula>
    </cfRule>
  </conditionalFormatting>
  <conditionalFormatting sqref="AD12">
    <cfRule type="expression" dxfId="1" priority="560">
      <formula>AND(AD12&gt;0,MOD(AD12,AF12)&lt;&gt;0)</formula>
    </cfRule>
    <cfRule type="expression" dxfId="2" priority="561">
      <formula>AND(NOT(ISBLANK(AD12)),OR(AC12="NonStk",AD12&gt;AC12))</formula>
    </cfRule>
  </conditionalFormatting>
  <conditionalFormatting sqref="AD13">
    <cfRule type="expression" dxfId="1" priority="565">
      <formula>AND(AD13&gt;0,MOD(AD13,AF13)&lt;&gt;0)</formula>
    </cfRule>
    <cfRule type="expression" dxfId="2" priority="566">
      <formula>AND(NOT(ISBLANK(AD13)),OR(AC13="NonStk",AD13&gt;AC13))</formula>
    </cfRule>
  </conditionalFormatting>
  <conditionalFormatting sqref="AD17">
    <cfRule type="expression" dxfId="2" priority="570">
      <formula>AND(NOT(ISBLANK(AD17)),OR(AC17="NonStk",AD17&gt;AC17))</formula>
    </cfRule>
  </conditionalFormatting>
  <conditionalFormatting sqref="AD20">
    <cfRule type="expression" dxfId="1" priority="574">
      <formula>AND(AD20&gt;0,MOD(AD20,AF20)&lt;&gt;0)</formula>
    </cfRule>
    <cfRule type="expression" dxfId="2" priority="575">
      <formula>AND(NOT(ISBLANK(AD20)),OR(AC20="NonStk",AD20&gt;AC20))</formula>
    </cfRule>
  </conditionalFormatting>
  <conditionalFormatting sqref="AD30">
    <cfRule type="expression" dxfId="1" priority="579">
      <formula>AND(AD30&gt;0,MOD(AD30,AF30)&lt;&gt;0)</formula>
    </cfRule>
    <cfRule type="expression" dxfId="2" priority="580">
      <formula>AND(NOT(ISBLANK(AD30)),OR(AC30="NonStk",AD30&gt;AC30))</formula>
    </cfRule>
  </conditionalFormatting>
  <conditionalFormatting sqref="AD34">
    <cfRule type="expression" dxfId="1" priority="584">
      <formula>AND(AD34&gt;0,MOD(AD34,AF34)&lt;&gt;0)</formula>
    </cfRule>
    <cfRule type="expression" dxfId="2" priority="585">
      <formula>AND(NOT(ISBLANK(AD34)),OR(AC34="NonStk",AD34&gt;AC34))</formula>
    </cfRule>
  </conditionalFormatting>
  <conditionalFormatting sqref="AD36">
    <cfRule type="expression" dxfId="1" priority="589">
      <formula>AND(AD36&gt;0,MOD(AD36,AF36)&lt;&gt;0)</formula>
    </cfRule>
    <cfRule type="expression" dxfId="2" priority="590">
      <formula>AND(NOT(ISBLANK(AD36)),OR(AC36="NonStk",AD36&gt;AC36))</formula>
    </cfRule>
  </conditionalFormatting>
  <conditionalFormatting sqref="AD40">
    <cfRule type="expression" dxfId="1" priority="594">
      <formula>AND(AD40&gt;0,MOD(AD40,AF40)&lt;&gt;0)</formula>
    </cfRule>
    <cfRule type="expression" dxfId="2" priority="595">
      <formula>AND(NOT(ISBLANK(AD40)),OR(AC40="NonStk",AD40&gt;AC40))</formula>
    </cfRule>
  </conditionalFormatting>
  <conditionalFormatting sqref="AD41">
    <cfRule type="expression" dxfId="2" priority="599">
      <formula>AND(NOT(ISBLANK(AD41)),OR(AC41="NonStk",AD41&gt;AC41))</formula>
    </cfRule>
  </conditionalFormatting>
  <conditionalFormatting sqref="AD46">
    <cfRule type="expression" dxfId="2" priority="603">
      <formula>AND(NOT(ISBLANK(AD46)),OR(AC46="NonStk",AD46&gt;AC46))</formula>
    </cfRule>
  </conditionalFormatting>
  <conditionalFormatting sqref="AD48">
    <cfRule type="expression" dxfId="2" priority="607">
      <formula>AND(NOT(ISBLANK(AD48)),OR(AC48="NonStk",AD48&gt;AC48))</formula>
    </cfRule>
  </conditionalFormatting>
  <conditionalFormatting sqref="AD7">
    <cfRule type="expression" dxfId="1" priority="540">
      <formula>AND(AD7&gt;0,MOD(AD7,AF7)&lt;&gt;0)</formula>
    </cfRule>
    <cfRule type="expression" dxfId="2" priority="541">
      <formula>AND(NOT(ISBLANK(AD7)),OR(AC7="NonStk",AD7&gt;AC7))</formula>
    </cfRule>
  </conditionalFormatting>
  <conditionalFormatting sqref="AD8">
    <cfRule type="expression" dxfId="1" priority="545">
      <formula>AND(AD8&gt;0,MOD(AD8,AF8)&lt;&gt;0)</formula>
    </cfRule>
    <cfRule type="expression" dxfId="2" priority="546">
      <formula>AND(NOT(ISBLANK(AD8)),OR(AC8="NonStk",AD8&gt;AC8))</formula>
    </cfRule>
  </conditionalFormatting>
  <conditionalFormatting sqref="AD9">
    <cfRule type="expression" dxfId="1" priority="550">
      <formula>AND(AD9&gt;0,MOD(AD9,AF9)&lt;&gt;0)</formula>
    </cfRule>
    <cfRule type="expression" dxfId="2" priority="551">
      <formula>AND(NOT(ISBLANK(AD9)),OR(AC9="NonStk",AD9&gt;AC9))</formula>
    </cfRule>
  </conditionalFormatting>
  <conditionalFormatting sqref="AE11">
    <cfRule type="cellIs" dxfId="3" priority="558" operator="lessThanOrEqual">
      <formula>I11</formula>
    </cfRule>
  </conditionalFormatting>
  <conditionalFormatting sqref="AE12">
    <cfRule type="cellIs" dxfId="3" priority="563" operator="lessThanOrEqual">
      <formula>I12</formula>
    </cfRule>
  </conditionalFormatting>
  <conditionalFormatting sqref="AE13">
    <cfRule type="cellIs" dxfId="3" priority="568" operator="lessThanOrEqual">
      <formula>I13</formula>
    </cfRule>
  </conditionalFormatting>
  <conditionalFormatting sqref="AE17">
    <cfRule type="cellIs" dxfId="3" priority="572" operator="lessThanOrEqual">
      <formula>I17</formula>
    </cfRule>
  </conditionalFormatting>
  <conditionalFormatting sqref="AE20">
    <cfRule type="cellIs" dxfId="3" priority="577" operator="lessThanOrEqual">
      <formula>I20</formula>
    </cfRule>
  </conditionalFormatting>
  <conditionalFormatting sqref="AE30">
    <cfRule type="cellIs" dxfId="3" priority="582" operator="lessThanOrEqual">
      <formula>I30</formula>
    </cfRule>
  </conditionalFormatting>
  <conditionalFormatting sqref="AE34">
    <cfRule type="cellIs" dxfId="3" priority="587" operator="lessThanOrEqual">
      <formula>I34</formula>
    </cfRule>
  </conditionalFormatting>
  <conditionalFormatting sqref="AE36">
    <cfRule type="cellIs" dxfId="3" priority="592" operator="lessThanOrEqual">
      <formula>I36</formula>
    </cfRule>
  </conditionalFormatting>
  <conditionalFormatting sqref="AE40">
    <cfRule type="cellIs" dxfId="3" priority="597" operator="lessThanOrEqual">
      <formula>I40</formula>
    </cfRule>
  </conditionalFormatting>
  <conditionalFormatting sqref="AE41">
    <cfRule type="cellIs" dxfId="3" priority="601" operator="lessThanOrEqual">
      <formula>I41</formula>
    </cfRule>
  </conditionalFormatting>
  <conditionalFormatting sqref="AE46">
    <cfRule type="cellIs" dxfId="3" priority="605" operator="lessThanOrEqual">
      <formula>I46</formula>
    </cfRule>
  </conditionalFormatting>
  <conditionalFormatting sqref="AE48">
    <cfRule type="cellIs" dxfId="3" priority="609" operator="lessThanOrEqual">
      <formula>I48</formula>
    </cfRule>
  </conditionalFormatting>
  <conditionalFormatting sqref="AE7">
    <cfRule type="cellIs" dxfId="3" priority="543" operator="lessThanOrEqual">
      <formula>I7</formula>
    </cfRule>
  </conditionalFormatting>
  <conditionalFormatting sqref="AE8">
    <cfRule type="cellIs" dxfId="3" priority="548" operator="lessThanOrEqual">
      <formula>I8</formula>
    </cfRule>
  </conditionalFormatting>
  <conditionalFormatting sqref="AE9">
    <cfRule type="cellIs" dxfId="3" priority="553" operator="lessThanOrEqual">
      <formula>I9</formula>
    </cfRule>
  </conditionalFormatting>
  <conditionalFormatting sqref="AG11">
    <cfRule type="cellIs" dxfId="3" priority="557" operator="lessThanOrEqual">
      <formula>J11</formula>
    </cfRule>
  </conditionalFormatting>
  <conditionalFormatting sqref="AG12">
    <cfRule type="cellIs" dxfId="3" priority="562" operator="lessThanOrEqual">
      <formula>J12</formula>
    </cfRule>
  </conditionalFormatting>
  <conditionalFormatting sqref="AG13">
    <cfRule type="cellIs" dxfId="3" priority="567" operator="lessThanOrEqual">
      <formula>J13</formula>
    </cfRule>
  </conditionalFormatting>
  <conditionalFormatting sqref="AG17">
    <cfRule type="cellIs" dxfId="3" priority="571" operator="lessThanOrEqual">
      <formula>J17</formula>
    </cfRule>
  </conditionalFormatting>
  <conditionalFormatting sqref="AG20">
    <cfRule type="cellIs" dxfId="3" priority="576" operator="lessThanOrEqual">
      <formula>J20</formula>
    </cfRule>
  </conditionalFormatting>
  <conditionalFormatting sqref="AG30">
    <cfRule type="cellIs" dxfId="3" priority="581" operator="lessThanOrEqual">
      <formula>J30</formula>
    </cfRule>
  </conditionalFormatting>
  <conditionalFormatting sqref="AG34">
    <cfRule type="cellIs" dxfId="3" priority="586" operator="lessThanOrEqual">
      <formula>J34</formula>
    </cfRule>
  </conditionalFormatting>
  <conditionalFormatting sqref="AG36">
    <cfRule type="cellIs" dxfId="3" priority="591" operator="lessThanOrEqual">
      <formula>J36</formula>
    </cfRule>
  </conditionalFormatting>
  <conditionalFormatting sqref="AG40">
    <cfRule type="cellIs" dxfId="3" priority="596" operator="lessThanOrEqual">
      <formula>J40</formula>
    </cfRule>
  </conditionalFormatting>
  <conditionalFormatting sqref="AG41">
    <cfRule type="cellIs" dxfId="3" priority="600" operator="lessThanOrEqual">
      <formula>J41</formula>
    </cfRule>
  </conditionalFormatting>
  <conditionalFormatting sqref="AG46">
    <cfRule type="cellIs" dxfId="3" priority="604" operator="lessThanOrEqual">
      <formula>J46</formula>
    </cfRule>
  </conditionalFormatting>
  <conditionalFormatting sqref="AG48">
    <cfRule type="cellIs" dxfId="3" priority="608" operator="lessThanOrEqual">
      <formula>J48</formula>
    </cfRule>
  </conditionalFormatting>
  <conditionalFormatting sqref="AG7">
    <cfRule type="cellIs" dxfId="3" priority="542" operator="lessThanOrEqual">
      <formula>J7</formula>
    </cfRule>
  </conditionalFormatting>
  <conditionalFormatting sqref="AG8">
    <cfRule type="cellIs" dxfId="3" priority="547" operator="lessThanOrEqual">
      <formula>J8</formula>
    </cfRule>
  </conditionalFormatting>
  <conditionalFormatting sqref="AG9">
    <cfRule type="cellIs" dxfId="3" priority="552" operator="lessThanOrEqual">
      <formula>J9</formula>
    </cfRule>
  </conditionalFormatting>
  <conditionalFormatting sqref="AI10">
    <cfRule type="cellIs" dxfId="0" priority="622" operator="lessThan">
      <formula>H10</formula>
    </cfRule>
  </conditionalFormatting>
  <conditionalFormatting sqref="AI11">
    <cfRule type="cellIs" dxfId="0" priority="626" operator="lessThan">
      <formula>H11</formula>
    </cfRule>
  </conditionalFormatting>
  <conditionalFormatting sqref="AI12">
    <cfRule type="cellIs" dxfId="0" priority="630" operator="lessThan">
      <formula>H12</formula>
    </cfRule>
  </conditionalFormatting>
  <conditionalFormatting sqref="AI13">
    <cfRule type="cellIs" dxfId="0" priority="634" operator="lessThan">
      <formula>H13</formula>
    </cfRule>
  </conditionalFormatting>
  <conditionalFormatting sqref="AI14">
    <cfRule type="cellIs" dxfId="0" priority="638" operator="lessThan">
      <formula>H14</formula>
    </cfRule>
  </conditionalFormatting>
  <conditionalFormatting sqref="AI15">
    <cfRule type="cellIs" dxfId="0" priority="642" operator="lessThan">
      <formula>H15</formula>
    </cfRule>
  </conditionalFormatting>
  <conditionalFormatting sqref="AI16">
    <cfRule type="cellIs" dxfId="0" priority="646" operator="lessThan">
      <formula>H16</formula>
    </cfRule>
  </conditionalFormatting>
  <conditionalFormatting sqref="AI17">
    <cfRule type="cellIs" dxfId="0" priority="650" operator="lessThan">
      <formula>H17</formula>
    </cfRule>
  </conditionalFormatting>
  <conditionalFormatting sqref="AI18">
    <cfRule type="cellIs" dxfId="0" priority="654" operator="lessThan">
      <formula>H18</formula>
    </cfRule>
  </conditionalFormatting>
  <conditionalFormatting sqref="AI19">
    <cfRule type="cellIs" dxfId="0" priority="658" operator="lessThan">
      <formula>H19</formula>
    </cfRule>
  </conditionalFormatting>
  <conditionalFormatting sqref="AI20">
    <cfRule type="cellIs" dxfId="0" priority="662" operator="lessThan">
      <formula>H20</formula>
    </cfRule>
  </conditionalFormatting>
  <conditionalFormatting sqref="AI21">
    <cfRule type="cellIs" dxfId="0" priority="666" operator="lessThan">
      <formula>H21</formula>
    </cfRule>
  </conditionalFormatting>
  <conditionalFormatting sqref="AI26">
    <cfRule type="cellIs" dxfId="0" priority="670" operator="lessThan">
      <formula>H26</formula>
    </cfRule>
  </conditionalFormatting>
  <conditionalFormatting sqref="AI27">
    <cfRule type="cellIs" dxfId="0" priority="674" operator="lessThan">
      <formula>H27</formula>
    </cfRule>
  </conditionalFormatting>
  <conditionalFormatting sqref="AI28">
    <cfRule type="cellIs" dxfId="0" priority="678" operator="lessThan">
      <formula>H28</formula>
    </cfRule>
  </conditionalFormatting>
  <conditionalFormatting sqref="AI29">
    <cfRule type="cellIs" dxfId="0" priority="682" operator="lessThan">
      <formula>H29</formula>
    </cfRule>
  </conditionalFormatting>
  <conditionalFormatting sqref="AI30">
    <cfRule type="cellIs" dxfId="0" priority="686" operator="lessThan">
      <formula>H30</formula>
    </cfRule>
  </conditionalFormatting>
  <conditionalFormatting sqref="AI31">
    <cfRule type="cellIs" dxfId="0" priority="690" operator="lessThan">
      <formula>H31</formula>
    </cfRule>
  </conditionalFormatting>
  <conditionalFormatting sqref="AI32">
    <cfRule type="cellIs" dxfId="0" priority="694" operator="lessThan">
      <formula>H32</formula>
    </cfRule>
  </conditionalFormatting>
  <conditionalFormatting sqref="AI33">
    <cfRule type="cellIs" dxfId="0" priority="698" operator="lessThan">
      <formula>H33</formula>
    </cfRule>
  </conditionalFormatting>
  <conditionalFormatting sqref="AI34">
    <cfRule type="cellIs" dxfId="0" priority="702" operator="lessThan">
      <formula>H34</formula>
    </cfRule>
  </conditionalFormatting>
  <conditionalFormatting sqref="AI35">
    <cfRule type="cellIs" dxfId="0" priority="706" operator="lessThan">
      <formula>H35</formula>
    </cfRule>
  </conditionalFormatting>
  <conditionalFormatting sqref="AI36">
    <cfRule type="cellIs" dxfId="0" priority="710" operator="lessThan">
      <formula>H36</formula>
    </cfRule>
  </conditionalFormatting>
  <conditionalFormatting sqref="AI37">
    <cfRule type="cellIs" dxfId="0" priority="714" operator="lessThan">
      <formula>H37</formula>
    </cfRule>
  </conditionalFormatting>
  <conditionalFormatting sqref="AI38">
    <cfRule type="cellIs" dxfId="0" priority="718" operator="lessThan">
      <formula>H38</formula>
    </cfRule>
  </conditionalFormatting>
  <conditionalFormatting sqref="AI39">
    <cfRule type="cellIs" dxfId="0" priority="722" operator="lessThan">
      <formula>H39</formula>
    </cfRule>
  </conditionalFormatting>
  <conditionalFormatting sqref="AI40">
    <cfRule type="cellIs" dxfId="0" priority="726" operator="lessThan">
      <formula>H40</formula>
    </cfRule>
  </conditionalFormatting>
  <conditionalFormatting sqref="AI41">
    <cfRule type="cellIs" dxfId="0" priority="730" operator="lessThan">
      <formula>H41</formula>
    </cfRule>
  </conditionalFormatting>
  <conditionalFormatting sqref="AI42">
    <cfRule type="cellIs" dxfId="0" priority="734" operator="lessThan">
      <formula>H42</formula>
    </cfRule>
  </conditionalFormatting>
  <conditionalFormatting sqref="AI44">
    <cfRule type="cellIs" dxfId="0" priority="738" operator="lessThan">
      <formula>H44</formula>
    </cfRule>
  </conditionalFormatting>
  <conditionalFormatting sqref="AI45">
    <cfRule type="cellIs" dxfId="0" priority="742" operator="lessThan">
      <formula>H45</formula>
    </cfRule>
  </conditionalFormatting>
  <conditionalFormatting sqref="AI46">
    <cfRule type="cellIs" dxfId="0" priority="746" operator="lessThan">
      <formula>H46</formula>
    </cfRule>
  </conditionalFormatting>
  <conditionalFormatting sqref="AI47">
    <cfRule type="cellIs" dxfId="0" priority="750" operator="lessThan">
      <formula>H47</formula>
    </cfRule>
  </conditionalFormatting>
  <conditionalFormatting sqref="AI48">
    <cfRule type="cellIs" dxfId="0" priority="754" operator="lessThan">
      <formula>H48</formula>
    </cfRule>
  </conditionalFormatting>
  <conditionalFormatting sqref="AI49">
    <cfRule type="cellIs" dxfId="0" priority="758" operator="lessThan">
      <formula>H49</formula>
    </cfRule>
  </conditionalFormatting>
  <conditionalFormatting sqref="AI50">
    <cfRule type="cellIs" dxfId="0" priority="762" operator="lessThan">
      <formula>H50</formula>
    </cfRule>
  </conditionalFormatting>
  <conditionalFormatting sqref="AI51">
    <cfRule type="cellIs" dxfId="0" priority="766" operator="lessThan">
      <formula>H51</formula>
    </cfRule>
  </conditionalFormatting>
  <conditionalFormatting sqref="AI52">
    <cfRule type="cellIs" dxfId="0" priority="770" operator="lessThan">
      <formula>H52</formula>
    </cfRule>
  </conditionalFormatting>
  <conditionalFormatting sqref="AI53">
    <cfRule type="cellIs" dxfId="0" priority="774" operator="lessThan">
      <formula>H53</formula>
    </cfRule>
  </conditionalFormatting>
  <conditionalFormatting sqref="AI54">
    <cfRule type="cellIs" dxfId="0" priority="778" operator="lessThan">
      <formula>H54</formula>
    </cfRule>
  </conditionalFormatting>
  <conditionalFormatting sqref="AI55">
    <cfRule type="cellIs" dxfId="0" priority="782" operator="lessThan">
      <formula>H55</formula>
    </cfRule>
  </conditionalFormatting>
  <conditionalFormatting sqref="AI56">
    <cfRule type="cellIs" dxfId="0" priority="786" operator="lessThan">
      <formula>H56</formula>
    </cfRule>
  </conditionalFormatting>
  <conditionalFormatting sqref="AI59">
    <cfRule type="cellIs" dxfId="0" priority="790" operator="lessThan">
      <formula>H59</formula>
    </cfRule>
  </conditionalFormatting>
  <conditionalFormatting sqref="AI7">
    <cfRule type="cellIs" dxfId="0" priority="610" operator="lessThan">
      <formula>H7</formula>
    </cfRule>
  </conditionalFormatting>
  <conditionalFormatting sqref="AI8">
    <cfRule type="cellIs" dxfId="0" priority="614" operator="lessThan">
      <formula>H8</formula>
    </cfRule>
  </conditionalFormatting>
  <conditionalFormatting sqref="AI9">
    <cfRule type="cellIs" dxfId="0" priority="618" operator="lessThan">
      <formula>H9</formula>
    </cfRule>
  </conditionalFormatting>
  <conditionalFormatting sqref="AJ10">
    <cfRule type="expression" dxfId="2" priority="623">
      <formula>AND(NOT(ISBLANK(AJ10)),OR(AI10="NonStk",AJ10&gt;AI10))</formula>
    </cfRule>
  </conditionalFormatting>
  <conditionalFormatting sqref="AJ11">
    <cfRule type="expression" dxfId="2" priority="627">
      <formula>AND(NOT(ISBLANK(AJ11)),OR(AI11="NonStk",AJ11&gt;AI11))</formula>
    </cfRule>
  </conditionalFormatting>
  <conditionalFormatting sqref="AJ12">
    <cfRule type="expression" dxfId="2" priority="631">
      <formula>AND(NOT(ISBLANK(AJ12)),OR(AI12="NonStk",AJ12&gt;AI12))</formula>
    </cfRule>
  </conditionalFormatting>
  <conditionalFormatting sqref="AJ13">
    <cfRule type="expression" dxfId="2" priority="635">
      <formula>AND(NOT(ISBLANK(AJ13)),OR(AI13="NonStk",AJ13&gt;AI13))</formula>
    </cfRule>
  </conditionalFormatting>
  <conditionalFormatting sqref="AJ14">
    <cfRule type="expression" dxfId="2" priority="639">
      <formula>AND(NOT(ISBLANK(AJ14)),OR(AI14="NonStk",AJ14&gt;AI14))</formula>
    </cfRule>
  </conditionalFormatting>
  <conditionalFormatting sqref="AJ15">
    <cfRule type="expression" dxfId="2" priority="643">
      <formula>AND(NOT(ISBLANK(AJ15)),OR(AI15="NonStk",AJ15&gt;AI15))</formula>
    </cfRule>
  </conditionalFormatting>
  <conditionalFormatting sqref="AJ16">
    <cfRule type="expression" dxfId="2" priority="647">
      <formula>AND(NOT(ISBLANK(AJ16)),OR(AI16="NonStk",AJ16&gt;AI16))</formula>
    </cfRule>
  </conditionalFormatting>
  <conditionalFormatting sqref="AJ17">
    <cfRule type="expression" dxfId="2" priority="651">
      <formula>AND(NOT(ISBLANK(AJ17)),OR(AI17="NonStk",AJ17&gt;AI17))</formula>
    </cfRule>
  </conditionalFormatting>
  <conditionalFormatting sqref="AJ18">
    <cfRule type="expression" dxfId="2" priority="655">
      <formula>AND(NOT(ISBLANK(AJ18)),OR(AI18="NonStk",AJ18&gt;AI18))</formula>
    </cfRule>
  </conditionalFormatting>
  <conditionalFormatting sqref="AJ19">
    <cfRule type="expression" dxfId="2" priority="659">
      <formula>AND(NOT(ISBLANK(AJ19)),OR(AI19="NonStk",AJ19&gt;AI19))</formula>
    </cfRule>
  </conditionalFormatting>
  <conditionalFormatting sqref="AJ20">
    <cfRule type="expression" dxfId="2" priority="663">
      <formula>AND(NOT(ISBLANK(AJ20)),OR(AI20="NonStk",AJ20&gt;AI20))</formula>
    </cfRule>
  </conditionalFormatting>
  <conditionalFormatting sqref="AJ21">
    <cfRule type="expression" dxfId="2" priority="667">
      <formula>AND(NOT(ISBLANK(AJ21)),OR(AI21="NonStk",AJ21&gt;AI21))</formula>
    </cfRule>
  </conditionalFormatting>
  <conditionalFormatting sqref="AJ26">
    <cfRule type="expression" dxfId="2" priority="671">
      <formula>AND(NOT(ISBLANK(AJ26)),OR(AI26="NonStk",AJ26&gt;AI26))</formula>
    </cfRule>
  </conditionalFormatting>
  <conditionalFormatting sqref="AJ27">
    <cfRule type="expression" dxfId="2" priority="675">
      <formula>AND(NOT(ISBLANK(AJ27)),OR(AI27="NonStk",AJ27&gt;AI27))</formula>
    </cfRule>
  </conditionalFormatting>
  <conditionalFormatting sqref="AJ28">
    <cfRule type="expression" dxfId="2" priority="679">
      <formula>AND(NOT(ISBLANK(AJ28)),OR(AI28="NonStk",AJ28&gt;AI28))</formula>
    </cfRule>
  </conditionalFormatting>
  <conditionalFormatting sqref="AJ29">
    <cfRule type="expression" dxfId="2" priority="683">
      <formula>AND(NOT(ISBLANK(AJ29)),OR(AI29="NonStk",AJ29&gt;AI29))</formula>
    </cfRule>
  </conditionalFormatting>
  <conditionalFormatting sqref="AJ30">
    <cfRule type="expression" dxfId="2" priority="687">
      <formula>AND(NOT(ISBLANK(AJ30)),OR(AI30="NonStk",AJ30&gt;AI30))</formula>
    </cfRule>
  </conditionalFormatting>
  <conditionalFormatting sqref="AJ31">
    <cfRule type="expression" dxfId="2" priority="691">
      <formula>AND(NOT(ISBLANK(AJ31)),OR(AI31="NonStk",AJ31&gt;AI31))</formula>
    </cfRule>
  </conditionalFormatting>
  <conditionalFormatting sqref="AJ32">
    <cfRule type="expression" dxfId="2" priority="695">
      <formula>AND(NOT(ISBLANK(AJ32)),OR(AI32="NonStk",AJ32&gt;AI32))</formula>
    </cfRule>
  </conditionalFormatting>
  <conditionalFormatting sqref="AJ33">
    <cfRule type="expression" dxfId="2" priority="699">
      <formula>AND(NOT(ISBLANK(AJ33)),OR(AI33="NonStk",AJ33&gt;AI33))</formula>
    </cfRule>
  </conditionalFormatting>
  <conditionalFormatting sqref="AJ34">
    <cfRule type="expression" dxfId="2" priority="703">
      <formula>AND(NOT(ISBLANK(AJ34)),OR(AI34="NonStk",AJ34&gt;AI34))</formula>
    </cfRule>
  </conditionalFormatting>
  <conditionalFormatting sqref="AJ35">
    <cfRule type="expression" dxfId="2" priority="707">
      <formula>AND(NOT(ISBLANK(AJ35)),OR(AI35="NonStk",AJ35&gt;AI35))</formula>
    </cfRule>
  </conditionalFormatting>
  <conditionalFormatting sqref="AJ36">
    <cfRule type="expression" dxfId="2" priority="711">
      <formula>AND(NOT(ISBLANK(AJ36)),OR(AI36="NonStk",AJ36&gt;AI36))</formula>
    </cfRule>
  </conditionalFormatting>
  <conditionalFormatting sqref="AJ37">
    <cfRule type="expression" dxfId="2" priority="715">
      <formula>AND(NOT(ISBLANK(AJ37)),OR(AI37="NonStk",AJ37&gt;AI37))</formula>
    </cfRule>
  </conditionalFormatting>
  <conditionalFormatting sqref="AJ38">
    <cfRule type="expression" dxfId="2" priority="719">
      <formula>AND(NOT(ISBLANK(AJ38)),OR(AI38="NonStk",AJ38&gt;AI38))</formula>
    </cfRule>
  </conditionalFormatting>
  <conditionalFormatting sqref="AJ39">
    <cfRule type="expression" dxfId="2" priority="723">
      <formula>AND(NOT(ISBLANK(AJ39)),OR(AI39="NonStk",AJ39&gt;AI39))</formula>
    </cfRule>
  </conditionalFormatting>
  <conditionalFormatting sqref="AJ40">
    <cfRule type="expression" dxfId="2" priority="727">
      <formula>AND(NOT(ISBLANK(AJ40)),OR(AI40="NonStk",AJ40&gt;AI40))</formula>
    </cfRule>
  </conditionalFormatting>
  <conditionalFormatting sqref="AJ41">
    <cfRule type="expression" dxfId="2" priority="731">
      <formula>AND(NOT(ISBLANK(AJ41)),OR(AI41="NonStk",AJ41&gt;AI41))</formula>
    </cfRule>
  </conditionalFormatting>
  <conditionalFormatting sqref="AJ42">
    <cfRule type="expression" dxfId="2" priority="735">
      <formula>AND(NOT(ISBLANK(AJ42)),OR(AI42="NonStk",AJ42&gt;AI42))</formula>
    </cfRule>
  </conditionalFormatting>
  <conditionalFormatting sqref="AJ44">
    <cfRule type="expression" dxfId="2" priority="739">
      <formula>AND(NOT(ISBLANK(AJ44)),OR(AI44="NonStk",AJ44&gt;AI44))</formula>
    </cfRule>
  </conditionalFormatting>
  <conditionalFormatting sqref="AJ45">
    <cfRule type="expression" dxfId="2" priority="743">
      <formula>AND(NOT(ISBLANK(AJ45)),OR(AI45="NonStk",AJ45&gt;AI45))</formula>
    </cfRule>
  </conditionalFormatting>
  <conditionalFormatting sqref="AJ46">
    <cfRule type="expression" dxfId="2" priority="747">
      <formula>AND(NOT(ISBLANK(AJ46)),OR(AI46="NonStk",AJ46&gt;AI46))</formula>
    </cfRule>
  </conditionalFormatting>
  <conditionalFormatting sqref="AJ47">
    <cfRule type="expression" dxfId="2" priority="751">
      <formula>AND(NOT(ISBLANK(AJ47)),OR(AI47="NonStk",AJ47&gt;AI47))</formula>
    </cfRule>
  </conditionalFormatting>
  <conditionalFormatting sqref="AJ48">
    <cfRule type="expression" dxfId="2" priority="755">
      <formula>AND(NOT(ISBLANK(AJ48)),OR(AI48="NonStk",AJ48&gt;AI48))</formula>
    </cfRule>
  </conditionalFormatting>
  <conditionalFormatting sqref="AJ49">
    <cfRule type="expression" dxfId="2" priority="759">
      <formula>AND(NOT(ISBLANK(AJ49)),OR(AI49="NonStk",AJ49&gt;AI49))</formula>
    </cfRule>
  </conditionalFormatting>
  <conditionalFormatting sqref="AJ50">
    <cfRule type="expression" dxfId="2" priority="763">
      <formula>AND(NOT(ISBLANK(AJ50)),OR(AI50="NonStk",AJ50&gt;AI50))</formula>
    </cfRule>
  </conditionalFormatting>
  <conditionalFormatting sqref="AJ51">
    <cfRule type="expression" dxfId="2" priority="767">
      <formula>AND(NOT(ISBLANK(AJ51)),OR(AI51="NonStk",AJ51&gt;AI51))</formula>
    </cfRule>
  </conditionalFormatting>
  <conditionalFormatting sqref="AJ52">
    <cfRule type="expression" dxfId="2" priority="771">
      <formula>AND(NOT(ISBLANK(AJ52)),OR(AI52="NonStk",AJ52&gt;AI52))</formula>
    </cfRule>
  </conditionalFormatting>
  <conditionalFormatting sqref="AJ53">
    <cfRule type="expression" dxfId="2" priority="775">
      <formula>AND(NOT(ISBLANK(AJ53)),OR(AI53="NonStk",AJ53&gt;AI53))</formula>
    </cfRule>
  </conditionalFormatting>
  <conditionalFormatting sqref="AJ54">
    <cfRule type="expression" dxfId="2" priority="779">
      <formula>AND(NOT(ISBLANK(AJ54)),OR(AI54="NonStk",AJ54&gt;AI54))</formula>
    </cfRule>
  </conditionalFormatting>
  <conditionalFormatting sqref="AJ55">
    <cfRule type="expression" dxfId="2" priority="783">
      <formula>AND(NOT(ISBLANK(AJ55)),OR(AI55="NonStk",AJ55&gt;AI55))</formula>
    </cfRule>
  </conditionalFormatting>
  <conditionalFormatting sqref="AJ56">
    <cfRule type="expression" dxfId="2" priority="787">
      <formula>AND(NOT(ISBLANK(AJ56)),OR(AI56="NonStk",AJ56&gt;AI56))</formula>
    </cfRule>
  </conditionalFormatting>
  <conditionalFormatting sqref="AJ59">
    <cfRule type="expression" dxfId="2" priority="791">
      <formula>AND(NOT(ISBLANK(AJ59)),OR(AI59="NonStk",AJ59&gt;AI59))</formula>
    </cfRule>
  </conditionalFormatting>
  <conditionalFormatting sqref="AJ7">
    <cfRule type="expression" dxfId="2" priority="611">
      <formula>AND(NOT(ISBLANK(AJ7)),OR(AI7="NonStk",AJ7&gt;AI7))</formula>
    </cfRule>
  </conditionalFormatting>
  <conditionalFormatting sqref="AJ8">
    <cfRule type="expression" dxfId="2" priority="615">
      <formula>AND(NOT(ISBLANK(AJ8)),OR(AI8="NonStk",AJ8&gt;AI8))</formula>
    </cfRule>
  </conditionalFormatting>
  <conditionalFormatting sqref="AJ9">
    <cfRule type="expression" dxfId="2" priority="619">
      <formula>AND(NOT(ISBLANK(AJ9)),OR(AI9="NonStk",AJ9&gt;AI9))</formula>
    </cfRule>
  </conditionalFormatting>
  <conditionalFormatting sqref="AK10">
    <cfRule type="cellIs" dxfId="3" priority="625" operator="lessThanOrEqual">
      <formula>I10</formula>
    </cfRule>
  </conditionalFormatting>
  <conditionalFormatting sqref="AK11">
    <cfRule type="cellIs" dxfId="3" priority="629" operator="lessThanOrEqual">
      <formula>I11</formula>
    </cfRule>
  </conditionalFormatting>
  <conditionalFormatting sqref="AK12">
    <cfRule type="cellIs" dxfId="3" priority="633" operator="lessThanOrEqual">
      <formula>I12</formula>
    </cfRule>
  </conditionalFormatting>
  <conditionalFormatting sqref="AK13">
    <cfRule type="cellIs" dxfId="3" priority="637" operator="lessThanOrEqual">
      <formula>I13</formula>
    </cfRule>
  </conditionalFormatting>
  <conditionalFormatting sqref="AK14">
    <cfRule type="cellIs" dxfId="3" priority="641" operator="lessThanOrEqual">
      <formula>I14</formula>
    </cfRule>
  </conditionalFormatting>
  <conditionalFormatting sqref="AK15">
    <cfRule type="cellIs" dxfId="3" priority="645" operator="lessThanOrEqual">
      <formula>I15</formula>
    </cfRule>
  </conditionalFormatting>
  <conditionalFormatting sqref="AK16">
    <cfRule type="cellIs" dxfId="3" priority="649" operator="lessThanOrEqual">
      <formula>I16</formula>
    </cfRule>
  </conditionalFormatting>
  <conditionalFormatting sqref="AK17">
    <cfRule type="cellIs" dxfId="3" priority="653" operator="lessThanOrEqual">
      <formula>I17</formula>
    </cfRule>
  </conditionalFormatting>
  <conditionalFormatting sqref="AK18">
    <cfRule type="cellIs" dxfId="3" priority="657" operator="lessThanOrEqual">
      <formula>I18</formula>
    </cfRule>
  </conditionalFormatting>
  <conditionalFormatting sqref="AK19">
    <cfRule type="cellIs" dxfId="3" priority="661" operator="lessThanOrEqual">
      <formula>I19</formula>
    </cfRule>
  </conditionalFormatting>
  <conditionalFormatting sqref="AK20">
    <cfRule type="cellIs" dxfId="3" priority="665" operator="lessThanOrEqual">
      <formula>I20</formula>
    </cfRule>
  </conditionalFormatting>
  <conditionalFormatting sqref="AK21">
    <cfRule type="cellIs" dxfId="3" priority="669" operator="lessThanOrEqual">
      <formula>I21</formula>
    </cfRule>
  </conditionalFormatting>
  <conditionalFormatting sqref="AK26">
    <cfRule type="cellIs" dxfId="3" priority="673" operator="lessThanOrEqual">
      <formula>I26</formula>
    </cfRule>
  </conditionalFormatting>
  <conditionalFormatting sqref="AK27">
    <cfRule type="cellIs" dxfId="3" priority="677" operator="lessThanOrEqual">
      <formula>I27</formula>
    </cfRule>
  </conditionalFormatting>
  <conditionalFormatting sqref="AK28">
    <cfRule type="cellIs" dxfId="3" priority="681" operator="lessThanOrEqual">
      <formula>I28</formula>
    </cfRule>
  </conditionalFormatting>
  <conditionalFormatting sqref="AK29">
    <cfRule type="cellIs" dxfId="3" priority="685" operator="lessThanOrEqual">
      <formula>I29</formula>
    </cfRule>
  </conditionalFormatting>
  <conditionalFormatting sqref="AK30">
    <cfRule type="cellIs" dxfId="3" priority="689" operator="lessThanOrEqual">
      <formula>I30</formula>
    </cfRule>
  </conditionalFormatting>
  <conditionalFormatting sqref="AK31">
    <cfRule type="cellIs" dxfId="3" priority="693" operator="lessThanOrEqual">
      <formula>I31</formula>
    </cfRule>
  </conditionalFormatting>
  <conditionalFormatting sqref="AK32">
    <cfRule type="cellIs" dxfId="3" priority="697" operator="lessThanOrEqual">
      <formula>I32</formula>
    </cfRule>
  </conditionalFormatting>
  <conditionalFormatting sqref="AK33">
    <cfRule type="cellIs" dxfId="3" priority="701" operator="lessThanOrEqual">
      <formula>I33</formula>
    </cfRule>
  </conditionalFormatting>
  <conditionalFormatting sqref="AK34">
    <cfRule type="cellIs" dxfId="3" priority="705" operator="lessThanOrEqual">
      <formula>I34</formula>
    </cfRule>
  </conditionalFormatting>
  <conditionalFormatting sqref="AK35">
    <cfRule type="cellIs" dxfId="3" priority="709" operator="lessThanOrEqual">
      <formula>I35</formula>
    </cfRule>
  </conditionalFormatting>
  <conditionalFormatting sqref="AK36">
    <cfRule type="cellIs" dxfId="3" priority="713" operator="lessThanOrEqual">
      <formula>I36</formula>
    </cfRule>
  </conditionalFormatting>
  <conditionalFormatting sqref="AK37">
    <cfRule type="cellIs" dxfId="3" priority="717" operator="lessThanOrEqual">
      <formula>I37</formula>
    </cfRule>
  </conditionalFormatting>
  <conditionalFormatting sqref="AK38">
    <cfRule type="cellIs" dxfId="3" priority="721" operator="lessThanOrEqual">
      <formula>I38</formula>
    </cfRule>
  </conditionalFormatting>
  <conditionalFormatting sqref="AK39">
    <cfRule type="cellIs" dxfId="3" priority="725" operator="lessThanOrEqual">
      <formula>I39</formula>
    </cfRule>
  </conditionalFormatting>
  <conditionalFormatting sqref="AK40">
    <cfRule type="cellIs" dxfId="3" priority="729" operator="lessThanOrEqual">
      <formula>I40</formula>
    </cfRule>
  </conditionalFormatting>
  <conditionalFormatting sqref="AK41">
    <cfRule type="cellIs" dxfId="3" priority="733" operator="lessThanOrEqual">
      <formula>I41</formula>
    </cfRule>
  </conditionalFormatting>
  <conditionalFormatting sqref="AK42">
    <cfRule type="cellIs" dxfId="3" priority="737" operator="lessThanOrEqual">
      <formula>I42</formula>
    </cfRule>
  </conditionalFormatting>
  <conditionalFormatting sqref="AK44">
    <cfRule type="cellIs" dxfId="3" priority="741" operator="lessThanOrEqual">
      <formula>I44</formula>
    </cfRule>
  </conditionalFormatting>
  <conditionalFormatting sqref="AK45">
    <cfRule type="cellIs" dxfId="3" priority="745" operator="lessThanOrEqual">
      <formula>I45</formula>
    </cfRule>
  </conditionalFormatting>
  <conditionalFormatting sqref="AK46">
    <cfRule type="cellIs" dxfId="3" priority="749" operator="lessThanOrEqual">
      <formula>I46</formula>
    </cfRule>
  </conditionalFormatting>
  <conditionalFormatting sqref="AK47">
    <cfRule type="cellIs" dxfId="3" priority="753" operator="lessThanOrEqual">
      <formula>I47</formula>
    </cfRule>
  </conditionalFormatting>
  <conditionalFormatting sqref="AK48">
    <cfRule type="cellIs" dxfId="3" priority="757" operator="lessThanOrEqual">
      <formula>I48</formula>
    </cfRule>
  </conditionalFormatting>
  <conditionalFormatting sqref="AK49">
    <cfRule type="cellIs" dxfId="3" priority="761" operator="lessThanOrEqual">
      <formula>I49</formula>
    </cfRule>
  </conditionalFormatting>
  <conditionalFormatting sqref="AK50">
    <cfRule type="cellIs" dxfId="3" priority="765" operator="lessThanOrEqual">
      <formula>I50</formula>
    </cfRule>
  </conditionalFormatting>
  <conditionalFormatting sqref="AK51">
    <cfRule type="cellIs" dxfId="3" priority="769" operator="lessThanOrEqual">
      <formula>I51</formula>
    </cfRule>
  </conditionalFormatting>
  <conditionalFormatting sqref="AK52">
    <cfRule type="cellIs" dxfId="3" priority="773" operator="lessThanOrEqual">
      <formula>I52</formula>
    </cfRule>
  </conditionalFormatting>
  <conditionalFormatting sqref="AK53">
    <cfRule type="cellIs" dxfId="3" priority="777" operator="lessThanOrEqual">
      <formula>I53</formula>
    </cfRule>
  </conditionalFormatting>
  <conditionalFormatting sqref="AK54">
    <cfRule type="cellIs" dxfId="3" priority="781" operator="lessThanOrEqual">
      <formula>I54</formula>
    </cfRule>
  </conditionalFormatting>
  <conditionalFormatting sqref="AK55">
    <cfRule type="cellIs" dxfId="3" priority="785" operator="lessThanOrEqual">
      <formula>I55</formula>
    </cfRule>
  </conditionalFormatting>
  <conditionalFormatting sqref="AK56">
    <cfRule type="cellIs" dxfId="3" priority="789" operator="lessThanOrEqual">
      <formula>I56</formula>
    </cfRule>
  </conditionalFormatting>
  <conditionalFormatting sqref="AK59">
    <cfRule type="cellIs" dxfId="3" priority="793" operator="lessThanOrEqual">
      <formula>I59</formula>
    </cfRule>
  </conditionalFormatting>
  <conditionalFormatting sqref="AK7">
    <cfRule type="cellIs" dxfId="3" priority="613" operator="lessThanOrEqual">
      <formula>I7</formula>
    </cfRule>
  </conditionalFormatting>
  <conditionalFormatting sqref="AK8">
    <cfRule type="cellIs" dxfId="3" priority="617" operator="lessThanOrEqual">
      <formula>I8</formula>
    </cfRule>
  </conditionalFormatting>
  <conditionalFormatting sqref="AK9">
    <cfRule type="cellIs" dxfId="3" priority="621" operator="lessThanOrEqual">
      <formula>I9</formula>
    </cfRule>
  </conditionalFormatting>
  <conditionalFormatting sqref="AM10">
    <cfRule type="cellIs" dxfId="3" priority="624" operator="lessThanOrEqual">
      <formula>J10</formula>
    </cfRule>
  </conditionalFormatting>
  <conditionalFormatting sqref="AM11">
    <cfRule type="cellIs" dxfId="3" priority="628" operator="lessThanOrEqual">
      <formula>J11</formula>
    </cfRule>
  </conditionalFormatting>
  <conditionalFormatting sqref="AM12">
    <cfRule type="cellIs" dxfId="3" priority="632" operator="lessThanOrEqual">
      <formula>J12</formula>
    </cfRule>
  </conditionalFormatting>
  <conditionalFormatting sqref="AM13">
    <cfRule type="cellIs" dxfId="3" priority="636" operator="lessThanOrEqual">
      <formula>J13</formula>
    </cfRule>
  </conditionalFormatting>
  <conditionalFormatting sqref="AM14">
    <cfRule type="cellIs" dxfId="3" priority="640" operator="lessThanOrEqual">
      <formula>J14</formula>
    </cfRule>
  </conditionalFormatting>
  <conditionalFormatting sqref="AM15">
    <cfRule type="cellIs" dxfId="3" priority="644" operator="lessThanOrEqual">
      <formula>J15</formula>
    </cfRule>
  </conditionalFormatting>
  <conditionalFormatting sqref="AM16">
    <cfRule type="cellIs" dxfId="3" priority="648" operator="lessThanOrEqual">
      <formula>J16</formula>
    </cfRule>
  </conditionalFormatting>
  <conditionalFormatting sqref="AM17">
    <cfRule type="cellIs" dxfId="3" priority="652" operator="lessThanOrEqual">
      <formula>J17</formula>
    </cfRule>
  </conditionalFormatting>
  <conditionalFormatting sqref="AM18">
    <cfRule type="cellIs" dxfId="3" priority="656" operator="lessThanOrEqual">
      <formula>J18</formula>
    </cfRule>
  </conditionalFormatting>
  <conditionalFormatting sqref="AM19">
    <cfRule type="cellIs" dxfId="3" priority="660" operator="lessThanOrEqual">
      <formula>J19</formula>
    </cfRule>
  </conditionalFormatting>
  <conditionalFormatting sqref="AM20">
    <cfRule type="cellIs" dxfId="3" priority="664" operator="lessThanOrEqual">
      <formula>J20</formula>
    </cfRule>
  </conditionalFormatting>
  <conditionalFormatting sqref="AM21">
    <cfRule type="cellIs" dxfId="3" priority="668" operator="lessThanOrEqual">
      <formula>J21</formula>
    </cfRule>
  </conditionalFormatting>
  <conditionalFormatting sqref="AM26">
    <cfRule type="cellIs" dxfId="3" priority="672" operator="lessThanOrEqual">
      <formula>J26</formula>
    </cfRule>
  </conditionalFormatting>
  <conditionalFormatting sqref="AM27">
    <cfRule type="cellIs" dxfId="3" priority="676" operator="lessThanOrEqual">
      <formula>J27</formula>
    </cfRule>
  </conditionalFormatting>
  <conditionalFormatting sqref="AM28">
    <cfRule type="cellIs" dxfId="3" priority="680" operator="lessThanOrEqual">
      <formula>J28</formula>
    </cfRule>
  </conditionalFormatting>
  <conditionalFormatting sqref="AM29">
    <cfRule type="cellIs" dxfId="3" priority="684" operator="lessThanOrEqual">
      <formula>J29</formula>
    </cfRule>
  </conditionalFormatting>
  <conditionalFormatting sqref="AM30">
    <cfRule type="cellIs" dxfId="3" priority="688" operator="lessThanOrEqual">
      <formula>J30</formula>
    </cfRule>
  </conditionalFormatting>
  <conditionalFormatting sqref="AM31">
    <cfRule type="cellIs" dxfId="3" priority="692" operator="lessThanOrEqual">
      <formula>J31</formula>
    </cfRule>
  </conditionalFormatting>
  <conditionalFormatting sqref="AM32">
    <cfRule type="cellIs" dxfId="3" priority="696" operator="lessThanOrEqual">
      <formula>J32</formula>
    </cfRule>
  </conditionalFormatting>
  <conditionalFormatting sqref="AM33">
    <cfRule type="cellIs" dxfId="3" priority="700" operator="lessThanOrEqual">
      <formula>J33</formula>
    </cfRule>
  </conditionalFormatting>
  <conditionalFormatting sqref="AM34">
    <cfRule type="cellIs" dxfId="3" priority="704" operator="lessThanOrEqual">
      <formula>J34</formula>
    </cfRule>
  </conditionalFormatting>
  <conditionalFormatting sqref="AM35">
    <cfRule type="cellIs" dxfId="3" priority="708" operator="lessThanOrEqual">
      <formula>J35</formula>
    </cfRule>
  </conditionalFormatting>
  <conditionalFormatting sqref="AM36">
    <cfRule type="cellIs" dxfId="3" priority="712" operator="lessThanOrEqual">
      <formula>J36</formula>
    </cfRule>
  </conditionalFormatting>
  <conditionalFormatting sqref="AM37">
    <cfRule type="cellIs" dxfId="3" priority="716" operator="lessThanOrEqual">
      <formula>J37</formula>
    </cfRule>
  </conditionalFormatting>
  <conditionalFormatting sqref="AM38">
    <cfRule type="cellIs" dxfId="3" priority="720" operator="lessThanOrEqual">
      <formula>J38</formula>
    </cfRule>
  </conditionalFormatting>
  <conditionalFormatting sqref="AM39">
    <cfRule type="cellIs" dxfId="3" priority="724" operator="lessThanOrEqual">
      <formula>J39</formula>
    </cfRule>
  </conditionalFormatting>
  <conditionalFormatting sqref="AM40">
    <cfRule type="cellIs" dxfId="3" priority="728" operator="lessThanOrEqual">
      <formula>J40</formula>
    </cfRule>
  </conditionalFormatting>
  <conditionalFormatting sqref="AM41">
    <cfRule type="cellIs" dxfId="3" priority="732" operator="lessThanOrEqual">
      <formula>J41</formula>
    </cfRule>
  </conditionalFormatting>
  <conditionalFormatting sqref="AM42">
    <cfRule type="cellIs" dxfId="3" priority="736" operator="lessThanOrEqual">
      <formula>J42</formula>
    </cfRule>
  </conditionalFormatting>
  <conditionalFormatting sqref="AM44">
    <cfRule type="cellIs" dxfId="3" priority="740" operator="lessThanOrEqual">
      <formula>J44</formula>
    </cfRule>
  </conditionalFormatting>
  <conditionalFormatting sqref="AM45">
    <cfRule type="cellIs" dxfId="3" priority="744" operator="lessThanOrEqual">
      <formula>J45</formula>
    </cfRule>
  </conditionalFormatting>
  <conditionalFormatting sqref="AM46">
    <cfRule type="cellIs" dxfId="3" priority="748" operator="lessThanOrEqual">
      <formula>J46</formula>
    </cfRule>
  </conditionalFormatting>
  <conditionalFormatting sqref="AM47">
    <cfRule type="cellIs" dxfId="3" priority="752" operator="lessThanOrEqual">
      <formula>J47</formula>
    </cfRule>
  </conditionalFormatting>
  <conditionalFormatting sqref="AM48">
    <cfRule type="cellIs" dxfId="3" priority="756" operator="lessThanOrEqual">
      <formula>J48</formula>
    </cfRule>
  </conditionalFormatting>
  <conditionalFormatting sqref="AM49">
    <cfRule type="cellIs" dxfId="3" priority="760" operator="lessThanOrEqual">
      <formula>J49</formula>
    </cfRule>
  </conditionalFormatting>
  <conditionalFormatting sqref="AM50">
    <cfRule type="cellIs" dxfId="3" priority="764" operator="lessThanOrEqual">
      <formula>J50</formula>
    </cfRule>
  </conditionalFormatting>
  <conditionalFormatting sqref="AM51">
    <cfRule type="cellIs" dxfId="3" priority="768" operator="lessThanOrEqual">
      <formula>J51</formula>
    </cfRule>
  </conditionalFormatting>
  <conditionalFormatting sqref="AM52">
    <cfRule type="cellIs" dxfId="3" priority="772" operator="lessThanOrEqual">
      <formula>J52</formula>
    </cfRule>
  </conditionalFormatting>
  <conditionalFormatting sqref="AM53">
    <cfRule type="cellIs" dxfId="3" priority="776" operator="lessThanOrEqual">
      <formula>J53</formula>
    </cfRule>
  </conditionalFormatting>
  <conditionalFormatting sqref="AM54">
    <cfRule type="cellIs" dxfId="3" priority="780" operator="lessThanOrEqual">
      <formula>J54</formula>
    </cfRule>
  </conditionalFormatting>
  <conditionalFormatting sqref="AM55">
    <cfRule type="cellIs" dxfId="3" priority="784" operator="lessThanOrEqual">
      <formula>J55</formula>
    </cfRule>
  </conditionalFormatting>
  <conditionalFormatting sqref="AM56">
    <cfRule type="cellIs" dxfId="3" priority="788" operator="lessThanOrEqual">
      <formula>J56</formula>
    </cfRule>
  </conditionalFormatting>
  <conditionalFormatting sqref="AM59">
    <cfRule type="cellIs" dxfId="3" priority="792" operator="lessThanOrEqual">
      <formula>J59</formula>
    </cfRule>
  </conditionalFormatting>
  <conditionalFormatting sqref="AM7">
    <cfRule type="cellIs" dxfId="3" priority="612" operator="lessThanOrEqual">
      <formula>J7</formula>
    </cfRule>
  </conditionalFormatting>
  <conditionalFormatting sqref="AM8">
    <cfRule type="cellIs" dxfId="3" priority="616" operator="lessThanOrEqual">
      <formula>J8</formula>
    </cfRule>
  </conditionalFormatting>
  <conditionalFormatting sqref="AM9">
    <cfRule type="cellIs" dxfId="3" priority="620" operator="lessThanOrEqual">
      <formula>J9</formula>
    </cfRule>
  </conditionalFormatting>
  <conditionalFormatting sqref="AO11">
    <cfRule type="cellIs" dxfId="0" priority="802" operator="lessThan">
      <formula>H11</formula>
    </cfRule>
  </conditionalFormatting>
  <conditionalFormatting sqref="AO12">
    <cfRule type="cellIs" dxfId="0" priority="806" operator="lessThan">
      <formula>H12</formula>
    </cfRule>
  </conditionalFormatting>
  <conditionalFormatting sqref="AO13">
    <cfRule type="cellIs" dxfId="0" priority="810" operator="lessThan">
      <formula>H13</formula>
    </cfRule>
  </conditionalFormatting>
  <conditionalFormatting sqref="AO16">
    <cfRule type="cellIs" dxfId="0" priority="815" operator="lessThan">
      <formula>H16</formula>
    </cfRule>
  </conditionalFormatting>
  <conditionalFormatting sqref="AO17">
    <cfRule type="cellIs" dxfId="0" priority="819" operator="lessThan">
      <formula>H17</formula>
    </cfRule>
  </conditionalFormatting>
  <conditionalFormatting sqref="AO18">
    <cfRule type="cellIs" dxfId="0" priority="827" operator="lessThan">
      <formula>H18</formula>
    </cfRule>
  </conditionalFormatting>
  <conditionalFormatting sqref="AO19">
    <cfRule type="cellIs" dxfId="0" priority="832" operator="lessThan">
      <formula>H19</formula>
    </cfRule>
  </conditionalFormatting>
  <conditionalFormatting sqref="AO20">
    <cfRule type="cellIs" dxfId="0" priority="836" operator="lessThan">
      <formula>H20</formula>
    </cfRule>
  </conditionalFormatting>
  <conditionalFormatting sqref="AO21">
    <cfRule type="cellIs" dxfId="0" priority="840" operator="lessThan">
      <formula>H21</formula>
    </cfRule>
  </conditionalFormatting>
  <conditionalFormatting sqref="AO26">
    <cfRule type="cellIs" dxfId="0" priority="844" operator="lessThan">
      <formula>H26</formula>
    </cfRule>
  </conditionalFormatting>
  <conditionalFormatting sqref="AO27">
    <cfRule type="cellIs" dxfId="0" priority="848" operator="lessThan">
      <formula>H27</formula>
    </cfRule>
  </conditionalFormatting>
  <conditionalFormatting sqref="AO28">
    <cfRule type="cellIs" dxfId="0" priority="852" operator="lessThan">
      <formula>H28</formula>
    </cfRule>
  </conditionalFormatting>
  <conditionalFormatting sqref="AO29">
    <cfRule type="cellIs" dxfId="0" priority="856" operator="lessThan">
      <formula>H29</formula>
    </cfRule>
  </conditionalFormatting>
  <conditionalFormatting sqref="AO30">
    <cfRule type="cellIs" dxfId="0" priority="864" operator="lessThan">
      <formula>H30</formula>
    </cfRule>
  </conditionalFormatting>
  <conditionalFormatting sqref="AO31">
    <cfRule type="cellIs" dxfId="0" priority="868" operator="lessThan">
      <formula>H31</formula>
    </cfRule>
  </conditionalFormatting>
  <conditionalFormatting sqref="AO32">
    <cfRule type="cellIs" dxfId="0" priority="876" operator="lessThan">
      <formula>H32</formula>
    </cfRule>
  </conditionalFormatting>
  <conditionalFormatting sqref="AO33">
    <cfRule type="cellIs" dxfId="0" priority="880" operator="lessThan">
      <formula>H33</formula>
    </cfRule>
  </conditionalFormatting>
  <conditionalFormatting sqref="AO34">
    <cfRule type="cellIs" dxfId="0" priority="884" operator="lessThan">
      <formula>H34</formula>
    </cfRule>
  </conditionalFormatting>
  <conditionalFormatting sqref="AO36">
    <cfRule type="cellIs" dxfId="0" priority="892" operator="lessThan">
      <formula>H36</formula>
    </cfRule>
  </conditionalFormatting>
  <conditionalFormatting sqref="AO38">
    <cfRule type="cellIs" dxfId="0" priority="896" operator="lessThan">
      <formula>H38</formula>
    </cfRule>
  </conditionalFormatting>
  <conditionalFormatting sqref="AO39">
    <cfRule type="cellIs" dxfId="0" priority="900" operator="lessThan">
      <formula>H39</formula>
    </cfRule>
  </conditionalFormatting>
  <conditionalFormatting sqref="AO40">
    <cfRule type="cellIs" dxfId="0" priority="905" operator="lessThan">
      <formula>H40</formula>
    </cfRule>
  </conditionalFormatting>
  <conditionalFormatting sqref="AO41">
    <cfRule type="cellIs" dxfId="0" priority="909" operator="lessThan">
      <formula>H41</formula>
    </cfRule>
  </conditionalFormatting>
  <conditionalFormatting sqref="AO42">
    <cfRule type="cellIs" dxfId="0" priority="913" operator="lessThan">
      <formula>H42</formula>
    </cfRule>
  </conditionalFormatting>
  <conditionalFormatting sqref="AO43">
    <cfRule type="cellIs" dxfId="0" priority="917" operator="lessThan">
      <formula>H43</formula>
    </cfRule>
  </conditionalFormatting>
  <conditionalFormatting sqref="AO44">
    <cfRule type="cellIs" dxfId="0" priority="921" operator="lessThan">
      <formula>H44</formula>
    </cfRule>
  </conditionalFormatting>
  <conditionalFormatting sqref="AO45">
    <cfRule type="cellIs" dxfId="0" priority="925" operator="lessThan">
      <formula>H45</formula>
    </cfRule>
  </conditionalFormatting>
  <conditionalFormatting sqref="AO46">
    <cfRule type="cellIs" dxfId="0" priority="933" operator="lessThan">
      <formula>H46</formula>
    </cfRule>
  </conditionalFormatting>
  <conditionalFormatting sqref="AO47">
    <cfRule type="cellIs" dxfId="0" priority="937" operator="lessThan">
      <formula>H47</formula>
    </cfRule>
  </conditionalFormatting>
  <conditionalFormatting sqref="AO48">
    <cfRule type="cellIs" dxfId="0" priority="941" operator="lessThan">
      <formula>H48</formula>
    </cfRule>
  </conditionalFormatting>
  <conditionalFormatting sqref="AO50">
    <cfRule type="cellIs" dxfId="0" priority="945" operator="lessThan">
      <formula>H50</formula>
    </cfRule>
  </conditionalFormatting>
  <conditionalFormatting sqref="AO51">
    <cfRule type="cellIs" dxfId="0" priority="949" operator="lessThan">
      <formula>H51</formula>
    </cfRule>
  </conditionalFormatting>
  <conditionalFormatting sqref="AO52">
    <cfRule type="cellIs" dxfId="0" priority="953" operator="lessThan">
      <formula>H52</formula>
    </cfRule>
  </conditionalFormatting>
  <conditionalFormatting sqref="AO53">
    <cfRule type="cellIs" dxfId="0" priority="957" operator="lessThan">
      <formula>H53</formula>
    </cfRule>
  </conditionalFormatting>
  <conditionalFormatting sqref="AO54">
    <cfRule type="cellIs" dxfId="0" priority="965" operator="lessThan">
      <formula>H54</formula>
    </cfRule>
  </conditionalFormatting>
  <conditionalFormatting sqref="AO55">
    <cfRule type="cellIs" dxfId="0" priority="969" operator="lessThan">
      <formula>H55</formula>
    </cfRule>
  </conditionalFormatting>
  <conditionalFormatting sqref="AO59">
    <cfRule type="cellIs" dxfId="0" priority="973" operator="lessThan">
      <formula>H59</formula>
    </cfRule>
  </conditionalFormatting>
  <conditionalFormatting sqref="AO8">
    <cfRule type="cellIs" dxfId="0" priority="794" operator="lessThan">
      <formula>H8</formula>
    </cfRule>
  </conditionalFormatting>
  <conditionalFormatting sqref="AO9">
    <cfRule type="cellIs" dxfId="0" priority="798" operator="lessThan">
      <formula>H9</formula>
    </cfRule>
  </conditionalFormatting>
  <conditionalFormatting sqref="AP11">
    <cfRule type="expression" dxfId="2" priority="803">
      <formula>AND(NOT(ISBLANK(AP11)),OR(AO11="NonStk",AP11&gt;AO11))</formula>
    </cfRule>
  </conditionalFormatting>
  <conditionalFormatting sqref="AP12">
    <cfRule type="expression" dxfId="2" priority="807">
      <formula>AND(NOT(ISBLANK(AP12)),OR(AO12="NonStk",AP12&gt;AO12))</formula>
    </cfRule>
  </conditionalFormatting>
  <conditionalFormatting sqref="AP13">
    <cfRule type="expression" dxfId="1" priority="811">
      <formula>AND(AP13&gt;0,MOD(AP13,AR13)&lt;&gt;0)</formula>
    </cfRule>
    <cfRule type="expression" dxfId="2" priority="812">
      <formula>AND(NOT(ISBLANK(AP13)),OR(AO13="NonStk",AP13&gt;AO13))</formula>
    </cfRule>
  </conditionalFormatting>
  <conditionalFormatting sqref="AP16">
    <cfRule type="expression" dxfId="2" priority="816">
      <formula>AND(NOT(ISBLANK(AP16)),OR(AO16="NonStk",AP16&gt;AO16))</formula>
    </cfRule>
  </conditionalFormatting>
  <conditionalFormatting sqref="AP17">
    <cfRule type="expression" dxfId="1" priority="820">
      <formula>AND(AP17&gt;0,MOD(AP17,AR17)&lt;&gt;0)</formula>
    </cfRule>
    <cfRule type="expression" dxfId="2" priority="821">
      <formula>AND(NOT(ISBLANK(AP17)),OR(AO17="NonStk",AP17&gt;AO17))</formula>
    </cfRule>
  </conditionalFormatting>
  <conditionalFormatting sqref="AP18">
    <cfRule type="expression" dxfId="1" priority="828">
      <formula>AND(AP18&gt;0,MOD(AP18,AR18)&lt;&gt;0)</formula>
    </cfRule>
    <cfRule type="expression" dxfId="2" priority="829">
      <formula>AND(NOT(ISBLANK(AP18)),OR(AO18="NonStk",AP18&gt;AO18))</formula>
    </cfRule>
  </conditionalFormatting>
  <conditionalFormatting sqref="AP19">
    <cfRule type="expression" dxfId="2" priority="833">
      <formula>AND(NOT(ISBLANK(AP19)),OR(AO19="NonStk",AP19&gt;AO19))</formula>
    </cfRule>
  </conditionalFormatting>
  <conditionalFormatting sqref="AP20">
    <cfRule type="expression" dxfId="2" priority="837">
      <formula>AND(NOT(ISBLANK(AP20)),OR(AO20="NonStk",AP20&gt;AO20))</formula>
    </cfRule>
  </conditionalFormatting>
  <conditionalFormatting sqref="AP21">
    <cfRule type="expression" dxfId="2" priority="841">
      <formula>AND(NOT(ISBLANK(AP21)),OR(AO21="NonStk",AP21&gt;AO21))</formula>
    </cfRule>
  </conditionalFormatting>
  <conditionalFormatting sqref="AP26">
    <cfRule type="expression" dxfId="2" priority="845">
      <formula>AND(NOT(ISBLANK(AP26)),OR(AO26="NonStk",AP26&gt;AO26))</formula>
    </cfRule>
  </conditionalFormatting>
  <conditionalFormatting sqref="AP27">
    <cfRule type="expression" dxfId="2" priority="849">
      <formula>AND(NOT(ISBLANK(AP27)),OR(AO27="NonStk",AP27&gt;AO27))</formula>
    </cfRule>
  </conditionalFormatting>
  <conditionalFormatting sqref="AP28">
    <cfRule type="expression" dxfId="2" priority="853">
      <formula>AND(NOT(ISBLANK(AP28)),OR(AO28="NonStk",AP28&gt;AO28))</formula>
    </cfRule>
  </conditionalFormatting>
  <conditionalFormatting sqref="AP29">
    <cfRule type="expression" dxfId="1" priority="857">
      <formula>AND(AP29&gt;0,MOD(AP29,AR29)&lt;&gt;0)</formula>
    </cfRule>
    <cfRule type="expression" dxfId="2" priority="858">
      <formula>AND(NOT(ISBLANK(AP29)),OR(AO29="NonStk",AP29&gt;AO29))</formula>
    </cfRule>
  </conditionalFormatting>
  <conditionalFormatting sqref="AP30">
    <cfRule type="expression" dxfId="2" priority="865">
      <formula>AND(NOT(ISBLANK(AP30)),OR(AO30="NonStk",AP30&gt;AO30))</formula>
    </cfRule>
  </conditionalFormatting>
  <conditionalFormatting sqref="AP31">
    <cfRule type="expression" dxfId="1" priority="869">
      <formula>AND(AP31&gt;0,MOD(AP31,AR31)&lt;&gt;0)</formula>
    </cfRule>
    <cfRule type="expression" dxfId="2" priority="870">
      <formula>AND(NOT(ISBLANK(AP31)),OR(AO31="NonStk",AP31&gt;AO31))</formula>
    </cfRule>
  </conditionalFormatting>
  <conditionalFormatting sqref="AP32">
    <cfRule type="expression" dxfId="2" priority="877">
      <formula>AND(NOT(ISBLANK(AP32)),OR(AO32="NonStk",AP32&gt;AO32))</formula>
    </cfRule>
  </conditionalFormatting>
  <conditionalFormatting sqref="AP33">
    <cfRule type="expression" dxfId="2" priority="881">
      <formula>AND(NOT(ISBLANK(AP33)),OR(AO33="NonStk",AP33&gt;AO33))</formula>
    </cfRule>
  </conditionalFormatting>
  <conditionalFormatting sqref="AP34">
    <cfRule type="expression" dxfId="1" priority="885">
      <formula>AND(AP34&gt;0,MOD(AP34,AR34)&lt;&gt;0)</formula>
    </cfRule>
    <cfRule type="expression" dxfId="2" priority="886">
      <formula>AND(NOT(ISBLANK(AP34)),OR(AO34="NonStk",AP34&gt;AO34))</formula>
    </cfRule>
  </conditionalFormatting>
  <conditionalFormatting sqref="AP36">
    <cfRule type="expression" dxfId="2" priority="893">
      <formula>AND(NOT(ISBLANK(AP36)),OR(AO36="NonStk",AP36&gt;AO36))</formula>
    </cfRule>
  </conditionalFormatting>
  <conditionalFormatting sqref="AP38">
    <cfRule type="expression" dxfId="2" priority="897">
      <formula>AND(NOT(ISBLANK(AP38)),OR(AO38="NonStk",AP38&gt;AO38))</formula>
    </cfRule>
  </conditionalFormatting>
  <conditionalFormatting sqref="AP39">
    <cfRule type="expression" dxfId="1" priority="901">
      <formula>AND(AP39&gt;0,MOD(AP39,AR39)&lt;&gt;0)</formula>
    </cfRule>
    <cfRule type="expression" dxfId="2" priority="902">
      <formula>AND(NOT(ISBLANK(AP39)),OR(AO39="NonStk",AP39&gt;AO39))</formula>
    </cfRule>
  </conditionalFormatting>
  <conditionalFormatting sqref="AP40">
    <cfRule type="expression" dxfId="2" priority="906">
      <formula>AND(NOT(ISBLANK(AP40)),OR(AO40="NonStk",AP40&gt;AO40))</formula>
    </cfRule>
  </conditionalFormatting>
  <conditionalFormatting sqref="AP41">
    <cfRule type="expression" dxfId="2" priority="910">
      <formula>AND(NOT(ISBLANK(AP41)),OR(AO41="NonStk",AP41&gt;AO41))</formula>
    </cfRule>
  </conditionalFormatting>
  <conditionalFormatting sqref="AP42">
    <cfRule type="expression" dxfId="2" priority="914">
      <formula>AND(NOT(ISBLANK(AP42)),OR(AO42="NonStk",AP42&gt;AO42))</formula>
    </cfRule>
  </conditionalFormatting>
  <conditionalFormatting sqref="AP43">
    <cfRule type="expression" dxfId="2" priority="918">
      <formula>AND(NOT(ISBLANK(AP43)),OR(AO43="NonStk",AP43&gt;AO43))</formula>
    </cfRule>
  </conditionalFormatting>
  <conditionalFormatting sqref="AP44">
    <cfRule type="expression" dxfId="2" priority="922">
      <formula>AND(NOT(ISBLANK(AP44)),OR(AO44="NonStk",AP44&gt;AO44))</formula>
    </cfRule>
  </conditionalFormatting>
  <conditionalFormatting sqref="AP45">
    <cfRule type="expression" dxfId="1" priority="926">
      <formula>AND(AP45&gt;0,MOD(AP45,AR45)&lt;&gt;0)</formula>
    </cfRule>
    <cfRule type="expression" dxfId="2" priority="927">
      <formula>AND(NOT(ISBLANK(AP45)),OR(AO45="NonStk",AP45&gt;AO45))</formula>
    </cfRule>
  </conditionalFormatting>
  <conditionalFormatting sqref="AP46">
    <cfRule type="expression" dxfId="2" priority="934">
      <formula>AND(NOT(ISBLANK(AP46)),OR(AO46="NonStk",AP46&gt;AO46))</formula>
    </cfRule>
  </conditionalFormatting>
  <conditionalFormatting sqref="AP47">
    <cfRule type="expression" dxfId="2" priority="938">
      <formula>AND(NOT(ISBLANK(AP47)),OR(AO47="NonStk",AP47&gt;AO47))</formula>
    </cfRule>
  </conditionalFormatting>
  <conditionalFormatting sqref="AP48">
    <cfRule type="expression" dxfId="2" priority="942">
      <formula>AND(NOT(ISBLANK(AP48)),OR(AO48="NonStk",AP48&gt;AO48))</formula>
    </cfRule>
  </conditionalFormatting>
  <conditionalFormatting sqref="AP50">
    <cfRule type="expression" dxfId="2" priority="946">
      <formula>AND(NOT(ISBLANK(AP50)),OR(AO50="NonStk",AP50&gt;AO50))</formula>
    </cfRule>
  </conditionalFormatting>
  <conditionalFormatting sqref="AP51">
    <cfRule type="expression" dxfId="2" priority="950">
      <formula>AND(NOT(ISBLANK(AP51)),OR(AO51="NonStk",AP51&gt;AO51))</formula>
    </cfRule>
  </conditionalFormatting>
  <conditionalFormatting sqref="AP52">
    <cfRule type="expression" dxfId="2" priority="954">
      <formula>AND(NOT(ISBLANK(AP52)),OR(AO52="NonStk",AP52&gt;AO52))</formula>
    </cfRule>
  </conditionalFormatting>
  <conditionalFormatting sqref="AP53">
    <cfRule type="expression" dxfId="1" priority="958">
      <formula>AND(AP53&gt;0,MOD(AP53,AR53)&lt;&gt;0)</formula>
    </cfRule>
    <cfRule type="expression" dxfId="2" priority="959">
      <formula>AND(NOT(ISBLANK(AP53)),OR(AO53="NonStk",AP53&gt;AO53))</formula>
    </cfRule>
  </conditionalFormatting>
  <conditionalFormatting sqref="AP54">
    <cfRule type="expression" dxfId="2" priority="966">
      <formula>AND(NOT(ISBLANK(AP54)),OR(AO54="NonStk",AP54&gt;AO54))</formula>
    </cfRule>
  </conditionalFormatting>
  <conditionalFormatting sqref="AP55">
    <cfRule type="expression" dxfId="2" priority="970">
      <formula>AND(NOT(ISBLANK(AP55)),OR(AO55="NonStk",AP55&gt;AO55))</formula>
    </cfRule>
  </conditionalFormatting>
  <conditionalFormatting sqref="AP59">
    <cfRule type="expression" dxfId="2" priority="974">
      <formula>AND(NOT(ISBLANK(AP59)),OR(AO59="NonStk",AP59&gt;AO59))</formula>
    </cfRule>
  </conditionalFormatting>
  <conditionalFormatting sqref="AP8">
    <cfRule type="expression" dxfId="2" priority="795">
      <formula>AND(NOT(ISBLANK(AP8)),OR(AO8="NonStk",AP8&gt;AO8))</formula>
    </cfRule>
  </conditionalFormatting>
  <conditionalFormatting sqref="AP9">
    <cfRule type="expression" dxfId="2" priority="799">
      <formula>AND(NOT(ISBLANK(AP9)),OR(AO9="NonStk",AP9&gt;AO9))</formula>
    </cfRule>
  </conditionalFormatting>
  <conditionalFormatting sqref="AQ11">
    <cfRule type="cellIs" dxfId="3" priority="805" operator="lessThanOrEqual">
      <formula>I11</formula>
    </cfRule>
  </conditionalFormatting>
  <conditionalFormatting sqref="AQ12">
    <cfRule type="cellIs" dxfId="3" priority="809" operator="lessThanOrEqual">
      <formula>I12</formula>
    </cfRule>
  </conditionalFormatting>
  <conditionalFormatting sqref="AQ13">
    <cfRule type="cellIs" dxfId="3" priority="814" operator="lessThanOrEqual">
      <formula>I13</formula>
    </cfRule>
  </conditionalFormatting>
  <conditionalFormatting sqref="AQ16">
    <cfRule type="cellIs" dxfId="3" priority="818" operator="lessThanOrEqual">
      <formula>I16</formula>
    </cfRule>
  </conditionalFormatting>
  <conditionalFormatting sqref="AQ17">
    <cfRule type="cellIs" dxfId="3" priority="823" operator="lessThanOrEqual">
      <formula>I17</formula>
    </cfRule>
    <cfRule type="expression" dxfId="1" priority="824">
      <formula>AND(H17&lt;15000,AP17&lt;15000)</formula>
    </cfRule>
  </conditionalFormatting>
  <conditionalFormatting sqref="AQ18">
    <cfRule type="cellIs" dxfId="3" priority="831" operator="lessThanOrEqual">
      <formula>I18</formula>
    </cfRule>
  </conditionalFormatting>
  <conditionalFormatting sqref="AQ19">
    <cfRule type="cellIs" dxfId="3" priority="835" operator="lessThanOrEqual">
      <formula>I19</formula>
    </cfRule>
  </conditionalFormatting>
  <conditionalFormatting sqref="AQ20">
    <cfRule type="cellIs" dxfId="3" priority="839" operator="lessThanOrEqual">
      <formula>I20</formula>
    </cfRule>
  </conditionalFormatting>
  <conditionalFormatting sqref="AQ21">
    <cfRule type="cellIs" dxfId="3" priority="843" operator="lessThanOrEqual">
      <formula>I21</formula>
    </cfRule>
  </conditionalFormatting>
  <conditionalFormatting sqref="AQ26">
    <cfRule type="cellIs" dxfId="3" priority="847" operator="lessThanOrEqual">
      <formula>I26</formula>
    </cfRule>
  </conditionalFormatting>
  <conditionalFormatting sqref="AQ27">
    <cfRule type="cellIs" dxfId="3" priority="851" operator="lessThanOrEqual">
      <formula>I27</formula>
    </cfRule>
  </conditionalFormatting>
  <conditionalFormatting sqref="AQ28">
    <cfRule type="cellIs" dxfId="3" priority="855" operator="lessThanOrEqual">
      <formula>I28</formula>
    </cfRule>
  </conditionalFormatting>
  <conditionalFormatting sqref="AQ29">
    <cfRule type="cellIs" dxfId="3" priority="860" operator="lessThanOrEqual">
      <formula>I29</formula>
    </cfRule>
    <cfRule type="expression" dxfId="1" priority="861">
      <formula>AND(H29&lt;15000,AP29&lt;15000)</formula>
    </cfRule>
  </conditionalFormatting>
  <conditionalFormatting sqref="AQ30">
    <cfRule type="cellIs" dxfId="3" priority="867" operator="lessThanOrEqual">
      <formula>I30</formula>
    </cfRule>
  </conditionalFormatting>
  <conditionalFormatting sqref="AQ31">
    <cfRule type="cellIs" dxfId="3" priority="872" operator="lessThanOrEqual">
      <formula>I31</formula>
    </cfRule>
    <cfRule type="expression" dxfId="1" priority="873">
      <formula>AND(H31&lt;15000,AP31&lt;15000)</formula>
    </cfRule>
  </conditionalFormatting>
  <conditionalFormatting sqref="AQ32">
    <cfRule type="cellIs" dxfId="3" priority="879" operator="lessThanOrEqual">
      <formula>I32</formula>
    </cfRule>
  </conditionalFormatting>
  <conditionalFormatting sqref="AQ33">
    <cfRule type="cellIs" dxfId="3" priority="883" operator="lessThanOrEqual">
      <formula>I33</formula>
    </cfRule>
  </conditionalFormatting>
  <conditionalFormatting sqref="AQ34">
    <cfRule type="cellIs" dxfId="3" priority="888" operator="lessThanOrEqual">
      <formula>I34</formula>
    </cfRule>
    <cfRule type="expression" dxfId="1" priority="889">
      <formula>AND(H34&lt;15000,AP34&lt;15000)</formula>
    </cfRule>
  </conditionalFormatting>
  <conditionalFormatting sqref="AQ36">
    <cfRule type="cellIs" dxfId="3" priority="895" operator="lessThanOrEqual">
      <formula>I36</formula>
    </cfRule>
  </conditionalFormatting>
  <conditionalFormatting sqref="AQ38">
    <cfRule type="cellIs" dxfId="3" priority="899" operator="lessThanOrEqual">
      <formula>I38</formula>
    </cfRule>
  </conditionalFormatting>
  <conditionalFormatting sqref="AQ39">
    <cfRule type="cellIs" dxfId="3" priority="904" operator="lessThanOrEqual">
      <formula>I39</formula>
    </cfRule>
  </conditionalFormatting>
  <conditionalFormatting sqref="AQ40">
    <cfRule type="cellIs" dxfId="3" priority="908" operator="lessThanOrEqual">
      <formula>I40</formula>
    </cfRule>
  </conditionalFormatting>
  <conditionalFormatting sqref="AQ41">
    <cfRule type="cellIs" dxfId="3" priority="912" operator="lessThanOrEqual">
      <formula>I41</formula>
    </cfRule>
  </conditionalFormatting>
  <conditionalFormatting sqref="AQ42">
    <cfRule type="cellIs" dxfId="3" priority="916" operator="lessThanOrEqual">
      <formula>I42</formula>
    </cfRule>
  </conditionalFormatting>
  <conditionalFormatting sqref="AQ43">
    <cfRule type="cellIs" dxfId="3" priority="920" operator="lessThanOrEqual">
      <formula>I43</formula>
    </cfRule>
  </conditionalFormatting>
  <conditionalFormatting sqref="AQ44">
    <cfRule type="cellIs" dxfId="3" priority="924" operator="lessThanOrEqual">
      <formula>I44</formula>
    </cfRule>
  </conditionalFormatting>
  <conditionalFormatting sqref="AQ45">
    <cfRule type="cellIs" dxfId="3" priority="929" operator="lessThanOrEqual">
      <formula>I45</formula>
    </cfRule>
    <cfRule type="expression" dxfId="1" priority="930">
      <formula>AND(H45&lt;220,AP45&lt;220)</formula>
    </cfRule>
  </conditionalFormatting>
  <conditionalFormatting sqref="AQ46">
    <cfRule type="cellIs" dxfId="3" priority="936" operator="lessThanOrEqual">
      <formula>I46</formula>
    </cfRule>
  </conditionalFormatting>
  <conditionalFormatting sqref="AQ47">
    <cfRule type="cellIs" dxfId="3" priority="940" operator="lessThanOrEqual">
      <formula>I47</formula>
    </cfRule>
  </conditionalFormatting>
  <conditionalFormatting sqref="AQ48">
    <cfRule type="cellIs" dxfId="3" priority="944" operator="lessThanOrEqual">
      <formula>I48</formula>
    </cfRule>
  </conditionalFormatting>
  <conditionalFormatting sqref="AQ50">
    <cfRule type="cellIs" dxfId="3" priority="948" operator="lessThanOrEqual">
      <formula>I50</formula>
    </cfRule>
  </conditionalFormatting>
  <conditionalFormatting sqref="AQ51">
    <cfRule type="cellIs" dxfId="3" priority="952" operator="lessThanOrEqual">
      <formula>I51</formula>
    </cfRule>
  </conditionalFormatting>
  <conditionalFormatting sqref="AQ52">
    <cfRule type="cellIs" dxfId="3" priority="956" operator="lessThanOrEqual">
      <formula>I52</formula>
    </cfRule>
  </conditionalFormatting>
  <conditionalFormatting sqref="AQ53">
    <cfRule type="cellIs" dxfId="3" priority="961" operator="lessThanOrEqual">
      <formula>I53</formula>
    </cfRule>
    <cfRule type="expression" dxfId="1" priority="962">
      <formula>AND(H53&lt;3000,AP53&lt;3000)</formula>
    </cfRule>
  </conditionalFormatting>
  <conditionalFormatting sqref="AQ54">
    <cfRule type="cellIs" dxfId="3" priority="968" operator="lessThanOrEqual">
      <formula>I54</formula>
    </cfRule>
  </conditionalFormatting>
  <conditionalFormatting sqref="AQ55">
    <cfRule type="cellIs" dxfId="3" priority="972" operator="lessThanOrEqual">
      <formula>I55</formula>
    </cfRule>
  </conditionalFormatting>
  <conditionalFormatting sqref="AQ59">
    <cfRule type="cellIs" dxfId="3" priority="976" operator="lessThanOrEqual">
      <formula>I59</formula>
    </cfRule>
  </conditionalFormatting>
  <conditionalFormatting sqref="AQ8">
    <cfRule type="cellIs" dxfId="3" priority="797" operator="lessThanOrEqual">
      <formula>I8</formula>
    </cfRule>
  </conditionalFormatting>
  <conditionalFormatting sqref="AQ9">
    <cfRule type="cellIs" dxfId="3" priority="801" operator="lessThanOrEqual">
      <formula>I9</formula>
    </cfRule>
  </conditionalFormatting>
  <conditionalFormatting sqref="AR17">
    <cfRule type="expression" dxfId="1" priority="825">
      <formula>AND(H17&lt;15000,AP17&lt;15000)</formula>
    </cfRule>
  </conditionalFormatting>
  <conditionalFormatting sqref="AR29">
    <cfRule type="expression" dxfId="1" priority="862">
      <formula>AND(H29&lt;15000,AP29&lt;15000)</formula>
    </cfRule>
  </conditionalFormatting>
  <conditionalFormatting sqref="AR31">
    <cfRule type="expression" dxfId="1" priority="874">
      <formula>AND(H31&lt;15000,AP31&lt;15000)</formula>
    </cfRule>
  </conditionalFormatting>
  <conditionalFormatting sqref="AR34">
    <cfRule type="expression" dxfId="1" priority="890">
      <formula>AND(H34&lt;15000,AP34&lt;15000)</formula>
    </cfRule>
  </conditionalFormatting>
  <conditionalFormatting sqref="AR45">
    <cfRule type="expression" dxfId="1" priority="931">
      <formula>AND(H45&lt;220,AP45&lt;220)</formula>
    </cfRule>
  </conditionalFormatting>
  <conditionalFormatting sqref="AR53">
    <cfRule type="expression" dxfId="1" priority="963">
      <formula>AND(H53&lt;3000,AP53&lt;3000)</formula>
    </cfRule>
  </conditionalFormatting>
  <conditionalFormatting sqref="AS11">
    <cfRule type="cellIs" dxfId="3" priority="804" operator="lessThanOrEqual">
      <formula>J11</formula>
    </cfRule>
  </conditionalFormatting>
  <conditionalFormatting sqref="AS12">
    <cfRule type="cellIs" dxfId="3" priority="808" operator="lessThanOrEqual">
      <formula>J12</formula>
    </cfRule>
  </conditionalFormatting>
  <conditionalFormatting sqref="AS13">
    <cfRule type="cellIs" dxfId="3" priority="813" operator="lessThanOrEqual">
      <formula>J13</formula>
    </cfRule>
  </conditionalFormatting>
  <conditionalFormatting sqref="AS16">
    <cfRule type="cellIs" dxfId="3" priority="817" operator="lessThanOrEqual">
      <formula>J16</formula>
    </cfRule>
  </conditionalFormatting>
  <conditionalFormatting sqref="AS17">
    <cfRule type="cellIs" dxfId="3" priority="822" operator="lessThanOrEqual">
      <formula>J17</formula>
    </cfRule>
    <cfRule type="expression" dxfId="1" priority="826">
      <formula>AND(H17&lt;15000,AP17&lt;15000)</formula>
    </cfRule>
  </conditionalFormatting>
  <conditionalFormatting sqref="AS18">
    <cfRule type="cellIs" dxfId="3" priority="830" operator="lessThanOrEqual">
      <formula>J18</formula>
    </cfRule>
  </conditionalFormatting>
  <conditionalFormatting sqref="AS19">
    <cfRule type="cellIs" dxfId="3" priority="834" operator="lessThanOrEqual">
      <formula>J19</formula>
    </cfRule>
  </conditionalFormatting>
  <conditionalFormatting sqref="AS20">
    <cfRule type="cellIs" dxfId="3" priority="838" operator="lessThanOrEqual">
      <formula>J20</formula>
    </cfRule>
  </conditionalFormatting>
  <conditionalFormatting sqref="AS21">
    <cfRule type="cellIs" dxfId="3" priority="842" operator="lessThanOrEqual">
      <formula>J21</formula>
    </cfRule>
  </conditionalFormatting>
  <conditionalFormatting sqref="AS26">
    <cfRule type="cellIs" dxfId="3" priority="846" operator="lessThanOrEqual">
      <formula>J26</formula>
    </cfRule>
  </conditionalFormatting>
  <conditionalFormatting sqref="AS27">
    <cfRule type="cellIs" dxfId="3" priority="850" operator="lessThanOrEqual">
      <formula>J27</formula>
    </cfRule>
  </conditionalFormatting>
  <conditionalFormatting sqref="AS28">
    <cfRule type="cellIs" dxfId="3" priority="854" operator="lessThanOrEqual">
      <formula>J28</formula>
    </cfRule>
  </conditionalFormatting>
  <conditionalFormatting sqref="AS29">
    <cfRule type="cellIs" dxfId="3" priority="859" operator="lessThanOrEqual">
      <formula>J29</formula>
    </cfRule>
    <cfRule type="expression" dxfId="1" priority="863">
      <formula>AND(H29&lt;15000,AP29&lt;15000)</formula>
    </cfRule>
  </conditionalFormatting>
  <conditionalFormatting sqref="AS30">
    <cfRule type="cellIs" dxfId="3" priority="866" operator="lessThanOrEqual">
      <formula>J30</formula>
    </cfRule>
  </conditionalFormatting>
  <conditionalFormatting sqref="AS31">
    <cfRule type="cellIs" dxfId="3" priority="871" operator="lessThanOrEqual">
      <formula>J31</formula>
    </cfRule>
    <cfRule type="expression" dxfId="1" priority="875">
      <formula>AND(H31&lt;15000,AP31&lt;15000)</formula>
    </cfRule>
  </conditionalFormatting>
  <conditionalFormatting sqref="AS32">
    <cfRule type="cellIs" dxfId="3" priority="878" operator="lessThanOrEqual">
      <formula>J32</formula>
    </cfRule>
  </conditionalFormatting>
  <conditionalFormatting sqref="AS33">
    <cfRule type="cellIs" dxfId="3" priority="882" operator="lessThanOrEqual">
      <formula>J33</formula>
    </cfRule>
  </conditionalFormatting>
  <conditionalFormatting sqref="AS34">
    <cfRule type="cellIs" dxfId="3" priority="887" operator="lessThanOrEqual">
      <formula>J34</formula>
    </cfRule>
    <cfRule type="expression" dxfId="1" priority="891">
      <formula>AND(H34&lt;15000,AP34&lt;15000)</formula>
    </cfRule>
  </conditionalFormatting>
  <conditionalFormatting sqref="AS36">
    <cfRule type="cellIs" dxfId="3" priority="894" operator="lessThanOrEqual">
      <formula>J36</formula>
    </cfRule>
  </conditionalFormatting>
  <conditionalFormatting sqref="AS38">
    <cfRule type="cellIs" dxfId="3" priority="898" operator="lessThanOrEqual">
      <formula>J38</formula>
    </cfRule>
  </conditionalFormatting>
  <conditionalFormatting sqref="AS39">
    <cfRule type="cellIs" dxfId="3" priority="903" operator="lessThanOrEqual">
      <formula>J39</formula>
    </cfRule>
  </conditionalFormatting>
  <conditionalFormatting sqref="AS40">
    <cfRule type="cellIs" dxfId="3" priority="907" operator="lessThanOrEqual">
      <formula>J40</formula>
    </cfRule>
  </conditionalFormatting>
  <conditionalFormatting sqref="AS41">
    <cfRule type="cellIs" dxfId="3" priority="911" operator="lessThanOrEqual">
      <formula>J41</formula>
    </cfRule>
  </conditionalFormatting>
  <conditionalFormatting sqref="AS42">
    <cfRule type="cellIs" dxfId="3" priority="915" operator="lessThanOrEqual">
      <formula>J42</formula>
    </cfRule>
  </conditionalFormatting>
  <conditionalFormatting sqref="AS43">
    <cfRule type="cellIs" dxfId="3" priority="919" operator="lessThanOrEqual">
      <formula>J43</formula>
    </cfRule>
  </conditionalFormatting>
  <conditionalFormatting sqref="AS44">
    <cfRule type="cellIs" dxfId="3" priority="923" operator="lessThanOrEqual">
      <formula>J44</formula>
    </cfRule>
  </conditionalFormatting>
  <conditionalFormatting sqref="AS45">
    <cfRule type="cellIs" dxfId="3" priority="928" operator="lessThanOrEqual">
      <formula>J45</formula>
    </cfRule>
    <cfRule type="expression" dxfId="1" priority="932">
      <formula>AND(H45&lt;220,AP45&lt;220)</formula>
    </cfRule>
  </conditionalFormatting>
  <conditionalFormatting sqref="AS46">
    <cfRule type="cellIs" dxfId="3" priority="935" operator="lessThanOrEqual">
      <formula>J46</formula>
    </cfRule>
  </conditionalFormatting>
  <conditionalFormatting sqref="AS47">
    <cfRule type="cellIs" dxfId="3" priority="939" operator="lessThanOrEqual">
      <formula>J47</formula>
    </cfRule>
  </conditionalFormatting>
  <conditionalFormatting sqref="AS48">
    <cfRule type="cellIs" dxfId="3" priority="943" operator="lessThanOrEqual">
      <formula>J48</formula>
    </cfRule>
  </conditionalFormatting>
  <conditionalFormatting sqref="AS50">
    <cfRule type="cellIs" dxfId="3" priority="947" operator="lessThanOrEqual">
      <formula>J50</formula>
    </cfRule>
  </conditionalFormatting>
  <conditionalFormatting sqref="AS51">
    <cfRule type="cellIs" dxfId="3" priority="951" operator="lessThanOrEqual">
      <formula>J51</formula>
    </cfRule>
  </conditionalFormatting>
  <conditionalFormatting sqref="AS52">
    <cfRule type="cellIs" dxfId="3" priority="955" operator="lessThanOrEqual">
      <formula>J52</formula>
    </cfRule>
  </conditionalFormatting>
  <conditionalFormatting sqref="AS53">
    <cfRule type="cellIs" dxfId="3" priority="960" operator="lessThanOrEqual">
      <formula>J53</formula>
    </cfRule>
    <cfRule type="expression" dxfId="1" priority="964">
      <formula>AND(H53&lt;3000,AP53&lt;3000)</formula>
    </cfRule>
  </conditionalFormatting>
  <conditionalFormatting sqref="AS54">
    <cfRule type="cellIs" dxfId="3" priority="967" operator="lessThanOrEqual">
      <formula>J54</formula>
    </cfRule>
  </conditionalFormatting>
  <conditionalFormatting sqref="AS55">
    <cfRule type="cellIs" dxfId="3" priority="971" operator="lessThanOrEqual">
      <formula>J55</formula>
    </cfRule>
  </conditionalFormatting>
  <conditionalFormatting sqref="AS59">
    <cfRule type="cellIs" dxfId="3" priority="975" operator="lessThanOrEqual">
      <formula>J59</formula>
    </cfRule>
  </conditionalFormatting>
  <conditionalFormatting sqref="AS8">
    <cfRule type="cellIs" dxfId="3" priority="796" operator="lessThanOrEqual">
      <formula>J8</formula>
    </cfRule>
  </conditionalFormatting>
  <conditionalFormatting sqref="AS9">
    <cfRule type="cellIs" dxfId="3" priority="800" operator="lessThanOrEqual">
      <formula>J9</formula>
    </cfRule>
  </conditionalFormatting>
  <conditionalFormatting sqref="AU17">
    <cfRule type="cellIs" dxfId="0" priority="982" operator="lessThan">
      <formula>H17</formula>
    </cfRule>
  </conditionalFormatting>
  <conditionalFormatting sqref="AU18">
    <cfRule type="cellIs" dxfId="0" priority="987" operator="lessThan">
      <formula>H18</formula>
    </cfRule>
  </conditionalFormatting>
  <conditionalFormatting sqref="AU20">
    <cfRule type="cellIs" dxfId="0" priority="992" operator="lessThan">
      <formula>H20</formula>
    </cfRule>
  </conditionalFormatting>
  <conditionalFormatting sqref="AU29">
    <cfRule type="cellIs" dxfId="0" priority="997" operator="lessThan">
      <formula>H29</formula>
    </cfRule>
  </conditionalFormatting>
  <conditionalFormatting sqref="AU30">
    <cfRule type="cellIs" dxfId="0" priority="1005" operator="lessThan">
      <formula>H30</formula>
    </cfRule>
  </conditionalFormatting>
  <conditionalFormatting sqref="AU31">
    <cfRule type="cellIs" dxfId="0" priority="1013" operator="lessThan">
      <formula>H31</formula>
    </cfRule>
  </conditionalFormatting>
  <conditionalFormatting sqref="AU32">
    <cfRule type="cellIs" dxfId="0" priority="1021" operator="lessThan">
      <formula>H32</formula>
    </cfRule>
  </conditionalFormatting>
  <conditionalFormatting sqref="AU33">
    <cfRule type="cellIs" dxfId="0" priority="1029" operator="lessThan">
      <formula>H33</formula>
    </cfRule>
  </conditionalFormatting>
  <conditionalFormatting sqref="AU34">
    <cfRule type="cellIs" dxfId="0" priority="1037" operator="lessThan">
      <formula>H34</formula>
    </cfRule>
  </conditionalFormatting>
  <conditionalFormatting sqref="AU36">
    <cfRule type="cellIs" dxfId="0" priority="1045" operator="lessThan">
      <formula>H36</formula>
    </cfRule>
  </conditionalFormatting>
  <conditionalFormatting sqref="AU39">
    <cfRule type="cellIs" dxfId="0" priority="1053" operator="lessThan">
      <formula>H39</formula>
    </cfRule>
  </conditionalFormatting>
  <conditionalFormatting sqref="AU40">
    <cfRule type="cellIs" dxfId="0" priority="1061" operator="lessThan">
      <formula>H40</formula>
    </cfRule>
  </conditionalFormatting>
  <conditionalFormatting sqref="AU46">
    <cfRule type="cellIs" dxfId="0" priority="1069" operator="lessThan">
      <formula>H46</formula>
    </cfRule>
  </conditionalFormatting>
  <conditionalFormatting sqref="AU47">
    <cfRule type="cellIs" dxfId="0" priority="1074" operator="lessThan">
      <formula>H47</formula>
    </cfRule>
  </conditionalFormatting>
  <conditionalFormatting sqref="AU51">
    <cfRule type="cellIs" dxfId="0" priority="1079" operator="lessThan">
      <formula>H51</formula>
    </cfRule>
  </conditionalFormatting>
  <conditionalFormatting sqref="AU54">
    <cfRule type="cellIs" dxfId="0" priority="1084" operator="lessThan">
      <formula>H54</formula>
    </cfRule>
  </conditionalFormatting>
  <conditionalFormatting sqref="AU55">
    <cfRule type="cellIs" dxfId="0" priority="1089" operator="lessThan">
      <formula>H55</formula>
    </cfRule>
  </conditionalFormatting>
  <conditionalFormatting sqref="AU9">
    <cfRule type="cellIs" dxfId="0" priority="977" operator="lessThan">
      <formula>H9</formula>
    </cfRule>
  </conditionalFormatting>
  <conditionalFormatting sqref="AV17">
    <cfRule type="expression" dxfId="1" priority="983">
      <formula>AND(AV17&gt;0,MOD(AV17,AX17)&lt;&gt;0)</formula>
    </cfRule>
    <cfRule type="expression" dxfId="2" priority="984">
      <formula>AND(NOT(ISBLANK(AV17)),OR(AU17="NonStk",AV17&gt;AU17))</formula>
    </cfRule>
  </conditionalFormatting>
  <conditionalFormatting sqref="AV18">
    <cfRule type="expression" dxfId="1" priority="988">
      <formula>AND(AV18&gt;0,MOD(AV18,AX18)&lt;&gt;0)</formula>
    </cfRule>
    <cfRule type="expression" dxfId="2" priority="989">
      <formula>AND(NOT(ISBLANK(AV18)),OR(AU18="NonStk",AV18&gt;AU18))</formula>
    </cfRule>
  </conditionalFormatting>
  <conditionalFormatting sqref="AV20">
    <cfRule type="expression" dxfId="1" priority="993">
      <formula>AND(AV20&gt;0,MOD(AV20,AX20)&lt;&gt;0)</formula>
    </cfRule>
    <cfRule type="expression" dxfId="2" priority="994">
      <formula>AND(NOT(ISBLANK(AV20)),OR(AU20="NonStk",AV20&gt;AU20))</formula>
    </cfRule>
  </conditionalFormatting>
  <conditionalFormatting sqref="AV29">
    <cfRule type="expression" dxfId="1" priority="998">
      <formula>AND(AV29&gt;0,MOD(AV29,AX29)&lt;&gt;0)</formula>
    </cfRule>
    <cfRule type="expression" dxfId="2" priority="999">
      <formula>AND(NOT(ISBLANK(AV29)),OR(AU29="NonStk",AV29&gt;AU29))</formula>
    </cfRule>
  </conditionalFormatting>
  <conditionalFormatting sqref="AV30">
    <cfRule type="expression" dxfId="1" priority="1006">
      <formula>AND(AV30&gt;0,MOD(AV30,AX30)&lt;&gt;0)</formula>
    </cfRule>
    <cfRule type="expression" dxfId="2" priority="1007">
      <formula>AND(NOT(ISBLANK(AV30)),OR(AU30="NonStk",AV30&gt;AU30))</formula>
    </cfRule>
  </conditionalFormatting>
  <conditionalFormatting sqref="AV31">
    <cfRule type="expression" dxfId="1" priority="1014">
      <formula>AND(AV31&gt;0,MOD(AV31,AX31)&lt;&gt;0)</formula>
    </cfRule>
    <cfRule type="expression" dxfId="2" priority="1015">
      <formula>AND(NOT(ISBLANK(AV31)),OR(AU31="NonStk",AV31&gt;AU31))</formula>
    </cfRule>
  </conditionalFormatting>
  <conditionalFormatting sqref="AV32">
    <cfRule type="expression" dxfId="1" priority="1022">
      <formula>AND(AV32&gt;0,MOD(AV32,AX32)&lt;&gt;0)</formula>
    </cfRule>
    <cfRule type="expression" dxfId="2" priority="1023">
      <formula>AND(NOT(ISBLANK(AV32)),OR(AU32="NonStk",AV32&gt;AU32))</formula>
    </cfRule>
  </conditionalFormatting>
  <conditionalFormatting sqref="AV33">
    <cfRule type="expression" dxfId="1" priority="1030">
      <formula>AND(AV33&gt;0,MOD(AV33,AX33)&lt;&gt;0)</formula>
    </cfRule>
    <cfRule type="expression" dxfId="2" priority="1031">
      <formula>AND(NOT(ISBLANK(AV33)),OR(AU33="NonStk",AV33&gt;AU33))</formula>
    </cfRule>
  </conditionalFormatting>
  <conditionalFormatting sqref="AV34">
    <cfRule type="expression" dxfId="1" priority="1038">
      <formula>AND(AV34&gt;0,MOD(AV34,AX34)&lt;&gt;0)</formula>
    </cfRule>
    <cfRule type="expression" dxfId="2" priority="1039">
      <formula>AND(NOT(ISBLANK(AV34)),OR(AU34="NonStk",AV34&gt;AU34))</formula>
    </cfRule>
  </conditionalFormatting>
  <conditionalFormatting sqref="AV36">
    <cfRule type="expression" dxfId="1" priority="1046">
      <formula>AND(AV36&gt;0,MOD(AV36,AX36)&lt;&gt;0)</formula>
    </cfRule>
    <cfRule type="expression" dxfId="2" priority="1047">
      <formula>AND(NOT(ISBLANK(AV36)),OR(AU36="NonStk",AV36&gt;AU36))</formula>
    </cfRule>
  </conditionalFormatting>
  <conditionalFormatting sqref="AV39">
    <cfRule type="expression" dxfId="1" priority="1054">
      <formula>AND(AV39&gt;0,MOD(AV39,AX39)&lt;&gt;0)</formula>
    </cfRule>
    <cfRule type="expression" dxfId="2" priority="1055">
      <formula>AND(NOT(ISBLANK(AV39)),OR(AU39="NonStk",AV39&gt;AU39))</formula>
    </cfRule>
  </conditionalFormatting>
  <conditionalFormatting sqref="AV40">
    <cfRule type="expression" dxfId="1" priority="1062">
      <formula>AND(AV40&gt;0,MOD(AV40,AX40)&lt;&gt;0)</formula>
    </cfRule>
    <cfRule type="expression" dxfId="2" priority="1063">
      <formula>AND(NOT(ISBLANK(AV40)),OR(AU40="NonStk",AV40&gt;AU40))</formula>
    </cfRule>
  </conditionalFormatting>
  <conditionalFormatting sqref="AV46">
    <cfRule type="expression" dxfId="1" priority="1070">
      <formula>AND(AV46&gt;0,MOD(AV46,AX46)&lt;&gt;0)</formula>
    </cfRule>
    <cfRule type="expression" dxfId="2" priority="1071">
      <formula>AND(NOT(ISBLANK(AV46)),OR(AU46="NonStk",AV46&gt;AU46))</formula>
    </cfRule>
  </conditionalFormatting>
  <conditionalFormatting sqref="AV47">
    <cfRule type="expression" dxfId="1" priority="1075">
      <formula>AND(AV47&gt;0,MOD(AV47,AX47)&lt;&gt;0)</formula>
    </cfRule>
    <cfRule type="expression" dxfId="2" priority="1076">
      <formula>AND(NOT(ISBLANK(AV47)),OR(AU47="NonStk",AV47&gt;AU47))</formula>
    </cfRule>
  </conditionalFormatting>
  <conditionalFormatting sqref="AV51">
    <cfRule type="expression" dxfId="1" priority="1080">
      <formula>AND(AV51&gt;0,MOD(AV51,AX51)&lt;&gt;0)</formula>
    </cfRule>
    <cfRule type="expression" dxfId="2" priority="1081">
      <formula>AND(NOT(ISBLANK(AV51)),OR(AU51="NonStk",AV51&gt;AU51))</formula>
    </cfRule>
  </conditionalFormatting>
  <conditionalFormatting sqref="AV54">
    <cfRule type="expression" dxfId="1" priority="1085">
      <formula>AND(AV54&gt;0,MOD(AV54,AX54)&lt;&gt;0)</formula>
    </cfRule>
    <cfRule type="expression" dxfId="2" priority="1086">
      <formula>AND(NOT(ISBLANK(AV54)),OR(AU54="NonStk",AV54&gt;AU54))</formula>
    </cfRule>
  </conditionalFormatting>
  <conditionalFormatting sqref="AV55">
    <cfRule type="expression" dxfId="1" priority="1090">
      <formula>AND(AV55&gt;0,MOD(AV55,AX55)&lt;&gt;0)</formula>
    </cfRule>
    <cfRule type="expression" dxfId="2" priority="1091">
      <formula>AND(NOT(ISBLANK(AV55)),OR(AU55="NonStk",AV55&gt;AU55))</formula>
    </cfRule>
  </conditionalFormatting>
  <conditionalFormatting sqref="AV9">
    <cfRule type="expression" dxfId="1" priority="978">
      <formula>AND(AV9&gt;0,MOD(AV9,AX9)&lt;&gt;0)</formula>
    </cfRule>
    <cfRule type="expression" dxfId="2" priority="979">
      <formula>AND(NOT(ISBLANK(AV9)),OR(AU9="NonStk",AV9&gt;AU9))</formula>
    </cfRule>
  </conditionalFormatting>
  <conditionalFormatting sqref="AW17">
    <cfRule type="cellIs" dxfId="3" priority="986" operator="lessThanOrEqual">
      <formula>I17</formula>
    </cfRule>
  </conditionalFormatting>
  <conditionalFormatting sqref="AW18">
    <cfRule type="cellIs" dxfId="3" priority="991" operator="lessThanOrEqual">
      <formula>I18</formula>
    </cfRule>
  </conditionalFormatting>
  <conditionalFormatting sqref="AW20">
    <cfRule type="cellIs" dxfId="3" priority="996" operator="lessThanOrEqual">
      <formula>I20</formula>
    </cfRule>
  </conditionalFormatting>
  <conditionalFormatting sqref="AW29">
    <cfRule type="cellIs" dxfId="3" priority="1001" operator="lessThanOrEqual">
      <formula>I29</formula>
    </cfRule>
    <cfRule type="expression" dxfId="1" priority="1002">
      <formula>AND(H29&lt;1000,AV29&lt;1000)</formula>
    </cfRule>
  </conditionalFormatting>
  <conditionalFormatting sqref="AW30">
    <cfRule type="cellIs" dxfId="3" priority="1009" operator="lessThanOrEqual">
      <formula>I30</formula>
    </cfRule>
    <cfRule type="expression" dxfId="1" priority="1010">
      <formula>AND(H30&lt;1000,AV30&lt;1000)</formula>
    </cfRule>
  </conditionalFormatting>
  <conditionalFormatting sqref="AW31">
    <cfRule type="cellIs" dxfId="3" priority="1017" operator="lessThanOrEqual">
      <formula>I31</formula>
    </cfRule>
    <cfRule type="expression" dxfId="1" priority="1018">
      <formula>AND(H31&lt;1000,AV31&lt;1000)</formula>
    </cfRule>
  </conditionalFormatting>
  <conditionalFormatting sqref="AW32">
    <cfRule type="cellIs" dxfId="3" priority="1025" operator="lessThanOrEqual">
      <formula>I32</formula>
    </cfRule>
    <cfRule type="expression" dxfId="1" priority="1026">
      <formula>AND(H32&lt;1000,AV32&lt;1000)</formula>
    </cfRule>
  </conditionalFormatting>
  <conditionalFormatting sqref="AW33">
    <cfRule type="cellIs" dxfId="3" priority="1033" operator="lessThanOrEqual">
      <formula>I33</formula>
    </cfRule>
    <cfRule type="expression" dxfId="1" priority="1034">
      <formula>AND(H33&lt;1000,AV33&lt;1000)</formula>
    </cfRule>
  </conditionalFormatting>
  <conditionalFormatting sqref="AW34">
    <cfRule type="cellIs" dxfId="3" priority="1041" operator="lessThanOrEqual">
      <formula>I34</formula>
    </cfRule>
    <cfRule type="expression" dxfId="1" priority="1042">
      <formula>AND(H34&lt;1000,AV34&lt;1000)</formula>
    </cfRule>
  </conditionalFormatting>
  <conditionalFormatting sqref="AW36">
    <cfRule type="cellIs" dxfId="3" priority="1049" operator="lessThanOrEqual">
      <formula>I36</formula>
    </cfRule>
    <cfRule type="expression" dxfId="1" priority="1050">
      <formula>AND(H36&lt;1000,AV36&lt;1000)</formula>
    </cfRule>
  </conditionalFormatting>
  <conditionalFormatting sqref="AW39">
    <cfRule type="cellIs" dxfId="3" priority="1057" operator="lessThanOrEqual">
      <formula>I39</formula>
    </cfRule>
    <cfRule type="expression" dxfId="1" priority="1058">
      <formula>AND(H39&lt;1000,AV39&lt;1000)</formula>
    </cfRule>
  </conditionalFormatting>
  <conditionalFormatting sqref="AW40">
    <cfRule type="cellIs" dxfId="3" priority="1065" operator="lessThanOrEqual">
      <formula>I40</formula>
    </cfRule>
    <cfRule type="expression" dxfId="1" priority="1066">
      <formula>AND(H40&lt;1000,AV40&lt;1000)</formula>
    </cfRule>
  </conditionalFormatting>
  <conditionalFormatting sqref="AW46">
    <cfRule type="cellIs" dxfId="3" priority="1073" operator="lessThanOrEqual">
      <formula>I46</formula>
    </cfRule>
  </conditionalFormatting>
  <conditionalFormatting sqref="AW47">
    <cfRule type="cellIs" dxfId="3" priority="1078" operator="lessThanOrEqual">
      <formula>I47</formula>
    </cfRule>
  </conditionalFormatting>
  <conditionalFormatting sqref="AW51">
    <cfRule type="cellIs" dxfId="3" priority="1083" operator="lessThanOrEqual">
      <formula>I51</formula>
    </cfRule>
  </conditionalFormatting>
  <conditionalFormatting sqref="AW54">
    <cfRule type="cellIs" dxfId="3" priority="1088" operator="lessThanOrEqual">
      <formula>I54</formula>
    </cfRule>
  </conditionalFormatting>
  <conditionalFormatting sqref="AW55">
    <cfRule type="cellIs" dxfId="3" priority="1093" operator="lessThanOrEqual">
      <formula>I55</formula>
    </cfRule>
  </conditionalFormatting>
  <conditionalFormatting sqref="AW9">
    <cfRule type="cellIs" dxfId="3" priority="981" operator="lessThanOrEqual">
      <formula>I9</formula>
    </cfRule>
  </conditionalFormatting>
  <conditionalFormatting sqref="AX29">
    <cfRule type="expression" dxfId="1" priority="1003">
      <formula>AND(H29&lt;1000,AV29&lt;1000)</formula>
    </cfRule>
  </conditionalFormatting>
  <conditionalFormatting sqref="AX30">
    <cfRule type="expression" dxfId="1" priority="1011">
      <formula>AND(H30&lt;1000,AV30&lt;1000)</formula>
    </cfRule>
  </conditionalFormatting>
  <conditionalFormatting sqref="AX31">
    <cfRule type="expression" dxfId="1" priority="1019">
      <formula>AND(H31&lt;1000,AV31&lt;1000)</formula>
    </cfRule>
  </conditionalFormatting>
  <conditionalFormatting sqref="AX32">
    <cfRule type="expression" dxfId="1" priority="1027">
      <formula>AND(H32&lt;1000,AV32&lt;1000)</formula>
    </cfRule>
  </conditionalFormatting>
  <conditionalFormatting sqref="AX33">
    <cfRule type="expression" dxfId="1" priority="1035">
      <formula>AND(H33&lt;1000,AV33&lt;1000)</formula>
    </cfRule>
  </conditionalFormatting>
  <conditionalFormatting sqref="AX34">
    <cfRule type="expression" dxfId="1" priority="1043">
      <formula>AND(H34&lt;1000,AV34&lt;1000)</formula>
    </cfRule>
  </conditionalFormatting>
  <conditionalFormatting sqref="AX36">
    <cfRule type="expression" dxfId="1" priority="1051">
      <formula>AND(H36&lt;1000,AV36&lt;1000)</formula>
    </cfRule>
  </conditionalFormatting>
  <conditionalFormatting sqref="AX39">
    <cfRule type="expression" dxfId="1" priority="1059">
      <formula>AND(H39&lt;1000,AV39&lt;1000)</formula>
    </cfRule>
  </conditionalFormatting>
  <conditionalFormatting sqref="AX40">
    <cfRule type="expression" dxfId="1" priority="1067">
      <formula>AND(H40&lt;1000,AV40&lt;1000)</formula>
    </cfRule>
  </conditionalFormatting>
  <conditionalFormatting sqref="AY17">
    <cfRule type="cellIs" dxfId="3" priority="985" operator="lessThanOrEqual">
      <formula>J17</formula>
    </cfRule>
  </conditionalFormatting>
  <conditionalFormatting sqref="AY18">
    <cfRule type="cellIs" dxfId="3" priority="990" operator="lessThanOrEqual">
      <formula>J18</formula>
    </cfRule>
  </conditionalFormatting>
  <conditionalFormatting sqref="AY20">
    <cfRule type="cellIs" dxfId="3" priority="995" operator="lessThanOrEqual">
      <formula>J20</formula>
    </cfRule>
  </conditionalFormatting>
  <conditionalFormatting sqref="AY29">
    <cfRule type="cellIs" dxfId="3" priority="1000" operator="lessThanOrEqual">
      <formula>J29</formula>
    </cfRule>
    <cfRule type="expression" dxfId="1" priority="1004">
      <formula>AND(H29&lt;1000,AV29&lt;1000)</formula>
    </cfRule>
  </conditionalFormatting>
  <conditionalFormatting sqref="AY30">
    <cfRule type="cellIs" dxfId="3" priority="1008" operator="lessThanOrEqual">
      <formula>J30</formula>
    </cfRule>
    <cfRule type="expression" dxfId="1" priority="1012">
      <formula>AND(H30&lt;1000,AV30&lt;1000)</formula>
    </cfRule>
  </conditionalFormatting>
  <conditionalFormatting sqref="AY31">
    <cfRule type="cellIs" dxfId="3" priority="1016" operator="lessThanOrEqual">
      <formula>J31</formula>
    </cfRule>
    <cfRule type="expression" dxfId="1" priority="1020">
      <formula>AND(H31&lt;1000,AV31&lt;1000)</formula>
    </cfRule>
  </conditionalFormatting>
  <conditionalFormatting sqref="AY32">
    <cfRule type="cellIs" dxfId="3" priority="1024" operator="lessThanOrEqual">
      <formula>J32</formula>
    </cfRule>
    <cfRule type="expression" dxfId="1" priority="1028">
      <formula>AND(H32&lt;1000,AV32&lt;1000)</formula>
    </cfRule>
  </conditionalFormatting>
  <conditionalFormatting sqref="AY33">
    <cfRule type="cellIs" dxfId="3" priority="1032" operator="lessThanOrEqual">
      <formula>J33</formula>
    </cfRule>
    <cfRule type="expression" dxfId="1" priority="1036">
      <formula>AND(H33&lt;1000,AV33&lt;1000)</formula>
    </cfRule>
  </conditionalFormatting>
  <conditionalFormatting sqref="AY34">
    <cfRule type="cellIs" dxfId="3" priority="1040" operator="lessThanOrEqual">
      <formula>J34</formula>
    </cfRule>
    <cfRule type="expression" dxfId="1" priority="1044">
      <formula>AND(H34&lt;1000,AV34&lt;1000)</formula>
    </cfRule>
  </conditionalFormatting>
  <conditionalFormatting sqref="AY36">
    <cfRule type="cellIs" dxfId="3" priority="1048" operator="lessThanOrEqual">
      <formula>J36</formula>
    </cfRule>
    <cfRule type="expression" dxfId="1" priority="1052">
      <formula>AND(H36&lt;1000,AV36&lt;1000)</formula>
    </cfRule>
  </conditionalFormatting>
  <conditionalFormatting sqref="AY39">
    <cfRule type="cellIs" dxfId="3" priority="1056" operator="lessThanOrEqual">
      <formula>J39</formula>
    </cfRule>
    <cfRule type="expression" dxfId="1" priority="1060">
      <formula>AND(H39&lt;1000,AV39&lt;1000)</formula>
    </cfRule>
  </conditionalFormatting>
  <conditionalFormatting sqref="AY40">
    <cfRule type="cellIs" dxfId="3" priority="1064" operator="lessThanOrEqual">
      <formula>J40</formula>
    </cfRule>
    <cfRule type="expression" dxfId="1" priority="1068">
      <formula>AND(H40&lt;1000,AV40&lt;1000)</formula>
    </cfRule>
  </conditionalFormatting>
  <conditionalFormatting sqref="AY46">
    <cfRule type="cellIs" dxfId="3" priority="1072" operator="lessThanOrEqual">
      <formula>J46</formula>
    </cfRule>
  </conditionalFormatting>
  <conditionalFormatting sqref="AY47">
    <cfRule type="cellIs" dxfId="3" priority="1077" operator="lessThanOrEqual">
      <formula>J47</formula>
    </cfRule>
  </conditionalFormatting>
  <conditionalFormatting sqref="AY51">
    <cfRule type="cellIs" dxfId="3" priority="1082" operator="lessThanOrEqual">
      <formula>J51</formula>
    </cfRule>
  </conditionalFormatting>
  <conditionalFormatting sqref="AY54">
    <cfRule type="cellIs" dxfId="3" priority="1087" operator="lessThanOrEqual">
      <formula>J54</formula>
    </cfRule>
  </conditionalFormatting>
  <conditionalFormatting sqref="AY55">
    <cfRule type="cellIs" dxfId="3" priority="1092" operator="lessThanOrEqual">
      <formula>J55</formula>
    </cfRule>
  </conditionalFormatting>
  <conditionalFormatting sqref="AY9">
    <cfRule type="cellIs" dxfId="3" priority="980" operator="lessThanOrEqual">
      <formula>J9</formula>
    </cfRule>
  </conditionalFormatting>
  <conditionalFormatting sqref="BA19">
    <cfRule type="cellIs" dxfId="0" priority="1099" operator="lessThan">
      <formula>H19</formula>
    </cfRule>
  </conditionalFormatting>
  <conditionalFormatting sqref="BA20">
    <cfRule type="cellIs" dxfId="0" priority="1103" operator="lessThan">
      <formula>H20</formula>
    </cfRule>
  </conditionalFormatting>
  <conditionalFormatting sqref="BA54">
    <cfRule type="cellIs" dxfId="0" priority="1108" operator="lessThan">
      <formula>H54</formula>
    </cfRule>
  </conditionalFormatting>
  <conditionalFormatting sqref="BA8">
    <cfRule type="cellIs" dxfId="0" priority="1094" operator="lessThan">
      <formula>H8</formula>
    </cfRule>
  </conditionalFormatting>
  <conditionalFormatting sqref="BB19">
    <cfRule type="expression" dxfId="2" priority="1100">
      <formula>AND(NOT(ISBLANK(BB19)),OR(BA19="NonStk",BB19&gt;BA19))</formula>
    </cfRule>
  </conditionalFormatting>
  <conditionalFormatting sqref="BB20">
    <cfRule type="expression" dxfId="1" priority="1104">
      <formula>AND(BB20&gt;0,MOD(BB20,BD20)&lt;&gt;0)</formula>
    </cfRule>
    <cfRule type="expression" dxfId="2" priority="1105">
      <formula>AND(NOT(ISBLANK(BB20)),OR(BA20="NonStk",BB20&gt;BA20))</formula>
    </cfRule>
  </conditionalFormatting>
  <conditionalFormatting sqref="BB54">
    <cfRule type="expression" dxfId="1" priority="1109">
      <formula>AND(BB54&gt;0,MOD(BB54,BD54)&lt;&gt;0)</formula>
    </cfRule>
    <cfRule type="expression" dxfId="2" priority="1110">
      <formula>AND(NOT(ISBLANK(BB54)),OR(BA54="NonStk",BB54&gt;BA54))</formula>
    </cfRule>
  </conditionalFormatting>
  <conditionalFormatting sqref="BB8">
    <cfRule type="expression" dxfId="1" priority="1095">
      <formula>AND(BB8&gt;0,MOD(BB8,BD8)&lt;&gt;0)</formula>
    </cfRule>
    <cfRule type="expression" dxfId="2" priority="1096">
      <formula>AND(NOT(ISBLANK(BB8)),OR(BA8="NonStk",BB8&gt;BA8))</formula>
    </cfRule>
  </conditionalFormatting>
  <conditionalFormatting sqref="BC19">
    <cfRule type="cellIs" dxfId="3" priority="1102" operator="lessThanOrEqual">
      <formula>I19</formula>
    </cfRule>
  </conditionalFormatting>
  <conditionalFormatting sqref="BC20">
    <cfRule type="cellIs" dxfId="3" priority="1107" operator="lessThanOrEqual">
      <formula>I20</formula>
    </cfRule>
  </conditionalFormatting>
  <conditionalFormatting sqref="BC54">
    <cfRule type="cellIs" dxfId="3" priority="1112" operator="lessThanOrEqual">
      <formula>I54</formula>
    </cfRule>
  </conditionalFormatting>
  <conditionalFormatting sqref="BC8">
    <cfRule type="cellIs" dxfId="3" priority="1098" operator="lessThanOrEqual">
      <formula>I8</formula>
    </cfRule>
  </conditionalFormatting>
  <conditionalFormatting sqref="BE19">
    <cfRule type="cellIs" dxfId="3" priority="1101" operator="lessThanOrEqual">
      <formula>J19</formula>
    </cfRule>
  </conditionalFormatting>
  <conditionalFormatting sqref="BE20">
    <cfRule type="cellIs" dxfId="3" priority="1106" operator="lessThanOrEqual">
      <formula>J20</formula>
    </cfRule>
  </conditionalFormatting>
  <conditionalFormatting sqref="BE54">
    <cfRule type="cellIs" dxfId="3" priority="1111" operator="lessThanOrEqual">
      <formula>J54</formula>
    </cfRule>
  </conditionalFormatting>
  <conditionalFormatting sqref="BE8">
    <cfRule type="cellIs" dxfId="3" priority="1097" operator="lessThanOrEqual">
      <formula>J8</formula>
    </cfRule>
  </conditionalFormatting>
  <conditionalFormatting sqref="H10">
    <cfRule type="expression" dxfId="4" priority="1125">
      <formula>AND(ISBLANK(G10),ISBLANK(O10),ISBLANK(U10),ISBLANK(AA10),ISBLANK(AG10),ISBLANK(AM10),ISBLANK(AS10),ISBLANK(AY10),ISBLANK(BE10))</formula>
    </cfRule>
    <cfRule type="expression" dxfId="2" priority="1126">
      <formula>IF(SUM(K10,Q10,W10,AC10,AI10,AO10,AU10,BA10)=0,1,0)</formula>
    </cfRule>
    <cfRule type="cellIs" dxfId="0" priority="1127" operator="greaterThan">
      <formula>SUM(K10,Q10,W10,AC10,AI10,AO10,AU10,BA10)</formula>
    </cfRule>
    <cfRule type="cellIs" dxfId="1" priority="1128" operator="greaterThan">
      <formula>SUM(IF(ISNUMBER(M10),L10,0),IF(ISNUMBER(S10),R10,0),IF(ISNUMBER(Y10),X10,0),IF(ISNUMBER(AE10),AD10,0),IF(ISNUMBER(AK10),AJ10,0),IF(ISNUMBER(AQ10),AP10,0),IF(ISNUMBER(AW10),AV10,0),IF(ISNUMBER(BC10),BB10,0))</formula>
    </cfRule>
  </conditionalFormatting>
  <conditionalFormatting sqref="H11">
    <cfRule type="expression" dxfId="4" priority="1129">
      <formula>AND(ISBLANK(G11),ISBLANK(O11),ISBLANK(U11),ISBLANK(AA11),ISBLANK(AG11),ISBLANK(AM11),ISBLANK(AS11),ISBLANK(AY11),ISBLANK(BE11))</formula>
    </cfRule>
    <cfRule type="expression" dxfId="2" priority="1130">
      <formula>IF(SUM(K11,Q11,W11,AC11,AI11,AO11,AU11,BA11)=0,1,0)</formula>
    </cfRule>
    <cfRule type="cellIs" dxfId="0" priority="1131" operator="greaterThan">
      <formula>SUM(K11,Q11,W11,AC11,AI11,AO11,AU11,BA11)</formula>
    </cfRule>
    <cfRule type="cellIs" dxfId="1" priority="1132" operator="greaterThan">
      <formula>SUM(IF(ISNUMBER(M11),L11,0),IF(ISNUMBER(S11),R11,0),IF(ISNUMBER(Y11),X11,0),IF(ISNUMBER(AE11),AD11,0),IF(ISNUMBER(AK11),AJ11,0),IF(ISNUMBER(AQ11),AP11,0),IF(ISNUMBER(AW11),AV11,0),IF(ISNUMBER(BC11),BB11,0))</formula>
    </cfRule>
  </conditionalFormatting>
  <conditionalFormatting sqref="H12">
    <cfRule type="expression" dxfId="4" priority="1133">
      <formula>AND(ISBLANK(G12),ISBLANK(O12),ISBLANK(U12),ISBLANK(AA12),ISBLANK(AG12),ISBLANK(AM12),ISBLANK(AS12),ISBLANK(AY12),ISBLANK(BE12))</formula>
    </cfRule>
    <cfRule type="expression" dxfId="2" priority="1134">
      <formula>IF(SUM(K12,Q12,W12,AC12,AI12,AO12,AU12,BA12)=0,1,0)</formula>
    </cfRule>
    <cfRule type="cellIs" dxfId="0" priority="1135" operator="greaterThan">
      <formula>SUM(K12,Q12,W12,AC12,AI12,AO12,AU12,BA12)</formula>
    </cfRule>
    <cfRule type="cellIs" dxfId="1" priority="1136" operator="greaterThan">
      <formula>SUM(IF(ISNUMBER(M12),L12,0),IF(ISNUMBER(S12),R12,0),IF(ISNUMBER(Y12),X12,0),IF(ISNUMBER(AE12),AD12,0),IF(ISNUMBER(AK12),AJ12,0),IF(ISNUMBER(AQ12),AP12,0),IF(ISNUMBER(AW12),AV12,0),IF(ISNUMBER(BC12),BB12,0))</formula>
    </cfRule>
  </conditionalFormatting>
  <conditionalFormatting sqref="H13">
    <cfRule type="expression" dxfId="4" priority="1137">
      <formula>AND(ISBLANK(G13),ISBLANK(O13),ISBLANK(U13),ISBLANK(AA13),ISBLANK(AG13),ISBLANK(AM13),ISBLANK(AS13),ISBLANK(AY13),ISBLANK(BE13))</formula>
    </cfRule>
    <cfRule type="expression" dxfId="2" priority="1138">
      <formula>IF(SUM(K13,Q13,W13,AC13,AI13,AO13,AU13,BA13)=0,1,0)</formula>
    </cfRule>
    <cfRule type="cellIs" dxfId="0" priority="1139" operator="greaterThan">
      <formula>SUM(K13,Q13,W13,AC13,AI13,AO13,AU13,BA13)</formula>
    </cfRule>
    <cfRule type="cellIs" dxfId="1" priority="1140" operator="greaterThan">
      <formula>SUM(IF(ISNUMBER(M13),L13,0),IF(ISNUMBER(S13),R13,0),IF(ISNUMBER(Y13),X13,0),IF(ISNUMBER(AE13),AD13,0),IF(ISNUMBER(AK13),AJ13,0),IF(ISNUMBER(AQ13),AP13,0),IF(ISNUMBER(AW13),AV13,0),IF(ISNUMBER(BC13),BB13,0))</formula>
    </cfRule>
  </conditionalFormatting>
  <conditionalFormatting sqref="H14">
    <cfRule type="expression" dxfId="4" priority="1141">
      <formula>AND(ISBLANK(G14),ISBLANK(O14),ISBLANK(U14),ISBLANK(AA14),ISBLANK(AG14),ISBLANK(AM14),ISBLANK(AS14),ISBLANK(AY14),ISBLANK(BE14))</formula>
    </cfRule>
    <cfRule type="expression" dxfId="2" priority="1142">
      <formula>IF(SUM(K14,Q14,W14,AC14,AI14,AO14,AU14,BA14)=0,1,0)</formula>
    </cfRule>
    <cfRule type="cellIs" dxfId="0" priority="1143" operator="greaterThan">
      <formula>SUM(K14,Q14,W14,AC14,AI14,AO14,AU14,BA14)</formula>
    </cfRule>
    <cfRule type="cellIs" dxfId="1" priority="1144" operator="greaterThan">
      <formula>SUM(IF(ISNUMBER(M14),L14,0),IF(ISNUMBER(S14),R14,0),IF(ISNUMBER(Y14),X14,0),IF(ISNUMBER(AE14),AD14,0),IF(ISNUMBER(AK14),AJ14,0),IF(ISNUMBER(AQ14),AP14,0),IF(ISNUMBER(AW14),AV14,0),IF(ISNUMBER(BC14),BB14,0))</formula>
    </cfRule>
  </conditionalFormatting>
  <conditionalFormatting sqref="H15">
    <cfRule type="expression" dxfId="4" priority="1145">
      <formula>AND(ISBLANK(G15),ISBLANK(O15),ISBLANK(U15),ISBLANK(AA15),ISBLANK(AG15),ISBLANK(AM15),ISBLANK(AS15),ISBLANK(AY15),ISBLANK(BE15))</formula>
    </cfRule>
    <cfRule type="expression" dxfId="2" priority="1146">
      <formula>IF(SUM(K15,Q15,W15,AC15,AI15,AO15,AU15,BA15)=0,1,0)</formula>
    </cfRule>
    <cfRule type="cellIs" dxfId="0" priority="1147" operator="greaterThan">
      <formula>SUM(K15,Q15,W15,AC15,AI15,AO15,AU15,BA15)</formula>
    </cfRule>
    <cfRule type="cellIs" dxfId="1" priority="1148" operator="greaterThan">
      <formula>SUM(IF(ISNUMBER(M15),L15,0),IF(ISNUMBER(S15),R15,0),IF(ISNUMBER(Y15),X15,0),IF(ISNUMBER(AE15),AD15,0),IF(ISNUMBER(AK15),AJ15,0),IF(ISNUMBER(AQ15),AP15,0),IF(ISNUMBER(AW15),AV15,0),IF(ISNUMBER(BC15),BB15,0))</formula>
    </cfRule>
  </conditionalFormatting>
  <conditionalFormatting sqref="H16">
    <cfRule type="expression" dxfId="4" priority="1149">
      <formula>AND(ISBLANK(G16),ISBLANK(O16),ISBLANK(U16),ISBLANK(AA16),ISBLANK(AG16),ISBLANK(AM16),ISBLANK(AS16),ISBLANK(AY16),ISBLANK(BE16))</formula>
    </cfRule>
    <cfRule type="expression" dxfId="2" priority="1150">
      <formula>IF(SUM(K16,Q16,W16,AC16,AI16,AO16,AU16,BA16)=0,1,0)</formula>
    </cfRule>
    <cfRule type="cellIs" dxfId="0" priority="1151" operator="greaterThan">
      <formula>SUM(K16,Q16,W16,AC16,AI16,AO16,AU16,BA16)</formula>
    </cfRule>
    <cfRule type="cellIs" dxfId="1" priority="1152" operator="greaterThan">
      <formula>SUM(IF(ISNUMBER(M16),L16,0),IF(ISNUMBER(S16),R16,0),IF(ISNUMBER(Y16),X16,0),IF(ISNUMBER(AE16),AD16,0),IF(ISNUMBER(AK16),AJ16,0),IF(ISNUMBER(AQ16),AP16,0),IF(ISNUMBER(AW16),AV16,0),IF(ISNUMBER(BC16),BB16,0))</formula>
    </cfRule>
  </conditionalFormatting>
  <conditionalFormatting sqref="H17">
    <cfRule type="expression" dxfId="4" priority="1153">
      <formula>AND(ISBLANK(G17),ISBLANK(O17),ISBLANK(U17),ISBLANK(AA17),ISBLANK(AG17),ISBLANK(AM17),ISBLANK(AS17),ISBLANK(AY17),ISBLANK(BE17))</formula>
    </cfRule>
    <cfRule type="expression" dxfId="2" priority="1154">
      <formula>IF(SUM(K17,Q17,W17,AC17,AI17,AO17,AU17,BA17)=0,1,0)</formula>
    </cfRule>
    <cfRule type="cellIs" dxfId="0" priority="1155" operator="greaterThan">
      <formula>SUM(K17,Q17,W17,AC17,AI17,AO17,AU17,BA17)</formula>
    </cfRule>
    <cfRule type="cellIs" dxfId="1" priority="1156" operator="greaterThan">
      <formula>SUM(IF(ISNUMBER(M17),L17,0),IF(ISNUMBER(S17),R17,0),IF(ISNUMBER(Y17),X17,0),IF(ISNUMBER(AE17),AD17,0),IF(ISNUMBER(AK17),AJ17,0),IF(ISNUMBER(AQ17),AP17,0),IF(ISNUMBER(AW17),AV17,0),IF(ISNUMBER(BC17),BB17,0))</formula>
    </cfRule>
  </conditionalFormatting>
  <conditionalFormatting sqref="H18">
    <cfRule type="expression" dxfId="4" priority="1157">
      <formula>AND(ISBLANK(G18),ISBLANK(O18),ISBLANK(U18),ISBLANK(AA18),ISBLANK(AG18),ISBLANK(AM18),ISBLANK(AS18),ISBLANK(AY18),ISBLANK(BE18))</formula>
    </cfRule>
    <cfRule type="expression" dxfId="2" priority="1158">
      <formula>IF(SUM(K18,Q18,W18,AC18,AI18,AO18,AU18,BA18)=0,1,0)</formula>
    </cfRule>
    <cfRule type="cellIs" dxfId="0" priority="1159" operator="greaterThan">
      <formula>SUM(K18,Q18,W18,AC18,AI18,AO18,AU18,BA18)</formula>
    </cfRule>
    <cfRule type="cellIs" dxfId="1" priority="1160" operator="greaterThan">
      <formula>SUM(IF(ISNUMBER(M18),L18,0),IF(ISNUMBER(S18),R18,0),IF(ISNUMBER(Y18),X18,0),IF(ISNUMBER(AE18),AD18,0),IF(ISNUMBER(AK18),AJ18,0),IF(ISNUMBER(AQ18),AP18,0),IF(ISNUMBER(AW18),AV18,0),IF(ISNUMBER(BC18),BB18,0))</formula>
    </cfRule>
  </conditionalFormatting>
  <conditionalFormatting sqref="H19">
    <cfRule type="expression" dxfId="4" priority="1161">
      <formula>AND(ISBLANK(G19),ISBLANK(O19),ISBLANK(U19),ISBLANK(AA19),ISBLANK(AG19),ISBLANK(AM19),ISBLANK(AS19),ISBLANK(AY19),ISBLANK(BE19))</formula>
    </cfRule>
    <cfRule type="expression" dxfId="2" priority="1162">
      <formula>IF(SUM(K19,Q19,W19,AC19,AI19,AO19,AU19,BA19)=0,1,0)</formula>
    </cfRule>
    <cfRule type="cellIs" dxfId="0" priority="1163" operator="greaterThan">
      <formula>SUM(K19,Q19,W19,AC19,AI19,AO19,AU19,BA19)</formula>
    </cfRule>
    <cfRule type="cellIs" dxfId="1" priority="1164" operator="greaterThan">
      <formula>SUM(IF(ISNUMBER(M19),L19,0),IF(ISNUMBER(S19),R19,0),IF(ISNUMBER(Y19),X19,0),IF(ISNUMBER(AE19),AD19,0),IF(ISNUMBER(AK19),AJ19,0),IF(ISNUMBER(AQ19),AP19,0),IF(ISNUMBER(AW19),AV19,0),IF(ISNUMBER(BC19),BB19,0))</formula>
    </cfRule>
  </conditionalFormatting>
  <conditionalFormatting sqref="H20">
    <cfRule type="expression" dxfId="4" priority="1165">
      <formula>AND(ISBLANK(G20),ISBLANK(O20),ISBLANK(U20),ISBLANK(AA20),ISBLANK(AG20),ISBLANK(AM20),ISBLANK(AS20),ISBLANK(AY20),ISBLANK(BE20))</formula>
    </cfRule>
    <cfRule type="expression" dxfId="2" priority="1166">
      <formula>IF(SUM(K20,Q20,W20,AC20,AI20,AO20,AU20,BA20)=0,1,0)</formula>
    </cfRule>
    <cfRule type="cellIs" dxfId="0" priority="1167" operator="greaterThan">
      <formula>SUM(K20,Q20,W20,AC20,AI20,AO20,AU20,BA20)</formula>
    </cfRule>
    <cfRule type="cellIs" dxfId="1" priority="1168" operator="greaterThan">
      <formula>SUM(IF(ISNUMBER(M20),L20,0),IF(ISNUMBER(S20),R20,0),IF(ISNUMBER(Y20),X20,0),IF(ISNUMBER(AE20),AD20,0),IF(ISNUMBER(AK20),AJ20,0),IF(ISNUMBER(AQ20),AP20,0),IF(ISNUMBER(AW20),AV20,0),IF(ISNUMBER(BC20),BB20,0))</formula>
    </cfRule>
  </conditionalFormatting>
  <conditionalFormatting sqref="H21">
    <cfRule type="expression" dxfId="4" priority="1169">
      <formula>AND(ISBLANK(G21),ISBLANK(O21),ISBLANK(U21),ISBLANK(AA21),ISBLANK(AG21),ISBLANK(AM21),ISBLANK(AS21),ISBLANK(AY21),ISBLANK(BE21))</formula>
    </cfRule>
    <cfRule type="expression" dxfId="2" priority="1170">
      <formula>IF(SUM(K21,Q21,W21,AC21,AI21,AO21,AU21,BA21)=0,1,0)</formula>
    </cfRule>
    <cfRule type="cellIs" dxfId="0" priority="1171" operator="greaterThan">
      <formula>SUM(K21,Q21,W21,AC21,AI21,AO21,AU21,BA21)</formula>
    </cfRule>
    <cfRule type="cellIs" dxfId="1" priority="1172" operator="greaterThan">
      <formula>SUM(IF(ISNUMBER(M21),L21,0),IF(ISNUMBER(S21),R21,0),IF(ISNUMBER(Y21),X21,0),IF(ISNUMBER(AE21),AD21,0),IF(ISNUMBER(AK21),AJ21,0),IF(ISNUMBER(AQ21),AP21,0),IF(ISNUMBER(AW21),AV21,0),IF(ISNUMBER(BC21),BB21,0))</formula>
    </cfRule>
  </conditionalFormatting>
  <conditionalFormatting sqref="H22">
    <cfRule type="expression" dxfId="4" priority="1173">
      <formula>AND(ISBLANK(G22),ISBLANK(O22),ISBLANK(U22),ISBLANK(AA22),ISBLANK(AG22),ISBLANK(AM22),ISBLANK(AS22),ISBLANK(AY22),ISBLANK(BE22))</formula>
    </cfRule>
    <cfRule type="expression" dxfId="2" priority="1174">
      <formula>IF(SUM(K22,Q22,W22,AC22,AI22,AO22,AU22,BA22)=0,1,0)</formula>
    </cfRule>
    <cfRule type="cellIs" dxfId="0" priority="1175" operator="greaterThan">
      <formula>SUM(K22,Q22,W22,AC22,AI22,AO22,AU22,BA22)</formula>
    </cfRule>
    <cfRule type="cellIs" dxfId="1" priority="1176" operator="greaterThan">
      <formula>SUM(IF(ISNUMBER(M22),L22,0),IF(ISNUMBER(S22),R22,0),IF(ISNUMBER(Y22),X22,0),IF(ISNUMBER(AE22),AD22,0),IF(ISNUMBER(AK22),AJ22,0),IF(ISNUMBER(AQ22),AP22,0),IF(ISNUMBER(AW22),AV22,0),IF(ISNUMBER(BC22),BB22,0))</formula>
    </cfRule>
  </conditionalFormatting>
  <conditionalFormatting sqref="H23">
    <cfRule type="expression" dxfId="4" priority="1177">
      <formula>AND(ISBLANK(G23),ISBLANK(O23),ISBLANK(U23),ISBLANK(AA23),ISBLANK(AG23),ISBLANK(AM23),ISBLANK(AS23),ISBLANK(AY23),ISBLANK(BE23))</formula>
    </cfRule>
    <cfRule type="expression" dxfId="2" priority="1178">
      <formula>IF(SUM(K23,Q23,W23,AC23,AI23,AO23,AU23,BA23)=0,1,0)</formula>
    </cfRule>
    <cfRule type="cellIs" dxfId="0" priority="1179" operator="greaterThan">
      <formula>SUM(K23,Q23,W23,AC23,AI23,AO23,AU23,BA23)</formula>
    </cfRule>
    <cfRule type="cellIs" dxfId="1" priority="1180" operator="greaterThan">
      <formula>SUM(IF(ISNUMBER(M23),L23,0),IF(ISNUMBER(S23),R23,0),IF(ISNUMBER(Y23),X23,0),IF(ISNUMBER(AE23),AD23,0),IF(ISNUMBER(AK23),AJ23,0),IF(ISNUMBER(AQ23),AP23,0),IF(ISNUMBER(AW23),AV23,0),IF(ISNUMBER(BC23),BB23,0))</formula>
    </cfRule>
  </conditionalFormatting>
  <conditionalFormatting sqref="H24">
    <cfRule type="expression" dxfId="4" priority="1181">
      <formula>AND(ISBLANK(G24),ISBLANK(O24),ISBLANK(U24),ISBLANK(AA24),ISBLANK(AG24),ISBLANK(AM24),ISBLANK(AS24),ISBLANK(AY24),ISBLANK(BE24))</formula>
    </cfRule>
    <cfRule type="expression" dxfId="2" priority="1182">
      <formula>IF(SUM(K24,Q24,W24,AC24,AI24,AO24,AU24,BA24)=0,1,0)</formula>
    </cfRule>
    <cfRule type="cellIs" dxfId="0" priority="1183" operator="greaterThan">
      <formula>SUM(K24,Q24,W24,AC24,AI24,AO24,AU24,BA24)</formula>
    </cfRule>
    <cfRule type="cellIs" dxfId="1" priority="1184" operator="greaterThan">
      <formula>SUM(IF(ISNUMBER(M24),L24,0),IF(ISNUMBER(S24),R24,0),IF(ISNUMBER(Y24),X24,0),IF(ISNUMBER(AE24),AD24,0),IF(ISNUMBER(AK24),AJ24,0),IF(ISNUMBER(AQ24),AP24,0),IF(ISNUMBER(AW24),AV24,0),IF(ISNUMBER(BC24),BB24,0))</formula>
    </cfRule>
  </conditionalFormatting>
  <conditionalFormatting sqref="H25">
    <cfRule type="expression" dxfId="4" priority="1185">
      <formula>AND(ISBLANK(G25),ISBLANK(O25),ISBLANK(U25),ISBLANK(AA25),ISBLANK(AG25),ISBLANK(AM25),ISBLANK(AS25),ISBLANK(AY25),ISBLANK(BE25))</formula>
    </cfRule>
    <cfRule type="expression" dxfId="2" priority="1186">
      <formula>IF(SUM(K25,Q25,W25,AC25,AI25,AO25,AU25,BA25)=0,1,0)</formula>
    </cfRule>
    <cfRule type="cellIs" dxfId="0" priority="1187" operator="greaterThan">
      <formula>SUM(K25,Q25,W25,AC25,AI25,AO25,AU25,BA25)</formula>
    </cfRule>
    <cfRule type="cellIs" dxfId="1" priority="1188" operator="greaterThan">
      <formula>SUM(IF(ISNUMBER(M25),L25,0),IF(ISNUMBER(S25),R25,0),IF(ISNUMBER(Y25),X25,0),IF(ISNUMBER(AE25),AD25,0),IF(ISNUMBER(AK25),AJ25,0),IF(ISNUMBER(AQ25),AP25,0),IF(ISNUMBER(AW25),AV25,0),IF(ISNUMBER(BC25),BB25,0))</formula>
    </cfRule>
  </conditionalFormatting>
  <conditionalFormatting sqref="H26">
    <cfRule type="expression" dxfId="4" priority="1189">
      <formula>AND(ISBLANK(G26),ISBLANK(O26),ISBLANK(U26),ISBLANK(AA26),ISBLANK(AG26),ISBLANK(AM26),ISBLANK(AS26),ISBLANK(AY26),ISBLANK(BE26))</formula>
    </cfRule>
    <cfRule type="expression" dxfId="2" priority="1190">
      <formula>IF(SUM(K26,Q26,W26,AC26,AI26,AO26,AU26,BA26)=0,1,0)</formula>
    </cfRule>
    <cfRule type="cellIs" dxfId="0" priority="1191" operator="greaterThan">
      <formula>SUM(K26,Q26,W26,AC26,AI26,AO26,AU26,BA26)</formula>
    </cfRule>
    <cfRule type="cellIs" dxfId="1" priority="1192" operator="greaterThan">
      <formula>SUM(IF(ISNUMBER(M26),L26,0),IF(ISNUMBER(S26),R26,0),IF(ISNUMBER(Y26),X26,0),IF(ISNUMBER(AE26),AD26,0),IF(ISNUMBER(AK26),AJ26,0),IF(ISNUMBER(AQ26),AP26,0),IF(ISNUMBER(AW26),AV26,0),IF(ISNUMBER(BC26),BB26,0))</formula>
    </cfRule>
  </conditionalFormatting>
  <conditionalFormatting sqref="H27">
    <cfRule type="expression" dxfId="4" priority="1193">
      <formula>AND(ISBLANK(G27),ISBLANK(O27),ISBLANK(U27),ISBLANK(AA27),ISBLANK(AG27),ISBLANK(AM27),ISBLANK(AS27),ISBLANK(AY27),ISBLANK(BE27))</formula>
    </cfRule>
    <cfRule type="expression" dxfId="2" priority="1194">
      <formula>IF(SUM(K27,Q27,W27,AC27,AI27,AO27,AU27,BA27)=0,1,0)</formula>
    </cfRule>
    <cfRule type="cellIs" dxfId="0" priority="1195" operator="greaterThan">
      <formula>SUM(K27,Q27,W27,AC27,AI27,AO27,AU27,BA27)</formula>
    </cfRule>
    <cfRule type="cellIs" dxfId="1" priority="1196" operator="greaterThan">
      <formula>SUM(IF(ISNUMBER(M27),L27,0),IF(ISNUMBER(S27),R27,0),IF(ISNUMBER(Y27),X27,0),IF(ISNUMBER(AE27),AD27,0),IF(ISNUMBER(AK27),AJ27,0),IF(ISNUMBER(AQ27),AP27,0),IF(ISNUMBER(AW27),AV27,0),IF(ISNUMBER(BC27),BB27,0))</formula>
    </cfRule>
  </conditionalFormatting>
  <conditionalFormatting sqref="H28">
    <cfRule type="expression" dxfId="4" priority="1197">
      <formula>AND(ISBLANK(G28),ISBLANK(O28),ISBLANK(U28),ISBLANK(AA28),ISBLANK(AG28),ISBLANK(AM28),ISBLANK(AS28),ISBLANK(AY28),ISBLANK(BE28))</formula>
    </cfRule>
    <cfRule type="expression" dxfId="2" priority="1198">
      <formula>IF(SUM(K28,Q28,W28,AC28,AI28,AO28,AU28,BA28)=0,1,0)</formula>
    </cfRule>
    <cfRule type="cellIs" dxfId="0" priority="1199" operator="greaterThan">
      <formula>SUM(K28,Q28,W28,AC28,AI28,AO28,AU28,BA28)</formula>
    </cfRule>
    <cfRule type="cellIs" dxfId="1" priority="1200" operator="greaterThan">
      <formula>SUM(IF(ISNUMBER(M28),L28,0),IF(ISNUMBER(S28),R28,0),IF(ISNUMBER(Y28),X28,0),IF(ISNUMBER(AE28),AD28,0),IF(ISNUMBER(AK28),AJ28,0),IF(ISNUMBER(AQ28),AP28,0),IF(ISNUMBER(AW28),AV28,0),IF(ISNUMBER(BC28),BB28,0))</formula>
    </cfRule>
  </conditionalFormatting>
  <conditionalFormatting sqref="H29">
    <cfRule type="expression" dxfId="4" priority="1201">
      <formula>AND(ISBLANK(G29),ISBLANK(O29),ISBLANK(U29),ISBLANK(AA29),ISBLANK(AG29),ISBLANK(AM29),ISBLANK(AS29),ISBLANK(AY29),ISBLANK(BE29))</formula>
    </cfRule>
    <cfRule type="expression" dxfId="2" priority="1202">
      <formula>IF(SUM(K29,Q29,W29,AC29,AI29,AO29,AU29,BA29)=0,1,0)</formula>
    </cfRule>
    <cfRule type="cellIs" dxfId="0" priority="1203" operator="greaterThan">
      <formula>SUM(K29,Q29,W29,AC29,AI29,AO29,AU29,BA29)</formula>
    </cfRule>
    <cfRule type="cellIs" dxfId="1" priority="1204" operator="greaterThan">
      <formula>SUM(IF(ISNUMBER(M29),L29,0),IF(ISNUMBER(S29),R29,0),IF(ISNUMBER(Y29),X29,0),IF(ISNUMBER(AE29),AD29,0),IF(ISNUMBER(AK29),AJ29,0),IF(ISNUMBER(AQ29),AP29,0),IF(ISNUMBER(AW29),AV29,0),IF(ISNUMBER(BC29),BB29,0))</formula>
    </cfRule>
  </conditionalFormatting>
  <conditionalFormatting sqref="H30">
    <cfRule type="expression" dxfId="4" priority="1205">
      <formula>AND(ISBLANK(G30),ISBLANK(O30),ISBLANK(U30),ISBLANK(AA30),ISBLANK(AG30),ISBLANK(AM30),ISBLANK(AS30),ISBLANK(AY30),ISBLANK(BE30))</formula>
    </cfRule>
    <cfRule type="expression" dxfId="2" priority="1206">
      <formula>IF(SUM(K30,Q30,W30,AC30,AI30,AO30,AU30,BA30)=0,1,0)</formula>
    </cfRule>
    <cfRule type="cellIs" dxfId="0" priority="1207" operator="greaterThan">
      <formula>SUM(K30,Q30,W30,AC30,AI30,AO30,AU30,BA30)</formula>
    </cfRule>
    <cfRule type="cellIs" dxfId="1" priority="1208" operator="greaterThan">
      <formula>SUM(IF(ISNUMBER(M30),L30,0),IF(ISNUMBER(S30),R30,0),IF(ISNUMBER(Y30),X30,0),IF(ISNUMBER(AE30),AD30,0),IF(ISNUMBER(AK30),AJ30,0),IF(ISNUMBER(AQ30),AP30,0),IF(ISNUMBER(AW30),AV30,0),IF(ISNUMBER(BC30),BB30,0))</formula>
    </cfRule>
  </conditionalFormatting>
  <conditionalFormatting sqref="H31">
    <cfRule type="expression" dxfId="4" priority="1209">
      <formula>AND(ISBLANK(G31),ISBLANK(O31),ISBLANK(U31),ISBLANK(AA31),ISBLANK(AG31),ISBLANK(AM31),ISBLANK(AS31),ISBLANK(AY31),ISBLANK(BE31))</formula>
    </cfRule>
    <cfRule type="expression" dxfId="2" priority="1210">
      <formula>IF(SUM(K31,Q31,W31,AC31,AI31,AO31,AU31,BA31)=0,1,0)</formula>
    </cfRule>
    <cfRule type="cellIs" dxfId="0" priority="1211" operator="greaterThan">
      <formula>SUM(K31,Q31,W31,AC31,AI31,AO31,AU31,BA31)</formula>
    </cfRule>
    <cfRule type="cellIs" dxfId="1" priority="1212" operator="greaterThan">
      <formula>SUM(IF(ISNUMBER(M31),L31,0),IF(ISNUMBER(S31),R31,0),IF(ISNUMBER(Y31),X31,0),IF(ISNUMBER(AE31),AD31,0),IF(ISNUMBER(AK31),AJ31,0),IF(ISNUMBER(AQ31),AP31,0),IF(ISNUMBER(AW31),AV31,0),IF(ISNUMBER(BC31),BB31,0))</formula>
    </cfRule>
  </conditionalFormatting>
  <conditionalFormatting sqref="H32">
    <cfRule type="expression" dxfId="4" priority="1213">
      <formula>AND(ISBLANK(G32),ISBLANK(O32),ISBLANK(U32),ISBLANK(AA32),ISBLANK(AG32),ISBLANK(AM32),ISBLANK(AS32),ISBLANK(AY32),ISBLANK(BE32))</formula>
    </cfRule>
    <cfRule type="expression" dxfId="2" priority="1214">
      <formula>IF(SUM(K32,Q32,W32,AC32,AI32,AO32,AU32,BA32)=0,1,0)</formula>
    </cfRule>
    <cfRule type="cellIs" dxfId="0" priority="1215" operator="greaterThan">
      <formula>SUM(K32,Q32,W32,AC32,AI32,AO32,AU32,BA32)</formula>
    </cfRule>
    <cfRule type="cellIs" dxfId="1" priority="1216" operator="greaterThan">
      <formula>SUM(IF(ISNUMBER(M32),L32,0),IF(ISNUMBER(S32),R32,0),IF(ISNUMBER(Y32),X32,0),IF(ISNUMBER(AE32),AD32,0),IF(ISNUMBER(AK32),AJ32,0),IF(ISNUMBER(AQ32),AP32,0),IF(ISNUMBER(AW32),AV32,0),IF(ISNUMBER(BC32),BB32,0))</formula>
    </cfRule>
  </conditionalFormatting>
  <conditionalFormatting sqref="H33">
    <cfRule type="expression" dxfId="4" priority="1217">
      <formula>AND(ISBLANK(G33),ISBLANK(O33),ISBLANK(U33),ISBLANK(AA33),ISBLANK(AG33),ISBLANK(AM33),ISBLANK(AS33),ISBLANK(AY33),ISBLANK(BE33))</formula>
    </cfRule>
    <cfRule type="expression" dxfId="2" priority="1218">
      <formula>IF(SUM(K33,Q33,W33,AC33,AI33,AO33,AU33,BA33)=0,1,0)</formula>
    </cfRule>
    <cfRule type="cellIs" dxfId="0" priority="1219" operator="greaterThan">
      <formula>SUM(K33,Q33,W33,AC33,AI33,AO33,AU33,BA33)</formula>
    </cfRule>
    <cfRule type="cellIs" dxfId="1" priority="1220" operator="greaterThan">
      <formula>SUM(IF(ISNUMBER(M33),L33,0),IF(ISNUMBER(S33),R33,0),IF(ISNUMBER(Y33),X33,0),IF(ISNUMBER(AE33),AD33,0),IF(ISNUMBER(AK33),AJ33,0),IF(ISNUMBER(AQ33),AP33,0),IF(ISNUMBER(AW33),AV33,0),IF(ISNUMBER(BC33),BB33,0))</formula>
    </cfRule>
  </conditionalFormatting>
  <conditionalFormatting sqref="H34">
    <cfRule type="expression" dxfId="4" priority="1221">
      <formula>AND(ISBLANK(G34),ISBLANK(O34),ISBLANK(U34),ISBLANK(AA34),ISBLANK(AG34),ISBLANK(AM34),ISBLANK(AS34),ISBLANK(AY34),ISBLANK(BE34))</formula>
    </cfRule>
    <cfRule type="expression" dxfId="2" priority="1222">
      <formula>IF(SUM(K34,Q34,W34,AC34,AI34,AO34,AU34,BA34)=0,1,0)</formula>
    </cfRule>
    <cfRule type="cellIs" dxfId="0" priority="1223" operator="greaterThan">
      <formula>SUM(K34,Q34,W34,AC34,AI34,AO34,AU34,BA34)</formula>
    </cfRule>
    <cfRule type="cellIs" dxfId="1" priority="1224" operator="greaterThan">
      <formula>SUM(IF(ISNUMBER(M34),L34,0),IF(ISNUMBER(S34),R34,0),IF(ISNUMBER(Y34),X34,0),IF(ISNUMBER(AE34),AD34,0),IF(ISNUMBER(AK34),AJ34,0),IF(ISNUMBER(AQ34),AP34,0),IF(ISNUMBER(AW34),AV34,0),IF(ISNUMBER(BC34),BB34,0))</formula>
    </cfRule>
  </conditionalFormatting>
  <conditionalFormatting sqref="H35">
    <cfRule type="expression" dxfId="4" priority="1225">
      <formula>AND(ISBLANK(G35),ISBLANK(O35),ISBLANK(U35),ISBLANK(AA35),ISBLANK(AG35),ISBLANK(AM35),ISBLANK(AS35),ISBLANK(AY35),ISBLANK(BE35))</formula>
    </cfRule>
    <cfRule type="expression" dxfId="2" priority="1226">
      <formula>IF(SUM(K35,Q35,W35,AC35,AI35,AO35,AU35,BA35)=0,1,0)</formula>
    </cfRule>
    <cfRule type="cellIs" dxfId="0" priority="1227" operator="greaterThan">
      <formula>SUM(K35,Q35,W35,AC35,AI35,AO35,AU35,BA35)</formula>
    </cfRule>
    <cfRule type="cellIs" dxfId="1" priority="1228" operator="greaterThan">
      <formula>SUM(IF(ISNUMBER(M35),L35,0),IF(ISNUMBER(S35),R35,0),IF(ISNUMBER(Y35),X35,0),IF(ISNUMBER(AE35),AD35,0),IF(ISNUMBER(AK35),AJ35,0),IF(ISNUMBER(AQ35),AP35,0),IF(ISNUMBER(AW35),AV35,0),IF(ISNUMBER(BC35),BB35,0))</formula>
    </cfRule>
  </conditionalFormatting>
  <conditionalFormatting sqref="H36">
    <cfRule type="expression" dxfId="4" priority="1229">
      <formula>AND(ISBLANK(G36),ISBLANK(O36),ISBLANK(U36),ISBLANK(AA36),ISBLANK(AG36),ISBLANK(AM36),ISBLANK(AS36),ISBLANK(AY36),ISBLANK(BE36))</formula>
    </cfRule>
    <cfRule type="expression" dxfId="2" priority="1230">
      <formula>IF(SUM(K36,Q36,W36,AC36,AI36,AO36,AU36,BA36)=0,1,0)</formula>
    </cfRule>
    <cfRule type="cellIs" dxfId="0" priority="1231" operator="greaterThan">
      <formula>SUM(K36,Q36,W36,AC36,AI36,AO36,AU36,BA36)</formula>
    </cfRule>
    <cfRule type="cellIs" dxfId="1" priority="1232" operator="greaterThan">
      <formula>SUM(IF(ISNUMBER(M36),L36,0),IF(ISNUMBER(S36),R36,0),IF(ISNUMBER(Y36),X36,0),IF(ISNUMBER(AE36),AD36,0),IF(ISNUMBER(AK36),AJ36,0),IF(ISNUMBER(AQ36),AP36,0),IF(ISNUMBER(AW36),AV36,0),IF(ISNUMBER(BC36),BB36,0))</formula>
    </cfRule>
  </conditionalFormatting>
  <conditionalFormatting sqref="H37">
    <cfRule type="expression" dxfId="4" priority="1233">
      <formula>AND(ISBLANK(G37),ISBLANK(O37),ISBLANK(U37),ISBLANK(AA37),ISBLANK(AG37),ISBLANK(AM37),ISBLANK(AS37),ISBLANK(AY37),ISBLANK(BE37))</formula>
    </cfRule>
    <cfRule type="expression" dxfId="2" priority="1234">
      <formula>IF(SUM(K37,Q37,W37,AC37,AI37,AO37,AU37,BA37)=0,1,0)</formula>
    </cfRule>
    <cfRule type="cellIs" dxfId="0" priority="1235" operator="greaterThan">
      <formula>SUM(K37,Q37,W37,AC37,AI37,AO37,AU37,BA37)</formula>
    </cfRule>
    <cfRule type="cellIs" dxfId="1" priority="1236" operator="greaterThan">
      <formula>SUM(IF(ISNUMBER(M37),L37,0),IF(ISNUMBER(S37),R37,0),IF(ISNUMBER(Y37),X37,0),IF(ISNUMBER(AE37),AD37,0),IF(ISNUMBER(AK37),AJ37,0),IF(ISNUMBER(AQ37),AP37,0),IF(ISNUMBER(AW37),AV37,0),IF(ISNUMBER(BC37),BB37,0))</formula>
    </cfRule>
  </conditionalFormatting>
  <conditionalFormatting sqref="H38">
    <cfRule type="expression" dxfId="4" priority="1237">
      <formula>AND(ISBLANK(G38),ISBLANK(O38),ISBLANK(U38),ISBLANK(AA38),ISBLANK(AG38),ISBLANK(AM38),ISBLANK(AS38),ISBLANK(AY38),ISBLANK(BE38))</formula>
    </cfRule>
    <cfRule type="expression" dxfId="2" priority="1238">
      <formula>IF(SUM(K38,Q38,W38,AC38,AI38,AO38,AU38,BA38)=0,1,0)</formula>
    </cfRule>
    <cfRule type="cellIs" dxfId="0" priority="1239" operator="greaterThan">
      <formula>SUM(K38,Q38,W38,AC38,AI38,AO38,AU38,BA38)</formula>
    </cfRule>
    <cfRule type="cellIs" dxfId="1" priority="1240" operator="greaterThan">
      <formula>SUM(IF(ISNUMBER(M38),L38,0),IF(ISNUMBER(S38),R38,0),IF(ISNUMBER(Y38),X38,0),IF(ISNUMBER(AE38),AD38,0),IF(ISNUMBER(AK38),AJ38,0),IF(ISNUMBER(AQ38),AP38,0),IF(ISNUMBER(AW38),AV38,0),IF(ISNUMBER(BC38),BB38,0))</formula>
    </cfRule>
  </conditionalFormatting>
  <conditionalFormatting sqref="H39">
    <cfRule type="expression" dxfId="4" priority="1241">
      <formula>AND(ISBLANK(G39),ISBLANK(O39),ISBLANK(U39),ISBLANK(AA39),ISBLANK(AG39),ISBLANK(AM39),ISBLANK(AS39),ISBLANK(AY39),ISBLANK(BE39))</formula>
    </cfRule>
    <cfRule type="expression" dxfId="2" priority="1242">
      <formula>IF(SUM(K39,Q39,W39,AC39,AI39,AO39,AU39,BA39)=0,1,0)</formula>
    </cfRule>
    <cfRule type="cellIs" dxfId="0" priority="1243" operator="greaterThan">
      <formula>SUM(K39,Q39,W39,AC39,AI39,AO39,AU39,BA39)</formula>
    </cfRule>
    <cfRule type="cellIs" dxfId="1" priority="1244" operator="greaterThan">
      <formula>SUM(IF(ISNUMBER(M39),L39,0),IF(ISNUMBER(S39),R39,0),IF(ISNUMBER(Y39),X39,0),IF(ISNUMBER(AE39),AD39,0),IF(ISNUMBER(AK39),AJ39,0),IF(ISNUMBER(AQ39),AP39,0),IF(ISNUMBER(AW39),AV39,0),IF(ISNUMBER(BC39),BB39,0))</formula>
    </cfRule>
  </conditionalFormatting>
  <conditionalFormatting sqref="H40">
    <cfRule type="expression" dxfId="4" priority="1245">
      <formula>AND(ISBLANK(G40),ISBLANK(O40),ISBLANK(U40),ISBLANK(AA40),ISBLANK(AG40),ISBLANK(AM40),ISBLANK(AS40),ISBLANK(AY40),ISBLANK(BE40))</formula>
    </cfRule>
    <cfRule type="expression" dxfId="2" priority="1246">
      <formula>IF(SUM(K40,Q40,W40,AC40,AI40,AO40,AU40,BA40)=0,1,0)</formula>
    </cfRule>
    <cfRule type="cellIs" dxfId="0" priority="1247" operator="greaterThan">
      <formula>SUM(K40,Q40,W40,AC40,AI40,AO40,AU40,BA40)</formula>
    </cfRule>
    <cfRule type="cellIs" dxfId="1" priority="1248" operator="greaterThan">
      <formula>SUM(IF(ISNUMBER(M40),L40,0),IF(ISNUMBER(S40),R40,0),IF(ISNUMBER(Y40),X40,0),IF(ISNUMBER(AE40),AD40,0),IF(ISNUMBER(AK40),AJ40,0),IF(ISNUMBER(AQ40),AP40,0),IF(ISNUMBER(AW40),AV40,0),IF(ISNUMBER(BC40),BB40,0))</formula>
    </cfRule>
  </conditionalFormatting>
  <conditionalFormatting sqref="H41">
    <cfRule type="expression" dxfId="4" priority="1249">
      <formula>AND(ISBLANK(G41),ISBLANK(O41),ISBLANK(U41),ISBLANK(AA41),ISBLANK(AG41),ISBLANK(AM41),ISBLANK(AS41),ISBLANK(AY41),ISBLANK(BE41))</formula>
    </cfRule>
    <cfRule type="expression" dxfId="2" priority="1250">
      <formula>IF(SUM(K41,Q41,W41,AC41,AI41,AO41,AU41,BA41)=0,1,0)</formula>
    </cfRule>
    <cfRule type="cellIs" dxfId="0" priority="1251" operator="greaterThan">
      <formula>SUM(K41,Q41,W41,AC41,AI41,AO41,AU41,BA41)</formula>
    </cfRule>
    <cfRule type="cellIs" dxfId="1" priority="1252" operator="greaterThan">
      <formula>SUM(IF(ISNUMBER(M41),L41,0),IF(ISNUMBER(S41),R41,0),IF(ISNUMBER(Y41),X41,0),IF(ISNUMBER(AE41),AD41,0),IF(ISNUMBER(AK41),AJ41,0),IF(ISNUMBER(AQ41),AP41,0),IF(ISNUMBER(AW41),AV41,0),IF(ISNUMBER(BC41),BB41,0))</formula>
    </cfRule>
  </conditionalFormatting>
  <conditionalFormatting sqref="H42">
    <cfRule type="expression" dxfId="4" priority="1253">
      <formula>AND(ISBLANK(G42),ISBLANK(O42),ISBLANK(U42),ISBLANK(AA42),ISBLANK(AG42),ISBLANK(AM42),ISBLANK(AS42),ISBLANK(AY42),ISBLANK(BE42))</formula>
    </cfRule>
    <cfRule type="expression" dxfId="2" priority="1254">
      <formula>IF(SUM(K42,Q42,W42,AC42,AI42,AO42,AU42,BA42)=0,1,0)</formula>
    </cfRule>
    <cfRule type="cellIs" dxfId="0" priority="1255" operator="greaterThan">
      <formula>SUM(K42,Q42,W42,AC42,AI42,AO42,AU42,BA42)</formula>
    </cfRule>
    <cfRule type="cellIs" dxfId="1" priority="1256" operator="greaterThan">
      <formula>SUM(IF(ISNUMBER(M42),L42,0),IF(ISNUMBER(S42),R42,0),IF(ISNUMBER(Y42),X42,0),IF(ISNUMBER(AE42),AD42,0),IF(ISNUMBER(AK42),AJ42,0),IF(ISNUMBER(AQ42),AP42,0),IF(ISNUMBER(AW42),AV42,0),IF(ISNUMBER(BC42),BB42,0))</formula>
    </cfRule>
  </conditionalFormatting>
  <conditionalFormatting sqref="H43">
    <cfRule type="expression" dxfId="4" priority="1257">
      <formula>AND(ISBLANK(G43),ISBLANK(O43),ISBLANK(U43),ISBLANK(AA43),ISBLANK(AG43),ISBLANK(AM43),ISBLANK(AS43),ISBLANK(AY43),ISBLANK(BE43))</formula>
    </cfRule>
    <cfRule type="expression" dxfId="2" priority="1258">
      <formula>IF(SUM(K43,Q43,W43,AC43,AI43,AO43,AU43,BA43)=0,1,0)</formula>
    </cfRule>
    <cfRule type="cellIs" dxfId="0" priority="1259" operator="greaterThan">
      <formula>SUM(K43,Q43,W43,AC43,AI43,AO43,AU43,BA43)</formula>
    </cfRule>
    <cfRule type="cellIs" dxfId="1" priority="1260" operator="greaterThan">
      <formula>SUM(IF(ISNUMBER(M43),L43,0),IF(ISNUMBER(S43),R43,0),IF(ISNUMBER(Y43),X43,0),IF(ISNUMBER(AE43),AD43,0),IF(ISNUMBER(AK43),AJ43,0),IF(ISNUMBER(AQ43),AP43,0),IF(ISNUMBER(AW43),AV43,0),IF(ISNUMBER(BC43),BB43,0))</formula>
    </cfRule>
  </conditionalFormatting>
  <conditionalFormatting sqref="H44">
    <cfRule type="expression" dxfId="4" priority="1261">
      <formula>AND(ISBLANK(G44),ISBLANK(O44),ISBLANK(U44),ISBLANK(AA44),ISBLANK(AG44),ISBLANK(AM44),ISBLANK(AS44),ISBLANK(AY44),ISBLANK(BE44))</formula>
    </cfRule>
    <cfRule type="expression" dxfId="2" priority="1262">
      <formula>IF(SUM(K44,Q44,W44,AC44,AI44,AO44,AU44,BA44)=0,1,0)</formula>
    </cfRule>
    <cfRule type="cellIs" dxfId="0" priority="1263" operator="greaterThan">
      <formula>SUM(K44,Q44,W44,AC44,AI44,AO44,AU44,BA44)</formula>
    </cfRule>
    <cfRule type="cellIs" dxfId="1" priority="1264" operator="greaterThan">
      <formula>SUM(IF(ISNUMBER(M44),L44,0),IF(ISNUMBER(S44),R44,0),IF(ISNUMBER(Y44),X44,0),IF(ISNUMBER(AE44),AD44,0),IF(ISNUMBER(AK44),AJ44,0),IF(ISNUMBER(AQ44),AP44,0),IF(ISNUMBER(AW44),AV44,0),IF(ISNUMBER(BC44),BB44,0))</formula>
    </cfRule>
  </conditionalFormatting>
  <conditionalFormatting sqref="H45">
    <cfRule type="expression" dxfId="4" priority="1265">
      <formula>AND(ISBLANK(G45),ISBLANK(O45),ISBLANK(U45),ISBLANK(AA45),ISBLANK(AG45),ISBLANK(AM45),ISBLANK(AS45),ISBLANK(AY45),ISBLANK(BE45))</formula>
    </cfRule>
    <cfRule type="expression" dxfId="2" priority="1266">
      <formula>IF(SUM(K45,Q45,W45,AC45,AI45,AO45,AU45,BA45)=0,1,0)</formula>
    </cfRule>
    <cfRule type="cellIs" dxfId="0" priority="1267" operator="greaterThan">
      <formula>SUM(K45,Q45,W45,AC45,AI45,AO45,AU45,BA45)</formula>
    </cfRule>
    <cfRule type="cellIs" dxfId="1" priority="1268" operator="greaterThan">
      <formula>SUM(IF(ISNUMBER(M45),L45,0),IF(ISNUMBER(S45),R45,0),IF(ISNUMBER(Y45),X45,0),IF(ISNUMBER(AE45),AD45,0),IF(ISNUMBER(AK45),AJ45,0),IF(ISNUMBER(AQ45),AP45,0),IF(ISNUMBER(AW45),AV45,0),IF(ISNUMBER(BC45),BB45,0))</formula>
    </cfRule>
  </conditionalFormatting>
  <conditionalFormatting sqref="H46">
    <cfRule type="expression" dxfId="4" priority="1269">
      <formula>AND(ISBLANK(G46),ISBLANK(O46),ISBLANK(U46),ISBLANK(AA46),ISBLANK(AG46),ISBLANK(AM46),ISBLANK(AS46),ISBLANK(AY46),ISBLANK(BE46))</formula>
    </cfRule>
    <cfRule type="expression" dxfId="2" priority="1270">
      <formula>IF(SUM(K46,Q46,W46,AC46,AI46,AO46,AU46,BA46)=0,1,0)</formula>
    </cfRule>
    <cfRule type="cellIs" dxfId="0" priority="1271" operator="greaterThan">
      <formula>SUM(K46,Q46,W46,AC46,AI46,AO46,AU46,BA46)</formula>
    </cfRule>
    <cfRule type="cellIs" dxfId="1" priority="1272" operator="greaterThan">
      <formula>SUM(IF(ISNUMBER(M46),L46,0),IF(ISNUMBER(S46),R46,0),IF(ISNUMBER(Y46),X46,0),IF(ISNUMBER(AE46),AD46,0),IF(ISNUMBER(AK46),AJ46,0),IF(ISNUMBER(AQ46),AP46,0),IF(ISNUMBER(AW46),AV46,0),IF(ISNUMBER(BC46),BB46,0))</formula>
    </cfRule>
  </conditionalFormatting>
  <conditionalFormatting sqref="H47">
    <cfRule type="expression" dxfId="4" priority="1273">
      <formula>AND(ISBLANK(G47),ISBLANK(O47),ISBLANK(U47),ISBLANK(AA47),ISBLANK(AG47),ISBLANK(AM47),ISBLANK(AS47),ISBLANK(AY47),ISBLANK(BE47))</formula>
    </cfRule>
    <cfRule type="expression" dxfId="2" priority="1274">
      <formula>IF(SUM(K47,Q47,W47,AC47,AI47,AO47,AU47,BA47)=0,1,0)</formula>
    </cfRule>
    <cfRule type="cellIs" dxfId="0" priority="1275" operator="greaterThan">
      <formula>SUM(K47,Q47,W47,AC47,AI47,AO47,AU47,BA47)</formula>
    </cfRule>
    <cfRule type="cellIs" dxfId="1" priority="1276" operator="greaterThan">
      <formula>SUM(IF(ISNUMBER(M47),L47,0),IF(ISNUMBER(S47),R47,0),IF(ISNUMBER(Y47),X47,0),IF(ISNUMBER(AE47),AD47,0),IF(ISNUMBER(AK47),AJ47,0),IF(ISNUMBER(AQ47),AP47,0),IF(ISNUMBER(AW47),AV47,0),IF(ISNUMBER(BC47),BB47,0))</formula>
    </cfRule>
  </conditionalFormatting>
  <conditionalFormatting sqref="H48">
    <cfRule type="expression" dxfId="4" priority="1277">
      <formula>AND(ISBLANK(G48),ISBLANK(O48),ISBLANK(U48),ISBLANK(AA48),ISBLANK(AG48),ISBLANK(AM48),ISBLANK(AS48),ISBLANK(AY48),ISBLANK(BE48))</formula>
    </cfRule>
    <cfRule type="expression" dxfId="2" priority="1278">
      <formula>IF(SUM(K48,Q48,W48,AC48,AI48,AO48,AU48,BA48)=0,1,0)</formula>
    </cfRule>
    <cfRule type="cellIs" dxfId="0" priority="1279" operator="greaterThan">
      <formula>SUM(K48,Q48,W48,AC48,AI48,AO48,AU48,BA48)</formula>
    </cfRule>
    <cfRule type="cellIs" dxfId="1" priority="1280" operator="greaterThan">
      <formula>SUM(IF(ISNUMBER(M48),L48,0),IF(ISNUMBER(S48),R48,0),IF(ISNUMBER(Y48),X48,0),IF(ISNUMBER(AE48),AD48,0),IF(ISNUMBER(AK48),AJ48,0),IF(ISNUMBER(AQ48),AP48,0),IF(ISNUMBER(AW48),AV48,0),IF(ISNUMBER(BC48),BB48,0))</formula>
    </cfRule>
  </conditionalFormatting>
  <conditionalFormatting sqref="H49">
    <cfRule type="expression" dxfId="4" priority="1281">
      <formula>AND(ISBLANK(G49),ISBLANK(O49),ISBLANK(U49),ISBLANK(AA49),ISBLANK(AG49),ISBLANK(AM49),ISBLANK(AS49),ISBLANK(AY49),ISBLANK(BE49))</formula>
    </cfRule>
    <cfRule type="expression" dxfId="2" priority="1282">
      <formula>IF(SUM(K49,Q49,W49,AC49,AI49,AO49,AU49,BA49)=0,1,0)</formula>
    </cfRule>
    <cfRule type="cellIs" dxfId="0" priority="1283" operator="greaterThan">
      <formula>SUM(K49,Q49,W49,AC49,AI49,AO49,AU49,BA49)</formula>
    </cfRule>
    <cfRule type="cellIs" dxfId="1" priority="1284" operator="greaterThan">
      <formula>SUM(IF(ISNUMBER(M49),L49,0),IF(ISNUMBER(S49),R49,0),IF(ISNUMBER(Y49),X49,0),IF(ISNUMBER(AE49),AD49,0),IF(ISNUMBER(AK49),AJ49,0),IF(ISNUMBER(AQ49),AP49,0),IF(ISNUMBER(AW49),AV49,0),IF(ISNUMBER(BC49),BB49,0))</formula>
    </cfRule>
  </conditionalFormatting>
  <conditionalFormatting sqref="H50">
    <cfRule type="expression" dxfId="4" priority="1285">
      <formula>AND(ISBLANK(G50),ISBLANK(O50),ISBLANK(U50),ISBLANK(AA50),ISBLANK(AG50),ISBLANK(AM50),ISBLANK(AS50),ISBLANK(AY50),ISBLANK(BE50))</formula>
    </cfRule>
    <cfRule type="expression" dxfId="2" priority="1286">
      <formula>IF(SUM(K50,Q50,W50,AC50,AI50,AO50,AU50,BA50)=0,1,0)</formula>
    </cfRule>
    <cfRule type="cellIs" dxfId="0" priority="1287" operator="greaterThan">
      <formula>SUM(K50,Q50,W50,AC50,AI50,AO50,AU50,BA50)</formula>
    </cfRule>
    <cfRule type="cellIs" dxfId="1" priority="1288" operator="greaterThan">
      <formula>SUM(IF(ISNUMBER(M50),L50,0),IF(ISNUMBER(S50),R50,0),IF(ISNUMBER(Y50),X50,0),IF(ISNUMBER(AE50),AD50,0),IF(ISNUMBER(AK50),AJ50,0),IF(ISNUMBER(AQ50),AP50,0),IF(ISNUMBER(AW50),AV50,0),IF(ISNUMBER(BC50),BB50,0))</formula>
    </cfRule>
  </conditionalFormatting>
  <conditionalFormatting sqref="H51">
    <cfRule type="expression" dxfId="4" priority="1289">
      <formula>AND(ISBLANK(G51),ISBLANK(O51),ISBLANK(U51),ISBLANK(AA51),ISBLANK(AG51),ISBLANK(AM51),ISBLANK(AS51),ISBLANK(AY51),ISBLANK(BE51))</formula>
    </cfRule>
    <cfRule type="expression" dxfId="2" priority="1290">
      <formula>IF(SUM(K51,Q51,W51,AC51,AI51,AO51,AU51,BA51)=0,1,0)</formula>
    </cfRule>
    <cfRule type="cellIs" dxfId="0" priority="1291" operator="greaterThan">
      <formula>SUM(K51,Q51,W51,AC51,AI51,AO51,AU51,BA51)</formula>
    </cfRule>
    <cfRule type="cellIs" dxfId="1" priority="1292" operator="greaterThan">
      <formula>SUM(IF(ISNUMBER(M51),L51,0),IF(ISNUMBER(S51),R51,0),IF(ISNUMBER(Y51),X51,0),IF(ISNUMBER(AE51),AD51,0),IF(ISNUMBER(AK51),AJ51,0),IF(ISNUMBER(AQ51),AP51,0),IF(ISNUMBER(AW51),AV51,0),IF(ISNUMBER(BC51),BB51,0))</formula>
    </cfRule>
  </conditionalFormatting>
  <conditionalFormatting sqref="H52">
    <cfRule type="expression" dxfId="4" priority="1293">
      <formula>AND(ISBLANK(G52),ISBLANK(O52),ISBLANK(U52),ISBLANK(AA52),ISBLANK(AG52),ISBLANK(AM52),ISBLANK(AS52),ISBLANK(AY52),ISBLANK(BE52))</formula>
    </cfRule>
    <cfRule type="expression" dxfId="2" priority="1294">
      <formula>IF(SUM(K52,Q52,W52,AC52,AI52,AO52,AU52,BA52)=0,1,0)</formula>
    </cfRule>
    <cfRule type="cellIs" dxfId="0" priority="1295" operator="greaterThan">
      <formula>SUM(K52,Q52,W52,AC52,AI52,AO52,AU52,BA52)</formula>
    </cfRule>
    <cfRule type="cellIs" dxfId="1" priority="1296" operator="greaterThan">
      <formula>SUM(IF(ISNUMBER(M52),L52,0),IF(ISNUMBER(S52),R52,0),IF(ISNUMBER(Y52),X52,0),IF(ISNUMBER(AE52),AD52,0),IF(ISNUMBER(AK52),AJ52,0),IF(ISNUMBER(AQ52),AP52,0),IF(ISNUMBER(AW52),AV52,0),IF(ISNUMBER(BC52),BB52,0))</formula>
    </cfRule>
  </conditionalFormatting>
  <conditionalFormatting sqref="H53">
    <cfRule type="expression" dxfId="4" priority="1297">
      <formula>AND(ISBLANK(G53),ISBLANK(O53),ISBLANK(U53),ISBLANK(AA53),ISBLANK(AG53),ISBLANK(AM53),ISBLANK(AS53),ISBLANK(AY53),ISBLANK(BE53))</formula>
    </cfRule>
    <cfRule type="expression" dxfId="2" priority="1298">
      <formula>IF(SUM(K53,Q53,W53,AC53,AI53,AO53,AU53,BA53)=0,1,0)</formula>
    </cfRule>
    <cfRule type="cellIs" dxfId="0" priority="1299" operator="greaterThan">
      <formula>SUM(K53,Q53,W53,AC53,AI53,AO53,AU53,BA53)</formula>
    </cfRule>
    <cfRule type="cellIs" dxfId="1" priority="1300" operator="greaterThan">
      <formula>SUM(IF(ISNUMBER(M53),L53,0),IF(ISNUMBER(S53),R53,0),IF(ISNUMBER(Y53),X53,0),IF(ISNUMBER(AE53),AD53,0),IF(ISNUMBER(AK53),AJ53,0),IF(ISNUMBER(AQ53),AP53,0),IF(ISNUMBER(AW53),AV53,0),IF(ISNUMBER(BC53),BB53,0))</formula>
    </cfRule>
  </conditionalFormatting>
  <conditionalFormatting sqref="H54">
    <cfRule type="expression" dxfId="4" priority="1301">
      <formula>AND(ISBLANK(G54),ISBLANK(O54),ISBLANK(U54),ISBLANK(AA54),ISBLANK(AG54),ISBLANK(AM54),ISBLANK(AS54),ISBLANK(AY54),ISBLANK(BE54))</formula>
    </cfRule>
    <cfRule type="expression" dxfId="2" priority="1302">
      <formula>IF(SUM(K54,Q54,W54,AC54,AI54,AO54,AU54,BA54)=0,1,0)</formula>
    </cfRule>
    <cfRule type="cellIs" dxfId="0" priority="1303" operator="greaterThan">
      <formula>SUM(K54,Q54,W54,AC54,AI54,AO54,AU54,BA54)</formula>
    </cfRule>
    <cfRule type="cellIs" dxfId="1" priority="1304" operator="greaterThan">
      <formula>SUM(IF(ISNUMBER(M54),L54,0),IF(ISNUMBER(S54),R54,0),IF(ISNUMBER(Y54),X54,0),IF(ISNUMBER(AE54),AD54,0),IF(ISNUMBER(AK54),AJ54,0),IF(ISNUMBER(AQ54),AP54,0),IF(ISNUMBER(AW54),AV54,0),IF(ISNUMBER(BC54),BB54,0))</formula>
    </cfRule>
  </conditionalFormatting>
  <conditionalFormatting sqref="H55">
    <cfRule type="expression" dxfId="4" priority="1305">
      <formula>AND(ISBLANK(G55),ISBLANK(O55),ISBLANK(U55),ISBLANK(AA55),ISBLANK(AG55),ISBLANK(AM55),ISBLANK(AS55),ISBLANK(AY55),ISBLANK(BE55))</formula>
    </cfRule>
    <cfRule type="expression" dxfId="2" priority="1306">
      <formula>IF(SUM(K55,Q55,W55,AC55,AI55,AO55,AU55,BA55)=0,1,0)</formula>
    </cfRule>
    <cfRule type="cellIs" dxfId="0" priority="1307" operator="greaterThan">
      <formula>SUM(K55,Q55,W55,AC55,AI55,AO55,AU55,BA55)</formula>
    </cfRule>
    <cfRule type="cellIs" dxfId="1" priority="1308" operator="greaterThan">
      <formula>SUM(IF(ISNUMBER(M55),L55,0),IF(ISNUMBER(S55),R55,0),IF(ISNUMBER(Y55),X55,0),IF(ISNUMBER(AE55),AD55,0),IF(ISNUMBER(AK55),AJ55,0),IF(ISNUMBER(AQ55),AP55,0),IF(ISNUMBER(AW55),AV55,0),IF(ISNUMBER(BC55),BB55,0))</formula>
    </cfRule>
  </conditionalFormatting>
  <conditionalFormatting sqref="H56">
    <cfRule type="expression" dxfId="4" priority="1309">
      <formula>AND(ISBLANK(G56),ISBLANK(O56),ISBLANK(U56),ISBLANK(AA56),ISBLANK(AG56),ISBLANK(AM56),ISBLANK(AS56),ISBLANK(AY56),ISBLANK(BE56))</formula>
    </cfRule>
    <cfRule type="expression" dxfId="2" priority="1310">
      <formula>IF(SUM(K56,Q56,W56,AC56,AI56,AO56,AU56,BA56)=0,1,0)</formula>
    </cfRule>
    <cfRule type="cellIs" dxfId="0" priority="1311" operator="greaterThan">
      <formula>SUM(K56,Q56,W56,AC56,AI56,AO56,AU56,BA56)</formula>
    </cfRule>
    <cfRule type="cellIs" dxfId="1" priority="1312" operator="greaterThan">
      <formula>SUM(IF(ISNUMBER(M56),L56,0),IF(ISNUMBER(S56),R56,0),IF(ISNUMBER(Y56),X56,0),IF(ISNUMBER(AE56),AD56,0),IF(ISNUMBER(AK56),AJ56,0),IF(ISNUMBER(AQ56),AP56,0),IF(ISNUMBER(AW56),AV56,0),IF(ISNUMBER(BC56),BB56,0))</formula>
    </cfRule>
  </conditionalFormatting>
  <conditionalFormatting sqref="H57">
    <cfRule type="expression" dxfId="4" priority="1313">
      <formula>AND(ISBLANK(G57),ISBLANK(O57),ISBLANK(U57),ISBLANK(AA57),ISBLANK(AG57),ISBLANK(AM57),ISBLANK(AS57),ISBLANK(AY57),ISBLANK(BE57))</formula>
    </cfRule>
    <cfRule type="expression" dxfId="2" priority="1314">
      <formula>IF(SUM(K57,Q57,W57,AC57,AI57,AO57,AU57,BA57)=0,1,0)</formula>
    </cfRule>
    <cfRule type="cellIs" dxfId="0" priority="1315" operator="greaterThan">
      <formula>SUM(K57,Q57,W57,AC57,AI57,AO57,AU57,BA57)</formula>
    </cfRule>
    <cfRule type="cellIs" dxfId="1" priority="1316" operator="greaterThan">
      <formula>SUM(IF(ISNUMBER(M57),L57,0),IF(ISNUMBER(S57),R57,0),IF(ISNUMBER(Y57),X57,0),IF(ISNUMBER(AE57),AD57,0),IF(ISNUMBER(AK57),AJ57,0),IF(ISNUMBER(AQ57),AP57,0),IF(ISNUMBER(AW57),AV57,0),IF(ISNUMBER(BC57),BB57,0))</formula>
    </cfRule>
  </conditionalFormatting>
  <conditionalFormatting sqref="H58">
    <cfRule type="expression" dxfId="4" priority="1317">
      <formula>AND(ISBLANK(G58),ISBLANK(O58),ISBLANK(U58),ISBLANK(AA58),ISBLANK(AG58),ISBLANK(AM58),ISBLANK(AS58),ISBLANK(AY58),ISBLANK(BE58))</formula>
    </cfRule>
    <cfRule type="expression" dxfId="2" priority="1318">
      <formula>IF(SUM(K58,Q58,W58,AC58,AI58,AO58,AU58,BA58)=0,1,0)</formula>
    </cfRule>
    <cfRule type="cellIs" dxfId="0" priority="1319" operator="greaterThan">
      <formula>SUM(K58,Q58,W58,AC58,AI58,AO58,AU58,BA58)</formula>
    </cfRule>
    <cfRule type="cellIs" dxfId="1" priority="1320" operator="greaterThan">
      <formula>SUM(IF(ISNUMBER(M58),L58,0),IF(ISNUMBER(S58),R58,0),IF(ISNUMBER(Y58),X58,0),IF(ISNUMBER(AE58),AD58,0),IF(ISNUMBER(AK58),AJ58,0),IF(ISNUMBER(AQ58),AP58,0),IF(ISNUMBER(AW58),AV58,0),IF(ISNUMBER(BC58),BB58,0))</formula>
    </cfRule>
  </conditionalFormatting>
  <conditionalFormatting sqref="H59">
    <cfRule type="expression" dxfId="4" priority="1321">
      <formula>AND(ISBLANK(G59),ISBLANK(O59),ISBLANK(U59),ISBLANK(AA59),ISBLANK(AG59),ISBLANK(AM59),ISBLANK(AS59),ISBLANK(AY59),ISBLANK(BE59))</formula>
    </cfRule>
    <cfRule type="expression" dxfId="2" priority="1322">
      <formula>IF(SUM(K59,Q59,W59,AC59,AI59,AO59,AU59,BA59)=0,1,0)</formula>
    </cfRule>
    <cfRule type="cellIs" dxfId="0" priority="1323" operator="greaterThan">
      <formula>SUM(K59,Q59,W59,AC59,AI59,AO59,AU59,BA59)</formula>
    </cfRule>
    <cfRule type="cellIs" dxfId="1" priority="1324" operator="greaterThan">
      <formula>SUM(IF(ISNUMBER(M59),L59,0),IF(ISNUMBER(S59),R59,0),IF(ISNUMBER(Y59),X59,0),IF(ISNUMBER(AE59),AD59,0),IF(ISNUMBER(AK59),AJ59,0),IF(ISNUMBER(AQ59),AP59,0),IF(ISNUMBER(AW59),AV59,0),IF(ISNUMBER(BC59),BB59,0))</formula>
    </cfRule>
  </conditionalFormatting>
  <conditionalFormatting sqref="H7">
    <cfRule type="expression" dxfId="4" priority="1113">
      <formula>AND(ISBLANK(G7),ISBLANK(O7),ISBLANK(U7),ISBLANK(AA7),ISBLANK(AG7),ISBLANK(AM7),ISBLANK(AS7),ISBLANK(AY7),ISBLANK(BE7))</formula>
    </cfRule>
    <cfRule type="expression" dxfId="2" priority="1114">
      <formula>IF(SUM(K7,Q7,W7,AC7,AI7,AO7,AU7,BA7)=0,1,0)</formula>
    </cfRule>
    <cfRule type="cellIs" dxfId="0" priority="1115" operator="greaterThan">
      <formula>SUM(K7,Q7,W7,AC7,AI7,AO7,AU7,BA7)</formula>
    </cfRule>
    <cfRule type="cellIs" dxfId="1" priority="1116" operator="greaterThan">
      <formula>SUM(IF(ISNUMBER(M7),L7,0),IF(ISNUMBER(S7),R7,0),IF(ISNUMBER(Y7),X7,0),IF(ISNUMBER(AE7),AD7,0),IF(ISNUMBER(AK7),AJ7,0),IF(ISNUMBER(AQ7),AP7,0),IF(ISNUMBER(AW7),AV7,0),IF(ISNUMBER(BC7),BB7,0))</formula>
    </cfRule>
  </conditionalFormatting>
  <conditionalFormatting sqref="H8">
    <cfRule type="expression" dxfId="4" priority="1117">
      <formula>AND(ISBLANK(G8),ISBLANK(O8),ISBLANK(U8),ISBLANK(AA8),ISBLANK(AG8),ISBLANK(AM8),ISBLANK(AS8),ISBLANK(AY8),ISBLANK(BE8))</formula>
    </cfRule>
    <cfRule type="expression" dxfId="2" priority="1118">
      <formula>IF(SUM(K8,Q8,W8,AC8,AI8,AO8,AU8,BA8)=0,1,0)</formula>
    </cfRule>
    <cfRule type="cellIs" dxfId="0" priority="1119" operator="greaterThan">
      <formula>SUM(K8,Q8,W8,AC8,AI8,AO8,AU8,BA8)</formula>
    </cfRule>
    <cfRule type="cellIs" dxfId="1" priority="1120" operator="greaterThan">
      <formula>SUM(IF(ISNUMBER(M8),L8,0),IF(ISNUMBER(S8),R8,0),IF(ISNUMBER(Y8),X8,0),IF(ISNUMBER(AE8),AD8,0),IF(ISNUMBER(AK8),AJ8,0),IF(ISNUMBER(AQ8),AP8,0),IF(ISNUMBER(AW8),AV8,0),IF(ISNUMBER(BC8),BB8,0))</formula>
    </cfRule>
  </conditionalFormatting>
  <conditionalFormatting sqref="H9">
    <cfRule type="expression" dxfId="4" priority="1121">
      <formula>AND(ISBLANK(G9),ISBLANK(O9),ISBLANK(U9),ISBLANK(AA9),ISBLANK(AG9),ISBLANK(AM9),ISBLANK(AS9),ISBLANK(AY9),ISBLANK(BE9))</formula>
    </cfRule>
    <cfRule type="expression" dxfId="2" priority="1122">
      <formula>IF(SUM(K9,Q9,W9,AC9,AI9,AO9,AU9,BA9)=0,1,0)</formula>
    </cfRule>
    <cfRule type="cellIs" dxfId="0" priority="1123" operator="greaterThan">
      <formula>SUM(K9,Q9,W9,AC9,AI9,AO9,AU9,BA9)</formula>
    </cfRule>
    <cfRule type="cellIs" dxfId="1" priority="1124" operator="greaterThan">
      <formula>SUM(IF(ISNUMBER(M9),L9,0),IF(ISNUMBER(S9),R9,0),IF(ISNUMBER(Y9),X9,0),IF(ISNUMBER(AE9),AD9,0),IF(ISNUMBER(AK9),AJ9,0),IF(ISNUMBER(AQ9),AP9,0),IF(ISNUMBER(AW9),AV9,0),IF(ISNUMBER(BC9),BB9,0))</formula>
    </cfRule>
  </conditionalFormatting>
  <conditionalFormatting sqref="K11">
    <cfRule type="cellIs" dxfId="0" priority="17" operator="lessThan">
      <formula>H11</formula>
    </cfRule>
  </conditionalFormatting>
  <conditionalFormatting sqref="K12">
    <cfRule type="cellIs" dxfId="0" priority="21" operator="lessThan">
      <formula>H12</formula>
    </cfRule>
  </conditionalFormatting>
  <conditionalFormatting sqref="K13">
    <cfRule type="cellIs" dxfId="0" priority="25" operator="lessThan">
      <formula>H13</formula>
    </cfRule>
  </conditionalFormatting>
  <conditionalFormatting sqref="K17">
    <cfRule type="cellIs" dxfId="0" priority="29" operator="lessThan">
      <formula>H17</formula>
    </cfRule>
  </conditionalFormatting>
  <conditionalFormatting sqref="K18">
    <cfRule type="cellIs" dxfId="0" priority="33" operator="lessThan">
      <formula>H18</formula>
    </cfRule>
  </conditionalFormatting>
  <conditionalFormatting sqref="K22">
    <cfRule type="cellIs" dxfId="0" priority="37" operator="lessThan">
      <formula>H22</formula>
    </cfRule>
  </conditionalFormatting>
  <conditionalFormatting sqref="K29">
    <cfRule type="cellIs" dxfId="0" priority="41" operator="lessThan">
      <formula>H29</formula>
    </cfRule>
  </conditionalFormatting>
  <conditionalFormatting sqref="K30">
    <cfRule type="cellIs" dxfId="0" priority="45" operator="lessThan">
      <formula>H30</formula>
    </cfRule>
  </conditionalFormatting>
  <conditionalFormatting sqref="K31">
    <cfRule type="cellIs" dxfId="0" priority="53" operator="lessThan">
      <formula>H31</formula>
    </cfRule>
  </conditionalFormatting>
  <conditionalFormatting sqref="K32">
    <cfRule type="cellIs" dxfId="0" priority="57" operator="lessThan">
      <formula>H32</formula>
    </cfRule>
  </conditionalFormatting>
  <conditionalFormatting sqref="K33">
    <cfRule type="cellIs" dxfId="0" priority="61" operator="lessThan">
      <formula>H33</formula>
    </cfRule>
  </conditionalFormatting>
  <conditionalFormatting sqref="K34">
    <cfRule type="cellIs" dxfId="0" priority="65" operator="lessThan">
      <formula>H34</formula>
    </cfRule>
  </conditionalFormatting>
  <conditionalFormatting sqref="K37">
    <cfRule type="cellIs" dxfId="0" priority="73" operator="lessThan">
      <formula>H37</formula>
    </cfRule>
  </conditionalFormatting>
  <conditionalFormatting sqref="K48">
    <cfRule type="cellIs" dxfId="0" priority="77" operator="lessThan">
      <formula>H48</formula>
    </cfRule>
  </conditionalFormatting>
  <conditionalFormatting sqref="K50">
    <cfRule type="cellIs" dxfId="0" priority="81" operator="lessThan">
      <formula>H50</formula>
    </cfRule>
  </conditionalFormatting>
  <conditionalFormatting sqref="K54">
    <cfRule type="cellIs" dxfId="0" priority="85" operator="lessThan">
      <formula>H54</formula>
    </cfRule>
  </conditionalFormatting>
  <conditionalFormatting sqref="K57">
    <cfRule type="cellIs" dxfId="0" priority="89" operator="lessThan">
      <formula>H57</formula>
    </cfRule>
  </conditionalFormatting>
  <conditionalFormatting sqref="K58">
    <cfRule type="cellIs" dxfId="0" priority="93" operator="lessThan">
      <formula>H58</formula>
    </cfRule>
  </conditionalFormatting>
  <conditionalFormatting sqref="K8">
    <cfRule type="cellIs" dxfId="0" priority="1" operator="lessThan">
      <formula>H8</formula>
    </cfRule>
  </conditionalFormatting>
  <conditionalFormatting sqref="K9">
    <cfRule type="cellIs" dxfId="0" priority="9" operator="lessThan">
      <formula>H9</formula>
    </cfRule>
  </conditionalFormatting>
  <conditionalFormatting sqref="L11">
    <cfRule type="expression" dxfId="2" priority="18">
      <formula>AND(NOT(ISBLANK(L11)),OR(K11="NonStk",L11&gt;K11))</formula>
    </cfRule>
  </conditionalFormatting>
  <conditionalFormatting sqref="L12">
    <cfRule type="expression" dxfId="2" priority="22">
      <formula>AND(NOT(ISBLANK(L12)),OR(K12="NonStk",L12&gt;K12))</formula>
    </cfRule>
  </conditionalFormatting>
  <conditionalFormatting sqref="L13">
    <cfRule type="expression" dxfId="2" priority="26">
      <formula>AND(NOT(ISBLANK(L13)),OR(K13="NonStk",L13&gt;K13))</formula>
    </cfRule>
  </conditionalFormatting>
  <conditionalFormatting sqref="L17">
    <cfRule type="expression" dxfId="2" priority="30">
      <formula>AND(NOT(ISBLANK(L17)),OR(K17="NonStk",L17&gt;K17))</formula>
    </cfRule>
  </conditionalFormatting>
  <conditionalFormatting sqref="L18">
    <cfRule type="expression" dxfId="2" priority="34">
      <formula>AND(NOT(ISBLANK(L18)),OR(K18="NonStk",L18&gt;K18))</formula>
    </cfRule>
  </conditionalFormatting>
  <conditionalFormatting sqref="L22">
    <cfRule type="expression" dxfId="2" priority="38">
      <formula>AND(NOT(ISBLANK(L22)),OR(K22="NonStk",L22&gt;K22))</formula>
    </cfRule>
  </conditionalFormatting>
  <conditionalFormatting sqref="L29">
    <cfRule type="expression" dxfId="2" priority="42">
      <formula>AND(NOT(ISBLANK(L29)),OR(K29="NonStk",L29&gt;K29))</formula>
    </cfRule>
  </conditionalFormatting>
  <conditionalFormatting sqref="L30">
    <cfRule type="expression" dxfId="1" priority="46">
      <formula>AND(L30&gt;0,MOD(L30,N30)&lt;&gt;0)</formula>
    </cfRule>
    <cfRule type="expression" dxfId="2" priority="47">
      <formula>AND(NOT(ISBLANK(L30)),OR(K30="NonStk",L30&gt;K30))</formula>
    </cfRule>
  </conditionalFormatting>
  <conditionalFormatting sqref="L31">
    <cfRule type="expression" dxfId="2" priority="54">
      <formula>AND(NOT(ISBLANK(L31)),OR(K31="NonStk",L31&gt;K31))</formula>
    </cfRule>
  </conditionalFormatting>
  <conditionalFormatting sqref="L32">
    <cfRule type="expression" dxfId="2" priority="58">
      <formula>AND(NOT(ISBLANK(L32)),OR(K32="NonStk",L32&gt;K32))</formula>
    </cfRule>
  </conditionalFormatting>
  <conditionalFormatting sqref="L33">
    <cfRule type="expression" dxfId="2" priority="62">
      <formula>AND(NOT(ISBLANK(L33)),OR(K33="NonStk",L33&gt;K33))</formula>
    </cfRule>
  </conditionalFormatting>
  <conditionalFormatting sqref="L34">
    <cfRule type="expression" dxfId="1" priority="66">
      <formula>AND(L34&gt;0,MOD(L34,N34)&lt;&gt;0)</formula>
    </cfRule>
    <cfRule type="expression" dxfId="2" priority="67">
      <formula>AND(NOT(ISBLANK(L34)),OR(K34="NonStk",L34&gt;K34))</formula>
    </cfRule>
  </conditionalFormatting>
  <conditionalFormatting sqref="L37">
    <cfRule type="expression" dxfId="2" priority="74">
      <formula>AND(NOT(ISBLANK(L37)),OR(K37="NonStk",L37&gt;K37))</formula>
    </cfRule>
  </conditionalFormatting>
  <conditionalFormatting sqref="L48">
    <cfRule type="expression" dxfId="2" priority="78">
      <formula>AND(NOT(ISBLANK(L48)),OR(K48="NonStk",L48&gt;K48))</formula>
    </cfRule>
  </conditionalFormatting>
  <conditionalFormatting sqref="L50">
    <cfRule type="expression" dxfId="2" priority="82">
      <formula>AND(NOT(ISBLANK(L50)),OR(K50="NonStk",L50&gt;K50))</formula>
    </cfRule>
  </conditionalFormatting>
  <conditionalFormatting sqref="L54">
    <cfRule type="expression" dxfId="2" priority="86">
      <formula>AND(NOT(ISBLANK(L54)),OR(K54="NonStk",L54&gt;K54))</formula>
    </cfRule>
  </conditionalFormatting>
  <conditionalFormatting sqref="L57">
    <cfRule type="expression" dxfId="2" priority="90">
      <formula>AND(NOT(ISBLANK(L57)),OR(K57="NonStk",L57&gt;K57))</formula>
    </cfRule>
  </conditionalFormatting>
  <conditionalFormatting sqref="L58">
    <cfRule type="expression" dxfId="2" priority="94">
      <formula>AND(NOT(ISBLANK(L58)),OR(K58="NonStk",L58&gt;K58))</formula>
    </cfRule>
  </conditionalFormatting>
  <conditionalFormatting sqref="L8">
    <cfRule type="expression" dxfId="1" priority="2">
      <formula>AND(L8&gt;0,MOD(L8,N8)&lt;&gt;0)</formula>
    </cfRule>
    <cfRule type="expression" dxfId="2" priority="3">
      <formula>AND(NOT(ISBLANK(L8)),OR(K8="NonStk",L8&gt;K8))</formula>
    </cfRule>
  </conditionalFormatting>
  <conditionalFormatting sqref="L9">
    <cfRule type="expression" dxfId="1" priority="10">
      <formula>AND(L9&gt;0,MOD(L9,N9)&lt;&gt;0)</formula>
    </cfRule>
    <cfRule type="expression" dxfId="2" priority="11">
      <formula>AND(NOT(ISBLANK(L9)),OR(K9="NonStk",L9&gt;K9))</formula>
    </cfRule>
  </conditionalFormatting>
  <conditionalFormatting sqref="M11">
    <cfRule type="cellIs" dxfId="3" priority="20" operator="lessThanOrEqual">
      <formula>I11</formula>
    </cfRule>
  </conditionalFormatting>
  <conditionalFormatting sqref="M12">
    <cfRule type="cellIs" dxfId="3" priority="24" operator="lessThanOrEqual">
      <formula>I12</formula>
    </cfRule>
  </conditionalFormatting>
  <conditionalFormatting sqref="M13">
    <cfRule type="cellIs" dxfId="3" priority="28" operator="lessThanOrEqual">
      <formula>I13</formula>
    </cfRule>
  </conditionalFormatting>
  <conditionalFormatting sqref="M17">
    <cfRule type="cellIs" dxfId="3" priority="32" operator="lessThanOrEqual">
      <formula>I17</formula>
    </cfRule>
  </conditionalFormatting>
  <conditionalFormatting sqref="M18">
    <cfRule type="cellIs" dxfId="3" priority="36" operator="lessThanOrEqual">
      <formula>I18</formula>
    </cfRule>
  </conditionalFormatting>
  <conditionalFormatting sqref="M22">
    <cfRule type="cellIs" dxfId="3" priority="40" operator="lessThanOrEqual">
      <formula>I22</formula>
    </cfRule>
  </conditionalFormatting>
  <conditionalFormatting sqref="M29">
    <cfRule type="cellIs" dxfId="3" priority="44" operator="lessThanOrEqual">
      <formula>I29</formula>
    </cfRule>
  </conditionalFormatting>
  <conditionalFormatting sqref="M30">
    <cfRule type="cellIs" dxfId="3" priority="49" operator="lessThanOrEqual">
      <formula>I30</formula>
    </cfRule>
    <cfRule type="expression" dxfId="1" priority="50">
      <formula>AND(H30&lt;15000,L30&lt;15000)</formula>
    </cfRule>
  </conditionalFormatting>
  <conditionalFormatting sqref="M31">
    <cfRule type="cellIs" dxfId="3" priority="56" operator="lessThanOrEqual">
      <formula>I31</formula>
    </cfRule>
  </conditionalFormatting>
  <conditionalFormatting sqref="M32">
    <cfRule type="cellIs" dxfId="3" priority="60" operator="lessThanOrEqual">
      <formula>I32</formula>
    </cfRule>
  </conditionalFormatting>
  <conditionalFormatting sqref="M33">
    <cfRule type="cellIs" dxfId="3" priority="64" operator="lessThanOrEqual">
      <formula>I33</formula>
    </cfRule>
  </conditionalFormatting>
  <conditionalFormatting sqref="M34">
    <cfRule type="cellIs" dxfId="3" priority="69" operator="lessThanOrEqual">
      <formula>I34</formula>
    </cfRule>
    <cfRule type="expression" dxfId="1" priority="70">
      <formula>AND(H34&lt;15000,L34&lt;15000)</formula>
    </cfRule>
  </conditionalFormatting>
  <conditionalFormatting sqref="M37">
    <cfRule type="cellIs" dxfId="3" priority="76" operator="lessThanOrEqual">
      <formula>I37</formula>
    </cfRule>
  </conditionalFormatting>
  <conditionalFormatting sqref="M48">
    <cfRule type="cellIs" dxfId="3" priority="80" operator="lessThanOrEqual">
      <formula>I48</formula>
    </cfRule>
  </conditionalFormatting>
  <conditionalFormatting sqref="M50">
    <cfRule type="cellIs" dxfId="3" priority="84" operator="lessThanOrEqual">
      <formula>I50</formula>
    </cfRule>
  </conditionalFormatting>
  <conditionalFormatting sqref="M54">
    <cfRule type="cellIs" dxfId="3" priority="88" operator="lessThanOrEqual">
      <formula>I54</formula>
    </cfRule>
  </conditionalFormatting>
  <conditionalFormatting sqref="M57">
    <cfRule type="cellIs" dxfId="3" priority="92" operator="lessThanOrEqual">
      <formula>I57</formula>
    </cfRule>
  </conditionalFormatting>
  <conditionalFormatting sqref="M58">
    <cfRule type="cellIs" dxfId="3" priority="96" operator="lessThanOrEqual">
      <formula>I58</formula>
    </cfRule>
  </conditionalFormatting>
  <conditionalFormatting sqref="M8">
    <cfRule type="cellIs" dxfId="3" priority="5" operator="lessThanOrEqual">
      <formula>I8</formula>
    </cfRule>
    <cfRule type="expression" dxfId="1" priority="6">
      <formula>AND(H8&lt;15000,L8&lt;15000)</formula>
    </cfRule>
  </conditionalFormatting>
  <conditionalFormatting sqref="M9">
    <cfRule type="cellIs" dxfId="3" priority="13" operator="lessThanOrEqual">
      <formula>I9</formula>
    </cfRule>
    <cfRule type="expression" dxfId="1" priority="14">
      <formula>AND(H9&lt;15000,L9&lt;15000)</formula>
    </cfRule>
  </conditionalFormatting>
  <conditionalFormatting sqref="N30">
    <cfRule type="expression" dxfId="1" priority="51">
      <formula>AND(H30&lt;15000,L30&lt;15000)</formula>
    </cfRule>
  </conditionalFormatting>
  <conditionalFormatting sqref="N34">
    <cfRule type="expression" dxfId="1" priority="71">
      <formula>AND(H34&lt;15000,L34&lt;15000)</formula>
    </cfRule>
  </conditionalFormatting>
  <conditionalFormatting sqref="N8">
    <cfRule type="expression" dxfId="1" priority="7">
      <formula>AND(H8&lt;15000,L8&lt;15000)</formula>
    </cfRule>
  </conditionalFormatting>
  <conditionalFormatting sqref="N9">
    <cfRule type="expression" dxfId="1" priority="15">
      <formula>AND(H9&lt;15000,L9&lt;15000)</formula>
    </cfRule>
  </conditionalFormatting>
  <conditionalFormatting sqref="O11">
    <cfRule type="cellIs" dxfId="3" priority="19" operator="lessThanOrEqual">
      <formula>J11</formula>
    </cfRule>
  </conditionalFormatting>
  <conditionalFormatting sqref="O12">
    <cfRule type="cellIs" dxfId="3" priority="23" operator="lessThanOrEqual">
      <formula>J12</formula>
    </cfRule>
  </conditionalFormatting>
  <conditionalFormatting sqref="O13">
    <cfRule type="cellIs" dxfId="3" priority="27" operator="lessThanOrEqual">
      <formula>J13</formula>
    </cfRule>
  </conditionalFormatting>
  <conditionalFormatting sqref="O17">
    <cfRule type="cellIs" dxfId="3" priority="31" operator="lessThanOrEqual">
      <formula>J17</formula>
    </cfRule>
  </conditionalFormatting>
  <conditionalFormatting sqref="O18">
    <cfRule type="cellIs" dxfId="3" priority="35" operator="lessThanOrEqual">
      <formula>J18</formula>
    </cfRule>
  </conditionalFormatting>
  <conditionalFormatting sqref="O22">
    <cfRule type="cellIs" dxfId="3" priority="39" operator="lessThanOrEqual">
      <formula>J22</formula>
    </cfRule>
  </conditionalFormatting>
  <conditionalFormatting sqref="O29">
    <cfRule type="cellIs" dxfId="3" priority="43" operator="lessThanOrEqual">
      <formula>J29</formula>
    </cfRule>
  </conditionalFormatting>
  <conditionalFormatting sqref="O30">
    <cfRule type="cellIs" dxfId="3" priority="48" operator="lessThanOrEqual">
      <formula>J30</formula>
    </cfRule>
    <cfRule type="expression" dxfId="1" priority="52">
      <formula>AND(H30&lt;15000,L30&lt;15000)</formula>
    </cfRule>
  </conditionalFormatting>
  <conditionalFormatting sqref="O31">
    <cfRule type="cellIs" dxfId="3" priority="55" operator="lessThanOrEqual">
      <formula>J31</formula>
    </cfRule>
  </conditionalFormatting>
  <conditionalFormatting sqref="O32">
    <cfRule type="cellIs" dxfId="3" priority="59" operator="lessThanOrEqual">
      <formula>J32</formula>
    </cfRule>
  </conditionalFormatting>
  <conditionalFormatting sqref="O33">
    <cfRule type="cellIs" dxfId="3" priority="63" operator="lessThanOrEqual">
      <formula>J33</formula>
    </cfRule>
  </conditionalFormatting>
  <conditionalFormatting sqref="O34">
    <cfRule type="cellIs" dxfId="3" priority="68" operator="lessThanOrEqual">
      <formula>J34</formula>
    </cfRule>
    <cfRule type="expression" dxfId="1" priority="72">
      <formula>AND(H34&lt;15000,L34&lt;15000)</formula>
    </cfRule>
  </conditionalFormatting>
  <conditionalFormatting sqref="O37">
    <cfRule type="cellIs" dxfId="3" priority="75" operator="lessThanOrEqual">
      <formula>J37</formula>
    </cfRule>
  </conditionalFormatting>
  <conditionalFormatting sqref="O48">
    <cfRule type="cellIs" dxfId="3" priority="79" operator="lessThanOrEqual">
      <formula>J48</formula>
    </cfRule>
  </conditionalFormatting>
  <conditionalFormatting sqref="O50">
    <cfRule type="cellIs" dxfId="3" priority="83" operator="lessThanOrEqual">
      <formula>J50</formula>
    </cfRule>
  </conditionalFormatting>
  <conditionalFormatting sqref="O54">
    <cfRule type="cellIs" dxfId="3" priority="87" operator="lessThanOrEqual">
      <formula>J54</formula>
    </cfRule>
  </conditionalFormatting>
  <conditionalFormatting sqref="O57">
    <cfRule type="cellIs" dxfId="3" priority="91" operator="lessThanOrEqual">
      <formula>J57</formula>
    </cfRule>
  </conditionalFormatting>
  <conditionalFormatting sqref="O58">
    <cfRule type="cellIs" dxfId="3" priority="95" operator="lessThanOrEqual">
      <formula>J58</formula>
    </cfRule>
  </conditionalFormatting>
  <conditionalFormatting sqref="O8">
    <cfRule type="cellIs" dxfId="3" priority="4" operator="lessThanOrEqual">
      <formula>J8</formula>
    </cfRule>
    <cfRule type="expression" dxfId="1" priority="8">
      <formula>AND(H8&lt;15000,L8&lt;15000)</formula>
    </cfRule>
  </conditionalFormatting>
  <conditionalFormatting sqref="O9">
    <cfRule type="cellIs" dxfId="3" priority="12" operator="lessThanOrEqual">
      <formula>J9</formula>
    </cfRule>
    <cfRule type="expression" dxfId="1" priority="16">
      <formula>AND(H9&lt;15000,L9&lt;15000)</formula>
    </cfRule>
  </conditionalFormatting>
  <conditionalFormatting sqref="Q10">
    <cfRule type="cellIs" dxfId="0" priority="109" operator="lessThan">
      <formula>H10</formula>
    </cfRule>
  </conditionalFormatting>
  <conditionalFormatting sqref="Q11">
    <cfRule type="cellIs" dxfId="0" priority="113" operator="lessThan">
      <formula>H11</formula>
    </cfRule>
  </conditionalFormatting>
  <conditionalFormatting sqref="Q12">
    <cfRule type="cellIs" dxfId="0" priority="117" operator="lessThan">
      <formula>H12</formula>
    </cfRule>
  </conditionalFormatting>
  <conditionalFormatting sqref="Q13">
    <cfRule type="cellIs" dxfId="0" priority="121" operator="lessThan">
      <formula>H13</formula>
    </cfRule>
  </conditionalFormatting>
  <conditionalFormatting sqref="Q14">
    <cfRule type="cellIs" dxfId="0" priority="125" operator="lessThan">
      <formula>H14</formula>
    </cfRule>
  </conditionalFormatting>
  <conditionalFormatting sqref="Q16">
    <cfRule type="cellIs" dxfId="0" priority="133" operator="lessThan">
      <formula>H16</formula>
    </cfRule>
  </conditionalFormatting>
  <conditionalFormatting sqref="Q17">
    <cfRule type="cellIs" dxfId="0" priority="137" operator="lessThan">
      <formula>H17</formula>
    </cfRule>
  </conditionalFormatting>
  <conditionalFormatting sqref="Q18">
    <cfRule type="cellIs" dxfId="0" priority="141" operator="lessThan">
      <formula>H18</formula>
    </cfRule>
  </conditionalFormatting>
  <conditionalFormatting sqref="Q19">
    <cfRule type="cellIs" dxfId="0" priority="145" operator="lessThan">
      <formula>H19</formula>
    </cfRule>
  </conditionalFormatting>
  <conditionalFormatting sqref="Q20">
    <cfRule type="cellIs" dxfId="0" priority="149" operator="lessThan">
      <formula>H20</formula>
    </cfRule>
  </conditionalFormatting>
  <conditionalFormatting sqref="Q21">
    <cfRule type="cellIs" dxfId="0" priority="153" operator="lessThan">
      <formula>H21</formula>
    </cfRule>
  </conditionalFormatting>
  <conditionalFormatting sqref="Q22">
    <cfRule type="cellIs" dxfId="0" priority="157" operator="lessThan">
      <formula>H22</formula>
    </cfRule>
  </conditionalFormatting>
  <conditionalFormatting sqref="Q23">
    <cfRule type="cellIs" dxfId="0" priority="161" operator="lessThan">
      <formula>H23</formula>
    </cfRule>
  </conditionalFormatting>
  <conditionalFormatting sqref="Q24">
    <cfRule type="cellIs" dxfId="0" priority="165" operator="lessThan">
      <formula>H24</formula>
    </cfRule>
  </conditionalFormatting>
  <conditionalFormatting sqref="Q25">
    <cfRule type="cellIs" dxfId="0" priority="169" operator="lessThan">
      <formula>H25</formula>
    </cfRule>
  </conditionalFormatting>
  <conditionalFormatting sqref="Q26">
    <cfRule type="cellIs" dxfId="0" priority="173" operator="lessThan">
      <formula>H26</formula>
    </cfRule>
  </conditionalFormatting>
  <conditionalFormatting sqref="Q27">
    <cfRule type="cellIs" dxfId="0" priority="177" operator="lessThan">
      <formula>H27</formula>
    </cfRule>
  </conditionalFormatting>
  <conditionalFormatting sqref="Q28">
    <cfRule type="cellIs" dxfId="0" priority="181" operator="lessThan">
      <formula>H28</formula>
    </cfRule>
  </conditionalFormatting>
  <conditionalFormatting sqref="Q29">
    <cfRule type="cellIs" dxfId="0" priority="189" operator="lessThan">
      <formula>H29</formula>
    </cfRule>
  </conditionalFormatting>
  <conditionalFormatting sqref="Q30">
    <cfRule type="cellIs" dxfId="0" priority="193" operator="lessThan">
      <formula>H30</formula>
    </cfRule>
  </conditionalFormatting>
  <conditionalFormatting sqref="Q31">
    <cfRule type="cellIs" dxfId="0" priority="197" operator="lessThan">
      <formula>H31</formula>
    </cfRule>
  </conditionalFormatting>
  <conditionalFormatting sqref="Q32">
    <cfRule type="cellIs" dxfId="0" priority="201" operator="lessThan">
      <formula>H32</formula>
    </cfRule>
  </conditionalFormatting>
  <conditionalFormatting sqref="Q33">
    <cfRule type="cellIs" dxfId="0" priority="205" operator="lessThan">
      <formula>H33</formula>
    </cfRule>
  </conditionalFormatting>
  <conditionalFormatting sqref="Q34">
    <cfRule type="cellIs" dxfId="0" priority="209" operator="lessThan">
      <formula>H34</formula>
    </cfRule>
  </conditionalFormatting>
  <conditionalFormatting sqref="Q35">
    <cfRule type="cellIs" dxfId="0" priority="213" operator="lessThan">
      <formula>H35</formula>
    </cfRule>
  </conditionalFormatting>
  <conditionalFormatting sqref="Q36">
    <cfRule type="cellIs" dxfId="0" priority="217" operator="lessThan">
      <formula>H36</formula>
    </cfRule>
  </conditionalFormatting>
  <conditionalFormatting sqref="Q37">
    <cfRule type="cellIs" dxfId="0" priority="221" operator="lessThan">
      <formula>H37</formula>
    </cfRule>
  </conditionalFormatting>
  <conditionalFormatting sqref="Q38">
    <cfRule type="cellIs" dxfId="0" priority="225" operator="lessThan">
      <formula>H38</formula>
    </cfRule>
  </conditionalFormatting>
  <conditionalFormatting sqref="Q39">
    <cfRule type="cellIs" dxfId="0" priority="229" operator="lessThan">
      <formula>H39</formula>
    </cfRule>
  </conditionalFormatting>
  <conditionalFormatting sqref="Q40">
    <cfRule type="cellIs" dxfId="0" priority="233" operator="lessThan">
      <formula>H40</formula>
    </cfRule>
  </conditionalFormatting>
  <conditionalFormatting sqref="Q41">
    <cfRule type="cellIs" dxfId="0" priority="237" operator="lessThan">
      <formula>H41</formula>
    </cfRule>
  </conditionalFormatting>
  <conditionalFormatting sqref="Q42">
    <cfRule type="cellIs" dxfId="0" priority="241" operator="lessThan">
      <formula>H42</formula>
    </cfRule>
  </conditionalFormatting>
  <conditionalFormatting sqref="Q43">
    <cfRule type="cellIs" dxfId="0" priority="245" operator="lessThan">
      <formula>H43</formula>
    </cfRule>
  </conditionalFormatting>
  <conditionalFormatting sqref="Q44">
    <cfRule type="cellIs" dxfId="0" priority="253" operator="lessThan">
      <formula>H44</formula>
    </cfRule>
  </conditionalFormatting>
  <conditionalFormatting sqref="Q45">
    <cfRule type="cellIs" dxfId="0" priority="257" operator="lessThan">
      <formula>H45</formula>
    </cfRule>
  </conditionalFormatting>
  <conditionalFormatting sqref="Q46">
    <cfRule type="cellIs" dxfId="0" priority="261" operator="lessThan">
      <formula>H46</formula>
    </cfRule>
  </conditionalFormatting>
  <conditionalFormatting sqref="Q47">
    <cfRule type="cellIs" dxfId="0" priority="265" operator="lessThan">
      <formula>H47</formula>
    </cfRule>
  </conditionalFormatting>
  <conditionalFormatting sqref="Q48">
    <cfRule type="cellIs" dxfId="0" priority="269" operator="lessThan">
      <formula>H48</formula>
    </cfRule>
  </conditionalFormatting>
  <conditionalFormatting sqref="Q49">
    <cfRule type="cellIs" dxfId="0" priority="273" operator="lessThan">
      <formula>H49</formula>
    </cfRule>
  </conditionalFormatting>
  <conditionalFormatting sqref="Q50">
    <cfRule type="cellIs" dxfId="0" priority="277" operator="lessThan">
      <formula>H50</formula>
    </cfRule>
  </conditionalFormatting>
  <conditionalFormatting sqref="Q51">
    <cfRule type="cellIs" dxfId="0" priority="281" operator="lessThan">
      <formula>H51</formula>
    </cfRule>
  </conditionalFormatting>
  <conditionalFormatting sqref="Q52">
    <cfRule type="cellIs" dxfId="0" priority="285" operator="lessThan">
      <formula>H52</formula>
    </cfRule>
  </conditionalFormatting>
  <conditionalFormatting sqref="Q53">
    <cfRule type="cellIs" dxfId="0" priority="289" operator="lessThan">
      <formula>H53</formula>
    </cfRule>
  </conditionalFormatting>
  <conditionalFormatting sqref="Q54">
    <cfRule type="cellIs" dxfId="0" priority="293" operator="lessThan">
      <formula>H54</formula>
    </cfRule>
  </conditionalFormatting>
  <conditionalFormatting sqref="Q55">
    <cfRule type="cellIs" dxfId="0" priority="297" operator="lessThan">
      <formula>H55</formula>
    </cfRule>
  </conditionalFormatting>
  <conditionalFormatting sqref="Q56">
    <cfRule type="cellIs" dxfId="0" priority="301" operator="lessThan">
      <formula>H56</formula>
    </cfRule>
  </conditionalFormatting>
  <conditionalFormatting sqref="Q57">
    <cfRule type="cellIs" dxfId="0" priority="305" operator="lessThan">
      <formula>H57</formula>
    </cfRule>
  </conditionalFormatting>
  <conditionalFormatting sqref="Q58">
    <cfRule type="cellIs" dxfId="0" priority="313" operator="lessThan">
      <formula>H58</formula>
    </cfRule>
  </conditionalFormatting>
  <conditionalFormatting sqref="Q59">
    <cfRule type="cellIs" dxfId="0" priority="317" operator="lessThan">
      <formula>H59</formula>
    </cfRule>
  </conditionalFormatting>
  <conditionalFormatting sqref="Q7">
    <cfRule type="cellIs" dxfId="0" priority="97" operator="lessThan">
      <formula>H7</formula>
    </cfRule>
  </conditionalFormatting>
  <conditionalFormatting sqref="Q8">
    <cfRule type="cellIs" dxfId="0" priority="101" operator="lessThan">
      <formula>H8</formula>
    </cfRule>
  </conditionalFormatting>
  <conditionalFormatting sqref="Q9">
    <cfRule type="cellIs" dxfId="0" priority="105" operator="lessThan">
      <formula>H9</formula>
    </cfRule>
  </conditionalFormatting>
  <conditionalFormatting sqref="R10">
    <cfRule type="expression" dxfId="2" priority="110">
      <formula>AND(NOT(ISBLANK(R10)),OR(Q10="NonStk",R10&gt;Q10))</formula>
    </cfRule>
  </conditionalFormatting>
  <conditionalFormatting sqref="R11">
    <cfRule type="expression" dxfId="2" priority="114">
      <formula>AND(NOT(ISBLANK(R11)),OR(Q11="NonStk",R11&gt;Q11))</formula>
    </cfRule>
  </conditionalFormatting>
  <conditionalFormatting sqref="R12">
    <cfRule type="expression" dxfId="2" priority="118">
      <formula>AND(NOT(ISBLANK(R12)),OR(Q12="NonStk",R12&gt;Q12))</formula>
    </cfRule>
  </conditionalFormatting>
  <conditionalFormatting sqref="R13">
    <cfRule type="expression" dxfId="2" priority="122">
      <formula>AND(NOT(ISBLANK(R13)),OR(Q13="NonStk",R13&gt;Q13))</formula>
    </cfRule>
  </conditionalFormatting>
  <conditionalFormatting sqref="R14">
    <cfRule type="expression" dxfId="1" priority="126">
      <formula>AND(R14&gt;0,MOD(R14,T14)&lt;&gt;0)</formula>
    </cfRule>
    <cfRule type="expression" dxfId="2" priority="127">
      <formula>AND(NOT(ISBLANK(R14)),OR(Q14="NonStk",R14&gt;Q14))</formula>
    </cfRule>
  </conditionalFormatting>
  <conditionalFormatting sqref="R16">
    <cfRule type="expression" dxfId="2" priority="134">
      <formula>AND(NOT(ISBLANK(R16)),OR(Q16="NonStk",R16&gt;Q16))</formula>
    </cfRule>
  </conditionalFormatting>
  <conditionalFormatting sqref="R17">
    <cfRule type="expression" dxfId="2" priority="138">
      <formula>AND(NOT(ISBLANK(R17)),OR(Q17="NonStk",R17&gt;Q17))</formula>
    </cfRule>
  </conditionalFormatting>
  <conditionalFormatting sqref="R18">
    <cfRule type="expression" dxfId="2" priority="142">
      <formula>AND(NOT(ISBLANK(R18)),OR(Q18="NonStk",R18&gt;Q18))</formula>
    </cfRule>
  </conditionalFormatting>
  <conditionalFormatting sqref="R19">
    <cfRule type="expression" dxfId="2" priority="146">
      <formula>AND(NOT(ISBLANK(R19)),OR(Q19="NonStk",R19&gt;Q19))</formula>
    </cfRule>
  </conditionalFormatting>
  <conditionalFormatting sqref="R20">
    <cfRule type="expression" dxfId="2" priority="150">
      <formula>AND(NOT(ISBLANK(R20)),OR(Q20="NonStk",R20&gt;Q20))</formula>
    </cfRule>
  </conditionalFormatting>
  <conditionalFormatting sqref="R21">
    <cfRule type="expression" dxfId="2" priority="154">
      <formula>AND(NOT(ISBLANK(R21)),OR(Q21="NonStk",R21&gt;Q21))</formula>
    </cfRule>
  </conditionalFormatting>
  <conditionalFormatting sqref="R22">
    <cfRule type="expression" dxfId="2" priority="158">
      <formula>AND(NOT(ISBLANK(R22)),OR(Q22="NonStk",R22&gt;Q22))</formula>
    </cfRule>
  </conditionalFormatting>
  <conditionalFormatting sqref="R23">
    <cfRule type="expression" dxfId="2" priority="162">
      <formula>AND(NOT(ISBLANK(R23)),OR(Q23="NonStk",R23&gt;Q23))</formula>
    </cfRule>
  </conditionalFormatting>
  <conditionalFormatting sqref="R24">
    <cfRule type="expression" dxfId="2" priority="166">
      <formula>AND(NOT(ISBLANK(R24)),OR(Q24="NonStk",R24&gt;Q24))</formula>
    </cfRule>
  </conditionalFormatting>
  <conditionalFormatting sqref="R25">
    <cfRule type="expression" dxfId="2" priority="170">
      <formula>AND(NOT(ISBLANK(R25)),OR(Q25="NonStk",R25&gt;Q25))</formula>
    </cfRule>
  </conditionalFormatting>
  <conditionalFormatting sqref="R26">
    <cfRule type="expression" dxfId="2" priority="174">
      <formula>AND(NOT(ISBLANK(R26)),OR(Q26="NonStk",R26&gt;Q26))</formula>
    </cfRule>
  </conditionalFormatting>
  <conditionalFormatting sqref="R27">
    <cfRule type="expression" dxfId="2" priority="178">
      <formula>AND(NOT(ISBLANK(R27)),OR(Q27="NonStk",R27&gt;Q27))</formula>
    </cfRule>
  </conditionalFormatting>
  <conditionalFormatting sqref="R28">
    <cfRule type="expression" dxfId="1" priority="182">
      <formula>AND(R28&gt;0,MOD(R28,T28)&lt;&gt;0)</formula>
    </cfRule>
    <cfRule type="expression" dxfId="2" priority="183">
      <formula>AND(NOT(ISBLANK(R28)),OR(Q28="NonStk",R28&gt;Q28))</formula>
    </cfRule>
  </conditionalFormatting>
  <conditionalFormatting sqref="R29">
    <cfRule type="expression" dxfId="2" priority="190">
      <formula>AND(NOT(ISBLANK(R29)),OR(Q29="NonStk",R29&gt;Q29))</formula>
    </cfRule>
  </conditionalFormatting>
  <conditionalFormatting sqref="R30">
    <cfRule type="expression" dxfId="2" priority="194">
      <formula>AND(NOT(ISBLANK(R30)),OR(Q30="NonStk",R30&gt;Q30))</formula>
    </cfRule>
  </conditionalFormatting>
  <conditionalFormatting sqref="R31">
    <cfRule type="expression" dxfId="2" priority="198">
      <formula>AND(NOT(ISBLANK(R31)),OR(Q31="NonStk",R31&gt;Q31))</formula>
    </cfRule>
  </conditionalFormatting>
  <conditionalFormatting sqref="R32">
    <cfRule type="expression" dxfId="2" priority="202">
      <formula>AND(NOT(ISBLANK(R32)),OR(Q32="NonStk",R32&gt;Q32))</formula>
    </cfRule>
  </conditionalFormatting>
  <conditionalFormatting sqref="R33">
    <cfRule type="expression" dxfId="2" priority="206">
      <formula>AND(NOT(ISBLANK(R33)),OR(Q33="NonStk",R33&gt;Q33))</formula>
    </cfRule>
  </conditionalFormatting>
  <conditionalFormatting sqref="R34">
    <cfRule type="expression" dxfId="2" priority="210">
      <formula>AND(NOT(ISBLANK(R34)),OR(Q34="NonStk",R34&gt;Q34))</formula>
    </cfRule>
  </conditionalFormatting>
  <conditionalFormatting sqref="R35">
    <cfRule type="expression" dxfId="2" priority="214">
      <formula>AND(NOT(ISBLANK(R35)),OR(Q35="NonStk",R35&gt;Q35))</formula>
    </cfRule>
  </conditionalFormatting>
  <conditionalFormatting sqref="R36">
    <cfRule type="expression" dxfId="2" priority="218">
      <formula>AND(NOT(ISBLANK(R36)),OR(Q36="NonStk",R36&gt;Q36))</formula>
    </cfRule>
  </conditionalFormatting>
  <conditionalFormatting sqref="R37">
    <cfRule type="expression" dxfId="2" priority="222">
      <formula>AND(NOT(ISBLANK(R37)),OR(Q37="NonStk",R37&gt;Q37))</formula>
    </cfRule>
  </conditionalFormatting>
  <conditionalFormatting sqref="R38">
    <cfRule type="expression" dxfId="2" priority="226">
      <formula>AND(NOT(ISBLANK(R38)),OR(Q38="NonStk",R38&gt;Q38))</formula>
    </cfRule>
  </conditionalFormatting>
  <conditionalFormatting sqref="R39">
    <cfRule type="expression" dxfId="2" priority="230">
      <formula>AND(NOT(ISBLANK(R39)),OR(Q39="NonStk",R39&gt;Q39))</formula>
    </cfRule>
  </conditionalFormatting>
  <conditionalFormatting sqref="R40">
    <cfRule type="expression" dxfId="2" priority="234">
      <formula>AND(NOT(ISBLANK(R40)),OR(Q40="NonStk",R40&gt;Q40))</formula>
    </cfRule>
  </conditionalFormatting>
  <conditionalFormatting sqref="R41">
    <cfRule type="expression" dxfId="2" priority="238">
      <formula>AND(NOT(ISBLANK(R41)),OR(Q41="NonStk",R41&gt;Q41))</formula>
    </cfRule>
  </conditionalFormatting>
  <conditionalFormatting sqref="R42">
    <cfRule type="expression" dxfId="2" priority="242">
      <formula>AND(NOT(ISBLANK(R42)),OR(Q42="NonStk",R42&gt;Q42))</formula>
    </cfRule>
  </conditionalFormatting>
  <conditionalFormatting sqref="R43">
    <cfRule type="expression" dxfId="1" priority="246">
      <formula>AND(R43&gt;0,MOD(R43,T43)&lt;&gt;0)</formula>
    </cfRule>
    <cfRule type="expression" dxfId="2" priority="247">
      <formula>AND(NOT(ISBLANK(R43)),OR(Q43="NonStk",R43&gt;Q43))</formula>
    </cfRule>
  </conditionalFormatting>
  <conditionalFormatting sqref="R44">
    <cfRule type="expression" dxfId="2" priority="254">
      <formula>AND(NOT(ISBLANK(R44)),OR(Q44="NonStk",R44&gt;Q44))</formula>
    </cfRule>
  </conditionalFormatting>
  <conditionalFormatting sqref="R45">
    <cfRule type="expression" dxfId="2" priority="258">
      <formula>AND(NOT(ISBLANK(R45)),OR(Q45="NonStk",R45&gt;Q45))</formula>
    </cfRule>
  </conditionalFormatting>
  <conditionalFormatting sqref="R46">
    <cfRule type="expression" dxfId="2" priority="262">
      <formula>AND(NOT(ISBLANK(R46)),OR(Q46="NonStk",R46&gt;Q46))</formula>
    </cfRule>
  </conditionalFormatting>
  <conditionalFormatting sqref="R47">
    <cfRule type="expression" dxfId="2" priority="266">
      <formula>AND(NOT(ISBLANK(R47)),OR(Q47="NonStk",R47&gt;Q47))</formula>
    </cfRule>
  </conditionalFormatting>
  <conditionalFormatting sqref="R48">
    <cfRule type="expression" dxfId="2" priority="270">
      <formula>AND(NOT(ISBLANK(R48)),OR(Q48="NonStk",R48&gt;Q48))</formula>
    </cfRule>
  </conditionalFormatting>
  <conditionalFormatting sqref="R49">
    <cfRule type="expression" dxfId="2" priority="274">
      <formula>AND(NOT(ISBLANK(R49)),OR(Q49="NonStk",R49&gt;Q49))</formula>
    </cfRule>
  </conditionalFormatting>
  <conditionalFormatting sqref="R50">
    <cfRule type="expression" dxfId="2" priority="278">
      <formula>AND(NOT(ISBLANK(R50)),OR(Q50="NonStk",R50&gt;Q50))</formula>
    </cfRule>
  </conditionalFormatting>
  <conditionalFormatting sqref="R51">
    <cfRule type="expression" dxfId="2" priority="282">
      <formula>AND(NOT(ISBLANK(R51)),OR(Q51="NonStk",R51&gt;Q51))</formula>
    </cfRule>
  </conditionalFormatting>
  <conditionalFormatting sqref="R52">
    <cfRule type="expression" dxfId="2" priority="286">
      <formula>AND(NOT(ISBLANK(R52)),OR(Q52="NonStk",R52&gt;Q52))</formula>
    </cfRule>
  </conditionalFormatting>
  <conditionalFormatting sqref="R53">
    <cfRule type="expression" dxfId="2" priority="290">
      <formula>AND(NOT(ISBLANK(R53)),OR(Q53="NonStk",R53&gt;Q53))</formula>
    </cfRule>
  </conditionalFormatting>
  <conditionalFormatting sqref="R54">
    <cfRule type="expression" dxfId="2" priority="294">
      <formula>AND(NOT(ISBLANK(R54)),OR(Q54="NonStk",R54&gt;Q54))</formula>
    </cfRule>
  </conditionalFormatting>
  <conditionalFormatting sqref="R55">
    <cfRule type="expression" dxfId="2" priority="298">
      <formula>AND(NOT(ISBLANK(R55)),OR(Q55="NonStk",R55&gt;Q55))</formula>
    </cfRule>
  </conditionalFormatting>
  <conditionalFormatting sqref="R56">
    <cfRule type="expression" dxfId="2" priority="302">
      <formula>AND(NOT(ISBLANK(R56)),OR(Q56="NonStk",R56&gt;Q56))</formula>
    </cfRule>
  </conditionalFormatting>
  <conditionalFormatting sqref="R57">
    <cfRule type="expression" dxfId="1" priority="306">
      <formula>AND(R57&gt;0,MOD(R57,T57)&lt;&gt;0)</formula>
    </cfRule>
    <cfRule type="expression" dxfId="2" priority="307">
      <formula>AND(NOT(ISBLANK(R57)),OR(Q57="NonStk",R57&gt;Q57))</formula>
    </cfRule>
  </conditionalFormatting>
  <conditionalFormatting sqref="R58">
    <cfRule type="expression" dxfId="2" priority="314">
      <formula>AND(NOT(ISBLANK(R58)),OR(Q58="NonStk",R58&gt;Q58))</formula>
    </cfRule>
  </conditionalFormatting>
  <conditionalFormatting sqref="R59">
    <cfRule type="expression" dxfId="2" priority="318">
      <formula>AND(NOT(ISBLANK(R59)),OR(Q59="NonStk",R59&gt;Q59))</formula>
    </cfRule>
  </conditionalFormatting>
  <conditionalFormatting sqref="R7">
    <cfRule type="expression" dxfId="2" priority="98">
      <formula>AND(NOT(ISBLANK(R7)),OR(Q7="NonStk",R7&gt;Q7))</formula>
    </cfRule>
  </conditionalFormatting>
  <conditionalFormatting sqref="R8">
    <cfRule type="expression" dxfId="2" priority="102">
      <formula>AND(NOT(ISBLANK(R8)),OR(Q8="NonStk",R8&gt;Q8))</formula>
    </cfRule>
  </conditionalFormatting>
  <conditionalFormatting sqref="R9">
    <cfRule type="expression" dxfId="2" priority="106">
      <formula>AND(NOT(ISBLANK(R9)),OR(Q9="NonStk",R9&gt;Q9))</formula>
    </cfRule>
  </conditionalFormatting>
  <conditionalFormatting sqref="S10">
    <cfRule type="cellIs" dxfId="3" priority="112" operator="lessThanOrEqual">
      <formula>I10</formula>
    </cfRule>
  </conditionalFormatting>
  <conditionalFormatting sqref="S11">
    <cfRule type="cellIs" dxfId="3" priority="116" operator="lessThanOrEqual">
      <formula>I11</formula>
    </cfRule>
  </conditionalFormatting>
  <conditionalFormatting sqref="S12">
    <cfRule type="cellIs" dxfId="3" priority="120" operator="lessThanOrEqual">
      <formula>I12</formula>
    </cfRule>
  </conditionalFormatting>
  <conditionalFormatting sqref="S13">
    <cfRule type="cellIs" dxfId="3" priority="124" operator="lessThanOrEqual">
      <formula>I13</formula>
    </cfRule>
  </conditionalFormatting>
  <conditionalFormatting sqref="S14">
    <cfRule type="cellIs" dxfId="3" priority="129" operator="lessThanOrEqual">
      <formula>I14</formula>
    </cfRule>
    <cfRule type="expression" dxfId="1" priority="130">
      <formula>AND(H14&lt;10000,R14&lt;10000)</formula>
    </cfRule>
  </conditionalFormatting>
  <conditionalFormatting sqref="S16">
    <cfRule type="cellIs" dxfId="3" priority="136" operator="lessThanOrEqual">
      <formula>I16</formula>
    </cfRule>
  </conditionalFormatting>
  <conditionalFormatting sqref="S17">
    <cfRule type="cellIs" dxfId="3" priority="140" operator="lessThanOrEqual">
      <formula>I17</formula>
    </cfRule>
  </conditionalFormatting>
  <conditionalFormatting sqref="S18">
    <cfRule type="cellIs" dxfId="3" priority="144" operator="lessThanOrEqual">
      <formula>I18</formula>
    </cfRule>
  </conditionalFormatting>
  <conditionalFormatting sqref="S19">
    <cfRule type="cellIs" dxfId="3" priority="148" operator="lessThanOrEqual">
      <formula>I19</formula>
    </cfRule>
  </conditionalFormatting>
  <conditionalFormatting sqref="S20">
    <cfRule type="cellIs" dxfId="3" priority="152" operator="lessThanOrEqual">
      <formula>I20</formula>
    </cfRule>
  </conditionalFormatting>
  <conditionalFormatting sqref="S21">
    <cfRule type="cellIs" dxfId="3" priority="156" operator="lessThanOrEqual">
      <formula>I21</formula>
    </cfRule>
  </conditionalFormatting>
  <conditionalFormatting sqref="S22">
    <cfRule type="cellIs" dxfId="3" priority="160" operator="lessThanOrEqual">
      <formula>I22</formula>
    </cfRule>
  </conditionalFormatting>
  <conditionalFormatting sqref="S23">
    <cfRule type="cellIs" dxfId="3" priority="164" operator="lessThanOrEqual">
      <formula>I23</formula>
    </cfRule>
  </conditionalFormatting>
  <conditionalFormatting sqref="S24">
    <cfRule type="cellIs" dxfId="3" priority="168" operator="lessThanOrEqual">
      <formula>I24</formula>
    </cfRule>
  </conditionalFormatting>
  <conditionalFormatting sqref="S25">
    <cfRule type="cellIs" dxfId="3" priority="172" operator="lessThanOrEqual">
      <formula>I25</formula>
    </cfRule>
  </conditionalFormatting>
  <conditionalFormatting sqref="S26">
    <cfRule type="cellIs" dxfId="3" priority="176" operator="lessThanOrEqual">
      <formula>I26</formula>
    </cfRule>
  </conditionalFormatting>
  <conditionalFormatting sqref="S27">
    <cfRule type="cellIs" dxfId="3" priority="180" operator="lessThanOrEqual">
      <formula>I27</formula>
    </cfRule>
  </conditionalFormatting>
  <conditionalFormatting sqref="S28">
    <cfRule type="cellIs" dxfId="3" priority="185" operator="lessThanOrEqual">
      <formula>I28</formula>
    </cfRule>
    <cfRule type="expression" dxfId="1" priority="186">
      <formula>AND(H28&lt;10000,R28&lt;10000)</formula>
    </cfRule>
  </conditionalFormatting>
  <conditionalFormatting sqref="S29">
    <cfRule type="cellIs" dxfId="3" priority="192" operator="lessThanOrEqual">
      <formula>I29</formula>
    </cfRule>
  </conditionalFormatting>
  <conditionalFormatting sqref="S30">
    <cfRule type="cellIs" dxfId="3" priority="196" operator="lessThanOrEqual">
      <formula>I30</formula>
    </cfRule>
  </conditionalFormatting>
  <conditionalFormatting sqref="S31">
    <cfRule type="cellIs" dxfId="3" priority="200" operator="lessThanOrEqual">
      <formula>I31</formula>
    </cfRule>
  </conditionalFormatting>
  <conditionalFormatting sqref="S32">
    <cfRule type="cellIs" dxfId="3" priority="204" operator="lessThanOrEqual">
      <formula>I32</formula>
    </cfRule>
  </conditionalFormatting>
  <conditionalFormatting sqref="S33">
    <cfRule type="cellIs" dxfId="3" priority="208" operator="lessThanOrEqual">
      <formula>I33</formula>
    </cfRule>
  </conditionalFormatting>
  <conditionalFormatting sqref="S34">
    <cfRule type="cellIs" dxfId="3" priority="212" operator="lessThanOrEqual">
      <formula>I34</formula>
    </cfRule>
  </conditionalFormatting>
  <conditionalFormatting sqref="S35">
    <cfRule type="cellIs" dxfId="3" priority="216" operator="lessThanOrEqual">
      <formula>I35</formula>
    </cfRule>
  </conditionalFormatting>
  <conditionalFormatting sqref="S36">
    <cfRule type="cellIs" dxfId="3" priority="220" operator="lessThanOrEqual">
      <formula>I36</formula>
    </cfRule>
  </conditionalFormatting>
  <conditionalFormatting sqref="S37">
    <cfRule type="cellIs" dxfId="3" priority="224" operator="lessThanOrEqual">
      <formula>I37</formula>
    </cfRule>
  </conditionalFormatting>
  <conditionalFormatting sqref="S38">
    <cfRule type="cellIs" dxfId="3" priority="228" operator="lessThanOrEqual">
      <formula>I38</formula>
    </cfRule>
  </conditionalFormatting>
  <conditionalFormatting sqref="S39">
    <cfRule type="cellIs" dxfId="3" priority="232" operator="lessThanOrEqual">
      <formula>I39</formula>
    </cfRule>
  </conditionalFormatting>
  <conditionalFormatting sqref="S40">
    <cfRule type="cellIs" dxfId="3" priority="236" operator="lessThanOrEqual">
      <formula>I40</formula>
    </cfRule>
  </conditionalFormatting>
  <conditionalFormatting sqref="S41">
    <cfRule type="cellIs" dxfId="3" priority="240" operator="lessThanOrEqual">
      <formula>I41</formula>
    </cfRule>
  </conditionalFormatting>
  <conditionalFormatting sqref="S42">
    <cfRule type="cellIs" dxfId="3" priority="244" operator="lessThanOrEqual">
      <formula>I42</formula>
    </cfRule>
  </conditionalFormatting>
  <conditionalFormatting sqref="S43">
    <cfRule type="cellIs" dxfId="3" priority="249" operator="lessThanOrEqual">
      <formula>I43</formula>
    </cfRule>
    <cfRule type="expression" dxfId="1" priority="250">
      <formula>AND(H43&lt;168,R43&lt;168)</formula>
    </cfRule>
  </conditionalFormatting>
  <conditionalFormatting sqref="S44">
    <cfRule type="cellIs" dxfId="3" priority="256" operator="lessThanOrEqual">
      <formula>I44</formula>
    </cfRule>
  </conditionalFormatting>
  <conditionalFormatting sqref="S45">
    <cfRule type="cellIs" dxfId="3" priority="260" operator="lessThanOrEqual">
      <formula>I45</formula>
    </cfRule>
  </conditionalFormatting>
  <conditionalFormatting sqref="S46">
    <cfRule type="cellIs" dxfId="3" priority="264" operator="lessThanOrEqual">
      <formula>I46</formula>
    </cfRule>
  </conditionalFormatting>
  <conditionalFormatting sqref="S47">
    <cfRule type="cellIs" dxfId="3" priority="268" operator="lessThanOrEqual">
      <formula>I47</formula>
    </cfRule>
  </conditionalFormatting>
  <conditionalFormatting sqref="S48">
    <cfRule type="cellIs" dxfId="3" priority="272" operator="lessThanOrEqual">
      <formula>I48</formula>
    </cfRule>
  </conditionalFormatting>
  <conditionalFormatting sqref="S49">
    <cfRule type="cellIs" dxfId="3" priority="276" operator="lessThanOrEqual">
      <formula>I49</formula>
    </cfRule>
  </conditionalFormatting>
  <conditionalFormatting sqref="S50">
    <cfRule type="cellIs" dxfId="3" priority="280" operator="lessThanOrEqual">
      <formula>I50</formula>
    </cfRule>
  </conditionalFormatting>
  <conditionalFormatting sqref="S51">
    <cfRule type="cellIs" dxfId="3" priority="284" operator="lessThanOrEqual">
      <formula>I51</formula>
    </cfRule>
  </conditionalFormatting>
  <conditionalFormatting sqref="S52">
    <cfRule type="cellIs" dxfId="3" priority="288" operator="lessThanOrEqual">
      <formula>I52</formula>
    </cfRule>
  </conditionalFormatting>
  <conditionalFormatting sqref="S53">
    <cfRule type="cellIs" dxfId="3" priority="292" operator="lessThanOrEqual">
      <formula>I53</formula>
    </cfRule>
  </conditionalFormatting>
  <conditionalFormatting sqref="S54">
    <cfRule type="cellIs" dxfId="3" priority="296" operator="lessThanOrEqual">
      <formula>I54</formula>
    </cfRule>
  </conditionalFormatting>
  <conditionalFormatting sqref="S55">
    <cfRule type="cellIs" dxfId="3" priority="300" operator="lessThanOrEqual">
      <formula>I55</formula>
    </cfRule>
  </conditionalFormatting>
  <conditionalFormatting sqref="S56">
    <cfRule type="cellIs" dxfId="3" priority="304" operator="lessThanOrEqual">
      <formula>I56</formula>
    </cfRule>
  </conditionalFormatting>
  <conditionalFormatting sqref="S57">
    <cfRule type="cellIs" dxfId="3" priority="309" operator="lessThanOrEqual">
      <formula>I57</formula>
    </cfRule>
    <cfRule type="expression" dxfId="1" priority="310">
      <formula>AND(H57&lt;312,R57&lt;312)</formula>
    </cfRule>
  </conditionalFormatting>
  <conditionalFormatting sqref="S58">
    <cfRule type="cellIs" dxfId="3" priority="316" operator="lessThanOrEqual">
      <formula>I58</formula>
    </cfRule>
  </conditionalFormatting>
  <conditionalFormatting sqref="S59">
    <cfRule type="cellIs" dxfId="3" priority="320" operator="lessThanOrEqual">
      <formula>I59</formula>
    </cfRule>
  </conditionalFormatting>
  <conditionalFormatting sqref="S7">
    <cfRule type="cellIs" dxfId="3" priority="100" operator="lessThanOrEqual">
      <formula>I7</formula>
    </cfRule>
  </conditionalFormatting>
  <conditionalFormatting sqref="S8">
    <cfRule type="cellIs" dxfId="3" priority="104" operator="lessThanOrEqual">
      <formula>I8</formula>
    </cfRule>
  </conditionalFormatting>
  <conditionalFormatting sqref="S9">
    <cfRule type="cellIs" dxfId="3" priority="108" operator="lessThanOrEqual">
      <formula>I9</formula>
    </cfRule>
  </conditionalFormatting>
  <conditionalFormatting sqref="T14">
    <cfRule type="expression" dxfId="1" priority="131">
      <formula>AND(H14&lt;10000,R14&lt;10000)</formula>
    </cfRule>
  </conditionalFormatting>
  <conditionalFormatting sqref="T28">
    <cfRule type="expression" dxfId="1" priority="187">
      <formula>AND(H28&lt;10000,R28&lt;10000)</formula>
    </cfRule>
  </conditionalFormatting>
  <conditionalFormatting sqref="T43">
    <cfRule type="expression" dxfId="1" priority="251">
      <formula>AND(H43&lt;168,R43&lt;168)</formula>
    </cfRule>
  </conditionalFormatting>
  <conditionalFormatting sqref="T57">
    <cfRule type="expression" dxfId="1" priority="311">
      <formula>AND(H57&lt;312,R57&lt;312)</formula>
    </cfRule>
  </conditionalFormatting>
  <conditionalFormatting sqref="U10">
    <cfRule type="cellIs" dxfId="3" priority="111" operator="lessThanOrEqual">
      <formula>J10</formula>
    </cfRule>
  </conditionalFormatting>
  <conditionalFormatting sqref="U11">
    <cfRule type="cellIs" dxfId="3" priority="115" operator="lessThanOrEqual">
      <formula>J11</formula>
    </cfRule>
  </conditionalFormatting>
  <conditionalFormatting sqref="U12">
    <cfRule type="cellIs" dxfId="3" priority="119" operator="lessThanOrEqual">
      <formula>J12</formula>
    </cfRule>
  </conditionalFormatting>
  <conditionalFormatting sqref="U13">
    <cfRule type="cellIs" dxfId="3" priority="123" operator="lessThanOrEqual">
      <formula>J13</formula>
    </cfRule>
  </conditionalFormatting>
  <conditionalFormatting sqref="U14">
    <cfRule type="cellIs" dxfId="3" priority="128" operator="lessThanOrEqual">
      <formula>J14</formula>
    </cfRule>
    <cfRule type="expression" dxfId="1" priority="132">
      <formula>AND(H14&lt;10000,R14&lt;10000)</formula>
    </cfRule>
  </conditionalFormatting>
  <conditionalFormatting sqref="U16">
    <cfRule type="cellIs" dxfId="3" priority="135" operator="lessThanOrEqual">
      <formula>J16</formula>
    </cfRule>
  </conditionalFormatting>
  <conditionalFormatting sqref="U17">
    <cfRule type="cellIs" dxfId="3" priority="139" operator="lessThanOrEqual">
      <formula>J17</formula>
    </cfRule>
  </conditionalFormatting>
  <conditionalFormatting sqref="U18">
    <cfRule type="cellIs" dxfId="3" priority="143" operator="lessThanOrEqual">
      <formula>J18</formula>
    </cfRule>
  </conditionalFormatting>
  <conditionalFormatting sqref="U19">
    <cfRule type="cellIs" dxfId="3" priority="147" operator="lessThanOrEqual">
      <formula>J19</formula>
    </cfRule>
  </conditionalFormatting>
  <conditionalFormatting sqref="U20">
    <cfRule type="cellIs" dxfId="3" priority="151" operator="lessThanOrEqual">
      <formula>J20</formula>
    </cfRule>
  </conditionalFormatting>
  <conditionalFormatting sqref="U21">
    <cfRule type="cellIs" dxfId="3" priority="155" operator="lessThanOrEqual">
      <formula>J21</formula>
    </cfRule>
  </conditionalFormatting>
  <conditionalFormatting sqref="U22">
    <cfRule type="cellIs" dxfId="3" priority="159" operator="lessThanOrEqual">
      <formula>J22</formula>
    </cfRule>
  </conditionalFormatting>
  <conditionalFormatting sqref="U23">
    <cfRule type="cellIs" dxfId="3" priority="163" operator="lessThanOrEqual">
      <formula>J23</formula>
    </cfRule>
  </conditionalFormatting>
  <conditionalFormatting sqref="U24">
    <cfRule type="cellIs" dxfId="3" priority="167" operator="lessThanOrEqual">
      <formula>J24</formula>
    </cfRule>
  </conditionalFormatting>
  <conditionalFormatting sqref="U25">
    <cfRule type="cellIs" dxfId="3" priority="171" operator="lessThanOrEqual">
      <formula>J25</formula>
    </cfRule>
  </conditionalFormatting>
  <conditionalFormatting sqref="U26">
    <cfRule type="cellIs" dxfId="3" priority="175" operator="lessThanOrEqual">
      <formula>J26</formula>
    </cfRule>
  </conditionalFormatting>
  <conditionalFormatting sqref="U27">
    <cfRule type="cellIs" dxfId="3" priority="179" operator="lessThanOrEqual">
      <formula>J27</formula>
    </cfRule>
  </conditionalFormatting>
  <conditionalFormatting sqref="U28">
    <cfRule type="cellIs" dxfId="3" priority="184" operator="lessThanOrEqual">
      <formula>J28</formula>
    </cfRule>
    <cfRule type="expression" dxfId="1" priority="188">
      <formula>AND(H28&lt;10000,R28&lt;10000)</formula>
    </cfRule>
  </conditionalFormatting>
  <conditionalFormatting sqref="U29">
    <cfRule type="cellIs" dxfId="3" priority="191" operator="lessThanOrEqual">
      <formula>J29</formula>
    </cfRule>
  </conditionalFormatting>
  <conditionalFormatting sqref="U30">
    <cfRule type="cellIs" dxfId="3" priority="195" operator="lessThanOrEqual">
      <formula>J30</formula>
    </cfRule>
  </conditionalFormatting>
  <conditionalFormatting sqref="U31">
    <cfRule type="cellIs" dxfId="3" priority="199" operator="lessThanOrEqual">
      <formula>J31</formula>
    </cfRule>
  </conditionalFormatting>
  <conditionalFormatting sqref="U32">
    <cfRule type="cellIs" dxfId="3" priority="203" operator="lessThanOrEqual">
      <formula>J32</formula>
    </cfRule>
  </conditionalFormatting>
  <conditionalFormatting sqref="U33">
    <cfRule type="cellIs" dxfId="3" priority="207" operator="lessThanOrEqual">
      <formula>J33</formula>
    </cfRule>
  </conditionalFormatting>
  <conditionalFormatting sqref="U34">
    <cfRule type="cellIs" dxfId="3" priority="211" operator="lessThanOrEqual">
      <formula>J34</formula>
    </cfRule>
  </conditionalFormatting>
  <conditionalFormatting sqref="U35">
    <cfRule type="cellIs" dxfId="3" priority="215" operator="lessThanOrEqual">
      <formula>J35</formula>
    </cfRule>
  </conditionalFormatting>
  <conditionalFormatting sqref="U36">
    <cfRule type="cellIs" dxfId="3" priority="219" operator="lessThanOrEqual">
      <formula>J36</formula>
    </cfRule>
  </conditionalFormatting>
  <conditionalFormatting sqref="U37">
    <cfRule type="cellIs" dxfId="3" priority="223" operator="lessThanOrEqual">
      <formula>J37</formula>
    </cfRule>
  </conditionalFormatting>
  <conditionalFormatting sqref="U38">
    <cfRule type="cellIs" dxfId="3" priority="227" operator="lessThanOrEqual">
      <formula>J38</formula>
    </cfRule>
  </conditionalFormatting>
  <conditionalFormatting sqref="U39">
    <cfRule type="cellIs" dxfId="3" priority="231" operator="lessThanOrEqual">
      <formula>J39</formula>
    </cfRule>
  </conditionalFormatting>
  <conditionalFormatting sqref="U40">
    <cfRule type="cellIs" dxfId="3" priority="235" operator="lessThanOrEqual">
      <formula>J40</formula>
    </cfRule>
  </conditionalFormatting>
  <conditionalFormatting sqref="U41">
    <cfRule type="cellIs" dxfId="3" priority="239" operator="lessThanOrEqual">
      <formula>J41</formula>
    </cfRule>
  </conditionalFormatting>
  <conditionalFormatting sqref="U42">
    <cfRule type="cellIs" dxfId="3" priority="243" operator="lessThanOrEqual">
      <formula>J42</formula>
    </cfRule>
  </conditionalFormatting>
  <conditionalFormatting sqref="U43">
    <cfRule type="cellIs" dxfId="3" priority="248" operator="lessThanOrEqual">
      <formula>J43</formula>
    </cfRule>
    <cfRule type="expression" dxfId="1" priority="252">
      <formula>AND(H43&lt;168,R43&lt;168)</formula>
    </cfRule>
  </conditionalFormatting>
  <conditionalFormatting sqref="U44">
    <cfRule type="cellIs" dxfId="3" priority="255" operator="lessThanOrEqual">
      <formula>J44</formula>
    </cfRule>
  </conditionalFormatting>
  <conditionalFormatting sqref="U45">
    <cfRule type="cellIs" dxfId="3" priority="259" operator="lessThanOrEqual">
      <formula>J45</formula>
    </cfRule>
  </conditionalFormatting>
  <conditionalFormatting sqref="U46">
    <cfRule type="cellIs" dxfId="3" priority="263" operator="lessThanOrEqual">
      <formula>J46</formula>
    </cfRule>
  </conditionalFormatting>
  <conditionalFormatting sqref="U47">
    <cfRule type="cellIs" dxfId="3" priority="267" operator="lessThanOrEqual">
      <formula>J47</formula>
    </cfRule>
  </conditionalFormatting>
  <conditionalFormatting sqref="U48">
    <cfRule type="cellIs" dxfId="3" priority="271" operator="lessThanOrEqual">
      <formula>J48</formula>
    </cfRule>
  </conditionalFormatting>
  <conditionalFormatting sqref="U49">
    <cfRule type="cellIs" dxfId="3" priority="275" operator="lessThanOrEqual">
      <formula>J49</formula>
    </cfRule>
  </conditionalFormatting>
  <conditionalFormatting sqref="U50">
    <cfRule type="cellIs" dxfId="3" priority="279" operator="lessThanOrEqual">
      <formula>J50</formula>
    </cfRule>
  </conditionalFormatting>
  <conditionalFormatting sqref="U51">
    <cfRule type="cellIs" dxfId="3" priority="283" operator="lessThanOrEqual">
      <formula>J51</formula>
    </cfRule>
  </conditionalFormatting>
  <conditionalFormatting sqref="U52">
    <cfRule type="cellIs" dxfId="3" priority="287" operator="lessThanOrEqual">
      <formula>J52</formula>
    </cfRule>
  </conditionalFormatting>
  <conditionalFormatting sqref="U53">
    <cfRule type="cellIs" dxfId="3" priority="291" operator="lessThanOrEqual">
      <formula>J53</formula>
    </cfRule>
  </conditionalFormatting>
  <conditionalFormatting sqref="U54">
    <cfRule type="cellIs" dxfId="3" priority="295" operator="lessThanOrEqual">
      <formula>J54</formula>
    </cfRule>
  </conditionalFormatting>
  <conditionalFormatting sqref="U55">
    <cfRule type="cellIs" dxfId="3" priority="299" operator="lessThanOrEqual">
      <formula>J55</formula>
    </cfRule>
  </conditionalFormatting>
  <conditionalFormatting sqref="U56">
    <cfRule type="cellIs" dxfId="3" priority="303" operator="lessThanOrEqual">
      <formula>J56</formula>
    </cfRule>
  </conditionalFormatting>
  <conditionalFormatting sqref="U57">
    <cfRule type="cellIs" dxfId="3" priority="308" operator="lessThanOrEqual">
      <formula>J57</formula>
    </cfRule>
    <cfRule type="expression" dxfId="1" priority="312">
      <formula>AND(H57&lt;312,R57&lt;312)</formula>
    </cfRule>
  </conditionalFormatting>
  <conditionalFormatting sqref="U58">
    <cfRule type="cellIs" dxfId="3" priority="315" operator="lessThanOrEqual">
      <formula>J58</formula>
    </cfRule>
  </conditionalFormatting>
  <conditionalFormatting sqref="U59">
    <cfRule type="cellIs" dxfId="3" priority="319" operator="lessThanOrEqual">
      <formula>J59</formula>
    </cfRule>
  </conditionalFormatting>
  <conditionalFormatting sqref="U7">
    <cfRule type="cellIs" dxfId="3" priority="99" operator="lessThanOrEqual">
      <formula>J7</formula>
    </cfRule>
  </conditionalFormatting>
  <conditionalFormatting sqref="U8">
    <cfRule type="cellIs" dxfId="3" priority="103" operator="lessThanOrEqual">
      <formula>J8</formula>
    </cfRule>
  </conditionalFormatting>
  <conditionalFormatting sqref="U9">
    <cfRule type="cellIs" dxfId="3" priority="107" operator="lessThanOrEqual">
      <formula>J9</formula>
    </cfRule>
  </conditionalFormatting>
  <conditionalFormatting sqref="W10">
    <cfRule type="cellIs" dxfId="0" priority="331" operator="lessThan">
      <formula>H10</formula>
    </cfRule>
  </conditionalFormatting>
  <conditionalFormatting sqref="W11">
    <cfRule type="cellIs" dxfId="0" priority="339" operator="lessThan">
      <formula>H11</formula>
    </cfRule>
  </conditionalFormatting>
  <conditionalFormatting sqref="W12">
    <cfRule type="cellIs" dxfId="0" priority="344" operator="lessThan">
      <formula>H12</formula>
    </cfRule>
  </conditionalFormatting>
  <conditionalFormatting sqref="W13">
    <cfRule type="cellIs" dxfId="0" priority="349" operator="lessThan">
      <formula>H13</formula>
    </cfRule>
  </conditionalFormatting>
  <conditionalFormatting sqref="W14">
    <cfRule type="cellIs" dxfId="0" priority="354" operator="lessThan">
      <formula>H14</formula>
    </cfRule>
  </conditionalFormatting>
  <conditionalFormatting sqref="W16">
    <cfRule type="cellIs" dxfId="0" priority="362" operator="lessThan">
      <formula>H16</formula>
    </cfRule>
  </conditionalFormatting>
  <conditionalFormatting sqref="W19">
    <cfRule type="cellIs" dxfId="0" priority="367" operator="lessThan">
      <formula>H19</formula>
    </cfRule>
  </conditionalFormatting>
  <conditionalFormatting sqref="W20">
    <cfRule type="cellIs" dxfId="0" priority="371" operator="lessThan">
      <formula>H20</formula>
    </cfRule>
  </conditionalFormatting>
  <conditionalFormatting sqref="W21">
    <cfRule type="cellIs" dxfId="0" priority="376" operator="lessThan">
      <formula>H21</formula>
    </cfRule>
  </conditionalFormatting>
  <conditionalFormatting sqref="W26">
    <cfRule type="cellIs" dxfId="0" priority="380" operator="lessThan">
      <formula>H26</formula>
    </cfRule>
  </conditionalFormatting>
  <conditionalFormatting sqref="W27">
    <cfRule type="cellIs" dxfId="0" priority="384" operator="lessThan">
      <formula>H27</formula>
    </cfRule>
  </conditionalFormatting>
  <conditionalFormatting sqref="W29">
    <cfRule type="cellIs" dxfId="0" priority="388" operator="lessThan">
      <formula>H29</formula>
    </cfRule>
  </conditionalFormatting>
  <conditionalFormatting sqref="W30">
    <cfRule type="cellIs" dxfId="0" priority="396" operator="lessThan">
      <formula>H30</formula>
    </cfRule>
  </conditionalFormatting>
  <conditionalFormatting sqref="W31">
    <cfRule type="cellIs" dxfId="0" priority="404" operator="lessThan">
      <formula>H31</formula>
    </cfRule>
  </conditionalFormatting>
  <conditionalFormatting sqref="W32">
    <cfRule type="cellIs" dxfId="0" priority="412" operator="lessThan">
      <formula>H32</formula>
    </cfRule>
  </conditionalFormatting>
  <conditionalFormatting sqref="W33">
    <cfRule type="cellIs" dxfId="0" priority="420" operator="lessThan">
      <formula>H33</formula>
    </cfRule>
  </conditionalFormatting>
  <conditionalFormatting sqref="W34">
    <cfRule type="cellIs" dxfId="0" priority="425" operator="lessThan">
      <formula>H34</formula>
    </cfRule>
  </conditionalFormatting>
  <conditionalFormatting sqref="W35">
    <cfRule type="cellIs" dxfId="0" priority="433" operator="lessThan">
      <formula>H35</formula>
    </cfRule>
  </conditionalFormatting>
  <conditionalFormatting sqref="W36">
    <cfRule type="cellIs" dxfId="0" priority="441" operator="lessThan">
      <formula>H36</formula>
    </cfRule>
  </conditionalFormatting>
  <conditionalFormatting sqref="W37">
    <cfRule type="cellIs" dxfId="0" priority="446" operator="lessThan">
      <formula>H37</formula>
    </cfRule>
  </conditionalFormatting>
  <conditionalFormatting sqref="W38">
    <cfRule type="cellIs" dxfId="0" priority="454" operator="lessThan">
      <formula>H38</formula>
    </cfRule>
  </conditionalFormatting>
  <conditionalFormatting sqref="W39">
    <cfRule type="cellIs" dxfId="0" priority="459" operator="lessThan">
      <formula>H39</formula>
    </cfRule>
  </conditionalFormatting>
  <conditionalFormatting sqref="W40">
    <cfRule type="cellIs" dxfId="0" priority="464" operator="lessThan">
      <formula>H40</formula>
    </cfRule>
  </conditionalFormatting>
  <conditionalFormatting sqref="W41">
    <cfRule type="cellIs" dxfId="0" priority="469" operator="lessThan">
      <formula>H41</formula>
    </cfRule>
  </conditionalFormatting>
  <conditionalFormatting sqref="W42">
    <cfRule type="cellIs" dxfId="0" priority="474" operator="lessThan">
      <formula>H42</formula>
    </cfRule>
  </conditionalFormatting>
  <conditionalFormatting sqref="W44">
    <cfRule type="cellIs" dxfId="0" priority="478" operator="lessThan">
      <formula>H44</formula>
    </cfRule>
  </conditionalFormatting>
  <conditionalFormatting sqref="W46">
    <cfRule type="cellIs" dxfId="0" priority="482" operator="lessThan">
      <formula>H46</formula>
    </cfRule>
  </conditionalFormatting>
  <conditionalFormatting sqref="W47">
    <cfRule type="cellIs" dxfId="0" priority="486" operator="lessThan">
      <formula>H47</formula>
    </cfRule>
  </conditionalFormatting>
  <conditionalFormatting sqref="W48">
    <cfRule type="cellIs" dxfId="0" priority="491" operator="lessThan">
      <formula>H48</formula>
    </cfRule>
  </conditionalFormatting>
  <conditionalFormatting sqref="W50">
    <cfRule type="cellIs" dxfId="0" priority="496" operator="lessThan">
      <formula>H50</formula>
    </cfRule>
  </conditionalFormatting>
  <conditionalFormatting sqref="W51">
    <cfRule type="cellIs" dxfId="0" priority="504" operator="lessThan">
      <formula>H51</formula>
    </cfRule>
  </conditionalFormatting>
  <conditionalFormatting sqref="W52">
    <cfRule type="cellIs" dxfId="0" priority="509" operator="lessThan">
      <formula>H52</formula>
    </cfRule>
  </conditionalFormatting>
  <conditionalFormatting sqref="W53">
    <cfRule type="cellIs" dxfId="0" priority="517" operator="lessThan">
      <formula>H53</formula>
    </cfRule>
  </conditionalFormatting>
  <conditionalFormatting sqref="W54">
    <cfRule type="cellIs" dxfId="0" priority="525" operator="lessThan">
      <formula>H54</formula>
    </cfRule>
  </conditionalFormatting>
  <conditionalFormatting sqref="W55">
    <cfRule type="cellIs" dxfId="0" priority="530" operator="lessThan">
      <formula>H55</formula>
    </cfRule>
  </conditionalFormatting>
  <conditionalFormatting sqref="W59">
    <cfRule type="cellIs" dxfId="0" priority="535" operator="lessThan">
      <formula>H59</formula>
    </cfRule>
  </conditionalFormatting>
  <conditionalFormatting sqref="W8">
    <cfRule type="cellIs" dxfId="0" priority="321" operator="lessThan">
      <formula>H8</formula>
    </cfRule>
  </conditionalFormatting>
  <conditionalFormatting sqref="W9">
    <cfRule type="cellIs" dxfId="0" priority="326" operator="lessThan">
      <formula>H9</formula>
    </cfRule>
  </conditionalFormatting>
  <conditionalFormatting sqref="X10">
    <cfRule type="expression" dxfId="1" priority="332">
      <formula>AND(X10&gt;0,MOD(X10,Z10)&lt;&gt;0)</formula>
    </cfRule>
    <cfRule type="expression" dxfId="2" priority="333">
      <formula>AND(NOT(ISBLANK(X10)),OR(W10="NonStk",X10&gt;W10))</formula>
    </cfRule>
  </conditionalFormatting>
  <conditionalFormatting sqref="X11">
    <cfRule type="expression" dxfId="1" priority="340">
      <formula>AND(X11&gt;0,MOD(X11,Z11)&lt;&gt;0)</formula>
    </cfRule>
    <cfRule type="expression" dxfId="2" priority="341">
      <formula>AND(NOT(ISBLANK(X11)),OR(W11="NonStk",X11&gt;W11))</formula>
    </cfRule>
  </conditionalFormatting>
  <conditionalFormatting sqref="X12">
    <cfRule type="expression" dxfId="1" priority="345">
      <formula>AND(X12&gt;0,MOD(X12,Z12)&lt;&gt;0)</formula>
    </cfRule>
    <cfRule type="expression" dxfId="2" priority="346">
      <formula>AND(NOT(ISBLANK(X12)),OR(W12="NonStk",X12&gt;W12))</formula>
    </cfRule>
  </conditionalFormatting>
  <conditionalFormatting sqref="X13">
    <cfRule type="expression" dxfId="1" priority="350">
      <formula>AND(X13&gt;0,MOD(X13,Z13)&lt;&gt;0)</formula>
    </cfRule>
    <cfRule type="expression" dxfId="2" priority="351">
      <formula>AND(NOT(ISBLANK(X13)),OR(W13="NonStk",X13&gt;W13))</formula>
    </cfRule>
  </conditionalFormatting>
  <conditionalFormatting sqref="X14">
    <cfRule type="expression" dxfId="1" priority="355">
      <formula>AND(X14&gt;0,MOD(X14,Z14)&lt;&gt;0)</formula>
    </cfRule>
    <cfRule type="expression" dxfId="2" priority="356">
      <formula>AND(NOT(ISBLANK(X14)),OR(W14="NonStk",X14&gt;W14))</formula>
    </cfRule>
  </conditionalFormatting>
  <conditionalFormatting sqref="X16">
    <cfRule type="expression" dxfId="1" priority="363">
      <formula>AND(X16&gt;0,MOD(X16,Z16)&lt;&gt;0)</formula>
    </cfRule>
    <cfRule type="expression" dxfId="2" priority="364">
      <formula>AND(NOT(ISBLANK(X16)),OR(W16="NonStk",X16&gt;W16))</formula>
    </cfRule>
  </conditionalFormatting>
  <conditionalFormatting sqref="X19">
    <cfRule type="expression" dxfId="2" priority="368">
      <formula>AND(NOT(ISBLANK(X19)),OR(W19="NonStk",X19&gt;W19))</formula>
    </cfRule>
  </conditionalFormatting>
  <conditionalFormatting sqref="X20">
    <cfRule type="expression" dxfId="1" priority="372">
      <formula>AND(X20&gt;0,MOD(X20,Z20)&lt;&gt;0)</formula>
    </cfRule>
    <cfRule type="expression" dxfId="2" priority="373">
      <formula>AND(NOT(ISBLANK(X20)),OR(W20="NonStk",X20&gt;W20))</formula>
    </cfRule>
  </conditionalFormatting>
  <conditionalFormatting sqref="X21">
    <cfRule type="expression" dxfId="2" priority="377">
      <formula>AND(NOT(ISBLANK(X21)),OR(W21="NonStk",X21&gt;W21))</formula>
    </cfRule>
  </conditionalFormatting>
  <conditionalFormatting sqref="X26">
    <cfRule type="expression" dxfId="2" priority="381">
      <formula>AND(NOT(ISBLANK(X26)),OR(W26="NonStk",X26&gt;W26))</formula>
    </cfRule>
  </conditionalFormatting>
  <conditionalFormatting sqref="X27">
    <cfRule type="expression" dxfId="2" priority="385">
      <formula>AND(NOT(ISBLANK(X27)),OR(W27="NonStk",X27&gt;W27))</formula>
    </cfRule>
  </conditionalFormatting>
  <conditionalFormatting sqref="X29">
    <cfRule type="expression" dxfId="1" priority="389">
      <formula>AND(X29&gt;0,MOD(X29,Z29)&lt;&gt;0)</formula>
    </cfRule>
    <cfRule type="expression" dxfId="2" priority="390">
      <formula>AND(NOT(ISBLANK(X29)),OR(W29="NonStk",X29&gt;W29))</formula>
    </cfRule>
  </conditionalFormatting>
  <conditionalFormatting sqref="X30">
    <cfRule type="expression" dxfId="1" priority="397">
      <formula>AND(X30&gt;0,MOD(X30,Z30)&lt;&gt;0)</formula>
    </cfRule>
    <cfRule type="expression" dxfId="2" priority="398">
      <formula>AND(NOT(ISBLANK(X30)),OR(W30="NonStk",X30&gt;W30))</formula>
    </cfRule>
  </conditionalFormatting>
  <conditionalFormatting sqref="X31">
    <cfRule type="expression" dxfId="1" priority="405">
      <formula>AND(X31&gt;0,MOD(X31,Z31)&lt;&gt;0)</formula>
    </cfRule>
    <cfRule type="expression" dxfId="2" priority="406">
      <formula>AND(NOT(ISBLANK(X31)),OR(W31="NonStk",X31&gt;W31))</formula>
    </cfRule>
  </conditionalFormatting>
  <conditionalFormatting sqref="X32">
    <cfRule type="expression" dxfId="1" priority="413">
      <formula>AND(X32&gt;0,MOD(X32,Z32)&lt;&gt;0)</formula>
    </cfRule>
    <cfRule type="expression" dxfId="2" priority="414">
      <formula>AND(NOT(ISBLANK(X32)),OR(W32="NonStk",X32&gt;W32))</formula>
    </cfRule>
  </conditionalFormatting>
  <conditionalFormatting sqref="X33">
    <cfRule type="expression" dxfId="1" priority="421">
      <formula>AND(X33&gt;0,MOD(X33,Z33)&lt;&gt;0)</formula>
    </cfRule>
    <cfRule type="expression" dxfId="2" priority="422">
      <formula>AND(NOT(ISBLANK(X33)),OR(W33="NonStk",X33&gt;W33))</formula>
    </cfRule>
  </conditionalFormatting>
  <conditionalFormatting sqref="X34">
    <cfRule type="expression" dxfId="1" priority="426">
      <formula>AND(X34&gt;0,MOD(X34,Z34)&lt;&gt;0)</formula>
    </cfRule>
    <cfRule type="expression" dxfId="2" priority="427">
      <formula>AND(NOT(ISBLANK(X34)),OR(W34="NonStk",X34&gt;W34))</formula>
    </cfRule>
  </conditionalFormatting>
  <conditionalFormatting sqref="X35">
    <cfRule type="expression" dxfId="1" priority="434">
      <formula>AND(X35&gt;0,MOD(X35,Z35)&lt;&gt;0)</formula>
    </cfRule>
    <cfRule type="expression" dxfId="2" priority="435">
      <formula>AND(NOT(ISBLANK(X35)),OR(W35="NonStk",X35&gt;W35))</formula>
    </cfRule>
  </conditionalFormatting>
  <conditionalFormatting sqref="X36">
    <cfRule type="expression" dxfId="1" priority="442">
      <formula>AND(X36&gt;0,MOD(X36,Z36)&lt;&gt;0)</formula>
    </cfRule>
    <cfRule type="expression" dxfId="2" priority="443">
      <formula>AND(NOT(ISBLANK(X36)),OR(W36="NonStk",X36&gt;W36))</formula>
    </cfRule>
  </conditionalFormatting>
  <conditionalFormatting sqref="X37">
    <cfRule type="expression" dxfId="1" priority="447">
      <formula>AND(X37&gt;0,MOD(X37,Z37)&lt;&gt;0)</formula>
    </cfRule>
    <cfRule type="expression" dxfId="2" priority="448">
      <formula>AND(NOT(ISBLANK(X37)),OR(W37="NonStk",X37&gt;W37))</formula>
    </cfRule>
  </conditionalFormatting>
  <conditionalFormatting sqref="X38">
    <cfRule type="expression" dxfId="1" priority="455">
      <formula>AND(X38&gt;0,MOD(X38,Z38)&lt;&gt;0)</formula>
    </cfRule>
    <cfRule type="expression" dxfId="2" priority="456">
      <formula>AND(NOT(ISBLANK(X38)),OR(W38="NonStk",X38&gt;W38))</formula>
    </cfRule>
  </conditionalFormatting>
  <conditionalFormatting sqref="X39">
    <cfRule type="expression" dxfId="1" priority="460">
      <formula>AND(X39&gt;0,MOD(X39,Z39)&lt;&gt;0)</formula>
    </cfRule>
    <cfRule type="expression" dxfId="2" priority="461">
      <formula>AND(NOT(ISBLANK(X39)),OR(W39="NonStk",X39&gt;W39))</formula>
    </cfRule>
  </conditionalFormatting>
  <conditionalFormatting sqref="X40">
    <cfRule type="expression" dxfId="1" priority="465">
      <formula>AND(X40&gt;0,MOD(X40,Z40)&lt;&gt;0)</formula>
    </cfRule>
    <cfRule type="expression" dxfId="2" priority="466">
      <formula>AND(NOT(ISBLANK(X40)),OR(W40="NonStk",X40&gt;W40))</formula>
    </cfRule>
  </conditionalFormatting>
  <conditionalFormatting sqref="X41">
    <cfRule type="expression" dxfId="1" priority="470">
      <formula>AND(X41&gt;0,MOD(X41,Z41)&lt;&gt;0)</formula>
    </cfRule>
    <cfRule type="expression" dxfId="2" priority="471">
      <formula>AND(NOT(ISBLANK(X41)),OR(W41="NonStk",X41&gt;W41))</formula>
    </cfRule>
  </conditionalFormatting>
  <conditionalFormatting sqref="X42">
    <cfRule type="expression" dxfId="2" priority="475">
      <formula>AND(NOT(ISBLANK(X42)),OR(W42="NonStk",X42&gt;W42))</formula>
    </cfRule>
  </conditionalFormatting>
  <conditionalFormatting sqref="X44">
    <cfRule type="expression" dxfId="2" priority="479">
      <formula>AND(NOT(ISBLANK(X44)),OR(W44="NonStk",X44&gt;W44))</formula>
    </cfRule>
  </conditionalFormatting>
  <conditionalFormatting sqref="X46">
    <cfRule type="expression" dxfId="2" priority="483">
      <formula>AND(NOT(ISBLANK(X46)),OR(W46="NonStk",X46&gt;W46))</formula>
    </cfRule>
  </conditionalFormatting>
  <conditionalFormatting sqref="X47">
    <cfRule type="expression" dxfId="1" priority="487">
      <formula>AND(X47&gt;0,MOD(X47,Z47)&lt;&gt;0)</formula>
    </cfRule>
    <cfRule type="expression" dxfId="2" priority="488">
      <formula>AND(NOT(ISBLANK(X47)),OR(W47="NonStk",X47&gt;W47))</formula>
    </cfRule>
  </conditionalFormatting>
  <conditionalFormatting sqref="X48">
    <cfRule type="expression" dxfId="1" priority="492">
      <formula>AND(X48&gt;0,MOD(X48,Z48)&lt;&gt;0)</formula>
    </cfRule>
    <cfRule type="expression" dxfId="2" priority="493">
      <formula>AND(NOT(ISBLANK(X48)),OR(W48="NonStk",X48&gt;W48))</formula>
    </cfRule>
  </conditionalFormatting>
  <conditionalFormatting sqref="X50">
    <cfRule type="expression" dxfId="1" priority="497">
      <formula>AND(X50&gt;0,MOD(X50,Z50)&lt;&gt;0)</formula>
    </cfRule>
    <cfRule type="expression" dxfId="2" priority="498">
      <formula>AND(NOT(ISBLANK(X50)),OR(W50="NonStk",X50&gt;W50))</formula>
    </cfRule>
  </conditionalFormatting>
  <conditionalFormatting sqref="X51">
    <cfRule type="expression" dxfId="1" priority="505">
      <formula>AND(X51&gt;0,MOD(X51,Z51)&lt;&gt;0)</formula>
    </cfRule>
    <cfRule type="expression" dxfId="2" priority="506">
      <formula>AND(NOT(ISBLANK(X51)),OR(W51="NonStk",X51&gt;W51))</formula>
    </cfRule>
  </conditionalFormatting>
  <conditionalFormatting sqref="X52">
    <cfRule type="expression" dxfId="1" priority="510">
      <formula>AND(X52&gt;0,MOD(X52,Z52)&lt;&gt;0)</formula>
    </cfRule>
    <cfRule type="expression" dxfId="2" priority="511">
      <formula>AND(NOT(ISBLANK(X52)),OR(W52="NonStk",X52&gt;W52))</formula>
    </cfRule>
  </conditionalFormatting>
  <conditionalFormatting sqref="X53">
    <cfRule type="expression" dxfId="1" priority="518">
      <formula>AND(X53&gt;0,MOD(X53,Z53)&lt;&gt;0)</formula>
    </cfRule>
    <cfRule type="expression" dxfId="2" priority="519">
      <formula>AND(NOT(ISBLANK(X53)),OR(W53="NonStk",X53&gt;W53))</formula>
    </cfRule>
  </conditionalFormatting>
  <conditionalFormatting sqref="X54">
    <cfRule type="expression" dxfId="1" priority="526">
      <formula>AND(X54&gt;0,MOD(X54,Z54)&lt;&gt;0)</formula>
    </cfRule>
    <cfRule type="expression" dxfId="2" priority="527">
      <formula>AND(NOT(ISBLANK(X54)),OR(W54="NonStk",X54&gt;W54))</formula>
    </cfRule>
  </conditionalFormatting>
  <conditionalFormatting sqref="X55">
    <cfRule type="expression" dxfId="1" priority="531">
      <formula>AND(X55&gt;0,MOD(X55,Z55)&lt;&gt;0)</formula>
    </cfRule>
    <cfRule type="expression" dxfId="2" priority="532">
      <formula>AND(NOT(ISBLANK(X55)),OR(W55="NonStk",X55&gt;W55))</formula>
    </cfRule>
  </conditionalFormatting>
  <conditionalFormatting sqref="X59">
    <cfRule type="expression" dxfId="2" priority="536">
      <formula>AND(NOT(ISBLANK(X59)),OR(W59="NonStk",X59&gt;W59))</formula>
    </cfRule>
  </conditionalFormatting>
  <conditionalFormatting sqref="X8">
    <cfRule type="expression" dxfId="1" priority="322">
      <formula>AND(X8&gt;0,MOD(X8,Z8)&lt;&gt;0)</formula>
    </cfRule>
    <cfRule type="expression" dxfId="2" priority="323">
      <formula>AND(NOT(ISBLANK(X8)),OR(W8="NonStk",X8&gt;W8))</formula>
    </cfRule>
  </conditionalFormatting>
  <conditionalFormatting sqref="X9">
    <cfRule type="expression" dxfId="1" priority="327">
      <formula>AND(X9&gt;0,MOD(X9,Z9)&lt;&gt;0)</formula>
    </cfRule>
    <cfRule type="expression" dxfId="2" priority="328">
      <formula>AND(NOT(ISBLANK(X9)),OR(W9="NonStk",X9&gt;W9))</formula>
    </cfRule>
  </conditionalFormatting>
  <conditionalFormatting sqref="Y10">
    <cfRule type="cellIs" dxfId="3" priority="335" operator="lessThanOrEqual">
      <formula>I10</formula>
    </cfRule>
    <cfRule type="expression" dxfId="1" priority="336">
      <formula>AND(H10&lt;40000,X10&lt;40000)</formula>
    </cfRule>
  </conditionalFormatting>
  <conditionalFormatting sqref="Y11">
    <cfRule type="cellIs" dxfId="3" priority="343" operator="lessThanOrEqual">
      <formula>I11</formula>
    </cfRule>
  </conditionalFormatting>
  <conditionalFormatting sqref="Y12">
    <cfRule type="cellIs" dxfId="3" priority="348" operator="lessThanOrEqual">
      <formula>I12</formula>
    </cfRule>
  </conditionalFormatting>
  <conditionalFormatting sqref="Y13">
    <cfRule type="cellIs" dxfId="3" priority="353" operator="lessThanOrEqual">
      <formula>I13</formula>
    </cfRule>
  </conditionalFormatting>
  <conditionalFormatting sqref="Y14">
    <cfRule type="cellIs" dxfId="3" priority="358" operator="lessThanOrEqual">
      <formula>I14</formula>
    </cfRule>
    <cfRule type="expression" dxfId="1" priority="359">
      <formula>AND(H14&lt;10000,X14&lt;10000)</formula>
    </cfRule>
  </conditionalFormatting>
  <conditionalFormatting sqref="Y16">
    <cfRule type="cellIs" dxfId="3" priority="366" operator="lessThanOrEqual">
      <formula>I16</formula>
    </cfRule>
  </conditionalFormatting>
  <conditionalFormatting sqref="Y19">
    <cfRule type="cellIs" dxfId="3" priority="370" operator="lessThanOrEqual">
      <formula>I19</formula>
    </cfRule>
  </conditionalFormatting>
  <conditionalFormatting sqref="Y20">
    <cfRule type="cellIs" dxfId="3" priority="375" operator="lessThanOrEqual">
      <formula>I20</formula>
    </cfRule>
  </conditionalFormatting>
  <conditionalFormatting sqref="Y21">
    <cfRule type="cellIs" dxfId="3" priority="379" operator="lessThanOrEqual">
      <formula>I21</formula>
    </cfRule>
  </conditionalFormatting>
  <conditionalFormatting sqref="Y26">
    <cfRule type="cellIs" dxfId="3" priority="383" operator="lessThanOrEqual">
      <formula>I26</formula>
    </cfRule>
  </conditionalFormatting>
  <conditionalFormatting sqref="Y27">
    <cfRule type="cellIs" dxfId="3" priority="387" operator="lessThanOrEqual">
      <formula>I27</formula>
    </cfRule>
  </conditionalFormatting>
  <conditionalFormatting sqref="Y29">
    <cfRule type="cellIs" dxfId="3" priority="392" operator="lessThanOrEqual">
      <formula>I29</formula>
    </cfRule>
    <cfRule type="expression" dxfId="1" priority="393">
      <formula>AND(H29&lt;30000,X29&lt;30000)</formula>
    </cfRule>
  </conditionalFormatting>
  <conditionalFormatting sqref="Y30">
    <cfRule type="cellIs" dxfId="3" priority="400" operator="lessThanOrEqual">
      <formula>I30</formula>
    </cfRule>
    <cfRule type="expression" dxfId="1" priority="401">
      <formula>AND(H30&lt;30000,X30&lt;30000)</formula>
    </cfRule>
  </conditionalFormatting>
  <conditionalFormatting sqref="Y31">
    <cfRule type="cellIs" dxfId="3" priority="408" operator="lessThanOrEqual">
      <formula>I31</formula>
    </cfRule>
    <cfRule type="expression" dxfId="1" priority="409">
      <formula>AND(H31&lt;30000,X31&lt;30000)</formula>
    </cfRule>
  </conditionalFormatting>
  <conditionalFormatting sqref="Y32">
    <cfRule type="cellIs" dxfId="3" priority="416" operator="lessThanOrEqual">
      <formula>I32</formula>
    </cfRule>
    <cfRule type="expression" dxfId="1" priority="417">
      <formula>AND(H32&lt;30000,X32&lt;30000)</formula>
    </cfRule>
  </conditionalFormatting>
  <conditionalFormatting sqref="Y33">
    <cfRule type="cellIs" dxfId="3" priority="424" operator="lessThanOrEqual">
      <formula>I33</formula>
    </cfRule>
  </conditionalFormatting>
  <conditionalFormatting sqref="Y34">
    <cfRule type="cellIs" dxfId="3" priority="429" operator="lessThanOrEqual">
      <formula>I34</formula>
    </cfRule>
    <cfRule type="expression" dxfId="1" priority="430">
      <formula>AND(H34&lt;30000,X34&lt;30000)</formula>
    </cfRule>
  </conditionalFormatting>
  <conditionalFormatting sqref="Y35">
    <cfRule type="cellIs" dxfId="3" priority="437" operator="lessThanOrEqual">
      <formula>I35</formula>
    </cfRule>
    <cfRule type="expression" dxfId="1" priority="438">
      <formula>AND(H35&lt;30000,X35&lt;30000)</formula>
    </cfRule>
  </conditionalFormatting>
  <conditionalFormatting sqref="Y36">
    <cfRule type="cellIs" dxfId="3" priority="445" operator="lessThanOrEqual">
      <formula>I36</formula>
    </cfRule>
  </conditionalFormatting>
  <conditionalFormatting sqref="Y37">
    <cfRule type="cellIs" dxfId="3" priority="450" operator="lessThanOrEqual">
      <formula>I37</formula>
    </cfRule>
    <cfRule type="expression" dxfId="1" priority="451">
      <formula>AND(H37&lt;30000,X37&lt;30000)</formula>
    </cfRule>
  </conditionalFormatting>
  <conditionalFormatting sqref="Y38">
    <cfRule type="cellIs" dxfId="3" priority="458" operator="lessThanOrEqual">
      <formula>I38</formula>
    </cfRule>
  </conditionalFormatting>
  <conditionalFormatting sqref="Y39">
    <cfRule type="cellIs" dxfId="3" priority="463" operator="lessThanOrEqual">
      <formula>I39</formula>
    </cfRule>
  </conditionalFormatting>
  <conditionalFormatting sqref="Y40">
    <cfRule type="cellIs" dxfId="3" priority="468" operator="lessThanOrEqual">
      <formula>I40</formula>
    </cfRule>
  </conditionalFormatting>
  <conditionalFormatting sqref="Y41">
    <cfRule type="cellIs" dxfId="3" priority="473" operator="lessThanOrEqual">
      <formula>I41</formula>
    </cfRule>
  </conditionalFormatting>
  <conditionalFormatting sqref="Y42">
    <cfRule type="cellIs" dxfId="3" priority="477" operator="lessThanOrEqual">
      <formula>I42</formula>
    </cfRule>
  </conditionalFormatting>
  <conditionalFormatting sqref="Y44">
    <cfRule type="cellIs" dxfId="3" priority="481" operator="lessThanOrEqual">
      <formula>I44</formula>
    </cfRule>
  </conditionalFormatting>
  <conditionalFormatting sqref="Y46">
    <cfRule type="cellIs" dxfId="3" priority="485" operator="lessThanOrEqual">
      <formula>I46</formula>
    </cfRule>
  </conditionalFormatting>
  <conditionalFormatting sqref="Y47">
    <cfRule type="cellIs" dxfId="3" priority="490" operator="lessThanOrEqual">
      <formula>I47</formula>
    </cfRule>
  </conditionalFormatting>
  <conditionalFormatting sqref="Y48">
    <cfRule type="cellIs" dxfId="3" priority="495" operator="lessThanOrEqual">
      <formula>I48</formula>
    </cfRule>
  </conditionalFormatting>
  <conditionalFormatting sqref="Y50">
    <cfRule type="cellIs" dxfId="3" priority="500" operator="lessThanOrEqual">
      <formula>I50</formula>
    </cfRule>
    <cfRule type="expression" dxfId="1" priority="501">
      <formula>AND(H50&lt;3000,X50&lt;3000)</formula>
    </cfRule>
  </conditionalFormatting>
  <conditionalFormatting sqref="Y51">
    <cfRule type="cellIs" dxfId="3" priority="508" operator="lessThanOrEqual">
      <formula>I51</formula>
    </cfRule>
  </conditionalFormatting>
  <conditionalFormatting sqref="Y52">
    <cfRule type="cellIs" dxfId="3" priority="513" operator="lessThanOrEqual">
      <formula>I52</formula>
    </cfRule>
    <cfRule type="expression" dxfId="1" priority="514">
      <formula>AND(H52&lt;3000,X52&lt;3000)</formula>
    </cfRule>
  </conditionalFormatting>
  <conditionalFormatting sqref="Y53">
    <cfRule type="cellIs" dxfId="3" priority="521" operator="lessThanOrEqual">
      <formula>I53</formula>
    </cfRule>
    <cfRule type="expression" dxfId="1" priority="522">
      <formula>AND(H53&lt;3000,X53&lt;3000)</formula>
    </cfRule>
  </conditionalFormatting>
  <conditionalFormatting sqref="Y54">
    <cfRule type="cellIs" dxfId="3" priority="529" operator="lessThanOrEqual">
      <formula>I54</formula>
    </cfRule>
  </conditionalFormatting>
  <conditionalFormatting sqref="Y55">
    <cfRule type="cellIs" dxfId="3" priority="534" operator="lessThanOrEqual">
      <formula>I55</formula>
    </cfRule>
  </conditionalFormatting>
  <conditionalFormatting sqref="Y59">
    <cfRule type="cellIs" dxfId="3" priority="538" operator="lessThanOrEqual">
      <formula>I59</formula>
    </cfRule>
  </conditionalFormatting>
  <conditionalFormatting sqref="Y8">
    <cfRule type="cellIs" dxfId="3" priority="325" operator="lessThanOrEqual">
      <formula>I8</formula>
    </cfRule>
  </conditionalFormatting>
  <conditionalFormatting sqref="Y9">
    <cfRule type="cellIs" dxfId="3" priority="330" operator="lessThanOrEqual">
      <formula>I9</formula>
    </cfRule>
  </conditionalFormatting>
  <conditionalFormatting sqref="Z10">
    <cfRule type="expression" dxfId="1" priority="337">
      <formula>AND(H10&lt;40000,X10&lt;40000)</formula>
    </cfRule>
  </conditionalFormatting>
  <conditionalFormatting sqref="Z14">
    <cfRule type="expression" dxfId="1" priority="360">
      <formula>AND(H14&lt;10000,X14&lt;10000)</formula>
    </cfRule>
  </conditionalFormatting>
  <conditionalFormatting sqref="Z29">
    <cfRule type="expression" dxfId="1" priority="394">
      <formula>AND(H29&lt;30000,X29&lt;30000)</formula>
    </cfRule>
  </conditionalFormatting>
  <conditionalFormatting sqref="Z30">
    <cfRule type="expression" dxfId="1" priority="402">
      <formula>AND(H30&lt;30000,X30&lt;30000)</formula>
    </cfRule>
  </conditionalFormatting>
  <conditionalFormatting sqref="Z31">
    <cfRule type="expression" dxfId="1" priority="410">
      <formula>AND(H31&lt;30000,X31&lt;30000)</formula>
    </cfRule>
  </conditionalFormatting>
  <conditionalFormatting sqref="Z32">
    <cfRule type="expression" dxfId="1" priority="418">
      <formula>AND(H32&lt;30000,X32&lt;30000)</formula>
    </cfRule>
  </conditionalFormatting>
  <conditionalFormatting sqref="Z34">
    <cfRule type="expression" dxfId="1" priority="431">
      <formula>AND(H34&lt;30000,X34&lt;30000)</formula>
    </cfRule>
  </conditionalFormatting>
  <conditionalFormatting sqref="Z35">
    <cfRule type="expression" dxfId="1" priority="439">
      <formula>AND(H35&lt;30000,X35&lt;30000)</formula>
    </cfRule>
  </conditionalFormatting>
  <conditionalFormatting sqref="Z37">
    <cfRule type="expression" dxfId="1" priority="452">
      <formula>AND(H37&lt;30000,X37&lt;30000)</formula>
    </cfRule>
  </conditionalFormatting>
  <conditionalFormatting sqref="Z50">
    <cfRule type="expression" dxfId="1" priority="502">
      <formula>AND(H50&lt;3000,X50&lt;3000)</formula>
    </cfRule>
  </conditionalFormatting>
  <conditionalFormatting sqref="Z52">
    <cfRule type="expression" dxfId="1" priority="515">
      <formula>AND(H52&lt;3000,X52&lt;3000)</formula>
    </cfRule>
  </conditionalFormatting>
  <conditionalFormatting sqref="Z53">
    <cfRule type="expression" dxfId="1" priority="523">
      <formula>AND(H53&lt;3000,X53&lt;3000)</formula>
    </cfRule>
  </conditionalFormatting>
  <hyperlinks>
    <hyperlink ref="G7" r:id="rId1"/>
    <hyperlink ref="V7" r:id="rId2"/>
    <hyperlink ref="AH7" r:id="rId3"/>
    <hyperlink ref="AN7" r:id="rId4"/>
    <hyperlink ref="G8" r:id="rId5"/>
    <hyperlink ref="P8" r:id="rId6"/>
    <hyperlink ref="V8" r:id="rId7"/>
    <hyperlink ref="AB8" r:id="rId8"/>
    <hyperlink ref="AH8" r:id="rId9"/>
    <hyperlink ref="AN8" r:id="rId10"/>
    <hyperlink ref="AT8" r:id="rId11"/>
    <hyperlink ref="BF8" r:id="rId12"/>
    <hyperlink ref="G9" r:id="rId13"/>
    <hyperlink ref="P9" r:id="rId14"/>
    <hyperlink ref="V9" r:id="rId15"/>
    <hyperlink ref="AB9" r:id="rId16"/>
    <hyperlink ref="AH9" r:id="rId17"/>
    <hyperlink ref="AN9" r:id="rId18"/>
    <hyperlink ref="AT9" r:id="rId19"/>
    <hyperlink ref="AZ9" r:id="rId20"/>
    <hyperlink ref="G10" r:id="rId21"/>
    <hyperlink ref="V10" r:id="rId22"/>
    <hyperlink ref="AB10" r:id="rId23"/>
    <hyperlink ref="AN10" r:id="rId24"/>
    <hyperlink ref="G11" r:id="rId25"/>
    <hyperlink ref="P11" r:id="rId26"/>
    <hyperlink ref="V11" r:id="rId27"/>
    <hyperlink ref="AB11" r:id="rId28"/>
    <hyperlink ref="AH11" r:id="rId29"/>
    <hyperlink ref="AN11" r:id="rId30"/>
    <hyperlink ref="AT11" r:id="rId31"/>
    <hyperlink ref="G12" r:id="rId32"/>
    <hyperlink ref="P12" r:id="rId33"/>
    <hyperlink ref="V12" r:id="rId34"/>
    <hyperlink ref="AB12" r:id="rId35"/>
    <hyperlink ref="AH12" r:id="rId36"/>
    <hyperlink ref="AN12" r:id="rId37"/>
    <hyperlink ref="AT12" r:id="rId38"/>
    <hyperlink ref="G13" r:id="rId39"/>
    <hyperlink ref="P13" r:id="rId40"/>
    <hyperlink ref="V13" r:id="rId41"/>
    <hyperlink ref="AB13" r:id="rId42"/>
    <hyperlink ref="AH13" r:id="rId43"/>
    <hyperlink ref="AN13" r:id="rId44"/>
    <hyperlink ref="AT13" r:id="rId45"/>
    <hyperlink ref="G14" r:id="rId46"/>
    <hyperlink ref="V14" r:id="rId47"/>
    <hyperlink ref="AB14" r:id="rId48"/>
    <hyperlink ref="AN14" r:id="rId49"/>
    <hyperlink ref="G15" r:id="rId50"/>
    <hyperlink ref="AN15" r:id="rId51"/>
    <hyperlink ref="G16" r:id="rId52"/>
    <hyperlink ref="V16" r:id="rId53"/>
    <hyperlink ref="AB16" r:id="rId54"/>
    <hyperlink ref="AN16" r:id="rId55"/>
    <hyperlink ref="AT16" r:id="rId56"/>
    <hyperlink ref="G17" r:id="rId57"/>
    <hyperlink ref="P17" r:id="rId58"/>
    <hyperlink ref="V17" r:id="rId59"/>
    <hyperlink ref="AH17" r:id="rId60"/>
    <hyperlink ref="AN17" r:id="rId61"/>
    <hyperlink ref="AT17" r:id="rId62"/>
    <hyperlink ref="AZ17" r:id="rId63"/>
    <hyperlink ref="G18" r:id="rId64"/>
    <hyperlink ref="P18" r:id="rId65"/>
    <hyperlink ref="V18" r:id="rId66"/>
    <hyperlink ref="AN18" r:id="rId67"/>
    <hyperlink ref="AT18" r:id="rId68"/>
    <hyperlink ref="AZ18" r:id="rId69"/>
    <hyperlink ref="G19" r:id="rId70"/>
    <hyperlink ref="V19" r:id="rId71"/>
    <hyperlink ref="AB19" r:id="rId72"/>
    <hyperlink ref="AN19" r:id="rId73"/>
    <hyperlink ref="AT19" r:id="rId74"/>
    <hyperlink ref="BF19" r:id="rId75"/>
    <hyperlink ref="G20" r:id="rId76"/>
    <hyperlink ref="V20" r:id="rId77"/>
    <hyperlink ref="AB20" r:id="rId78"/>
    <hyperlink ref="AH20" r:id="rId79"/>
    <hyperlink ref="AN20" r:id="rId80"/>
    <hyperlink ref="AT20" r:id="rId81"/>
    <hyperlink ref="AZ20" r:id="rId82"/>
    <hyperlink ref="BF20" r:id="rId83"/>
    <hyperlink ref="G21" r:id="rId84"/>
    <hyperlink ref="V21" r:id="rId85"/>
    <hyperlink ref="AB21" r:id="rId86"/>
    <hyperlink ref="AN21" r:id="rId87"/>
    <hyperlink ref="AT21" r:id="rId88"/>
    <hyperlink ref="G22" r:id="rId89"/>
    <hyperlink ref="P22" r:id="rId90"/>
    <hyperlink ref="V22" r:id="rId91"/>
    <hyperlink ref="G23" r:id="rId92"/>
    <hyperlink ref="V23" r:id="rId93"/>
    <hyperlink ref="G24" r:id="rId94"/>
    <hyperlink ref="V24" r:id="rId95"/>
    <hyperlink ref="G25" r:id="rId96"/>
    <hyperlink ref="V25" r:id="rId97"/>
    <hyperlink ref="G26" r:id="rId98"/>
    <hyperlink ref="V26" r:id="rId99"/>
    <hyperlink ref="AB26" r:id="rId100"/>
    <hyperlink ref="AN26" r:id="rId101"/>
    <hyperlink ref="AT26" r:id="rId102"/>
    <hyperlink ref="G27" r:id="rId103"/>
    <hyperlink ref="V27" r:id="rId104"/>
    <hyperlink ref="AB27" r:id="rId105"/>
    <hyperlink ref="AN27" r:id="rId106"/>
    <hyperlink ref="AT27" r:id="rId107"/>
    <hyperlink ref="G28" r:id="rId108"/>
    <hyperlink ref="V28" r:id="rId109"/>
    <hyperlink ref="AN28" r:id="rId110"/>
    <hyperlink ref="AT28" r:id="rId111"/>
    <hyperlink ref="G29" r:id="rId112"/>
    <hyperlink ref="P29" r:id="rId113"/>
    <hyperlink ref="V29" r:id="rId114"/>
    <hyperlink ref="AB29" r:id="rId115"/>
    <hyperlink ref="AN29" r:id="rId116"/>
    <hyperlink ref="AT29" r:id="rId117"/>
    <hyperlink ref="AZ29" r:id="rId118"/>
    <hyperlink ref="G30" r:id="rId119"/>
    <hyperlink ref="P30" r:id="rId120"/>
    <hyperlink ref="V30" r:id="rId121"/>
    <hyperlink ref="AB30" r:id="rId122"/>
    <hyperlink ref="AH30" r:id="rId123"/>
    <hyperlink ref="AN30" r:id="rId124"/>
    <hyperlink ref="AT30" r:id="rId125"/>
    <hyperlink ref="AZ30" r:id="rId126"/>
    <hyperlink ref="G31" r:id="rId127"/>
    <hyperlink ref="P31" r:id="rId128"/>
    <hyperlink ref="V31" r:id="rId129"/>
    <hyperlink ref="AB31" r:id="rId130"/>
    <hyperlink ref="AN31" r:id="rId131"/>
    <hyperlink ref="AT31" r:id="rId132"/>
    <hyperlink ref="AZ31" r:id="rId133"/>
    <hyperlink ref="G32" r:id="rId134"/>
    <hyperlink ref="P32" r:id="rId135"/>
    <hyperlink ref="V32" r:id="rId136"/>
    <hyperlink ref="AB32" r:id="rId137"/>
    <hyperlink ref="AN32" r:id="rId138"/>
    <hyperlink ref="AT32" r:id="rId139"/>
    <hyperlink ref="AZ32" r:id="rId140"/>
    <hyperlink ref="G33" r:id="rId141"/>
    <hyperlink ref="P33" r:id="rId142"/>
    <hyperlink ref="V33" r:id="rId143"/>
    <hyperlink ref="AB33" r:id="rId144"/>
    <hyperlink ref="AN33" r:id="rId145"/>
    <hyperlink ref="AT33" r:id="rId146"/>
    <hyperlink ref="AZ33" r:id="rId147"/>
    <hyperlink ref="G34" r:id="rId148"/>
    <hyperlink ref="P34" r:id="rId149"/>
    <hyperlink ref="V34" r:id="rId150"/>
    <hyperlink ref="AB34" r:id="rId151"/>
    <hyperlink ref="AH34" r:id="rId152"/>
    <hyperlink ref="AN34" r:id="rId153"/>
    <hyperlink ref="AT34" r:id="rId154"/>
    <hyperlink ref="AZ34" r:id="rId155"/>
    <hyperlink ref="G35" r:id="rId156"/>
    <hyperlink ref="V35" r:id="rId157"/>
    <hyperlink ref="AB35" r:id="rId158"/>
    <hyperlink ref="AN35" r:id="rId159"/>
    <hyperlink ref="G36" r:id="rId160"/>
    <hyperlink ref="V36" r:id="rId161"/>
    <hyperlink ref="AB36" r:id="rId162"/>
    <hyperlink ref="AH36" r:id="rId163"/>
    <hyperlink ref="AN36" r:id="rId164"/>
    <hyperlink ref="AT36" r:id="rId165"/>
    <hyperlink ref="AZ36" r:id="rId166"/>
    <hyperlink ref="G37" r:id="rId167"/>
    <hyperlink ref="P37" r:id="rId168"/>
    <hyperlink ref="V37" r:id="rId169"/>
    <hyperlink ref="AB37" r:id="rId170"/>
    <hyperlink ref="AN37" r:id="rId171"/>
    <hyperlink ref="G38" r:id="rId172"/>
    <hyperlink ref="V38" r:id="rId173"/>
    <hyperlink ref="AB38" r:id="rId174"/>
    <hyperlink ref="AN38" r:id="rId175"/>
    <hyperlink ref="AT38" r:id="rId176"/>
    <hyperlink ref="G39" r:id="rId177"/>
    <hyperlink ref="V39" r:id="rId178"/>
    <hyperlink ref="AB39" r:id="rId179"/>
    <hyperlink ref="AN39" r:id="rId180"/>
    <hyperlink ref="AT39" r:id="rId181"/>
    <hyperlink ref="AZ39" r:id="rId182"/>
    <hyperlink ref="G40" r:id="rId183"/>
    <hyperlink ref="V40" r:id="rId184"/>
    <hyperlink ref="AB40" r:id="rId185"/>
    <hyperlink ref="AH40" r:id="rId186"/>
    <hyperlink ref="AN40" r:id="rId187"/>
    <hyperlink ref="AT40" r:id="rId188"/>
    <hyperlink ref="AZ40" r:id="rId189"/>
    <hyperlink ref="G41" r:id="rId190"/>
    <hyperlink ref="V41" r:id="rId191"/>
    <hyperlink ref="AB41" r:id="rId192"/>
    <hyperlink ref="AH41" r:id="rId193"/>
    <hyperlink ref="AN41" r:id="rId194"/>
    <hyperlink ref="AT41" r:id="rId195"/>
    <hyperlink ref="G42" r:id="rId196"/>
    <hyperlink ref="V42" r:id="rId197"/>
    <hyperlink ref="AB42" r:id="rId198"/>
    <hyperlink ref="AN42" r:id="rId199"/>
    <hyperlink ref="AT42" r:id="rId200"/>
    <hyperlink ref="G43" r:id="rId201"/>
    <hyperlink ref="V43" r:id="rId202"/>
    <hyperlink ref="AT43" r:id="rId203"/>
    <hyperlink ref="G44" r:id="rId204"/>
    <hyperlink ref="V44" r:id="rId205"/>
    <hyperlink ref="AB44" r:id="rId206"/>
    <hyperlink ref="AN44" r:id="rId207"/>
    <hyperlink ref="AT44" r:id="rId208"/>
    <hyperlink ref="G45" r:id="rId209"/>
    <hyperlink ref="V45" r:id="rId210"/>
    <hyperlink ref="AN45" r:id="rId211"/>
    <hyperlink ref="AT45" r:id="rId212"/>
    <hyperlink ref="G46" r:id="rId213"/>
    <hyperlink ref="V46" r:id="rId214"/>
    <hyperlink ref="AB46" r:id="rId215"/>
    <hyperlink ref="AH46" r:id="rId216"/>
    <hyperlink ref="AN46" r:id="rId217"/>
    <hyperlink ref="AT46" r:id="rId218"/>
    <hyperlink ref="AZ46" r:id="rId219"/>
    <hyperlink ref="G47" r:id="rId220"/>
    <hyperlink ref="V47" r:id="rId221"/>
    <hyperlink ref="AB47" r:id="rId222"/>
    <hyperlink ref="AN47" r:id="rId223"/>
    <hyperlink ref="AT47" r:id="rId224"/>
    <hyperlink ref="AZ47" r:id="rId225"/>
    <hyperlink ref="G48" r:id="rId226"/>
    <hyperlink ref="P48" r:id="rId227"/>
    <hyperlink ref="V48" r:id="rId228"/>
    <hyperlink ref="AB48" r:id="rId229"/>
    <hyperlink ref="AH48" r:id="rId230"/>
    <hyperlink ref="AN48" r:id="rId231"/>
    <hyperlink ref="AT48" r:id="rId232"/>
    <hyperlink ref="G49" r:id="rId233"/>
    <hyperlink ref="V49" r:id="rId234"/>
    <hyperlink ref="AN49" r:id="rId235"/>
    <hyperlink ref="G50" r:id="rId236"/>
    <hyperlink ref="P50" r:id="rId237"/>
    <hyperlink ref="V50" r:id="rId238"/>
    <hyperlink ref="AB50" r:id="rId239"/>
    <hyperlink ref="AN50" r:id="rId240"/>
    <hyperlink ref="AT50" r:id="rId241"/>
    <hyperlink ref="G51" r:id="rId242"/>
    <hyperlink ref="V51" r:id="rId243"/>
    <hyperlink ref="AB51" r:id="rId244"/>
    <hyperlink ref="AN51" r:id="rId245"/>
    <hyperlink ref="AT51" r:id="rId246"/>
    <hyperlink ref="AZ51" r:id="rId247"/>
    <hyperlink ref="G52" r:id="rId248"/>
    <hyperlink ref="V52" r:id="rId249"/>
    <hyperlink ref="AB52" r:id="rId250"/>
    <hyperlink ref="AN52" r:id="rId251"/>
    <hyperlink ref="AT52" r:id="rId252"/>
    <hyperlink ref="G53" r:id="rId253"/>
    <hyperlink ref="V53" r:id="rId254"/>
    <hyperlink ref="AB53" r:id="rId255"/>
    <hyperlink ref="AN53" r:id="rId256"/>
    <hyperlink ref="AT53" r:id="rId257"/>
    <hyperlink ref="G54" r:id="rId258"/>
    <hyperlink ref="P54" r:id="rId259"/>
    <hyperlink ref="V54" r:id="rId260"/>
    <hyperlink ref="AB54" r:id="rId261"/>
    <hyperlink ref="AN54" r:id="rId262"/>
    <hyperlink ref="AT54" r:id="rId263"/>
    <hyperlink ref="AZ54" r:id="rId264"/>
    <hyperlink ref="BF54" r:id="rId265"/>
    <hyperlink ref="G55" r:id="rId266"/>
    <hyperlink ref="V55" r:id="rId267"/>
    <hyperlink ref="AB55" r:id="rId268"/>
    <hyperlink ref="AN55" r:id="rId269"/>
    <hyperlink ref="AT55" r:id="rId270"/>
    <hyperlink ref="AZ55" r:id="rId271"/>
    <hyperlink ref="G56" r:id="rId272"/>
    <hyperlink ref="V56" r:id="rId273"/>
    <hyperlink ref="AN56" r:id="rId274"/>
    <hyperlink ref="G57" r:id="rId275"/>
    <hyperlink ref="P57" r:id="rId276"/>
    <hyperlink ref="V57" r:id="rId277"/>
    <hyperlink ref="G58" r:id="rId278"/>
    <hyperlink ref="P58" r:id="rId279"/>
    <hyperlink ref="V58" r:id="rId280"/>
    <hyperlink ref="G59" r:id="rId281"/>
    <hyperlink ref="V59" r:id="rId282"/>
    <hyperlink ref="AB59" r:id="rId283"/>
    <hyperlink ref="AN59" r:id="rId284"/>
    <hyperlink ref="AT59" r:id="rId285"/>
    <hyperlink ref="K61" r:id="rId286"/>
    <hyperlink ref="Q61" r:id="rId287"/>
    <hyperlink ref="W61" r:id="rId288"/>
    <hyperlink ref="AC61" r:id="rId289"/>
    <hyperlink ref="AI61" r:id="rId290"/>
    <hyperlink ref="AO61" r:id="rId291"/>
    <hyperlink ref="AU61" r:id="rId292"/>
    <hyperlink ref="BA61" r:id="rId293"/>
  </hyperlinks>
  <pageMargins left="0.7" right="0.7" top="0.75" bottom="0.75" header="0.3" footer="0.3"/>
  <legacyDrawing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reDIP-64-BOM</vt:lpstr>
      <vt:lpstr>'reDIP-64-BOM'!BoardQty</vt:lpstr>
      <vt:lpstr>'reDIP-64-BOM'!PURCHASE_DESCRIPTION</vt:lpstr>
      <vt:lpstr>'reDIP-64-BOM'!TotalCost</vt:lpstr>
      <vt:lpstr>'reDIP-64-BOM'!USD_GBP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2022-04-14T21:10:32Z</dcterms:created>
  <dcterms:modified xsi:type="dcterms:W3CDTF">2022-04-14T21:10:32Z</dcterms:modified>
</cp:coreProperties>
</file>