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comments1.xml" ContentType="application/vnd.openxmlformats-officedocument.spreadsheetml.comments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DIP-64-BOM. " sheetId="1" r:id="rId1"/>
  </sheets>
  <definedNames>
    <definedName name="arrow_part_data">'reDIP-64-BOM. '!$K$5:$O$51</definedName>
    <definedName name="BoardQty">'reDIP-64-BOM. '!$J$1</definedName>
    <definedName name="digikey_part_data">'reDIP-64-BOM. '!$P$5:$T$51</definedName>
    <definedName name="farnell_part_data">'reDIP-64-BOM. '!$U$5:$Y$51</definedName>
    <definedName name="global_part_data">'reDIP-64-BOM. '!$A$5:$J$51</definedName>
    <definedName name="lcsc_part_data">'reDIP-64-BOM. '!$Z$5:$AD$51</definedName>
    <definedName name="mouser_part_data">'reDIP-64-BOM. '!$AE$5:$AI$51</definedName>
    <definedName name="newark_part_data">'reDIP-64-BOM. '!$AJ$5:$AN$51</definedName>
    <definedName name="PURCHASE_DESCRIPTION">'reDIP-64-BOM. '!$J$54</definedName>
    <definedName name="rs_part_data">'reDIP-64-BOM. '!$AO$5:$AS$51</definedName>
    <definedName name="tme_part_data">'reDIP-64-BOM. '!$AT$5:$AX$51</definedName>
    <definedName name="TotalCost">'reDIP-64-BOM. '!$J$3</definedName>
    <definedName name="USD_GBP">'reDIP-64-BOM. '!$C$54</definedName>
  </definedNames>
  <calcPr calcId="124519" fullCalcOnLoad="1"/>
</workbook>
</file>

<file path=xl/comments1.xml><?xml version="1.0" encoding="utf-8"?>
<comments xmlns="http://schemas.openxmlformats.org/spreadsheetml/2006/main">
  <authors>
    <author/>
  </authors>
  <commentList>
    <comment ref="I3" authorId="0">
      <text>
        <r>
          <rPr>
            <sz val="8"/>
            <color indexed="81"/>
            <rFont val="Tahoma"/>
            <family val="2"/>
          </rPr>
          <t>Use the minimum extend price across distributors not taking account available quantities.</t>
        </r>
      </text>
    </comment>
    <comment ref="O3" authorId="0">
      <text>
        <r>
          <rPr>
            <sz val="8"/>
            <color indexed="81"/>
            <rFont val="Tahoma"/>
            <family val="2"/>
          </rPr>
          <t>Number of parts found at this distributor.</t>
        </r>
      </text>
    </comment>
    <comment ref="T3" authorId="0">
      <text>
        <r>
          <rPr>
            <sz val="8"/>
            <color indexed="81"/>
            <rFont val="Tahoma"/>
            <family val="2"/>
          </rPr>
          <t>Number of parts found at this distributor.</t>
        </r>
      </text>
    </comment>
    <comment ref="Y3" authorId="0">
      <text>
        <r>
          <rPr>
            <sz val="8"/>
            <color indexed="81"/>
            <rFont val="Tahoma"/>
            <family val="2"/>
          </rPr>
          <t>Number of parts found at this distributor.</t>
        </r>
      </text>
    </comment>
    <comment ref="AD3" authorId="0">
      <text>
        <r>
          <rPr>
            <sz val="8"/>
            <color indexed="81"/>
            <rFont val="Tahoma"/>
            <family val="2"/>
          </rPr>
          <t>Number of parts found at this distributor.</t>
        </r>
      </text>
    </comment>
    <comment ref="AI3" authorId="0">
      <text>
        <r>
          <rPr>
            <sz val="8"/>
            <color indexed="81"/>
            <rFont val="Tahoma"/>
            <family val="2"/>
          </rPr>
          <t>Number of parts found at this distributor.</t>
        </r>
      </text>
    </comment>
    <comment ref="AN3" authorId="0">
      <text>
        <r>
          <rPr>
            <sz val="8"/>
            <color indexed="81"/>
            <rFont val="Tahoma"/>
            <family val="2"/>
          </rPr>
          <t>Number of parts found at this distributor.</t>
        </r>
      </text>
    </comment>
    <comment ref="AS3" authorId="0">
      <text>
        <r>
          <rPr>
            <sz val="8"/>
            <color indexed="81"/>
            <rFont val="Tahoma"/>
            <family val="2"/>
          </rPr>
          <t>Number of parts found at this distributor.</t>
        </r>
      </text>
    </comment>
    <comment ref="AX3" authorId="0">
      <text>
        <r>
          <rPr>
            <sz val="8"/>
            <color indexed="81"/>
            <rFont val="Tahoma"/>
            <family val="2"/>
          </rPr>
          <t>Number of parts found at this distributor.</t>
        </r>
      </text>
    </comment>
    <comment ref="A6" authorId="0">
      <text>
        <r>
          <rPr>
            <sz val="8"/>
            <color indexed="81"/>
            <rFont val="Tahoma"/>
            <family val="2"/>
          </rPr>
          <t>Schematic identifier for each part.</t>
        </r>
      </text>
    </comment>
    <comment ref="B6" authorId="0">
      <text>
        <r>
          <rPr>
            <sz val="8"/>
            <color indexed="81"/>
            <rFont val="Tahoma"/>
            <family val="2"/>
          </rPr>
          <t>Value of each part.</t>
        </r>
      </text>
    </comment>
    <comment ref="C6" authorId="0">
      <text>
        <r>
          <rPr>
            <sz val="8"/>
            <color indexed="81"/>
            <rFont val="Tahoma"/>
            <family val="2"/>
          </rPr>
          <t>Description of each part.</t>
        </r>
      </text>
    </comment>
    <comment ref="D6" authorId="0">
      <text>
        <r>
          <rPr>
            <sz val="8"/>
            <color indexed="81"/>
            <rFont val="Tahoma"/>
            <family val="2"/>
          </rPr>
          <t>User-defined field.</t>
        </r>
      </text>
    </comment>
    <comment ref="E6" authorId="0">
      <text>
        <r>
          <rPr>
            <sz val="8"/>
            <color indexed="81"/>
            <rFont val="Tahoma"/>
            <family val="2"/>
          </rPr>
          <t>PCB footprint for each part.</t>
        </r>
      </text>
    </comment>
    <comment ref="F6" authorId="0">
      <text>
        <r>
          <rPr>
            <sz val="8"/>
            <color indexed="81"/>
            <rFont val="Tahoma"/>
            <family val="2"/>
          </rPr>
          <t>Manufacturer of each part.</t>
        </r>
      </text>
    </comment>
    <comment ref="G6" authorId="0">
      <text>
        <r>
          <rPr>
            <sz val="8"/>
            <color indexed="81"/>
            <rFont val="Tahoma"/>
            <family val="2"/>
          </rPr>
          <t>Manufacturer number for each part and link to it's datasheet (Ctrl-click).
Purple -&gt; Obsolete part detected by one of the distributors.</t>
        </r>
      </text>
    </comment>
    <comment ref="H6" authorId="0">
      <text>
        <r>
          <rPr>
            <sz val="8"/>
            <color indexed="81"/>
            <rFont val="Tahoma"/>
            <family val="2"/>
          </rPr>
          <t>Total number of each part needed.
Gray -&gt; No manf# provided.
Red -&gt; No parts available.
Orange -&gt; Not enough parts available.
Yellow -&gt; Parts available, but haven't purchased enough.</t>
        </r>
      </text>
    </comment>
    <comment ref="I6" authorId="0">
      <text>
        <r>
          <rPr>
            <sz val="8"/>
            <color indexed="81"/>
            <rFont val="Tahoma"/>
            <family val="2"/>
          </rPr>
          <t>Minimum unit price for each part across all distributors.</t>
        </r>
      </text>
    </comment>
    <comment ref="J6" authorId="0">
      <text>
        <r>
          <rPr>
            <sz val="8"/>
            <color indexed="81"/>
            <rFont val="Tahoma"/>
            <family val="2"/>
          </rPr>
          <t>Minimum extended price for each part across all distributors.</t>
        </r>
      </text>
    </comment>
    <comment ref="K6" authorId="0">
      <text>
        <r>
          <rPr>
            <sz val="8"/>
            <color indexed="81"/>
            <rFont val="Tahoma"/>
            <family val="2"/>
          </rPr>
          <t>Available quantity of each part at the distributor.
Red -&gt; No quantity available.
Orange -&gt; Too little quantity available.</t>
        </r>
      </text>
    </comment>
    <comment ref="L6" authorId="0">
      <text>
        <r>
          <rPr>
            <sz val="8"/>
            <color indexed="81"/>
            <rFont val="Tahoma"/>
            <family val="2"/>
          </rPr>
          <t>Purchase quantity of each part from this distributor.
Yellow -&gt; This part have a minimum purchase quantity bigger than 1 (check the price breaks).
Red -&gt; Purchasing more than the available quantity.</t>
        </r>
      </text>
    </comment>
    <comment ref="M6" authorId="0">
      <text>
        <r>
          <rPr>
            <sz val="8"/>
            <color indexed="81"/>
            <rFont val="Tahoma"/>
            <family val="2"/>
          </rPr>
          <t>Unit price of each part from this distributor.
Green -&gt; lowest price across distributors.</t>
        </r>
      </text>
    </comment>
    <comment ref="N6" authorId="0">
      <text>
        <r>
          <rPr>
            <sz val="8"/>
            <color indexed="81"/>
            <rFont val="Tahoma"/>
            <family val="2"/>
          </rPr>
          <t>(Unit Price) x (Purchase Qty) of each part from this distributor.
Red -&gt; Next price break is cheaper.
Green -&gt; Cheapest supplier.</t>
        </r>
      </text>
    </comment>
    <comment ref="O6" authorId="0">
      <text>
        <r>
          <rPr>
            <sz val="8"/>
            <color indexed="81"/>
            <rFont val="Tahoma"/>
            <family val="2"/>
          </rPr>
          <t>Distributor-assigned catalog number for each part and link to it's web page (ctrl-click). Extra distributor data is shown as comment.</t>
        </r>
      </text>
    </comment>
    <comment ref="P6" authorId="0">
      <text>
        <r>
          <rPr>
            <sz val="8"/>
            <color indexed="81"/>
            <rFont val="Tahoma"/>
            <family val="2"/>
          </rPr>
          <t>Available quantity of each part at the distributor.
Red -&gt; No quantity available.
Orange -&gt; Too little quantity available.</t>
        </r>
      </text>
    </comment>
    <comment ref="Q6" authorId="0">
      <text>
        <r>
          <rPr>
            <sz val="8"/>
            <color indexed="81"/>
            <rFont val="Tahoma"/>
            <family val="2"/>
          </rPr>
          <t>Purchase quantity of each part from this distributor.
Yellow -&gt; This part have a minimum purchase quantity bigger than 1 (check the price breaks).
Red -&gt; Purchasing more than the available quantity.</t>
        </r>
      </text>
    </comment>
    <comment ref="R6" authorId="0">
      <text>
        <r>
          <rPr>
            <sz val="8"/>
            <color indexed="81"/>
            <rFont val="Tahoma"/>
            <family val="2"/>
          </rPr>
          <t>Unit price of each part from this distributor.
Green -&gt; lowest price across distributors.</t>
        </r>
      </text>
    </comment>
    <comment ref="S6" authorId="0">
      <text>
        <r>
          <rPr>
            <sz val="8"/>
            <color indexed="81"/>
            <rFont val="Tahoma"/>
            <family val="2"/>
          </rPr>
          <t>(Unit Price) x (Purchase Qty) of each part from this distributor.
Red -&gt; Next price break is cheaper.
Green -&gt; Cheapest supplier.</t>
        </r>
      </text>
    </comment>
    <comment ref="T6" authorId="0">
      <text>
        <r>
          <rPr>
            <sz val="8"/>
            <color indexed="81"/>
            <rFont val="Tahoma"/>
            <family val="2"/>
          </rPr>
          <t>Distributor-assigned catalog number for each part and link to it's web page (ctrl-click). Extra distributor data is shown as comment.</t>
        </r>
      </text>
    </comment>
    <comment ref="U6" authorId="0">
      <text>
        <r>
          <rPr>
            <sz val="8"/>
            <color indexed="81"/>
            <rFont val="Tahoma"/>
            <family val="2"/>
          </rPr>
          <t>Available quantity of each part at the distributor.
Red -&gt; No quantity available.
Orange -&gt; Too little quantity available.</t>
        </r>
      </text>
    </comment>
    <comment ref="V6" authorId="0">
      <text>
        <r>
          <rPr>
            <sz val="8"/>
            <color indexed="81"/>
            <rFont val="Tahoma"/>
            <family val="2"/>
          </rPr>
          <t>Purchase quantity of each part from this distributor.
Yellow -&gt; This part have a minimum purchase quantity bigger than 1 (check the price breaks).
Red -&gt; Purchasing more than the available quantity.</t>
        </r>
      </text>
    </comment>
    <comment ref="W6" authorId="0">
      <text>
        <r>
          <rPr>
            <sz val="8"/>
            <color indexed="81"/>
            <rFont val="Tahoma"/>
            <family val="2"/>
          </rPr>
          <t>Unit price of each part from this distributor.
Green -&gt; lowest price across distributors.</t>
        </r>
      </text>
    </comment>
    <comment ref="X6" authorId="0">
      <text>
        <r>
          <rPr>
            <sz val="8"/>
            <color indexed="81"/>
            <rFont val="Tahoma"/>
            <family val="2"/>
          </rPr>
          <t>(Unit Price) x (Purchase Qty) of each part from this distributor.
Red -&gt; Next price break is cheaper.
Green -&gt; Cheapest supplier.</t>
        </r>
      </text>
    </comment>
    <comment ref="Y6" authorId="0">
      <text>
        <r>
          <rPr>
            <sz val="8"/>
            <color indexed="81"/>
            <rFont val="Tahoma"/>
            <family val="2"/>
          </rPr>
          <t>Distributor-assigned catalog number for each part and link to it's web page (ctrl-click). Extra distributor data is shown as comment.</t>
        </r>
      </text>
    </comment>
    <comment ref="Z6" authorId="0">
      <text>
        <r>
          <rPr>
            <sz val="8"/>
            <color indexed="81"/>
            <rFont val="Tahoma"/>
            <family val="2"/>
          </rPr>
          <t>Available quantity of each part at the distributor.
Red -&gt; No quantity available.
Orange -&gt; Too little quantity available.</t>
        </r>
      </text>
    </comment>
    <comment ref="AA6" authorId="0">
      <text>
        <r>
          <rPr>
            <sz val="8"/>
            <color indexed="81"/>
            <rFont val="Tahoma"/>
            <family val="2"/>
          </rPr>
          <t>Purchase quantity of each part from this distributor.
Yellow -&gt; This part have a minimum purchase quantity bigger than 1 (check the price breaks).
Red -&gt; Purchasing more than the available quantity.</t>
        </r>
      </text>
    </comment>
    <comment ref="AB6" authorId="0">
      <text>
        <r>
          <rPr>
            <sz val="8"/>
            <color indexed="81"/>
            <rFont val="Tahoma"/>
            <family val="2"/>
          </rPr>
          <t>Unit price of each part from this distributor.
Green -&gt; lowest price across distributors.</t>
        </r>
      </text>
    </comment>
    <comment ref="AC6" authorId="0">
      <text>
        <r>
          <rPr>
            <sz val="8"/>
            <color indexed="81"/>
            <rFont val="Tahoma"/>
            <family val="2"/>
          </rPr>
          <t>(Unit Price) x (Purchase Qty) of each part from this distributor.
Red -&gt; Next price break is cheaper.
Green -&gt; Cheapest supplier.</t>
        </r>
      </text>
    </comment>
    <comment ref="AD6" authorId="0">
      <text>
        <r>
          <rPr>
            <sz val="8"/>
            <color indexed="81"/>
            <rFont val="Tahoma"/>
            <family val="2"/>
          </rPr>
          <t>Distributor-assigned catalog number for each part and link to it's web page (ctrl-click). Extra distributor data is shown as comment.</t>
        </r>
      </text>
    </comment>
    <comment ref="AE6" authorId="0">
      <text>
        <r>
          <rPr>
            <sz val="8"/>
            <color indexed="81"/>
            <rFont val="Tahoma"/>
            <family val="2"/>
          </rPr>
          <t>Available quantity of each part at the distributor.
Red -&gt; No quantity available.
Orange -&gt; Too little quantity available.</t>
        </r>
      </text>
    </comment>
    <comment ref="AF6" authorId="0">
      <text>
        <r>
          <rPr>
            <sz val="8"/>
            <color indexed="81"/>
            <rFont val="Tahoma"/>
            <family val="2"/>
          </rPr>
          <t>Purchase quantity of each part from this distributor.
Yellow -&gt; This part have a minimum purchase quantity bigger than 1 (check the price breaks).
Red -&gt; Purchasing more than the available quantity.</t>
        </r>
      </text>
    </comment>
    <comment ref="AG6" authorId="0">
      <text>
        <r>
          <rPr>
            <sz val="8"/>
            <color indexed="81"/>
            <rFont val="Tahoma"/>
            <family val="2"/>
          </rPr>
          <t>Unit price of each part from this distributor.
Green -&gt; lowest price across distributors.</t>
        </r>
      </text>
    </comment>
    <comment ref="AH6" authorId="0">
      <text>
        <r>
          <rPr>
            <sz val="8"/>
            <color indexed="81"/>
            <rFont val="Tahoma"/>
            <family val="2"/>
          </rPr>
          <t>(Unit Price) x (Purchase Qty) of each part from this distributor.
Red -&gt; Next price break is cheaper.
Green -&gt; Cheapest supplier.</t>
        </r>
      </text>
    </comment>
    <comment ref="AI6" authorId="0">
      <text>
        <r>
          <rPr>
            <sz val="8"/>
            <color indexed="81"/>
            <rFont val="Tahoma"/>
            <family val="2"/>
          </rPr>
          <t>Distributor-assigned catalog number for each part and link to it's web page (ctrl-click). Extra distributor data is shown as comment.</t>
        </r>
      </text>
    </comment>
    <comment ref="AJ6" authorId="0">
      <text>
        <r>
          <rPr>
            <sz val="8"/>
            <color indexed="81"/>
            <rFont val="Tahoma"/>
            <family val="2"/>
          </rPr>
          <t>Available quantity of each part at the distributor.
Red -&gt; No quantity available.
Orange -&gt; Too little quantity available.</t>
        </r>
      </text>
    </comment>
    <comment ref="AK6" authorId="0">
      <text>
        <r>
          <rPr>
            <sz val="8"/>
            <color indexed="81"/>
            <rFont val="Tahoma"/>
            <family val="2"/>
          </rPr>
          <t>Purchase quantity of each part from this distributor.
Yellow -&gt; This part have a minimum purchase quantity bigger than 1 (check the price breaks).
Red -&gt; Purchasing more than the available quantity.</t>
        </r>
      </text>
    </comment>
    <comment ref="AL6" authorId="0">
      <text>
        <r>
          <rPr>
            <sz val="8"/>
            <color indexed="81"/>
            <rFont val="Tahoma"/>
            <family val="2"/>
          </rPr>
          <t>Unit price of each part from this distributor.
Green -&gt; lowest price across distributors.</t>
        </r>
      </text>
    </comment>
    <comment ref="AM6" authorId="0">
      <text>
        <r>
          <rPr>
            <sz val="8"/>
            <color indexed="81"/>
            <rFont val="Tahoma"/>
            <family val="2"/>
          </rPr>
          <t>(Unit Price) x (Purchase Qty) of each part from this distributor.
Red -&gt; Next price break is cheaper.
Green -&gt; Cheapest supplier.</t>
        </r>
      </text>
    </comment>
    <comment ref="AN6" authorId="0">
      <text>
        <r>
          <rPr>
            <sz val="8"/>
            <color indexed="81"/>
            <rFont val="Tahoma"/>
            <family val="2"/>
          </rPr>
          <t>Distributor-assigned catalog number for each part and link to it's web page (ctrl-click). Extra distributor data is shown as comment.</t>
        </r>
      </text>
    </comment>
    <comment ref="AO6" authorId="0">
      <text>
        <r>
          <rPr>
            <sz val="8"/>
            <color indexed="81"/>
            <rFont val="Tahoma"/>
            <family val="2"/>
          </rPr>
          <t>Available quantity of each part at the distributor.
Red -&gt; No quantity available.
Orange -&gt; Too little quantity available.</t>
        </r>
      </text>
    </comment>
    <comment ref="AP6" authorId="0">
      <text>
        <r>
          <rPr>
            <sz val="8"/>
            <color indexed="81"/>
            <rFont val="Tahoma"/>
            <family val="2"/>
          </rPr>
          <t>Purchase quantity of each part from this distributor.
Yellow -&gt; This part have a minimum purchase quantity bigger than 1 (check the price breaks).
Red -&gt; Purchasing more than the available quantity.</t>
        </r>
      </text>
    </comment>
    <comment ref="AQ6" authorId="0">
      <text>
        <r>
          <rPr>
            <sz val="8"/>
            <color indexed="81"/>
            <rFont val="Tahoma"/>
            <family val="2"/>
          </rPr>
          <t>Unit price of each part from this distributor.
Green -&gt; lowest price across distributors.</t>
        </r>
      </text>
    </comment>
    <comment ref="AR6" authorId="0">
      <text>
        <r>
          <rPr>
            <sz val="8"/>
            <color indexed="81"/>
            <rFont val="Tahoma"/>
            <family val="2"/>
          </rPr>
          <t>(Unit Price) x (Purchase Qty) of each part from this distributor.
Red -&gt; Next price break is cheaper.
Green -&gt; Cheapest supplier.</t>
        </r>
      </text>
    </comment>
    <comment ref="AS6" authorId="0">
      <text>
        <r>
          <rPr>
            <sz val="8"/>
            <color indexed="81"/>
            <rFont val="Tahoma"/>
            <family val="2"/>
          </rPr>
          <t>Distributor-assigned catalog number for each part and link to it's web page (ctrl-click). Extra distributor data is shown as comment.</t>
        </r>
      </text>
    </comment>
    <comment ref="AT6" authorId="0">
      <text>
        <r>
          <rPr>
            <sz val="8"/>
            <color indexed="81"/>
            <rFont val="Tahoma"/>
            <family val="2"/>
          </rPr>
          <t>Available quantity of each part at the distributor.
Red -&gt; No quantity available.
Orange -&gt; Too little quantity available.</t>
        </r>
      </text>
    </comment>
    <comment ref="AU6" authorId="0">
      <text>
        <r>
          <rPr>
            <sz val="8"/>
            <color indexed="81"/>
            <rFont val="Tahoma"/>
            <family val="2"/>
          </rPr>
          <t>Purchase quantity of each part from this distributor.
Yellow -&gt; This part have a minimum purchase quantity bigger than 1 (check the price breaks).
Red -&gt; Purchasing more than the available quantity.</t>
        </r>
      </text>
    </comment>
    <comment ref="AV6" authorId="0">
      <text>
        <r>
          <rPr>
            <sz val="8"/>
            <color indexed="81"/>
            <rFont val="Tahoma"/>
            <family val="2"/>
          </rPr>
          <t>Unit price of each part from this distributor.
Green -&gt; lowest price across distributors.</t>
        </r>
      </text>
    </comment>
    <comment ref="AW6" authorId="0">
      <text>
        <r>
          <rPr>
            <sz val="8"/>
            <color indexed="81"/>
            <rFont val="Tahoma"/>
            <family val="2"/>
          </rPr>
          <t>(Unit Price) x (Purchase Qty) of each part from this distributor.
Red -&gt; Next price break is cheaper.
Green -&gt; Cheapest supplier.</t>
        </r>
      </text>
    </comment>
    <comment ref="AX6" authorId="0">
      <text>
        <r>
          <rPr>
            <sz val="8"/>
            <color indexed="81"/>
            <rFont val="Tahoma"/>
            <family val="2"/>
          </rPr>
          <t>Distributor-assigned catalog number for each part and link to it's web page (ctrl-click). Extra distributor data is shown as comment.</t>
        </r>
      </text>
    </comment>
    <comment ref="R7" authorId="0">
      <text>
        <r>
          <rPr>
            <sz val="8"/>
            <color indexed="81"/>
            <rFont val="Tahoma"/>
            <family val="2"/>
          </rPr>
          <t>Qty/Price Breaks (USD):
  Qty  -  Unit$  -  Ext$
================
     1   $0.54      $0.54
    10   $0.38      $3.81
    50   $0.29     $14.42
   100   $0.25     $25.12
   500   $0.19     $93.04
  1000   $0.16    $158.16
  4000   $0.14    $558.20</t>
        </r>
      </text>
    </comment>
    <comment ref="W7" authorId="0">
      <text>
        <r>
          <rPr>
            <sz val="8"/>
            <color indexed="81"/>
            <rFont val="Tahoma"/>
            <family val="2"/>
          </rPr>
          <t>Qty/Price Breaks (GBP):
  Qty  -  Unit£  -  Ext£
================
    10   £0.29      £2.87
   100   £0.18     £17.90
   150   £0.18     £26.85
   500   £0.14     £67.50
  1000   £0.12    £116.00
  2000   £0.10    £191.20
  4000   £0.08    £318.80
 20000   £0.07  £1,366.00</t>
        </r>
      </text>
    </comment>
    <comment ref="AG7" authorId="0">
      <text>
        <r>
          <rPr>
            <sz val="8"/>
            <color indexed="81"/>
            <rFont val="Tahoma"/>
            <family val="2"/>
          </rPr>
          <t>Qty/Price Breaks (USD):
  Qty  -  Unit$  -  Ext$
================
     1   $0.52      $0.52
    10   $0.28      $2.76
    50   $0.28     $13.80
   100   $0.24     $24.10
  1000   $0.15    $152.00
 10000   $0.13  $1,330.00</t>
        </r>
      </text>
    </comment>
    <comment ref="AL7" authorId="0">
      <text>
        <r>
          <rPr>
            <sz val="8"/>
            <color indexed="81"/>
            <rFont val="Tahoma"/>
            <family val="2"/>
          </rPr>
          <t>Qty/Price Breaks (USD):
  Qty  -  Unit$  -  Ext$
================
    10   $0.42      $4.20
    25   $0.37      $9.30
    50   $0.32     $16.20
   100   $0.28     $27.60
  4000   $0.12    $468.00
  8000   $0.11    $904.00</t>
        </r>
      </text>
    </comment>
    <comment ref="P8" authorId="0">
      <text>
        <r>
          <rPr>
            <sz val="8"/>
            <color indexed="81"/>
            <rFont val="Tahoma"/>
            <family val="2"/>
          </rPr>
          <t>This part is listed but is not normally stocked.</t>
        </r>
      </text>
    </comment>
    <comment ref="R8" authorId="0">
      <text>
        <r>
          <rPr>
            <sz val="8"/>
            <color indexed="81"/>
            <rFont val="Tahoma"/>
            <family val="2"/>
          </rPr>
          <t>Qty/Price Breaks (USD):
  Qty  -  Unit$  -  Ext$
================
     1   $0.48      $0.48
    10   $0.34      $3.39
    50   $0.26     $12.83
   100   $0.22     $22.35
   500   $0.17     $82.76
  1000   $0.14    $140.70
  4000   $0.12    $496.60</t>
        </r>
      </text>
    </comment>
    <comment ref="U8" authorId="0">
      <text>
        <r>
          <rPr>
            <sz val="8"/>
            <color indexed="81"/>
            <rFont val="Tahoma"/>
            <family val="2"/>
          </rPr>
          <t>This part is listed but is not normally stocked.</t>
        </r>
      </text>
    </comment>
    <comment ref="W8" authorId="0">
      <text>
        <r>
          <rPr>
            <sz val="8"/>
            <color indexed="81"/>
            <rFont val="Tahoma"/>
            <family val="2"/>
          </rPr>
          <t>Qty/Price Breaks (GBP):
  Qty  -  Unit£  -  Ext£
================
    10   £0.29      £2.88
   100   £0.18     £18.00
   150   £0.18     £27.00
   500   £0.14     £68.00
  1000   £0.12    £116.00
  2000   £0.10    £192.00
  4000   £0.08    £320.00
 20000   £0.07  £1,372.00</t>
        </r>
      </text>
    </comment>
    <comment ref="AB8" authorId="0">
      <text>
        <r>
          <rPr>
            <sz val="8"/>
            <color indexed="81"/>
            <rFont val="Tahoma"/>
            <family val="2"/>
          </rPr>
          <t>Qty/Price Breaks (USD):
  Qty  -  Unit$  -  Ext$
================
     5   $0.11      $0.56
    50   $0.09      $4.47
   150   $0.09     $12.78
   500   $0.08     $40.45
  2500   $0.08    $197.50
  5000   $0.08    $390.50</t>
        </r>
      </text>
    </comment>
    <comment ref="AE8" authorId="0">
      <text>
        <r>
          <rPr>
            <sz val="8"/>
            <color indexed="81"/>
            <rFont val="Tahoma"/>
            <family val="2"/>
          </rPr>
          <t>This part is listed but is not normally stocked.</t>
        </r>
      </text>
    </comment>
    <comment ref="AG8" authorId="0">
      <text>
        <r>
          <rPr>
            <sz val="8"/>
            <color indexed="81"/>
            <rFont val="Tahoma"/>
            <family val="2"/>
          </rPr>
          <t>Qty/Price Breaks (USD):
  Qty  -  Unit$  -  Ext$
================
     1   $0.54      $0.54
    10   $0.39      $3.90
    50   $0.39     $19.50
   100   $0.26     $25.70
  1000   $0.16    $162.00
 10000   $0.13  $1,260.00</t>
        </r>
      </text>
    </comment>
    <comment ref="AJ8" authorId="0">
      <text>
        <r>
          <rPr>
            <sz val="8"/>
            <color indexed="81"/>
            <rFont val="Tahoma"/>
            <family val="2"/>
          </rPr>
          <t>This part is listed but is not normally stocked.</t>
        </r>
      </text>
    </comment>
    <comment ref="AL8" authorId="0">
      <text>
        <r>
          <rPr>
            <sz val="8"/>
            <color indexed="81"/>
            <rFont val="Tahoma"/>
            <family val="2"/>
          </rPr>
          <t>Qty/Price Breaks (USD):
  Qty  -  Unit$  -  Ext$
================
    10   $0.39      $3.90
    25   $0.35      $8.65
    50   $0.30     $15.05
   100   $0.26     $25.70
   250   $0.23     $57.00</t>
        </r>
      </text>
    </comment>
    <comment ref="P9" authorId="0">
      <text>
        <r>
          <rPr>
            <sz val="8"/>
            <color indexed="81"/>
            <rFont val="Tahoma"/>
            <family val="2"/>
          </rPr>
          <t>This part is listed but is not normally stocked.</t>
        </r>
      </text>
    </comment>
    <comment ref="R9" authorId="0">
      <text>
        <r>
          <rPr>
            <sz val="8"/>
            <color indexed="81"/>
            <rFont val="Tahoma"/>
            <family val="2"/>
          </rPr>
          <t>Qty/Price Breaks (USD):
  Qty  -  Unit$  -  Ext$
================
     1   $0.25      $0.25
    10   $0.17      $1.72
    50   $0.12      $5.75
   100   $0.10      $9.78
   500   $0.07     $34.50
  1000   $0.06     $60.38
  2500   $0.06    $143.75
  5000   $0.05    $265.95
 15000   $0.05    $715.95</t>
        </r>
      </text>
    </comment>
    <comment ref="U9" authorId="0">
      <text>
        <r>
          <rPr>
            <sz val="8"/>
            <color indexed="81"/>
            <rFont val="Tahoma"/>
            <family val="2"/>
          </rPr>
          <t>This part is listed but is not normally stocked.</t>
        </r>
      </text>
    </comment>
    <comment ref="W9" authorId="0">
      <text>
        <r>
          <rPr>
            <sz val="8"/>
            <color indexed="81"/>
            <rFont val="Tahoma"/>
            <family val="2"/>
          </rPr>
          <t>Qty/Price Breaks (GBP):
  Qty  -  Unit£  -  Ext£
================
    10   £0.22      £2.18
   100   £0.14     £13.70
   150   £0.14     £20.55
   500   £0.10     £51.50
  2500   £0.07    £181.75
  7500   £0.06    £454.50
 15000   £0.06    £891.00
 75000   £0.05  £3,825.00</t>
        </r>
      </text>
    </comment>
    <comment ref="AB9" authorId="0">
      <text>
        <r>
          <rPr>
            <sz val="8"/>
            <color indexed="81"/>
            <rFont val="Tahoma"/>
            <family val="2"/>
          </rPr>
          <t>Qty/Price Breaks (USD):
  Qty  -  Unit$  -  Ext$
================
    20   $0.02      $0.42
   200   $0.02      $3.22
   600   $0.02      $9.18
  2000   $0.01     $28.80
 10000   $0.01    $141.00
 20000   $0.01    $278.00</t>
        </r>
      </text>
    </comment>
    <comment ref="AJ9" authorId="0">
      <text>
        <r>
          <rPr>
            <sz val="8"/>
            <color indexed="81"/>
            <rFont val="Tahoma"/>
            <family val="2"/>
          </rPr>
          <t>This part is listed but is not normally stocked.</t>
        </r>
      </text>
    </comment>
    <comment ref="AL9" authorId="0">
      <text>
        <r>
          <rPr>
            <sz val="8"/>
            <color indexed="81"/>
            <rFont val="Tahoma"/>
            <family val="2"/>
          </rPr>
          <t>Qty/Price Breaks (USD):
  Qty  -  Unit$  -  Ext$
================
    10   $0.12      $1.21
    25   $0.11      $2.82
    50   $0.10      $5.25
   100   $0.10      $9.70
 15000   $0.05    $810.00</t>
        </r>
      </text>
    </comment>
    <comment ref="R10" authorId="0">
      <text>
        <r>
          <rPr>
            <sz val="8"/>
            <color indexed="81"/>
            <rFont val="Tahoma"/>
            <family val="2"/>
          </rPr>
          <t>Qty/Price Breaks (USD):
  Qty  -  Unit$  -  Ext$
================
     1   $0.54      $0.54
    10   $0.38      $3.81
    50   $0.29     $14.42
   100   $0.25     $25.12
   500   $0.19     $93.04
  1000   $0.16    $158.16
  4000   $0.14    $558.20</t>
        </r>
      </text>
    </comment>
    <comment ref="W10" authorId="0">
      <text>
        <r>
          <rPr>
            <sz val="8"/>
            <color indexed="81"/>
            <rFont val="Tahoma"/>
            <family val="2"/>
          </rPr>
          <t>Qty/Price Breaks (GBP):
  Qty  -  Unit£  -  Ext£
================
    10   £0.29      £2.87
   100   £0.18     £17.90
   150   £0.18     £26.85
   500   £0.14     £67.50
  1000   £0.12    £116.00
  2000   £0.10    £191.20
  4000   £0.08    £318.80
 20000   £0.07  £1,366.00</t>
        </r>
      </text>
    </comment>
    <comment ref="AG10" authorId="0">
      <text>
        <r>
          <rPr>
            <sz val="8"/>
            <color indexed="81"/>
            <rFont val="Tahoma"/>
            <family val="2"/>
          </rPr>
          <t>Qty/Price Breaks (USD):
  Qty  -  Unit$  -  Ext$
================
     1   $0.52      $0.52
    10   $0.28      $2.76
    50   $0.28     $13.80
   100   $0.24     $24.10
  1000   $0.15    $152.00
 10000   $0.13  $1,330.00</t>
        </r>
      </text>
    </comment>
    <comment ref="AL10" authorId="0">
      <text>
        <r>
          <rPr>
            <sz val="8"/>
            <color indexed="81"/>
            <rFont val="Tahoma"/>
            <family val="2"/>
          </rPr>
          <t>Qty/Price Breaks (USD):
  Qty  -  Unit$  -  Ext$
================
    10   $0.42      $4.20
    25   $0.37      $9.30
    50   $0.32     $16.20
   100   $0.28     $27.60
  4000   $0.12    $468.00
  8000   $0.11    $904.00</t>
        </r>
      </text>
    </comment>
    <comment ref="R11" authorId="0">
      <text>
        <r>
          <rPr>
            <sz val="8"/>
            <color indexed="81"/>
            <rFont val="Tahoma"/>
            <family val="2"/>
          </rPr>
          <t>Qty/Price Breaks (USD):
  Qty  -  Unit$  -  Ext$
================
     1   $0.44      $0.44
    10   $0.31      $3.07
    50   $0.22     $10.75
   100   $0.18     $18.42
   500   $0.14     $69.09
  1000   $0.12    $116.68
  2500   $0.11    $276.35
  5000   $0.10    $522.00
 10000   $0.10    $982.60</t>
        </r>
      </text>
    </comment>
    <comment ref="W11" authorId="0">
      <text>
        <r>
          <rPr>
            <sz val="8"/>
            <color indexed="81"/>
            <rFont val="Tahoma"/>
            <family val="2"/>
          </rPr>
          <t>Qty/Price Breaks (GBP):
  Qty  -  Unit£  -  Ext£
================
    10   £0.19      £1.87
   100   £0.15     £15.10
   150   £0.15     £22.65
   500   £0.08     £42.10
  2500   £0.08    £199.25
  5000   £0.07    £370.00
 10000   £0.07    £718.00
 50000   £0.06  £3,075.00</t>
        </r>
      </text>
    </comment>
    <comment ref="AB11" authorId="0">
      <text>
        <r>
          <rPr>
            <sz val="8"/>
            <color indexed="81"/>
            <rFont val="Tahoma"/>
            <family val="2"/>
          </rPr>
          <t>Qty/Price Breaks (USD):
  Qty  -  Unit$  -  Ext$
================
     5   $0.12      $0.60
    50   $0.09      $4.37
   150   $0.08     $12.22
   500   $0.08     $37.75
  2500   $0.07    $182.25
  5000   $0.07    $357.50</t>
        </r>
      </text>
    </comment>
    <comment ref="AG11" authorId="0">
      <text>
        <r>
          <rPr>
            <sz val="8"/>
            <color indexed="81"/>
            <rFont val="Tahoma"/>
            <family val="2"/>
          </rPr>
          <t>Qty/Price Breaks (USD):
  Qty  -  Unit$  -  Ext$
================
     1   $0.42      $0.42
    10   $0.21      $2.06
    50   $0.21     $10.30
   100   $0.18     $17.70
  1000   $0.11    $112.00
 10000   $0.09    $940.00</t>
        </r>
      </text>
    </comment>
    <comment ref="AL11" authorId="0">
      <text>
        <r>
          <rPr>
            <sz val="8"/>
            <color indexed="81"/>
            <rFont val="Tahoma"/>
            <family val="2"/>
          </rPr>
          <t>Qty/Price Breaks (USD):
  Qty  -  Unit$  -  Ext$
================
    10   $0.23      $2.27
    25   $0.22      $5.40
    50   $0.20     $10.25
   100   $0.19     $19.40
 10000   $0.11  $1,100.00</t>
        </r>
      </text>
    </comment>
    <comment ref="R12" authorId="0">
      <text>
        <r>
          <rPr>
            <sz val="8"/>
            <color indexed="81"/>
            <rFont val="Tahoma"/>
            <family val="2"/>
          </rPr>
          <t>Qty/Price Breaks (USD):
  Qty  -  Unit$  -  Ext$
================
     1   $0.10      $0.10
    10   $0.03      $0.27
    50   $0.01      $0.72
   100   $0.01      $1.18
   500   $0.01      $4.23
  1000   $0.01      $6.64
  2500   $0.01     $15.10
  5000   $0.01     $27.75
 15000   $0.00     $63.00</t>
        </r>
      </text>
    </comment>
    <comment ref="W12" authorId="0">
      <text>
        <r>
          <rPr>
            <sz val="8"/>
            <color indexed="81"/>
            <rFont val="Tahoma"/>
            <family val="2"/>
          </rPr>
          <t>Qty/Price Breaks (GBP):
  Qty  -  Unit£  -  Ext£
================
    10   £0.02      £0.22
   100   £0.02      £1.73
   150   £0.02      £2.59
   500   £0.01      £5.60
  2500   £0.01     £21.50
  7500   £0.01     £48.75
 15000   £0.01     £84.00
 75000   £0.00    £285.00</t>
        </r>
      </text>
    </comment>
    <comment ref="AB12" authorId="0">
      <text>
        <r>
          <rPr>
            <sz val="8"/>
            <color indexed="81"/>
            <rFont val="Tahoma"/>
            <family val="2"/>
          </rPr>
          <t>Qty/Price Breaks (USD):
  Qty  -  Unit$  -  Ext$
================
   100   $0.00      $0.19
  1000   $0.00      $1.40
  3000   $0.00      $3.90
 10000   $0.00     $12.00
 50000   $0.00     $55.00
100000   $0.00    $110.00</t>
        </r>
      </text>
    </comment>
    <comment ref="AG12" authorId="0">
      <text>
        <r>
          <rPr>
            <sz val="8"/>
            <color indexed="81"/>
            <rFont val="Tahoma"/>
            <family val="2"/>
          </rPr>
          <t>Qty/Price Breaks (USD):
  Qty  -  Unit$  -  Ext$
================
     1   $0.10      $0.10
    10   $0.01      $0.14
    50   $0.01      $0.70
   100   $0.01      $1.20
  1000   $0.01      $7.00
 10000   $0.01     $60.00</t>
        </r>
      </text>
    </comment>
    <comment ref="AL12" authorId="0">
      <text>
        <r>
          <rPr>
            <sz val="8"/>
            <color indexed="81"/>
            <rFont val="Tahoma"/>
            <family val="2"/>
          </rPr>
          <t>Qty/Price Breaks (USD):
  Qty  -  Unit$  -  Ext$
================
    10   $0.01      $0.14
    25   $0.01      $0.32
    50   $0.01      $0.65
   100   $0.01      $1.20
 15000   $0.00     $60.00</t>
        </r>
      </text>
    </comment>
    <comment ref="AQ12" authorId="0">
      <text>
        <r>
          <rPr>
            <sz val="8"/>
            <color indexed="81"/>
            <rFont val="Tahoma"/>
            <family val="2"/>
          </rPr>
          <t>Qty/Price Breaks (GBP):
  Qty  -  Unit£  -  Ext£
================
 15000   £0.00     £45.00
 60000   £0.00    £120.00</t>
        </r>
      </text>
    </comment>
    <comment ref="R13" authorId="0">
      <text>
        <r>
          <rPr>
            <sz val="8"/>
            <color indexed="81"/>
            <rFont val="Tahoma"/>
            <family val="2"/>
          </rPr>
          <t>Qty/Price Breaks (USD):
  Qty  -  Unit$  -  Ext$
================
     1   $0.10      $0.10
    10   $0.03      $0.34
    50   $0.02      $0.93
   100   $0.02      $1.52
   500   $0.01      $5.43
  1000   $0.01      $8.54
  2500   $0.01     $19.40
  5000   $0.01     $35.70
 15000   $0.01     $93.15</t>
        </r>
      </text>
    </comment>
    <comment ref="W13" authorId="0">
      <text>
        <r>
          <rPr>
            <sz val="8"/>
            <color indexed="81"/>
            <rFont val="Tahoma"/>
            <family val="2"/>
          </rPr>
          <t>Qty/Price Breaks (GBP):
  Qty  -  Unit£  -  Ext£
================
    10   £0.02      £0.20
   100   £0.02      £1.59
   150   £0.02      £2.39
   500   £0.01      £3.80
  2500   £0.01     £14.75
  7500   £0.01     £43.50
 15000   £0.00     £60.00
 75000   £0.00    £292.50</t>
        </r>
      </text>
    </comment>
    <comment ref="AB13" authorId="0">
      <text>
        <r>
          <rPr>
            <sz val="8"/>
            <color indexed="81"/>
            <rFont val="Tahoma"/>
            <family val="2"/>
          </rPr>
          <t>Qty/Price Breaks (USD):
  Qty  -  Unit$  -  Ext$
================
    50   $0.00      $0.18
   500   $0.00      $1.30
  1500   $0.00      $3.60
  5000   $0.00     $11.00
 25000   $0.00     $55.00
 50000   $0.00    $105.00</t>
        </r>
      </text>
    </comment>
    <comment ref="AG13" authorId="0">
      <text>
        <r>
          <rPr>
            <sz val="8"/>
            <color indexed="81"/>
            <rFont val="Tahoma"/>
            <family val="2"/>
          </rPr>
          <t>Qty/Price Breaks (USD):
  Qty  -  Unit$  -  Ext$
================
     1   $0.10      $0.10
    10   $0.02      $0.18
    50   $0.02      $0.90
   100   $0.02      $1.50
  1000   $0.01      $9.00
 10000   $0.01     $70.00</t>
        </r>
      </text>
    </comment>
    <comment ref="AL13" authorId="0">
      <text>
        <r>
          <rPr>
            <sz val="8"/>
            <color indexed="81"/>
            <rFont val="Tahoma"/>
            <family val="2"/>
          </rPr>
          <t>Qty/Price Breaks (USD):
  Qty  -  Unit$  -  Ext$
================
    10   $0.03      $0.34
    25   $0.03      $0.70
    50   $0.02      $1.05
   100   $0.02      $1.50
 15000   $0.00     $75.00</t>
        </r>
      </text>
    </comment>
    <comment ref="AQ13" authorId="0">
      <text>
        <r>
          <rPr>
            <sz val="8"/>
            <color indexed="81"/>
            <rFont val="Tahoma"/>
            <family val="2"/>
          </rPr>
          <t>Qty/Price Breaks (GBP):
  Qty  -  Unit£  -  Ext£
================
 15000   £0.00     £60.00
 60000   £0.00    £240.00</t>
        </r>
      </text>
    </comment>
    <comment ref="P14" authorId="0">
      <text>
        <r>
          <rPr>
            <sz val="8"/>
            <color indexed="81"/>
            <rFont val="Tahoma"/>
            <family val="2"/>
          </rPr>
          <t>This part is listed but is not normally stocked.</t>
        </r>
      </text>
    </comment>
    <comment ref="R14" authorId="0">
      <text>
        <r>
          <rPr>
            <sz val="8"/>
            <color indexed="81"/>
            <rFont val="Tahoma"/>
            <family val="2"/>
          </rPr>
          <t>Qty/Price Breaks (USD):
  Qty  -  Unit$  -  Ext$
================
     1   $0.29      $0.29
    10   $0.20      $1.98
    50   $0.12      $5.95
   100   $0.10     $10.05
   500   $0.07     $34.38
  1000   $0.06     $60.84
  2500   $0.06    $145.48
  5000   $0.05    $264.50
 10000   $0.05    $502.60</t>
        </r>
      </text>
    </comment>
    <comment ref="W14" authorId="0">
      <text>
        <r>
          <rPr>
            <sz val="8"/>
            <color indexed="81"/>
            <rFont val="Tahoma"/>
            <family val="2"/>
          </rPr>
          <t>Qty/Price Breaks (GBP):
  Qty  -  Unit£  -  Ext£
================
    10   £0.13      £1.28
   100   £0.06      £6.38
   150   £0.06      £9.57
   500   £0.05     £24.75
  2500   £0.03     £79.75
  5000   £0.03    £146.00
 10000   £0.03    £264.00
 50000   £0.02  £1,100.00</t>
        </r>
      </text>
    </comment>
    <comment ref="AB14" authorId="0">
      <text>
        <r>
          <rPr>
            <sz val="8"/>
            <color indexed="81"/>
            <rFont val="Tahoma"/>
            <family val="2"/>
          </rPr>
          <t>Qty/Price Breaks (USD):
  Qty  -  Unit$  -  Ext$
================
    10   $0.06      $0.64
   100   $0.05      $4.94
   300   $0.05     $14.04
  1000   $0.04     $44.20
  5000   $0.04    $215.50
 10000   $0.04    $425.00</t>
        </r>
      </text>
    </comment>
    <comment ref="AE14" authorId="0">
      <text>
        <r>
          <rPr>
            <sz val="8"/>
            <color indexed="81"/>
            <rFont val="Tahoma"/>
            <family val="2"/>
          </rPr>
          <t>This part is listed but is not normally stocked.</t>
        </r>
      </text>
    </comment>
    <comment ref="AG14" authorId="0">
      <text>
        <r>
          <rPr>
            <sz val="8"/>
            <color indexed="81"/>
            <rFont val="Tahoma"/>
            <family val="2"/>
          </rPr>
          <t>Qty/Price Breaks (USD):
  Qty  -  Unit$  -  Ext$
================
     1   $0.26      $0.26
    10   $0.17      $1.74
    50   $0.17      $8.70
   100   $0.10      $9.90
  1000   $0.06     $61.00
 10000   $0.04    $430.00</t>
        </r>
      </text>
    </comment>
    <comment ref="AL14" authorId="0">
      <text>
        <r>
          <rPr>
            <sz val="8"/>
            <color indexed="81"/>
            <rFont val="Tahoma"/>
            <family val="2"/>
          </rPr>
          <t>Qty/Price Breaks (USD):
  Qty  -  Unit$  -  Ext$
================
    10   $0.17      $1.74
    25   $0.15      $3.72
    50   $0.12      $6.20
   100   $0.10      $9.90</t>
        </r>
      </text>
    </comment>
    <comment ref="R15" authorId="0">
      <text>
        <r>
          <rPr>
            <sz val="8"/>
            <color indexed="81"/>
            <rFont val="Tahoma"/>
            <family val="2"/>
          </rPr>
          <t>Qty/Price Breaks (USD):
  Qty  -  Unit$  -  Ext$
================
     1   $0.42      $0.42
    10   $0.31      $3.14
   100   $0.18     $17.77
   500   $0.12     $58.85
  1000   $0.09     $90.24
  2000   $0.08    $156.94
  8000   $0.07    $564.96
 16000   $0.06  $1,004.48
 24000   $0.06  $1,412.40
 56000   $0.05  $2,922.08</t>
        </r>
      </text>
    </comment>
    <comment ref="U15" authorId="0">
      <text>
        <r>
          <rPr>
            <sz val="8"/>
            <color indexed="81"/>
            <rFont val="Tahoma"/>
            <family val="2"/>
          </rPr>
          <t>This part is listed but is not normally stocked.</t>
        </r>
      </text>
    </comment>
    <comment ref="W15" authorId="0">
      <text>
        <r>
          <rPr>
            <sz val="8"/>
            <color indexed="81"/>
            <rFont val="Tahoma"/>
            <family val="2"/>
          </rPr>
          <t>Qty/Price Breaks (GBP):
  Qty  -  Unit£  -  Ext£
================
     5   £0.39      £1.95
    10   £0.25      £2.53
   100   £0.13     £12.60
   500   £0.10     £49.00
  1000   £0.06     £57.90
  5000   £0.05    £244.50</t>
        </r>
      </text>
    </comment>
    <comment ref="AE15" authorId="0">
      <text>
        <r>
          <rPr>
            <sz val="8"/>
            <color indexed="81"/>
            <rFont val="Tahoma"/>
            <family val="2"/>
          </rPr>
          <t>This part is listed but is not normally stocked.</t>
        </r>
      </text>
    </comment>
    <comment ref="AG15" authorId="0">
      <text>
        <r>
          <rPr>
            <sz val="8"/>
            <color indexed="81"/>
            <rFont val="Tahoma"/>
            <family val="2"/>
          </rPr>
          <t>Qty/Price Breaks (USD):
  Qty  -  Unit$  -  Ext$
================
     1   $0.44      $0.44
    10   $0.31      $3.14
    50   $0.31     $15.70
   100   $0.18     $17.80
  1000   $0.10     $95.00
 10000   $0.07    $660.00</t>
        </r>
      </text>
    </comment>
    <comment ref="AJ15" authorId="0">
      <text>
        <r>
          <rPr>
            <sz val="8"/>
            <color indexed="81"/>
            <rFont val="Tahoma"/>
            <family val="2"/>
          </rPr>
          <t>This part is listed but is not normally stocked.</t>
        </r>
      </text>
    </comment>
    <comment ref="AL15" authorId="0">
      <text>
        <r>
          <rPr>
            <sz val="8"/>
            <color indexed="81"/>
            <rFont val="Tahoma"/>
            <family val="2"/>
          </rPr>
          <t>Qty/Price Breaks (USD):
  Qty  -  Unit$  -  Ext$
================
     5   $0.50      $2.52
    10   $0.35      $3.51
   100   $0.17     $16.80
   500   $0.15     $75.00
  1000   $0.13    $131.00
  2500   $0.11    $285.00</t>
        </r>
      </text>
    </comment>
    <comment ref="R16" authorId="0">
      <text>
        <r>
          <rPr>
            <sz val="8"/>
            <color indexed="81"/>
            <rFont val="Tahoma"/>
            <family val="2"/>
          </rPr>
          <t>Qty/Price Breaks (USD):
  Qty  -  Unit$  -  Ext$
================
     1   $0.40      $0.40
    10   $0.30      $3.00
   100   $0.17     $17.00
   500   $0.11     $56.29
  1000   $0.09     $86.31
  2000   $0.08    $150.10
  8000   $0.07    $540.32
 16000   $0.06    $991.20</t>
        </r>
      </text>
    </comment>
    <comment ref="U16" authorId="0">
      <text>
        <r>
          <rPr>
            <sz val="8"/>
            <color indexed="81"/>
            <rFont val="Tahoma"/>
            <family val="2"/>
          </rPr>
          <t>This part is listed but is not normally stocked.</t>
        </r>
      </text>
    </comment>
    <comment ref="W16" authorId="0">
      <text>
        <r>
          <rPr>
            <sz val="8"/>
            <color indexed="81"/>
            <rFont val="Tahoma"/>
            <family val="2"/>
          </rPr>
          <t>Qty/Price Breaks (GBP):
  Qty  -  Unit£  -  Ext£
================
     5   £0.42      £2.12
    10   £0.28      £2.85
   100   £0.11     £10.80
   500   £0.06     £28.25
  8000   £0.05    £368.00</t>
        </r>
      </text>
    </comment>
    <comment ref="AG16" authorId="0">
      <text>
        <r>
          <rPr>
            <sz val="8"/>
            <color indexed="81"/>
            <rFont val="Tahoma"/>
            <family val="2"/>
          </rPr>
          <t>Qty/Price Breaks (USD):
  Qty  -  Unit$  -  Ext$
================
     1   $0.40      $0.40
    10   $0.28      $2.83
    50   $0.28     $14.15
   100   $0.14     $14.30
  1000   $0.09     $87.00
 10000   $0.06    $600.00</t>
        </r>
      </text>
    </comment>
    <comment ref="AJ16" authorId="0">
      <text>
        <r>
          <rPr>
            <sz val="8"/>
            <color indexed="81"/>
            <rFont val="Tahoma"/>
            <family val="2"/>
          </rPr>
          <t>This part is listed but is not normally stocked.</t>
        </r>
      </text>
    </comment>
    <comment ref="AL16" authorId="0">
      <text>
        <r>
          <rPr>
            <sz val="8"/>
            <color indexed="81"/>
            <rFont val="Tahoma"/>
            <family val="2"/>
          </rPr>
          <t>Qty/Price Breaks (USD):
  Qty  -  Unit$  -  Ext$
================
     5   $0.44      $2.19
    10   $0.31      $3.08
   100   $0.16     $15.60
  8000   $0.06    $456.00
 24000   $0.06  $1,320.00
 64000   $0.05  $3,328.00</t>
        </r>
      </text>
    </comment>
    <comment ref="R17" authorId="0">
      <text>
        <r>
          <rPr>
            <sz val="8"/>
            <color indexed="81"/>
            <rFont val="Tahoma"/>
            <family val="2"/>
          </rPr>
          <t>Qty/Price Breaks (USD):
  Qty  -  Unit$  -  Ext$
================
     1   $0.55      $0.55
    10   $0.47      $4.74
   100   $0.35     $35.42
   500   $0.28    $139.15
  1000   $0.22    $215.05
  3000   $0.20    $588.21
  6000   $0.19  $1,152.30</t>
        </r>
      </text>
    </comment>
    <comment ref="AG17" authorId="0">
      <text>
        <r>
          <rPr>
            <sz val="8"/>
            <color indexed="81"/>
            <rFont val="Tahoma"/>
            <family val="2"/>
          </rPr>
          <t>Qty/Price Breaks (USD):
  Qty  -  Unit$  -  Ext$
================
     1   $0.50      $0.50
    10   $0.40      $4.03
    50   $0.40     $20.15
   100   $0.29     $28.80
  1000   $0.17    $173.00
 10000   $0.16  $1,610.00</t>
        </r>
      </text>
    </comment>
    <comment ref="AL17" authorId="0">
      <text>
        <r>
          <rPr>
            <sz val="8"/>
            <color indexed="81"/>
            <rFont val="Tahoma"/>
            <family val="2"/>
          </rPr>
          <t>Qty/Price Breaks (USD):
  Qty  -  Unit$  -  Ext$
================
  3000   $0.17    $510.00
  6000   $0.17    $996.00
 12000   $0.16  $1,944.00
 18000   $0.16  $2,844.00
 30000   $0.15  $4,620.00</t>
        </r>
      </text>
    </comment>
    <comment ref="AQ17" authorId="0">
      <text>
        <r>
          <rPr>
            <sz val="8"/>
            <color indexed="81"/>
            <rFont val="Tahoma"/>
            <family val="2"/>
          </rPr>
          <t>Qty/Price Breaks (GBP):
  Qty  -  Unit£  -  Ext£
================
  3000   £0.09    £267.00
  6000   £0.12    £738.00
  9000   £0.12  £1,053.00</t>
        </r>
      </text>
    </comment>
    <comment ref="R18" authorId="0">
      <text>
        <r>
          <rPr>
            <sz val="8"/>
            <color indexed="81"/>
            <rFont val="Tahoma"/>
            <family val="2"/>
          </rPr>
          <t>Qty/Price Breaks (USD):
  Qty  -  Unit$  -  Ext$
================
     1   $0.45      $0.45
    10   $0.34      $3.36
   100   $0.21     $20.90
   500   $0.14     $71.50
  1000   $0.11    $110.00
  2000   $0.10    $198.00
  5000   $0.09    $467.50
 10000   $0.09    $852.50
 25000   $0.08  $2,087.50</t>
        </r>
      </text>
    </comment>
    <comment ref="AG18" authorId="0">
      <text>
        <r>
          <rPr>
            <sz val="8"/>
            <color indexed="81"/>
            <rFont val="Tahoma"/>
            <family val="2"/>
          </rPr>
          <t>Qty/Price Breaks (USD):
  Qty  -  Unit$  -  Ext$
================
     1   $0.43      $0.43
    10   $0.30      $3.05
    50   $0.30     $15.25
   100   $0.15     $15.40
  1000   $0.10     $95.00
 10000   $0.08    $820.00</t>
        </r>
      </text>
    </comment>
    <comment ref="AQ18" authorId="0">
      <text>
        <r>
          <rPr>
            <sz val="8"/>
            <color indexed="81"/>
            <rFont val="Tahoma"/>
            <family val="2"/>
          </rPr>
          <t>Qty/Price Breaks (GBP):
  Qty  -  Unit£  -  Ext£
================
  5000   £0.07    £330.00</t>
        </r>
      </text>
    </comment>
    <comment ref="R19" authorId="0">
      <text>
        <r>
          <rPr>
            <sz val="8"/>
            <color indexed="81"/>
            <rFont val="Tahoma"/>
            <family val="2"/>
          </rPr>
          <t>Qty/Price Breaks (USD):
  Qty  -  Unit$  -  Ext$
================
     1   $0.72      $0.72
    10   $0.48      $4.75
   100   $0.31     $31.45
  1000   $0.24    $242.82
  2000   $0.22    $438.84
  6000   $0.21  $1,242.00</t>
        </r>
      </text>
    </comment>
    <comment ref="U19" authorId="0">
      <text>
        <r>
          <rPr>
            <sz val="8"/>
            <color indexed="81"/>
            <rFont val="Tahoma"/>
            <family val="2"/>
          </rPr>
          <t>This part is listed but is not normally stocked.</t>
        </r>
      </text>
    </comment>
    <comment ref="W19" authorId="0">
      <text>
        <r>
          <rPr>
            <sz val="8"/>
            <color indexed="81"/>
            <rFont val="Tahoma"/>
            <family val="2"/>
          </rPr>
          <t>Qty/Price Breaks (GBP):
  Qty  -  Unit£  -  Ext£
================
     1   £0.68      £0.68
    10   £0.45      £4.51
   100   £0.35     £34.70
   500   £0.30    £149.50</t>
        </r>
      </text>
    </comment>
    <comment ref="AG19" authorId="0">
      <text>
        <r>
          <rPr>
            <sz val="8"/>
            <color indexed="81"/>
            <rFont val="Tahoma"/>
            <family val="2"/>
          </rPr>
          <t>Qty/Price Breaks (USD):
  Qty  -  Unit$  -  Ext$
================
     1   $0.68      $0.68
    10   $0.44      $4.41
    50   $0.44     $22.05
   100   $0.29     $28.90
  1000   $0.23    $228.00
 10000   $0.19  $1,860.00</t>
        </r>
      </text>
    </comment>
    <comment ref="AJ19" authorId="0">
      <text>
        <r>
          <rPr>
            <sz val="8"/>
            <color indexed="81"/>
            <rFont val="Tahoma"/>
            <family val="2"/>
          </rPr>
          <t>This part is listed but is not normally stocked.</t>
        </r>
      </text>
    </comment>
    <comment ref="AL19" authorId="0">
      <text>
        <r>
          <rPr>
            <sz val="8"/>
            <color indexed="81"/>
            <rFont val="Tahoma"/>
            <family val="2"/>
          </rPr>
          <t>Qty/Price Breaks (USD):
  Qty  -  Unit$  -  Ext$
================
 10000   $0.22  $2,220.00</t>
        </r>
      </text>
    </comment>
    <comment ref="AV19" authorId="0">
      <text>
        <r>
          <rPr>
            <sz val="8"/>
            <color indexed="81"/>
            <rFont val="Tahoma"/>
            <family val="2"/>
          </rPr>
          <t>Qty/Price Breaks (GBP):
  Qty  -  Unit£  -  Ext£
================
     1   £0.58      £0.58
     5   £0.26      £1.31
    25   £0.20      £5.09
   100   £0.17     £17.32
   500   £0.16     £78.95</t>
        </r>
      </text>
    </comment>
    <comment ref="R20" authorId="0">
      <text>
        <r>
          <rPr>
            <sz val="8"/>
            <color indexed="81"/>
            <rFont val="Tahoma"/>
            <family val="2"/>
          </rPr>
          <t>Qty/Price Breaks (USD):
  Qty  -  Unit$  -  Ext$
================
     1   $0.10      $0.10
    10   $0.08      $0.79
    25   $0.07      $1.80
    50   $0.06      $3.24
   100   $0.05      $4.75
   250   $0.03      $8.64
   500   $0.03     $15.84
  1000   $0.03     $27.36
  4000   $0.02     $92.16
  8000   $0.02    $167.04
 12000   $0.02    $241.92
 28000   $0.02    $536.20</t>
        </r>
      </text>
    </comment>
    <comment ref="W20" authorId="0">
      <text>
        <r>
          <rPr>
            <sz val="8"/>
            <color indexed="81"/>
            <rFont val="Tahoma"/>
            <family val="2"/>
          </rPr>
          <t>Qty/Price Breaks (GBP):
  Qty  -  Unit£  -  Ext£
================
    10   £0.04      £0.42
   100   £0.03      £2.59
   150   £0.03      £3.88
   500   £0.02      £9.30
  1000   £0.02     £16.90
  2000   £0.01     £27.80
  4000   £0.01     £49.60
 20000   £0.01    £194.00</t>
        </r>
      </text>
    </comment>
    <comment ref="AB20" authorId="0">
      <text>
        <r>
          <rPr>
            <sz val="8"/>
            <color indexed="81"/>
            <rFont val="Tahoma"/>
            <family val="2"/>
          </rPr>
          <t>Qty/Price Breaks (USD):
  Qty  -  Unit$  -  Ext$
================
    50   $0.02      $0.88
   500   $0.01      $6.85
  1500   $0.01     $19.50
  5000   $0.01     $61.00
 25000   $0.01    $297.50
 50000   $0.01    $585.00</t>
        </r>
      </text>
    </comment>
    <comment ref="AG20" authorId="0">
      <text>
        <r>
          <rPr>
            <sz val="8"/>
            <color indexed="81"/>
            <rFont val="Tahoma"/>
            <family val="2"/>
          </rPr>
          <t>Qty/Price Breaks (USD):
  Qty  -  Unit$  -  Ext$
================
     1   $0.10      $0.10
    10   $0.05      $0.52
    50   $0.05      $2.60
   100   $0.04      $3.50
  1000   $0.02     $25.00
 10000   $0.02    $200.00</t>
        </r>
      </text>
    </comment>
    <comment ref="AL20" authorId="0">
      <text>
        <r>
          <rPr>
            <sz val="8"/>
            <color indexed="81"/>
            <rFont val="Tahoma"/>
            <family val="2"/>
          </rPr>
          <t>Qty/Price Breaks (USD):
  Qty  -  Unit$  -  Ext$
================
     1   $0.10      $0.10
    10   $0.05      $0.52
    25   $0.05      $1.15
    50   $0.04      $2.05
   100   $0.04      $3.50</t>
        </r>
      </text>
    </comment>
    <comment ref="AQ20" authorId="0">
      <text>
        <r>
          <rPr>
            <sz val="8"/>
            <color indexed="81"/>
            <rFont val="Tahoma"/>
            <family val="2"/>
          </rPr>
          <t>Qty/Price Breaks (GBP):
  Qty  -  Unit£  -  Ext£
================
   100   £0.02      £2.50
  1000   £0.02     £21.00
  2000   £0.02     £38.00
  5000   £0.02     £80.00
 10000   £0.02    £150.00</t>
        </r>
      </text>
    </comment>
    <comment ref="AV20" authorId="0">
      <text>
        <r>
          <rPr>
            <sz val="8"/>
            <color indexed="81"/>
            <rFont val="Tahoma"/>
            <family val="2"/>
          </rPr>
          <t>Qty/Price Breaks (GBP):
  Qty  -  Unit£  -  Ext£
================
    50   £0.02      £1.07
   250   £0.01      £3.75
  1000   £0.01     £11.26
  4000   £0.01     £38.12
 12000   £0.01    £113.28</t>
        </r>
      </text>
    </comment>
    <comment ref="R21" authorId="0">
      <text>
        <r>
          <rPr>
            <sz val="8"/>
            <color indexed="81"/>
            <rFont val="Tahoma"/>
            <family val="2"/>
          </rPr>
          <t>Qty/Price Breaks (USD):
  Qty  -  Unit$  -  Ext$
================
     1   $1.96      $1.96
    10   $1.78     $17.82
    25   $1.67     $41.81
    50   $1.60     $79.99
   100   $1.53    $152.71
   250   $1.38    $345.42
   500   $1.27    $636.30
  1300   $1.09  $1,418.04
  2600   $1.02  $2,647.01
  6500   $0.97  $6,286.67
  9100   $0.95  $8,602.78</t>
        </r>
      </text>
    </comment>
    <comment ref="AG21" authorId="0">
      <text>
        <r>
          <rPr>
            <sz val="8"/>
            <color indexed="81"/>
            <rFont val="Tahoma"/>
            <family val="2"/>
          </rPr>
          <t>Qty/Price Breaks (USD):
  Qty  -  Unit$  -  Ext$
================
     1   $2.07      $2.07
    10   $1.68     $16.80
    50   $1.68     $84.00
   100   $1.61    $161.00
  1000   $1.34  $1,340.00
 10000   $1.07 $10,700.00</t>
        </r>
      </text>
    </comment>
    <comment ref="R22" authorId="0">
      <text>
        <r>
          <rPr>
            <sz val="8"/>
            <color indexed="81"/>
            <rFont val="Tahoma"/>
            <family val="2"/>
          </rPr>
          <t>Qty/Price Breaks (USD):
  Qty  -  Unit$  -  Ext$
================
     1   $0.48      $0.48
    10   $0.45      $4.48
   100   $0.34     $34.36
   500   $0.30    $149.40
  1000   $0.25    $246.51
  5000   $0.22  $1,083.15
 10000   $0.20  $2,016.90</t>
        </r>
      </text>
    </comment>
    <comment ref="R23" authorId="0">
      <text>
        <r>
          <rPr>
            <sz val="8"/>
            <color indexed="81"/>
            <rFont val="Tahoma"/>
            <family val="2"/>
          </rPr>
          <t>Qty/Price Breaks (USD):
  Qty  -  Unit$  -  Ext$
================
     1   $0.50      $0.50
    10   $0.46      $4.64
    25   $0.42     $10.45
    50   $0.37     $18.58
   100   $0.36     $35.60
   250   $0.33     $81.27
   500   $0.31    $154.80</t>
        </r>
      </text>
    </comment>
    <comment ref="R24" authorId="0">
      <text>
        <r>
          <rPr>
            <sz val="8"/>
            <color indexed="81"/>
            <rFont val="Tahoma"/>
            <family val="2"/>
          </rPr>
          <t>Qty/Price Breaks (USD):
  Qty  -  Unit$  -  Ext$
================
     1   $0.67      $0.67
    10   $0.63      $6.28
    25   $0.57     $14.13
    50   $0.50     $25.13
   100   $0.48     $48.16
   250   $0.44    $109.94
   500   $0.42    $209.40</t>
        </r>
      </text>
    </comment>
    <comment ref="P25" authorId="0">
      <text>
        <r>
          <rPr>
            <sz val="8"/>
            <color indexed="81"/>
            <rFont val="Tahoma"/>
            <family val="2"/>
          </rPr>
          <t>This part is listed but is not normally stocked.</t>
        </r>
      </text>
    </comment>
    <comment ref="R25" authorId="0">
      <text>
        <r>
          <rPr>
            <sz val="8"/>
            <color indexed="81"/>
            <rFont val="Tahoma"/>
            <family val="2"/>
          </rPr>
          <t>Qty/Price Breaks (USD):
  Qty  -  Unit$  -  Ext$
================
 10000   $0.03    $302.00</t>
        </r>
      </text>
    </comment>
    <comment ref="AG25" authorId="0">
      <text>
        <r>
          <rPr>
            <sz val="8"/>
            <color indexed="81"/>
            <rFont val="Tahoma"/>
            <family val="2"/>
          </rPr>
          <t>Qty/Price Breaks (USD):
  Qty  -  Unit$  -  Ext$
================
     1   $0.35      $0.35
    10   $0.24      $2.43
    50   $0.24     $12.15
   100   $0.10     $10.20
  1000   $0.07     $69.00
 10000   $0.05    $460.00</t>
        </r>
      </text>
    </comment>
    <comment ref="R26" authorId="0">
      <text>
        <r>
          <rPr>
            <sz val="8"/>
            <color indexed="81"/>
            <rFont val="Tahoma"/>
            <family val="2"/>
          </rPr>
          <t>Qty/Price Breaks (USD):
  Qty  -  Unit$  -  Ext$
================
     1   $0.10      $0.10
    10   $0.05      $0.53
   100   $0.02      $2.17
  1000   $0.01      $9.75
  2500   $0.01     $21.15
  5000   $0.01     $34.95
 15000   $0.01     $91.05</t>
        </r>
      </text>
    </comment>
    <comment ref="U26" authorId="0">
      <text>
        <r>
          <rPr>
            <sz val="8"/>
            <color indexed="81"/>
            <rFont val="Tahoma"/>
            <family val="2"/>
          </rPr>
          <t>This part is listed but is not normally stocked.</t>
        </r>
      </text>
    </comment>
    <comment ref="W26" authorId="0">
      <text>
        <r>
          <rPr>
            <sz val="8"/>
            <color indexed="81"/>
            <rFont val="Tahoma"/>
            <family val="2"/>
          </rPr>
          <t>Qty/Price Breaks (GBP):
  Qty  -  Unit£  -  Ext£
================
 30000   £0.01    £168.00</t>
        </r>
      </text>
    </comment>
    <comment ref="AG26" authorId="0">
      <text>
        <r>
          <rPr>
            <sz val="8"/>
            <color indexed="81"/>
            <rFont val="Tahoma"/>
            <family val="2"/>
          </rPr>
          <t>Qty/Price Breaks (USD):
  Qty  -  Unit$  -  Ext$
================
     1   $0.10      $0.10
    10   $0.05      $0.51
    50   $0.05      $2.55
   100   $0.02      $2.00
  1000   $0.01      $9.00
 10000   $0.00     $50.00</t>
        </r>
      </text>
    </comment>
    <comment ref="R27" authorId="0">
      <text>
        <r>
          <rPr>
            <sz val="8"/>
            <color indexed="81"/>
            <rFont val="Tahoma"/>
            <family val="2"/>
          </rPr>
          <t>Qty/Price Breaks (USD):
  Qty  -  Unit$  -  Ext$
================
     1   $0.10      $0.10
    10   $0.03      $0.28
   100   $0.01      $1.15
  1000   $0.01      $5.18
  2500   $0.00     $11.25
  5000   $0.00     $18.55
 15000   $0.00     $48.45</t>
        </r>
      </text>
    </comment>
    <comment ref="U27" authorId="0">
      <text>
        <r>
          <rPr>
            <sz val="8"/>
            <color indexed="81"/>
            <rFont val="Tahoma"/>
            <family val="2"/>
          </rPr>
          <t>This part is listed but is not normally stocked.</t>
        </r>
      </text>
    </comment>
    <comment ref="W27" authorId="0">
      <text>
        <r>
          <rPr>
            <sz val="8"/>
            <color indexed="81"/>
            <rFont val="Tahoma"/>
            <family val="2"/>
          </rPr>
          <t>Qty/Price Breaks (GBP):
  Qty  -  Unit£  -  Ext£
================
 30000   £0.00    £138.00</t>
        </r>
      </text>
    </comment>
    <comment ref="AB27" authorId="0">
      <text>
        <r>
          <rPr>
            <sz val="8"/>
            <color indexed="81"/>
            <rFont val="Tahoma"/>
            <family val="2"/>
          </rPr>
          <t>Qty/Price Breaks (USD):
  Qty  -  Unit$  -  Ext$
================
    50   $0.01      $0.32
   500   $0.00      $2.40
  1500   $0.00      $6.75
  5000   $0.00     $21.00
 25000   $0.00    $102.50
 50000   $0.00    $200.00</t>
        </r>
      </text>
    </comment>
    <comment ref="AG27" authorId="0">
      <text>
        <r>
          <rPr>
            <sz val="8"/>
            <color indexed="81"/>
            <rFont val="Tahoma"/>
            <family val="2"/>
          </rPr>
          <t>Qty/Price Breaks (USD):
  Qty  -  Unit$  -  Ext$
================
     1   $0.10      $0.10
    10   $0.03      $0.28
    50   $0.03      $1.40
   100   $0.01      $1.20
  1000   $0.01      $6.00
 10000   $0.00     $30.00</t>
        </r>
      </text>
    </comment>
    <comment ref="AJ27" authorId="0">
      <text>
        <r>
          <rPr>
            <sz val="8"/>
            <color indexed="81"/>
            <rFont val="Tahoma"/>
            <family val="2"/>
          </rPr>
          <t>This part is listed but is not normally stocked.</t>
        </r>
      </text>
    </comment>
    <comment ref="AL27" authorId="0">
      <text>
        <r>
          <rPr>
            <sz val="8"/>
            <color indexed="81"/>
            <rFont val="Tahoma"/>
            <family val="2"/>
          </rPr>
          <t>Qty/Price Breaks (USD):
  Qty  -  Unit$  -  Ext$
================
135000   $0.00    $540.00</t>
        </r>
      </text>
    </comment>
    <comment ref="AQ27" authorId="0">
      <text>
        <r>
          <rPr>
            <sz val="8"/>
            <color indexed="81"/>
            <rFont val="Tahoma"/>
            <family val="2"/>
          </rPr>
          <t>Qty/Price Breaks (GBP):
  Qty  -  Unit£  -  Ext£
================
 15000   £0.00     £60.00</t>
        </r>
      </text>
    </comment>
    <comment ref="R28" authorId="0">
      <text>
        <r>
          <rPr>
            <sz val="8"/>
            <color indexed="81"/>
            <rFont val="Tahoma"/>
            <family val="2"/>
          </rPr>
          <t>Qty/Price Breaks (USD):
  Qty  -  Unit$  -  Ext$
================
     1   $0.10      $0.10
    10   $0.03      $0.28
   100   $0.01      $1.15
  1000   $0.01      $5.18
  2500   $0.00     $11.25
  5000   $0.00     $18.55
 15000   $0.00     $48.45</t>
        </r>
      </text>
    </comment>
    <comment ref="U28" authorId="0">
      <text>
        <r>
          <rPr>
            <sz val="8"/>
            <color indexed="81"/>
            <rFont val="Tahoma"/>
            <family val="2"/>
          </rPr>
          <t>This part is listed but is not normally stocked.</t>
        </r>
      </text>
    </comment>
    <comment ref="W28" authorId="0">
      <text>
        <r>
          <rPr>
            <sz val="8"/>
            <color indexed="81"/>
            <rFont val="Tahoma"/>
            <family val="2"/>
          </rPr>
          <t>Qty/Price Breaks (GBP):
  Qty  -  Unit£  -  Ext£
================
    10   £0.04      £0.40
   100   £0.02      £2.40
   150   £0.02      £3.60
   500   £0.02      £9.00
  2500   £0.01     £30.00
  7500   £0.01     £67.50
 15000   £0.01    £105.00
 75000   £0.00    £345.00</t>
        </r>
      </text>
    </comment>
    <comment ref="AE28" authorId="0">
      <text>
        <r>
          <rPr>
            <sz val="8"/>
            <color indexed="81"/>
            <rFont val="Tahoma"/>
            <family val="2"/>
          </rPr>
          <t>This part is listed but is not normally stocked.</t>
        </r>
      </text>
    </comment>
    <comment ref="AG28" authorId="0">
      <text>
        <r>
          <rPr>
            <sz val="8"/>
            <color indexed="81"/>
            <rFont val="Tahoma"/>
            <family val="2"/>
          </rPr>
          <t>Qty/Price Breaks (USD):
  Qty  -  Unit$  -  Ext$
================
     1   $0.10      $0.10
    10   $0.03      $0.28
    50   $0.03      $1.40
   100   $0.01      $1.20
  1000   $0.01      $6.00
 10000   $0.00     $40.00</t>
        </r>
      </text>
    </comment>
    <comment ref="AJ28" authorId="0">
      <text>
        <r>
          <rPr>
            <sz val="8"/>
            <color indexed="81"/>
            <rFont val="Tahoma"/>
            <family val="2"/>
          </rPr>
          <t>This part is listed but is not normally stocked.</t>
        </r>
      </text>
    </comment>
    <comment ref="AL28" authorId="0">
      <text>
        <r>
          <rPr>
            <sz val="8"/>
            <color indexed="81"/>
            <rFont val="Tahoma"/>
            <family val="2"/>
          </rPr>
          <t>Qty/Price Breaks (USD):
  Qty  -  Unit$  -  Ext$
================
135000   $0.00    $540.00</t>
        </r>
      </text>
    </comment>
    <comment ref="AQ28" authorId="0">
      <text>
        <r>
          <rPr>
            <sz val="8"/>
            <color indexed="81"/>
            <rFont val="Tahoma"/>
            <family val="2"/>
          </rPr>
          <t>Qty/Price Breaks (GBP):
  Qty  -  Unit£  -  Ext£
================
 15000   £0.00     £60.00</t>
        </r>
      </text>
    </comment>
    <comment ref="R29" authorId="0">
      <text>
        <r>
          <rPr>
            <sz val="8"/>
            <color indexed="81"/>
            <rFont val="Tahoma"/>
            <family val="2"/>
          </rPr>
          <t>Qty/Price Breaks (USD):
  Qty  -  Unit$  -  Ext$
================
     1   $0.10      $0.10
    10   $0.03      $0.28
   100   $0.01      $1.15
  1000   $0.01      $5.18
  2500   $0.00     $11.25
  5000   $0.00     $18.55
 15000   $0.00     $48.45</t>
        </r>
      </text>
    </comment>
    <comment ref="U29" authorId="0">
      <text>
        <r>
          <rPr>
            <sz val="8"/>
            <color indexed="81"/>
            <rFont val="Tahoma"/>
            <family val="2"/>
          </rPr>
          <t>This part is listed but is not normally stocked.</t>
        </r>
      </text>
    </comment>
    <comment ref="W29" authorId="0">
      <text>
        <r>
          <rPr>
            <sz val="8"/>
            <color indexed="81"/>
            <rFont val="Tahoma"/>
            <family val="2"/>
          </rPr>
          <t>Qty/Price Breaks (GBP):
  Qty  -  Unit£  -  Ext£
================
 30000   £0.00    £138.00</t>
        </r>
      </text>
    </comment>
    <comment ref="AB29" authorId="0">
      <text>
        <r>
          <rPr>
            <sz val="8"/>
            <color indexed="81"/>
            <rFont val="Tahoma"/>
            <family val="2"/>
          </rPr>
          <t>Qty/Price Breaks (USD):
  Qty  -  Unit$  -  Ext$
================
    50   $0.01      $0.32
   500   $0.00      $2.40
  1500   $0.00      $6.75
  5000   $0.00     $21.00
 25000   $0.00    $102.50
 50000   $0.00    $200.00</t>
        </r>
      </text>
    </comment>
    <comment ref="AG29" authorId="0">
      <text>
        <r>
          <rPr>
            <sz val="8"/>
            <color indexed="81"/>
            <rFont val="Tahoma"/>
            <family val="2"/>
          </rPr>
          <t>Qty/Price Breaks (USD):
  Qty  -  Unit$  -  Ext$
================
     1   $0.10      $0.10
    10   $0.02      $0.25
    50   $0.02      $1.25
   100   $0.01      $0.80
  1000   $0.00      $5.00
 10000   $0.00     $30.00</t>
        </r>
      </text>
    </comment>
    <comment ref="AJ29" authorId="0">
      <text>
        <r>
          <rPr>
            <sz val="8"/>
            <color indexed="81"/>
            <rFont val="Tahoma"/>
            <family val="2"/>
          </rPr>
          <t>This part is listed but is not normally stocked.</t>
        </r>
      </text>
    </comment>
    <comment ref="R30" authorId="0">
      <text>
        <r>
          <rPr>
            <sz val="8"/>
            <color indexed="81"/>
            <rFont val="Tahoma"/>
            <family val="2"/>
          </rPr>
          <t>Qty/Price Breaks (USD):
  Qty  -  Unit$  -  Ext$
================
     1   $0.10      $0.10
    10   $0.03      $0.28
   100   $0.01      $1.15
  1000   $0.01      $5.18
  2500   $0.00     $11.25
  5000   $0.00     $18.55
 15000   $0.00     $48.45</t>
        </r>
      </text>
    </comment>
    <comment ref="U30" authorId="0">
      <text>
        <r>
          <rPr>
            <sz val="8"/>
            <color indexed="81"/>
            <rFont val="Tahoma"/>
            <family val="2"/>
          </rPr>
          <t>This part is listed but is not normally stocked.</t>
        </r>
      </text>
    </comment>
    <comment ref="W30" authorId="0">
      <text>
        <r>
          <rPr>
            <sz val="8"/>
            <color indexed="81"/>
            <rFont val="Tahoma"/>
            <family val="2"/>
          </rPr>
          <t>Qty/Price Breaks (GBP):
  Qty  -  Unit£  -  Ext£
================
 30000   £0.00    £138.00</t>
        </r>
      </text>
    </comment>
    <comment ref="AG30" authorId="0">
      <text>
        <r>
          <rPr>
            <sz val="8"/>
            <color indexed="81"/>
            <rFont val="Tahoma"/>
            <family val="2"/>
          </rPr>
          <t>Qty/Price Breaks (USD):
  Qty  -  Unit$  -  Ext$
================
     1   $0.10      $0.10
    10   $0.02      $0.25
    50   $0.02      $1.25
   100   $0.01      $0.80
  1000   $0.00      $5.00
 10000   $0.00     $30.00</t>
        </r>
      </text>
    </comment>
    <comment ref="AJ30" authorId="0">
      <text>
        <r>
          <rPr>
            <sz val="8"/>
            <color indexed="81"/>
            <rFont val="Tahoma"/>
            <family val="2"/>
          </rPr>
          <t>This part is listed but is not normally stocked.</t>
        </r>
      </text>
    </comment>
    <comment ref="AL30" authorId="0">
      <text>
        <r>
          <rPr>
            <sz val="8"/>
            <color indexed="81"/>
            <rFont val="Tahoma"/>
            <family val="2"/>
          </rPr>
          <t>Qty/Price Breaks (USD):
  Qty  -  Unit$  -  Ext$
================
 15000   $0.00     $75.00
 30000   $0.00    $120.00</t>
        </r>
      </text>
    </comment>
    <comment ref="AQ30" authorId="0">
      <text>
        <r>
          <rPr>
            <sz val="8"/>
            <color indexed="81"/>
            <rFont val="Tahoma"/>
            <family val="2"/>
          </rPr>
          <t>Qty/Price Breaks (GBP):
  Qty  -  Unit£  -  Ext£
================
 15000   £0.00     £60.00</t>
        </r>
      </text>
    </comment>
    <comment ref="R31" authorId="0">
      <text>
        <r>
          <rPr>
            <sz val="8"/>
            <color indexed="81"/>
            <rFont val="Tahoma"/>
            <family val="2"/>
          </rPr>
          <t>Qty/Price Breaks (USD):
  Qty  -  Unit$  -  Ext$
================
     1   $0.10      $0.10
    10   $0.03      $0.28
   100   $0.01      $1.15
  1000   $0.01      $5.18
  2500   $0.00     $11.25
  5000   $0.00     $18.55
 15000   $0.00     $48.45</t>
        </r>
      </text>
    </comment>
    <comment ref="U31" authorId="0">
      <text>
        <r>
          <rPr>
            <sz val="8"/>
            <color indexed="81"/>
            <rFont val="Tahoma"/>
            <family val="2"/>
          </rPr>
          <t>This part is listed but is not normally stocked.</t>
        </r>
      </text>
    </comment>
    <comment ref="W31" authorId="0">
      <text>
        <r>
          <rPr>
            <sz val="8"/>
            <color indexed="81"/>
            <rFont val="Tahoma"/>
            <family val="2"/>
          </rPr>
          <t>Qty/Price Breaks (GBP):
  Qty  -  Unit£  -  Ext£
================
 30000   £0.00    £138.00</t>
        </r>
      </text>
    </comment>
    <comment ref="AB31" authorId="0">
      <text>
        <r>
          <rPr>
            <sz val="8"/>
            <color indexed="81"/>
            <rFont val="Tahoma"/>
            <family val="2"/>
          </rPr>
          <t>Qty/Price Breaks (USD):
  Qty  -  Unit$  -  Ext$
================
    50   $0.02      $0.98
   500   $0.02      $7.55
  1500   $0.01     $21.45
  5000   $0.01     $67.50
 25000   $0.01    $327.50
 50000   $0.01    $645.00</t>
        </r>
      </text>
    </comment>
    <comment ref="AG31" authorId="0">
      <text>
        <r>
          <rPr>
            <sz val="8"/>
            <color indexed="81"/>
            <rFont val="Tahoma"/>
            <family val="2"/>
          </rPr>
          <t>Qty/Price Breaks (USD):
  Qty  -  Unit$  -  Ext$
================
     1   $0.10      $0.10
    10   $0.03      $0.27
    50   $0.03      $1.35
   100   $0.01      $1.10
  1000   $0.00      $5.00
 10000   $0.00     $30.00</t>
        </r>
      </text>
    </comment>
    <comment ref="AJ31" authorId="0">
      <text>
        <r>
          <rPr>
            <sz val="8"/>
            <color indexed="81"/>
            <rFont val="Tahoma"/>
            <family val="2"/>
          </rPr>
          <t>This part is listed but is not normally stocked.</t>
        </r>
      </text>
    </comment>
    <comment ref="AL31" authorId="0">
      <text>
        <r>
          <rPr>
            <sz val="8"/>
            <color indexed="81"/>
            <rFont val="Tahoma"/>
            <family val="2"/>
          </rPr>
          <t>Qty/Price Breaks (USD):
  Qty  -  Unit$  -  Ext$
================
 45000   $0.00    $180.00</t>
        </r>
      </text>
    </comment>
    <comment ref="AQ31" authorId="0">
      <text>
        <r>
          <rPr>
            <sz val="8"/>
            <color indexed="81"/>
            <rFont val="Tahoma"/>
            <family val="2"/>
          </rPr>
          <t>Qty/Price Breaks (GBP):
  Qty  -  Unit£  -  Ext£
================
 15000   £0.01     £90.00</t>
        </r>
      </text>
    </comment>
    <comment ref="R32" authorId="0">
      <text>
        <r>
          <rPr>
            <sz val="8"/>
            <color indexed="81"/>
            <rFont val="Tahoma"/>
            <family val="2"/>
          </rPr>
          <t>Qty/Price Breaks (USD):
  Qty  -  Unit$  -  Ext$
================
     1   $0.10      $0.10
    10   $0.03      $0.28
   100   $0.01      $1.15
  1000   $0.01      $5.18
  2500   $0.00     $11.25
  5000   $0.00     $18.55
 15000   $0.00     $48.45</t>
        </r>
      </text>
    </comment>
    <comment ref="U32" authorId="0">
      <text>
        <r>
          <rPr>
            <sz val="8"/>
            <color indexed="81"/>
            <rFont val="Tahoma"/>
            <family val="2"/>
          </rPr>
          <t>This part is listed but is not normally stocked.</t>
        </r>
      </text>
    </comment>
    <comment ref="W32" authorId="0">
      <text>
        <r>
          <rPr>
            <sz val="8"/>
            <color indexed="81"/>
            <rFont val="Tahoma"/>
            <family val="2"/>
          </rPr>
          <t>Qty/Price Breaks (GBP):
  Qty  -  Unit£  -  Ext£
================
 30000   £0.01    £192.00</t>
        </r>
      </text>
    </comment>
    <comment ref="AG32" authorId="0">
      <text>
        <r>
          <rPr>
            <sz val="8"/>
            <color indexed="81"/>
            <rFont val="Tahoma"/>
            <family val="2"/>
          </rPr>
          <t>Qty/Price Breaks (USD):
  Qty  -  Unit$  -  Ext$
================
     1   $0.10      $0.10
    10   $0.03      $0.28
    50   $0.03      $1.40
   100   $0.01      $1.20
  1000   $0.01      $6.00
 10000   $0.00     $30.00</t>
        </r>
      </text>
    </comment>
    <comment ref="AQ32" authorId="0">
      <text>
        <r>
          <rPr>
            <sz val="8"/>
            <color indexed="81"/>
            <rFont val="Tahoma"/>
            <family val="2"/>
          </rPr>
          <t>Qty/Price Breaks (GBP):
  Qty  -  Unit£  -  Ext£
================
 15000   £0.00     £60.00</t>
        </r>
      </text>
    </comment>
    <comment ref="P33" authorId="0">
      <text>
        <r>
          <rPr>
            <sz val="8"/>
            <color indexed="81"/>
            <rFont val="Tahoma"/>
            <family val="2"/>
          </rPr>
          <t>This part is listed but is not normally stocked.</t>
        </r>
      </text>
    </comment>
    <comment ref="R33" authorId="0">
      <text>
        <r>
          <rPr>
            <sz val="8"/>
            <color indexed="81"/>
            <rFont val="Tahoma"/>
            <family val="2"/>
          </rPr>
          <t>Qty/Price Breaks (USD):
  Qty  -  Unit$  -  Ext$
================
     1   $0.10      $0.10
    10   $0.03      $0.28
   100   $0.01      $1.15
  1000   $0.01      $5.18
  2500   $0.00     $11.25
  5000   $0.00     $18.55
 15000   $0.00     $48.45</t>
        </r>
      </text>
    </comment>
    <comment ref="U33" authorId="0">
      <text>
        <r>
          <rPr>
            <sz val="8"/>
            <color indexed="81"/>
            <rFont val="Tahoma"/>
            <family val="2"/>
          </rPr>
          <t>This part is listed but is not normally stocked.</t>
        </r>
      </text>
    </comment>
    <comment ref="W33" authorId="0">
      <text>
        <r>
          <rPr>
            <sz val="8"/>
            <color indexed="81"/>
            <rFont val="Tahoma"/>
            <family val="2"/>
          </rPr>
          <t>Qty/Price Breaks (GBP):
  Qty  -  Unit£  -  Ext£
================
 30000   £0.00    £138.00</t>
        </r>
      </text>
    </comment>
    <comment ref="AG33" authorId="0">
      <text>
        <r>
          <rPr>
            <sz val="8"/>
            <color indexed="81"/>
            <rFont val="Tahoma"/>
            <family val="2"/>
          </rPr>
          <t>Qty/Price Breaks (USD):
  Qty  -  Unit$  -  Ext$
================
     1   $0.10      $0.10
    10   $0.03      $0.31
    50   $0.03      $1.55
   100   $0.01      $1.40
  1000   $0.01      $7.00
 10000   $0.00     $50.00</t>
        </r>
      </text>
    </comment>
    <comment ref="AJ33" authorId="0">
      <text>
        <r>
          <rPr>
            <sz val="8"/>
            <color indexed="81"/>
            <rFont val="Tahoma"/>
            <family val="2"/>
          </rPr>
          <t>This part is listed but is not normally stocked.</t>
        </r>
      </text>
    </comment>
    <comment ref="AL33" authorId="0">
      <text>
        <r>
          <rPr>
            <sz val="8"/>
            <color indexed="81"/>
            <rFont val="Tahoma"/>
            <family val="2"/>
          </rPr>
          <t>Qty/Price Breaks (USD):
  Qty  -  Unit$  -  Ext$
================
 15000   $0.01     $90.00</t>
        </r>
      </text>
    </comment>
    <comment ref="P34" authorId="0">
      <text>
        <r>
          <rPr>
            <sz val="8"/>
            <color indexed="81"/>
            <rFont val="Tahoma"/>
            <family val="2"/>
          </rPr>
          <t>This part is listed but is not normally stocked.</t>
        </r>
      </text>
    </comment>
    <comment ref="R34" authorId="0">
      <text>
        <r>
          <rPr>
            <sz val="8"/>
            <color indexed="81"/>
            <rFont val="Tahoma"/>
            <family val="2"/>
          </rPr>
          <t>Qty/Price Breaks (USD):
  Qty  -  Unit$  -  Ext$
================
     1   $0.10      $0.10
    10   $0.05      $0.53
   100   $0.02      $2.17
  1000   $0.01      $9.75
  2500   $0.01     $21.15
  5000   $0.01     $34.95
 15000   $0.01     $91.05</t>
        </r>
      </text>
    </comment>
    <comment ref="W34" authorId="0">
      <text>
        <r>
          <rPr>
            <sz val="8"/>
            <color indexed="81"/>
            <rFont val="Tahoma"/>
            <family val="2"/>
          </rPr>
          <t>Qty/Price Breaks (GBP):
  Qty  -  Unit£  -  Ext£
================
    10   £0.05      £0.45
   100   £0.02      £1.85
   150   £0.02      £2.78
   500   £0.01      £4.15
  2500   £0.01     £18.50
  7500   £0.01     £48.75
 15000   £0.01     £91.50
 75000   £0.01    £435.00</t>
        </r>
      </text>
    </comment>
    <comment ref="AB34" authorId="0">
      <text>
        <r>
          <rPr>
            <sz val="8"/>
            <color indexed="81"/>
            <rFont val="Tahoma"/>
            <family val="2"/>
          </rPr>
          <t>Qty/Price Breaks (USD):
  Qty  -  Unit$  -  Ext$
================
    50   $0.01      $0.58
   500   $0.01      $4.50
  1500   $0.01     $12.75
  5000   $0.01     $40.00
 25000   $0.01    $195.00
 50000   $0.01    $385.00</t>
        </r>
      </text>
    </comment>
    <comment ref="AG34" authorId="0">
      <text>
        <r>
          <rPr>
            <sz val="8"/>
            <color indexed="81"/>
            <rFont val="Tahoma"/>
            <family val="2"/>
          </rPr>
          <t>Qty/Price Breaks (USD):
  Qty  -  Unit$  -  Ext$
================
     1   $0.10      $0.10
    10   $0.06      $0.58
    50   $0.06      $2.90
   100   $0.02      $2.30
  1000   $0.01     $10.00
 10000   $0.01     $60.00</t>
        </r>
      </text>
    </comment>
    <comment ref="AL34" authorId="0">
      <text>
        <r>
          <rPr>
            <sz val="8"/>
            <color indexed="81"/>
            <rFont val="Tahoma"/>
            <family val="2"/>
          </rPr>
          <t>Qty/Price Breaks (USD):
  Qty  -  Unit$  -  Ext$
================
     1   $0.10      $0.10
    10   $0.06      $0.58
    25   $0.05      $1.15
    50   $0.04      $1.75
   100   $0.02      $2.30
   250   $0.02      $5.00
   500   $0.02      $7.50
  1000   $0.01     $11.00
  2500   $0.01     $20.00
 15000   $0.02    $255.00</t>
        </r>
      </text>
    </comment>
    <comment ref="AQ34" authorId="0">
      <text>
        <r>
          <rPr>
            <sz val="8"/>
            <color indexed="81"/>
            <rFont val="Tahoma"/>
            <family val="2"/>
          </rPr>
          <t>Qty/Price Breaks (GBP):
  Qty  -  Unit£  -  Ext£
================
 15000   £0.01     £90.00</t>
        </r>
      </text>
    </comment>
    <comment ref="R35" authorId="0">
      <text>
        <r>
          <rPr>
            <sz val="8"/>
            <color indexed="81"/>
            <rFont val="Tahoma"/>
            <family val="2"/>
          </rPr>
          <t>Qty/Price Breaks (USD):
  Qty  -  Unit$  -  Ext$
================
     1   $0.22      $0.22
    10   $0.21      $2.11
    25   $0.20      $5.00
   100   $0.18     $18.19
   250   $0.17     $42.75
   500   $0.16     $78.22
  1000   $0.13    $130.97
  2500   $0.13    $318.32
  8500   $0.12  $1,020.43
 17000   $0.11  $1,917.26</t>
        </r>
      </text>
    </comment>
    <comment ref="W35" authorId="0">
      <text>
        <r>
          <rPr>
            <sz val="8"/>
            <color indexed="81"/>
            <rFont val="Tahoma"/>
            <family val="2"/>
          </rPr>
          <t>Qty/Price Breaks (GBP):
  Qty  -  Unit£  -  Ext£
================
    10   £0.16      £1.55
    50   £0.15      £7.30
   100   £0.13     £13.30
   500   £0.12     £61.50</t>
        </r>
      </text>
    </comment>
    <comment ref="AB35" authorId="0">
      <text>
        <r>
          <rPr>
            <sz val="8"/>
            <color indexed="81"/>
            <rFont val="Tahoma"/>
            <family val="2"/>
          </rPr>
          <t>Qty/Price Breaks (USD):
  Qty  -  Unit$  -  Ext$
================
     1   $0.20      $0.20
    10   $0.14      $1.44
    30   $0.13      $4.01
   100   $0.12     $12.36
   500   $0.12     $59.55
  1000   $0.12    $116.90</t>
        </r>
      </text>
    </comment>
    <comment ref="AG35" authorId="0">
      <text>
        <r>
          <rPr>
            <sz val="8"/>
            <color indexed="81"/>
            <rFont val="Tahoma"/>
            <family val="2"/>
          </rPr>
          <t>Qty/Price Breaks (USD):
  Qty  -  Unit$  -  Ext$
================
     1   $0.22      $0.22
    10   $0.21      $2.11
    50   $0.19      $9.70
   100   $0.17     $17.30
  1000   $0.12    $119.00
 10000   $0.12  $1,190.00</t>
        </r>
      </text>
    </comment>
    <comment ref="AL35" authorId="0">
      <text>
        <r>
          <rPr>
            <sz val="8"/>
            <color indexed="81"/>
            <rFont val="Tahoma"/>
            <family val="2"/>
          </rPr>
          <t>Qty/Price Breaks (USD):
  Qty  -  Unit$  -  Ext$
================
     1   $0.15      $0.15
  8500   $0.16  $1,377.00
100000   $0.14 $13,600.00</t>
        </r>
      </text>
    </comment>
    <comment ref="AV35" authorId="0">
      <text>
        <r>
          <rPr>
            <sz val="8"/>
            <color indexed="81"/>
            <rFont val="Tahoma"/>
            <family val="2"/>
          </rPr>
          <t>Qty/Price Breaks (GBP):
  Qty  -  Unit£  -  Ext£
================
     5   £0.16      £0.82
   100   £0.14     £13.86
  1000   £0.10     £95.30
  3000   £0.08    £254.70
  8500   £0.08    £707.20</t>
        </r>
      </text>
    </comment>
    <comment ref="R36" authorId="0">
      <text>
        <r>
          <rPr>
            <sz val="8"/>
            <color indexed="81"/>
            <rFont val="Tahoma"/>
            <family val="2"/>
          </rPr>
          <t>Qty/Price Breaks (USD):
  Qty  -  Unit$  -  Ext$
================
     1   $0.73      $0.73
    10   $0.64      $6.40
    25   $0.60     $15.03
   100   $0.49     $49.05
   250   $0.46    $113.90
   500   $0.39    $193.87
  1000   $0.32    $320.08
  3000   $0.32    $960.21</t>
        </r>
      </text>
    </comment>
    <comment ref="W36" authorId="0">
      <text>
        <r>
          <rPr>
            <sz val="8"/>
            <color indexed="81"/>
            <rFont val="Tahoma"/>
            <family val="2"/>
          </rPr>
          <t>Qty/Price Breaks (GBP):
  Qty  -  Unit£  -  Ext£
================
     5   £0.52      £2.58
    10   £0.40      £3.98
   100   £0.22     £21.60
   150   £0.22     £32.40
   500   £0.21    £104.00
  3000   £0.20    £600.00
  9000   £0.19  £1,710.00
 24000   £0.18  £4,368.00
 45000   £0.17  £7,785.00</t>
        </r>
      </text>
    </comment>
    <comment ref="AB36" authorId="0">
      <text>
        <r>
          <rPr>
            <sz val="8"/>
            <color indexed="81"/>
            <rFont val="Tahoma"/>
            <family val="2"/>
          </rPr>
          <t>Qty/Price Breaks (USD):
  Qty  -  Unit$  -  Ext$
================
     1   $0.44      $0.44
    10   $0.43      $4.31
    30   $0.42     $12.71
   100   $0.41     $41.48
   500   $0.41    $207.40</t>
        </r>
      </text>
    </comment>
    <comment ref="AG36" authorId="0">
      <text>
        <r>
          <rPr>
            <sz val="8"/>
            <color indexed="81"/>
            <rFont val="Tahoma"/>
            <family val="2"/>
          </rPr>
          <t>Qty/Price Breaks (USD):
  Qty  -  Unit$  -  Ext$
================
     1   $0.73      $0.73
    10   $0.64      $6.40
    50   $0.64     $32.00
   100   $0.49     $49.10
  1000   $0.31    $311.00
 10000   $0.26  $2,560.00</t>
        </r>
      </text>
    </comment>
    <comment ref="AL36" authorId="0">
      <text>
        <r>
          <rPr>
            <sz val="8"/>
            <color indexed="81"/>
            <rFont val="Tahoma"/>
            <family val="2"/>
          </rPr>
          <t>Qty/Price Breaks (USD):
  Qty  -  Unit$  -  Ext$
================
     1   $0.85      $0.85
    10   $0.71      $7.10
   100   $0.46     $45.80
  3000   $0.24    $714.00
  9000   $0.23  $2,097.00
 24000   $0.22  $5,184.00
 45000   $0.21  $9,450.00</t>
        </r>
      </text>
    </comment>
    <comment ref="R37" authorId="0">
      <text>
        <r>
          <rPr>
            <sz val="8"/>
            <color indexed="81"/>
            <rFont val="Tahoma"/>
            <family val="2"/>
          </rPr>
          <t>Qty/Price Breaks (USD):
  Qty  -  Unit$  -  Ext$
================
     1   $1.99      $1.99
    10   $1.83     $18.28
  4000   $1.76  $7,054.32</t>
        </r>
      </text>
    </comment>
    <comment ref="W37" authorId="0">
      <text>
        <r>
          <rPr>
            <sz val="8"/>
            <color indexed="81"/>
            <rFont val="Tahoma"/>
            <family val="2"/>
          </rPr>
          <t>Qty/Price Breaks (GBP):
  Qty  -  Unit£  -  Ext£
================
     1   £1.95      £1.95
    10   £1.51     £15.10
    50   £1.27     £63.50
   100   £1.02    £102.00
   250   £1.00    £250.00</t>
        </r>
      </text>
    </comment>
    <comment ref="AG37" authorId="0">
      <text>
        <r>
          <rPr>
            <sz val="8"/>
            <color indexed="81"/>
            <rFont val="Tahoma"/>
            <family val="2"/>
          </rPr>
          <t>Qty/Price Breaks (USD):
  Qty  -  Unit$  -  Ext$
================
     1   $2.00      $2.00
    10   $1.81     $18.10
    50   $1.70     $85.00
   100   $1.45    $145.00
  1000   $1.33  $1,330.00
 10000   $1.28 $12,800.00</t>
        </r>
      </text>
    </comment>
    <comment ref="AL37" authorId="0">
      <text>
        <r>
          <rPr>
            <sz val="8"/>
            <color indexed="81"/>
            <rFont val="Tahoma"/>
            <family val="2"/>
          </rPr>
          <t>Qty/Price Breaks (USD):
  Qty  -  Unit$  -  Ext$
================
     1   $2.14      $2.14
    10   $1.81     $18.10
    25   $1.64     $41.00
    50   $1.45     $72.50
   100   $1.28    $128.00</t>
        </r>
      </text>
    </comment>
    <comment ref="P38" authorId="0">
      <text>
        <r>
          <rPr>
            <sz val="8"/>
            <color indexed="81"/>
            <rFont val="Tahoma"/>
            <family val="2"/>
          </rPr>
          <t>This part is listed but is not normally stocked.</t>
        </r>
      </text>
    </comment>
    <comment ref="R38" authorId="0">
      <text>
        <r>
          <rPr>
            <sz val="8"/>
            <color indexed="81"/>
            <rFont val="Tahoma"/>
            <family val="2"/>
          </rPr>
          <t>Qty/Price Breaks (USD):
  Qty  -  Unit$  -  Ext$
================
     1   $1.01      $1.01
    10   $0.90      $9.01
    25   $0.85     $21.37
   100   $0.70     $70.21
   250   $0.66    $164.09
   500   $0.58    $290.02
  1000   $0.50    $504.00
  5000   $0.50  $2,520.00</t>
        </r>
      </text>
    </comment>
    <comment ref="U38" authorId="0">
      <text>
        <r>
          <rPr>
            <sz val="8"/>
            <color indexed="81"/>
            <rFont val="Tahoma"/>
            <family val="2"/>
          </rPr>
          <t>This part is listed but is not normally stocked.</t>
        </r>
      </text>
    </comment>
    <comment ref="W38" authorId="0">
      <text>
        <r>
          <rPr>
            <sz val="8"/>
            <color indexed="81"/>
            <rFont val="Tahoma"/>
            <family val="2"/>
          </rPr>
          <t>Qty/Price Breaks (GBP):
  Qty  -  Unit£  -  Ext£
================
     1   £0.84      £0.84
     5   £0.87      £4.35
    10   £0.70      £7.04
   100   £0.44     £43.80
   500   £0.31    £156.50
  1000   £0.36    £359.00
  2500   £0.35    £865.00
  5000   £0.30  £1,495.00
 15000   £0.29  £4,395.00
 40000   £0.29 £11,520.00
 75000   £0.28 £21,075.00</t>
        </r>
      </text>
    </comment>
    <comment ref="AE38" authorId="0">
      <text>
        <r>
          <rPr>
            <sz val="8"/>
            <color indexed="81"/>
            <rFont val="Tahoma"/>
            <family val="2"/>
          </rPr>
          <t>This part is listed but is not normally stocked.</t>
        </r>
      </text>
    </comment>
    <comment ref="AG38" authorId="0">
      <text>
        <r>
          <rPr>
            <sz val="8"/>
            <color indexed="81"/>
            <rFont val="Tahoma"/>
            <family val="2"/>
          </rPr>
          <t>Qty/Price Breaks (USD):
  Qty  -  Unit$  -  Ext$
================
     1   $1.00      $1.00
    10   $0.90      $9.01
    50   $0.86     $42.75
   100   $0.70     $70.30
  1000   $0.46    $458.00
 10000   $0.40  $4,030.00</t>
        </r>
      </text>
    </comment>
    <comment ref="AJ38" authorId="0">
      <text>
        <r>
          <rPr>
            <sz val="8"/>
            <color indexed="81"/>
            <rFont val="Tahoma"/>
            <family val="2"/>
          </rPr>
          <t>This part is listed but is not normally stocked.</t>
        </r>
      </text>
    </comment>
    <comment ref="AL38" authorId="0">
      <text>
        <r>
          <rPr>
            <sz val="8"/>
            <color indexed="81"/>
            <rFont val="Tahoma"/>
            <family val="2"/>
          </rPr>
          <t>Qty/Price Breaks (USD):
  Qty  -  Unit$  -  Ext$
================
     1   $1.19      $1.19
    10   $1.01     $10.10
   100   $0.68     $68.40
   500   $0.65    $324.00
  1000   $0.50    $504.00
  2500   $0.49  $1,222.50
  5000   $0.38  $1,885.00
 10000   $0.37  $3,690.00
 20000   $0.36  $7,260.00
 30000   $0.36 $10,740.00
 40000   $0.35 $14,080.00
 50000   $0.35 $17,300.00
500000   $0.34 $170,000.00</t>
        </r>
      </text>
    </comment>
    <comment ref="P39" authorId="0">
      <text>
        <r>
          <rPr>
            <sz val="8"/>
            <color indexed="81"/>
            <rFont val="Tahoma"/>
            <family val="2"/>
          </rPr>
          <t>This part is listed but is not normally stocked.</t>
        </r>
      </text>
    </comment>
    <comment ref="R39" authorId="0">
      <text>
        <r>
          <rPr>
            <sz val="8"/>
            <color indexed="81"/>
            <rFont val="Tahoma"/>
            <family val="2"/>
          </rPr>
          <t>Qty/Price Breaks (USD):
  Qty  -  Unit$  -  Ext$
================
     1   $2.39      $2.39
    25   $1.99     $49.75
   100   $1.81    $181.00</t>
        </r>
      </text>
    </comment>
    <comment ref="AE39" authorId="0">
      <text>
        <r>
          <rPr>
            <sz val="8"/>
            <color indexed="81"/>
            <rFont val="Tahoma"/>
            <family val="2"/>
          </rPr>
          <t>This part is listed but is not normally stocked.</t>
        </r>
      </text>
    </comment>
    <comment ref="AG39" authorId="0">
      <text>
        <r>
          <rPr>
            <sz val="8"/>
            <color indexed="81"/>
            <rFont val="Tahoma"/>
            <family val="2"/>
          </rPr>
          <t>Qty/Price Breaks (USD):
  Qty  -  Unit$  -  Ext$
================
     1   $2.39      $2.39
    10   $2.39     $23.90
    50   $1.99     $99.50
   100   $1.81    $181.00
  1000   $1.81  $1,810.00
 10000   $1.81 $18,100.00</t>
        </r>
      </text>
    </comment>
    <comment ref="AJ39" authorId="0">
      <text>
        <r>
          <rPr>
            <sz val="8"/>
            <color indexed="81"/>
            <rFont val="Tahoma"/>
            <family val="2"/>
          </rPr>
          <t>This part is listed but is not normally stocked.</t>
        </r>
      </text>
    </comment>
    <comment ref="AL39" authorId="0">
      <text>
        <r>
          <rPr>
            <sz val="8"/>
            <color indexed="81"/>
            <rFont val="Tahoma"/>
            <family val="2"/>
          </rPr>
          <t>Qty/Price Breaks (USD):
  Qty  -  Unit$  -  Ext$
================
   220   $1.81    $398.20</t>
        </r>
      </text>
    </comment>
    <comment ref="R40" authorId="0">
      <text>
        <r>
          <rPr>
            <sz val="8"/>
            <color indexed="81"/>
            <rFont val="Tahoma"/>
            <family val="2"/>
          </rPr>
          <t>Qty/Price Breaks (USD):
  Qty  -  Unit$  -  Ext$
================
     1   $0.50      $0.50
    10   $0.43      $4.27
    25   $0.40      $9.96
   100   $0.32     $31.88
   250   $0.30     $74.00
   500   $0.25    $125.23
  1000   $0.19    $193.53
  2500   $0.19    $469.88
  5000   $0.19    $939.75</t>
        </r>
      </text>
    </comment>
    <comment ref="W40" authorId="0">
      <text>
        <r>
          <rPr>
            <sz val="8"/>
            <color indexed="81"/>
            <rFont val="Tahoma"/>
            <family val="2"/>
          </rPr>
          <t>Qty/Price Breaks (GBP):
  Qty  -  Unit£  -  Ext£
================
     5   £0.50      £2.52
    10   £0.39      £3.93
   100   £0.21     £21.00
   150   £0.21     £31.50
   500   £0.15     £73.00
  5000   £0.14    £675.00</t>
        </r>
      </text>
    </comment>
    <comment ref="AG40" authorId="0">
      <text>
        <r>
          <rPr>
            <sz val="8"/>
            <color indexed="81"/>
            <rFont val="Tahoma"/>
            <family val="2"/>
          </rPr>
          <t>Qty/Price Breaks (USD):
  Qty  -  Unit$  -  Ext$
================
     1   $0.50      $0.50
    10   $0.43      $4.28
    50   $0.43     $21.40
   100   $0.30     $29.60
  1000   $0.19    $194.00
 10000   $0.16  $1,550.00</t>
        </r>
      </text>
    </comment>
    <comment ref="AL40" authorId="0">
      <text>
        <r>
          <rPr>
            <sz val="8"/>
            <color indexed="81"/>
            <rFont val="Tahoma"/>
            <family val="2"/>
          </rPr>
          <t>Qty/Price Breaks (USD):
  Qty  -  Unit$  -  Ext$
================
     5   $0.55      $2.75
    10   $0.47      $4.69
   100   $0.32     $32.50
  5000   $0.14    $700.00
 15000   $0.14  $2,040.00
 40000   $0.13  $5,320.00
 75000   $0.13  $9,900.00</t>
        </r>
      </text>
    </comment>
    <comment ref="AQ40" authorId="0">
      <text>
        <r>
          <rPr>
            <sz val="8"/>
            <color indexed="81"/>
            <rFont val="Tahoma"/>
            <family val="2"/>
          </rPr>
          <t>Qty/Price Breaks (GBP):
  Qty  -  Unit£  -  Ext£
================
    20   £0.27      £5.32
   100   £0.16     £16.00
  1000   £0.11    £111.00
  5000   £0.11    £535.00
 10000   £0.10  £1,030.00</t>
        </r>
      </text>
    </comment>
    <comment ref="R42" authorId="0">
      <text>
        <r>
          <rPr>
            <sz val="8"/>
            <color indexed="81"/>
            <rFont val="Tahoma"/>
            <family val="2"/>
          </rPr>
          <t>Qty/Price Breaks (USD):
  Qty  -  Unit$  -  Ext$
================
     1   $1.72      $1.72
    10   $1.57     $15.66
    25   $1.52     $38.08
    50   $1.52     $75.77
   100   $1.35    $135.47
   250   $1.35    $337.68
   500   $1.33    $665.17
  1000   $1.27  $1,273.87
  5000   $1.19  $5,930.05</t>
        </r>
      </text>
    </comment>
    <comment ref="R43" authorId="0">
      <text>
        <r>
          <rPr>
            <sz val="8"/>
            <color indexed="81"/>
            <rFont val="Tahoma"/>
            <family val="2"/>
          </rPr>
          <t>Qty/Price Breaks (USD):
  Qty  -  Unit$  -  Ext$
================
     1   $0.53      $0.53
    10   $0.43      $4.27
    25   $0.39      $9.78
   100   $0.29     $29.10
   250   $0.26     $65.94
   500   $0.22    $109.14
  1000   $0.16    $163.71
  3000   $0.15    $450.45</t>
        </r>
      </text>
    </comment>
    <comment ref="W43" authorId="0">
      <text>
        <r>
          <rPr>
            <sz val="8"/>
            <color indexed="81"/>
            <rFont val="Tahoma"/>
            <family val="2"/>
          </rPr>
          <t>Qty/Price Breaks (GBP):
  Qty  -  Unit£  -  Ext£
================
     5   £0.39      £1.96
    10   £0.26      £2.59
   100   £0.11     £11.20
   150   £0.11     £16.80
   500   £0.08     £41.90
  3000   £0.08    £241.50
  9000   £0.08    £696.60
 24000   £0.07  £1,778.40
 45000   £0.07  £3,190.50</t>
        </r>
      </text>
    </comment>
    <comment ref="AG43" authorId="0">
      <text>
        <r>
          <rPr>
            <sz val="8"/>
            <color indexed="81"/>
            <rFont val="Tahoma"/>
            <family val="2"/>
          </rPr>
          <t>Qty/Price Breaks (USD):
  Qty  -  Unit$  -  Ext$
================
     1   $0.53      $0.53
    10   $0.43      $4.28
    50   $0.43     $21.40
   100   $0.26     $26.40
  1000   $0.16    $164.00
 10000   $0.13  $1,310.00</t>
        </r>
      </text>
    </comment>
    <comment ref="AL43" authorId="0">
      <text>
        <r>
          <rPr>
            <sz val="8"/>
            <color indexed="81"/>
            <rFont val="Tahoma"/>
            <family val="2"/>
          </rPr>
          <t>Qty/Price Breaks (USD):
  Qty  -  Unit$  -  Ext$
================
     5   $0.43      $2.15
    10   $0.32      $3.21
   100   $0.16     $16.50</t>
        </r>
      </text>
    </comment>
    <comment ref="AQ43" authorId="0">
      <text>
        <r>
          <rPr>
            <sz val="8"/>
            <color indexed="81"/>
            <rFont val="Tahoma"/>
            <family val="2"/>
          </rPr>
          <t>Qty/Price Breaks (GBP):
  Qty  -  Unit£  -  Ext£
================
  3000   £0.08    £246.00
  9000   £0.08    £729.00
 24000   £0.08  £1,920.00</t>
        </r>
      </text>
    </comment>
    <comment ref="R44" authorId="0">
      <text>
        <r>
          <rPr>
            <sz val="8"/>
            <color indexed="81"/>
            <rFont val="Tahoma"/>
            <family val="2"/>
          </rPr>
          <t>Qty/Price Breaks (USD):
  Qty  -  Unit$  -  Ext$
================
     1   $1.47      $1.47
     5   $1.45      $7.25
    10   $1.43     $14.28
    25   $1.39     $34.65
    50   $1.34     $67.20
   100   $1.30    $130.20
   250   $1.26    $315.00
   500   $1.18    $588.00
  3000   $1.18  $3,528.00</t>
        </r>
      </text>
    </comment>
    <comment ref="W44" authorId="0">
      <text>
        <r>
          <rPr>
            <sz val="8"/>
            <color indexed="81"/>
            <rFont val="Tahoma"/>
            <family val="2"/>
          </rPr>
          <t>Qty/Price Breaks (GBP):
  Qty  -  Unit£  -  Ext£
================
     1   £1.89      £1.89
    10   £1.89     £18.90
    25   £1.68     £42.00
    50   £1.51     £75.50
   250   £1.39    £347.50
   500   £1.31    £655.00</t>
        </r>
      </text>
    </comment>
    <comment ref="AG44" authorId="0">
      <text>
        <r>
          <rPr>
            <sz val="8"/>
            <color indexed="81"/>
            <rFont val="Tahoma"/>
            <family val="2"/>
          </rPr>
          <t>Qty/Price Breaks (USD):
  Qty  -  Unit$  -  Ext$
================
     1   $1.47      $1.47
    10   $1.43     $14.30
    50   $1.34     $67.00
   100   $1.30    $130.00
  1000   $1.15  $1,150.00
 10000   $1.15 $11,500.00</t>
        </r>
      </text>
    </comment>
    <comment ref="AL44" authorId="0">
      <text>
        <r>
          <rPr>
            <sz val="8"/>
            <color indexed="81"/>
            <rFont val="Tahoma"/>
            <family val="2"/>
          </rPr>
          <t>Qty/Price Breaks (USD):
  Qty  -  Unit$  -  Ext$
================
     1   $1.47      $1.47
    10   $1.43     $14.30
    25   $1.39     $34.75
    50   $1.34     $67.00
   100   $1.30    $130.00</t>
        </r>
      </text>
    </comment>
    <comment ref="R45" authorId="0">
      <text>
        <r>
          <rPr>
            <sz val="8"/>
            <color indexed="81"/>
            <rFont val="Tahoma"/>
            <family val="2"/>
          </rPr>
          <t>Qty/Price Breaks (USD):
  Qty  -  Unit$  -  Ext$
================
     1   $0.87      $0.87
    10   $0.78      $7.82
    25   $0.74     $18.55
   100   $0.61     $60.95
   250   $0.57    $142.44
   500   $0.50    $251.75
  1000   $0.44    $437.50
  3000   $0.44  $1,312.50</t>
        </r>
      </text>
    </comment>
    <comment ref="U45" authorId="0">
      <text>
        <r>
          <rPr>
            <sz val="8"/>
            <color indexed="81"/>
            <rFont val="Tahoma"/>
            <family val="2"/>
          </rPr>
          <t>This part is listed but is not normally stocked.</t>
        </r>
      </text>
    </comment>
    <comment ref="W45" authorId="0">
      <text>
        <r>
          <rPr>
            <sz val="8"/>
            <color indexed="81"/>
            <rFont val="Tahoma"/>
            <family val="2"/>
          </rPr>
          <t>Qty/Price Breaks (GBP):
  Qty  -  Unit£  -  Ext£
================
  3000   £0.25    £750.00</t>
        </r>
      </text>
    </comment>
    <comment ref="AG45" authorId="0">
      <text>
        <r>
          <rPr>
            <sz val="8"/>
            <color indexed="81"/>
            <rFont val="Tahoma"/>
            <family val="2"/>
          </rPr>
          <t>Qty/Price Breaks (USD):
  Qty  -  Unit$  -  Ext$
================
     1   $0.87      $0.87
    10   $0.78      $7.82
    50   $0.74     $37.10
   100   $0.61     $61.00
  1000   $0.40    $398.00
 10000   $0.35  $3,490.00</t>
        </r>
      </text>
    </comment>
    <comment ref="AJ45" authorId="0">
      <text>
        <r>
          <rPr>
            <sz val="8"/>
            <color indexed="81"/>
            <rFont val="Tahoma"/>
            <family val="2"/>
          </rPr>
          <t>This part is listed but is not normally stocked.</t>
        </r>
      </text>
    </comment>
    <comment ref="AL45" authorId="0">
      <text>
        <r>
          <rPr>
            <sz val="8"/>
            <color indexed="81"/>
            <rFont val="Tahoma"/>
            <family val="2"/>
          </rPr>
          <t>Qty/Price Breaks (USD):
  Qty  -  Unit$  -  Ext$
================
  3000   $0.31    $924.00
  6000   $0.30  $1,818.00
 12000   $0.30  $3,540.00
 18000   $0.29  $5,220.00
 24000   $0.29  $6,888.00
 30000   $0.28  $8,490.00
300000   $0.28 $82,500.00</t>
        </r>
      </text>
    </comment>
    <comment ref="P46" authorId="0">
      <text>
        <r>
          <rPr>
            <sz val="8"/>
            <color indexed="81"/>
            <rFont val="Tahoma"/>
            <family val="2"/>
          </rPr>
          <t>This part is listed but is not normally stocked.</t>
        </r>
      </text>
    </comment>
    <comment ref="R46" authorId="0">
      <text>
        <r>
          <rPr>
            <sz val="8"/>
            <color indexed="81"/>
            <rFont val="Tahoma"/>
            <family val="2"/>
          </rPr>
          <t>Qty/Price Breaks (USD):
  Qty  -  Unit$  -  Ext$
================
  3000   $0.15    $450.45</t>
        </r>
      </text>
    </comment>
    <comment ref="U46" authorId="0">
      <text>
        <r>
          <rPr>
            <sz val="8"/>
            <color indexed="81"/>
            <rFont val="Tahoma"/>
            <family val="2"/>
          </rPr>
          <t>This part is listed but is not normally stocked.</t>
        </r>
      </text>
    </comment>
    <comment ref="W46" authorId="0">
      <text>
        <r>
          <rPr>
            <sz val="8"/>
            <color indexed="81"/>
            <rFont val="Tahoma"/>
            <family val="2"/>
          </rPr>
          <t>Qty/Price Breaks (GBP):
  Qty  -  Unit£  -  Ext£
================
  3000   £0.07    £223.80</t>
        </r>
      </text>
    </comment>
    <comment ref="AE46" authorId="0">
      <text>
        <r>
          <rPr>
            <sz val="8"/>
            <color indexed="81"/>
            <rFont val="Tahoma"/>
            <family val="2"/>
          </rPr>
          <t>This part is listed but is not normally stocked.</t>
        </r>
      </text>
    </comment>
    <comment ref="AG46" authorId="0">
      <text>
        <r>
          <rPr>
            <sz val="8"/>
            <color indexed="81"/>
            <rFont val="Tahoma"/>
            <family val="2"/>
          </rPr>
          <t>Qty/Price Breaks (USD):
  Qty  -  Unit$  -  Ext$
================
     1   $0.53      $0.53
    10   $0.43      $4.28
    50   $0.43     $21.40
   100   $0.26     $26.40
  1000   $0.16    $164.00
 10000   $0.15  $1,500.00</t>
        </r>
      </text>
    </comment>
    <comment ref="AJ46" authorId="0">
      <text>
        <r>
          <rPr>
            <sz val="8"/>
            <color indexed="81"/>
            <rFont val="Tahoma"/>
            <family val="2"/>
          </rPr>
          <t>This part is listed but is not normally stocked.</t>
        </r>
      </text>
    </comment>
    <comment ref="AL46" authorId="0">
      <text>
        <r>
          <rPr>
            <sz val="8"/>
            <color indexed="81"/>
            <rFont val="Tahoma"/>
            <family val="2"/>
          </rPr>
          <t>Qty/Price Breaks (USD):
  Qty  -  Unit$  -  Ext$
================
  3000   $0.12    $357.00</t>
        </r>
      </text>
    </comment>
    <comment ref="R47" authorId="0">
      <text>
        <r>
          <rPr>
            <sz val="8"/>
            <color indexed="81"/>
            <rFont val="Tahoma"/>
            <family val="2"/>
          </rPr>
          <t>Qty/Price Breaks (USD):
  Qty  -  Unit$  -  Ext$
================
     1   $1.47      $1.47
     5   $1.45      $7.25
    10   $1.43     $14.28
    25   $1.39     $34.65
    50   $1.34     $67.20
   100   $1.30    $130.20
   250   $1.26    $315.00
   500   $1.18    $588.00
  3000   $1.18  $3,528.00</t>
        </r>
      </text>
    </comment>
    <comment ref="W47" authorId="0">
      <text>
        <r>
          <rPr>
            <sz val="8"/>
            <color indexed="81"/>
            <rFont val="Tahoma"/>
            <family val="2"/>
          </rPr>
          <t>Qty/Price Breaks (GBP):
  Qty  -  Unit£  -  Ext£
================
     1   £1.89      £1.89
    10   £1.89     £18.90
    25   £1.68     £42.00
    50   £1.51     £75.50
   250   £1.39    £347.50
   500   £1.31    £655.00</t>
        </r>
      </text>
    </comment>
    <comment ref="AG47" authorId="0">
      <text>
        <r>
          <rPr>
            <sz val="8"/>
            <color indexed="81"/>
            <rFont val="Tahoma"/>
            <family val="2"/>
          </rPr>
          <t>Qty/Price Breaks (USD):
  Qty  -  Unit$  -  Ext$
================
     1   $1.47      $1.47
    10   $1.43     $14.30
    50   $1.34     $67.00
   100   $1.30    $130.00
  1000   $1.18  $1,180.00
 10000   $1.18 $11,800.00</t>
        </r>
      </text>
    </comment>
    <comment ref="AL47" authorId="0">
      <text>
        <r>
          <rPr>
            <sz val="8"/>
            <color indexed="81"/>
            <rFont val="Tahoma"/>
            <family val="2"/>
          </rPr>
          <t>Qty/Price Breaks (USD):
  Qty  -  Unit$  -  Ext$
================
     1   $1.47      $1.47
    10   $1.43     $14.30
    25   $1.39     $34.75
    50   $1.34     $67.00
   100   $1.30    $130.00</t>
        </r>
      </text>
    </comment>
    <comment ref="P48" authorId="0">
      <text>
        <r>
          <rPr>
            <sz val="8"/>
            <color indexed="81"/>
            <rFont val="Tahoma"/>
            <family val="2"/>
          </rPr>
          <t>This part is listed but is not normally stocked.</t>
        </r>
      </text>
    </comment>
    <comment ref="R48" authorId="0">
      <text>
        <r>
          <rPr>
            <sz val="8"/>
            <color indexed="81"/>
            <rFont val="Tahoma"/>
            <family val="2"/>
          </rPr>
          <t>Qty/Price Breaks (USD):
  Qty  -  Unit$  -  Ext$
================
     1   $0.53      $0.53
    10   $0.43      $4.27
    25   $0.39      $9.78
   100   $0.29     $29.10
   250   $0.26     $65.94
   500   $0.22    $109.14
  1000   $0.16    $163.71
  3000   $0.15    $450.45</t>
        </r>
      </text>
    </comment>
    <comment ref="W48" authorId="0">
      <text>
        <r>
          <rPr>
            <sz val="8"/>
            <color indexed="81"/>
            <rFont val="Tahoma"/>
            <family val="2"/>
          </rPr>
          <t>Qty/Price Breaks (GBP):
  Qty  -  Unit£  -  Ext£
================
     5   £0.52      £2.58
    10   £0.34      £3.41
   100   £0.15     £14.80
   150   £0.15     £22.20
   500   £0.11     £55.00
  3000   £0.09    £279.60</t>
        </r>
      </text>
    </comment>
    <comment ref="AG48" authorId="0">
      <text>
        <r>
          <rPr>
            <sz val="8"/>
            <color indexed="81"/>
            <rFont val="Tahoma"/>
            <family val="2"/>
          </rPr>
          <t>Qty/Price Breaks (USD):
  Qty  -  Unit$  -  Ext$
================
     1   $0.53      $0.53
    10   $0.43      $4.28
    50   $0.43     $21.40
   100   $0.26     $26.40
  1000   $0.16    $164.00
 10000   $0.13  $1,310.00</t>
        </r>
      </text>
    </comment>
    <comment ref="AJ48" authorId="0">
      <text>
        <r>
          <rPr>
            <sz val="8"/>
            <color indexed="81"/>
            <rFont val="Tahoma"/>
            <family val="2"/>
          </rPr>
          <t>This part is listed but is not normally stocked.</t>
        </r>
      </text>
    </comment>
    <comment ref="AL48" authorId="0">
      <text>
        <r>
          <rPr>
            <sz val="8"/>
            <color indexed="81"/>
            <rFont val="Tahoma"/>
            <family val="2"/>
          </rPr>
          <t>Qty/Price Breaks (USD):
  Qty  -  Unit$  -  Ext$
================
  3000   $0.12    $372.00</t>
        </r>
      </text>
    </comment>
    <comment ref="P49" authorId="0">
      <text>
        <r>
          <rPr>
            <sz val="8"/>
            <color indexed="81"/>
            <rFont val="Tahoma"/>
            <family val="2"/>
          </rPr>
          <t>This part is listed but is not normally stocked.</t>
        </r>
      </text>
    </comment>
    <comment ref="R49" authorId="0">
      <text>
        <r>
          <rPr>
            <sz val="8"/>
            <color indexed="81"/>
            <rFont val="Tahoma"/>
            <family val="2"/>
          </rPr>
          <t>Qty/Price Breaks (USD):
  Qty  -  Unit$  -  Ext$
================
   168  $13.46  $2,261.29</t>
        </r>
      </text>
    </comment>
    <comment ref="P50" authorId="0">
      <text>
        <r>
          <rPr>
            <sz val="8"/>
            <color indexed="81"/>
            <rFont val="Tahoma"/>
            <family val="2"/>
          </rPr>
          <t>This part is listed but is not normally stocked.</t>
        </r>
      </text>
    </comment>
    <comment ref="R50" authorId="0">
      <text>
        <r>
          <rPr>
            <sz val="8"/>
            <color indexed="81"/>
            <rFont val="Tahoma"/>
            <family val="2"/>
          </rPr>
          <t>Qty/Price Breaks (USD):
  Qty  -  Unit$  -  Ext$
================
     1   $3.63      $3.63
  5000   $3.50 $17,498.25</t>
        </r>
      </text>
    </comment>
    <comment ref="U50" authorId="0">
      <text>
        <r>
          <rPr>
            <sz val="8"/>
            <color indexed="81"/>
            <rFont val="Tahoma"/>
            <family val="2"/>
          </rPr>
          <t>This part is listed but is not normally stocked.</t>
        </r>
      </text>
    </comment>
    <comment ref="W50" authorId="0">
      <text>
        <r>
          <rPr>
            <sz val="8"/>
            <color indexed="81"/>
            <rFont val="Tahoma"/>
            <family val="2"/>
          </rPr>
          <t>Qty/Price Breaks (GBP):
  Qty  -  Unit£  -  Ext£
================
     1   £2.90      £2.90
    10   £2.17     £21.70
    25   £2.05     £51.25
    50   £1.92     £96.00
   100   £1.80    £180.00
   250   £1.61    £402.50
   500   £1.54    £770.00
  1000   £1.28  £1,280.00</t>
        </r>
      </text>
    </comment>
    <comment ref="AE50" authorId="0">
      <text>
        <r>
          <rPr>
            <sz val="8"/>
            <color indexed="81"/>
            <rFont val="Tahoma"/>
            <family val="2"/>
          </rPr>
          <t>This part is listed but is not normally stocked.</t>
        </r>
      </text>
    </comment>
    <comment ref="AG50" authorId="0">
      <text>
        <r>
          <rPr>
            <sz val="8"/>
            <color indexed="81"/>
            <rFont val="Tahoma"/>
            <family val="2"/>
          </rPr>
          <t>Qty/Price Breaks (USD):
  Qty  -  Unit$  -  Ext$
================
     1   $3.58      $3.58
    10   $3.22     $32.20
    50   $3.04    $152.00
   100   $2.64    $264.00
  1000   $2.59  $2,590.00
 10000   $2.54 $25,400.00</t>
        </r>
      </text>
    </comment>
    <comment ref="AJ50" authorId="0">
      <text>
        <r>
          <rPr>
            <sz val="8"/>
            <color indexed="81"/>
            <rFont val="Tahoma"/>
            <family val="2"/>
          </rPr>
          <t>This part is listed but is not normally stocked.</t>
        </r>
      </text>
    </comment>
    <comment ref="AL50" authorId="0">
      <text>
        <r>
          <rPr>
            <sz val="8"/>
            <color indexed="81"/>
            <rFont val="Tahoma"/>
            <family val="2"/>
          </rPr>
          <t>Qty/Price Breaks (USD):
  Qty  -  Unit$  -  Ext$
================
     1   $3.45      $3.45
  5000   $3.33 $16,650.00</t>
        </r>
      </text>
    </comment>
    <comment ref="P51" authorId="0">
      <text>
        <r>
          <rPr>
            <sz val="8"/>
            <color indexed="81"/>
            <rFont val="Tahoma"/>
            <family val="2"/>
          </rPr>
          <t>This part is listed but is not normally stocked.</t>
        </r>
      </text>
    </comment>
    <comment ref="R51" authorId="0">
      <text>
        <r>
          <rPr>
            <sz val="8"/>
            <color indexed="81"/>
            <rFont val="Tahoma"/>
            <family val="2"/>
          </rPr>
          <t>Qty/Price Breaks (USD):
  Qty  -  Unit$  -  Ext$
================
  2000   $1.34  $2,672.00</t>
        </r>
      </text>
    </comment>
    <comment ref="AB51" authorId="0">
      <text>
        <r>
          <rPr>
            <sz val="8"/>
            <color indexed="81"/>
            <rFont val="Tahoma"/>
            <family val="2"/>
          </rPr>
          <t>Qty/Price Breaks (USD):
  Qty  -  Unit$  -  Ext$
================
     1   $1.42      $1.42
    10   $1.05     $10.50
    30   $0.98     $29.48
   100   $0.92     $91.61
   500   $0.89    $442.75
  1000   $0.87    $871.00</t>
        </r>
      </text>
    </comment>
    <comment ref="AG51" authorId="0">
      <text>
        <r>
          <rPr>
            <sz val="8"/>
            <color indexed="81"/>
            <rFont val="Tahoma"/>
            <family val="2"/>
          </rPr>
          <t>Qty/Price Breaks (USD):
  Qty  -  Unit$  -  Ext$
================
     1   $2.50      $2.50
    10   $2.25     $22.50
    50   $2.12    $106.00
   100   $1.61    $161.00
  1000   $1.30  $1,300.00
 10000   $1.11 $11,100.00</t>
        </r>
      </text>
    </comment>
    <comment ref="I53" authorId="0">
      <text>
        <r>
          <rPr>
            <sz val="8"/>
            <color indexed="81"/>
            <rFont val="Tahoma"/>
            <family val="2"/>
          </rPr>
          <t>This is the total of your cart across all distributors.</t>
        </r>
      </text>
    </comment>
    <comment ref="L53" authorId="0">
      <text>
        <r>
          <rPr>
            <sz val="8"/>
            <color indexed="81"/>
            <rFont val="Tahoma"/>
            <family val="2"/>
          </rPr>
          <t>Copy the information below to the BOM import page of the distributor web site.</t>
        </r>
      </text>
    </comment>
    <comment ref="Q53" authorId="0">
      <text>
        <r>
          <rPr>
            <sz val="8"/>
            <color indexed="81"/>
            <rFont val="Tahoma"/>
            <family val="2"/>
          </rPr>
          <t>Copy the information below to the BOM import page of the distributor web site.</t>
        </r>
      </text>
    </comment>
    <comment ref="V53" authorId="0">
      <text>
        <r>
          <rPr>
            <sz val="8"/>
            <color indexed="81"/>
            <rFont val="Tahoma"/>
            <family val="2"/>
          </rPr>
          <t>Copy the information below to the BOM import page of the distributor web site.</t>
        </r>
      </text>
    </comment>
    <comment ref="AA53" authorId="0">
      <text>
        <r>
          <rPr>
            <sz val="8"/>
            <color indexed="81"/>
            <rFont val="Tahoma"/>
            <family val="2"/>
          </rPr>
          <t>Copy the information below to the BOM import page of the distributor web site.</t>
        </r>
      </text>
    </comment>
    <comment ref="AF53" authorId="0">
      <text>
        <r>
          <rPr>
            <sz val="8"/>
            <color indexed="81"/>
            <rFont val="Tahoma"/>
            <family val="2"/>
          </rPr>
          <t>Copy the information below to the BOM import page of the distributor web site.</t>
        </r>
      </text>
    </comment>
    <comment ref="AK53" authorId="0">
      <text>
        <r>
          <rPr>
            <sz val="8"/>
            <color indexed="81"/>
            <rFont val="Tahoma"/>
            <family val="2"/>
          </rPr>
          <t>Copy the information below to the BOM import page of the distributor web site.</t>
        </r>
      </text>
    </comment>
    <comment ref="AP53" authorId="0">
      <text>
        <r>
          <rPr>
            <sz val="8"/>
            <color indexed="81"/>
            <rFont val="Tahoma"/>
            <family val="2"/>
          </rPr>
          <t>Copy the information below to the BOM import page of the distributor web site.</t>
        </r>
      </text>
    </comment>
    <comment ref="AU53" authorId="0">
      <text>
        <r>
          <rPr>
            <sz val="8"/>
            <color indexed="81"/>
            <rFont val="Tahoma"/>
            <family val="2"/>
          </rPr>
          <t>Copy the information below to the BOM import page of the distributor web site.</t>
        </r>
      </text>
    </comment>
    <comment ref="I54" authorId="0">
      <text>
        <r>
          <rPr>
            <sz val="8"/>
            <color indexed="81"/>
            <rFont val="Tahoma"/>
            <family val="2"/>
          </rPr>
          <t>This description will be added to all purchased parts label and may be used to distinguish the component of different projects.</t>
        </r>
      </text>
    </comment>
    <comment ref="AA54" authorId="0">
      <text>
        <r>
          <rPr>
            <sz val="8"/>
            <color indexed="81"/>
            <rFont val="Tahoma"/>
            <family val="2"/>
          </rPr>
          <t>Copy this header and order to CSV file and use for JLCPCB manufacture PCB housing. The multipart components that use "#" symbol is not allowed at JLCPCB.</t>
        </r>
      </text>
    </comment>
  </commentList>
</comments>
</file>

<file path=xl/sharedStrings.xml><?xml version="1.0" encoding="utf-8"?>
<sst xmlns="http://schemas.openxmlformats.org/spreadsheetml/2006/main" count="776" uniqueCount="428">
  <si>
    <t>Global Part Info</t>
  </si>
  <si>
    <t>Refs</t>
  </si>
  <si>
    <t>Value</t>
  </si>
  <si>
    <t>Desc</t>
  </si>
  <si>
    <t>Footprint</t>
  </si>
  <si>
    <t>Manf</t>
  </si>
  <si>
    <t>Manf#</t>
  </si>
  <si>
    <t>Qty</t>
  </si>
  <si>
    <t>Unit$</t>
  </si>
  <si>
    <t>Ext$</t>
  </si>
  <si>
    <t>Notes</t>
  </si>
  <si>
    <t>C1,C9</t>
  </si>
  <si>
    <t>4.7uF</t>
  </si>
  <si>
    <t>CAP CER 22uF 10V 20% X5R 0603</t>
  </si>
  <si>
    <t>C_0603_1608Metric</t>
  </si>
  <si>
    <t>Murata</t>
  </si>
  <si>
    <t>GRM187R61A226ME15D</t>
  </si>
  <si>
    <t>5V DC DERATED TO 4.7uF</t>
  </si>
  <si>
    <t>C10</t>
  </si>
  <si>
    <t>10uF</t>
  </si>
  <si>
    <t>GRT188R61A226ME13D</t>
  </si>
  <si>
    <t>1.2V DC DERATED TO 10uF</t>
  </si>
  <si>
    <t>C12,C35-C38</t>
  </si>
  <si>
    <t>1uF</t>
  </si>
  <si>
    <t>CAP CER 1uF 6.3V 20% X6S 0201</t>
  </si>
  <si>
    <t>C_0201_0603Metric</t>
  </si>
  <si>
    <t>GRM033C80J105ME05D</t>
  </si>
  <si>
    <t>C12: 1.2V DC
C35-C38: 1.5V DC AUDIO</t>
  </si>
  <si>
    <t>C2</t>
  </si>
  <si>
    <t>3.3V DC DERATED TO 10uF</t>
  </si>
  <si>
    <t>C3,C4,C11,C13,C19-C21,C23,C25,C27,C29,C39-C42,C50,C56,C58,C60,C62,C64,C66</t>
  </si>
  <si>
    <t>CAP CER 4.7uF 6.3V 20% X5R 0201</t>
  </si>
  <si>
    <t>GRM035R60J475ME15D</t>
  </si>
  <si>
    <t>C20: 3.0V DC DERATED TO 1uF
C3,C11,C13,C19,C21,C23,C25,C27,C29,C39-C42,C50,C56,C58,C60,C62,C64,C66: 3.3V DC DERATED TO 1uF
C4: 2.5V DC DERATED TO 1uF</t>
  </si>
  <si>
    <t>C48,C49</t>
  </si>
  <si>
    <t>150nF</t>
  </si>
  <si>
    <t>CAP CER 0.22uF 6.3V 20% X5R 0201</t>
  </si>
  <si>
    <t>GRM033R60J224ME15D</t>
  </si>
  <si>
    <t>1.65V DC DERATED TO 150nF</t>
  </si>
  <si>
    <t>C14-C18,C22,C24,C26,C28,C30-C34,C43-C47,C51-C55,C57,C59,C61,C63,C65,C67</t>
  </si>
  <si>
    <t>0.1uF</t>
  </si>
  <si>
    <t>GRM033R60J224KE15D</t>
  </si>
  <si>
    <t>C34: 1.5V DC VAG DERATED TO 0.1uF
C31,C43,C45-C47: 1.2V DC DERATED TO 0.1uF
C14-C18,C22,C24,C26,C28,C30,C32,C33,C44,C51-C55,C57,C59,C61,C63,C65,C67: 3.3V DC DERATED TO 0.1uF</t>
  </si>
  <si>
    <t>C5-C8</t>
  </si>
  <si>
    <t>CAP CER 2.2uF 16V 10% X6S 0402</t>
  </si>
  <si>
    <t>C_0402_1005Metric</t>
  </si>
  <si>
    <t>GRM155C81C225KE11D</t>
  </si>
  <si>
    <t>5V DC DERATED TO 1uF</t>
  </si>
  <si>
    <t>D1</t>
  </si>
  <si>
    <t>PMEG2020EPK</t>
  </si>
  <si>
    <t>DIODE SCHOTTKY 20V 2A LOW VF SOD1608</t>
  </si>
  <si>
    <t>SOD-1608</t>
  </si>
  <si>
    <t>Nexperia</t>
  </si>
  <si>
    <t>PMEG2020EPK,315</t>
  </si>
  <si>
    <t>D2</t>
  </si>
  <si>
    <t>NSPU3051</t>
  </si>
  <si>
    <t>DIODE ESD VRWM 5.5V 0201</t>
  </si>
  <si>
    <t>CASE714AB_1.0x0.6mm</t>
  </si>
  <si>
    <t>ON Semiconductor</t>
  </si>
  <si>
    <t>NSPU3051N2T5G</t>
  </si>
  <si>
    <t>D3</t>
  </si>
  <si>
    <t>VESD05A6-HAF</t>
  </si>
  <si>
    <t>IC ESD ARRAY VRWM 5V LLP75-7L</t>
  </si>
  <si>
    <t>LLP75-7L</t>
  </si>
  <si>
    <t>Vishay</t>
  </si>
  <si>
    <t>VESD05A6-HAF-GS08</t>
  </si>
  <si>
    <t>D4</t>
  </si>
  <si>
    <t>D3V3F8U9LP3810</t>
  </si>
  <si>
    <t>IC ESD ARRAY VRWM 3.3V U-DFN3810-09</t>
  </si>
  <si>
    <t>U-DFN3810-9</t>
  </si>
  <si>
    <t>Diodes</t>
  </si>
  <si>
    <t>D3V3F8U9LP3810-7</t>
  </si>
  <si>
    <t>D5</t>
  </si>
  <si>
    <t>SMD-LX0707RGB-TR</t>
  </si>
  <si>
    <t>IC LED RGB 0707</t>
  </si>
  <si>
    <t>Lumex</t>
  </si>
  <si>
    <t>REPLACEMENT PARTS: Everlight 19-C47/RSGHBHC-5V01/2T, Everlight EAST1818RGBICA0</t>
  </si>
  <si>
    <t>FB1-FB4</t>
  </si>
  <si>
    <t>BLM18KG601SN1</t>
  </si>
  <si>
    <t>FERRITE BEAD 600Ω 1.3A 0603</t>
  </si>
  <si>
    <t>L_0603_1608Metric</t>
  </si>
  <si>
    <t>BLM18KG601SN1D</t>
  </si>
  <si>
    <t>J1</t>
  </si>
  <si>
    <t>USB_C_Receptacle</t>
  </si>
  <si>
    <t>CONN USB-C</t>
  </si>
  <si>
    <t>USB_C_Receptacle_JAE_DX07S024JA1</t>
  </si>
  <si>
    <t>JAE</t>
  </si>
  <si>
    <t>DX07S024JA1R1300</t>
  </si>
  <si>
    <t>J2</t>
  </si>
  <si>
    <t>Conn_02x05_Odd_Even</t>
  </si>
  <si>
    <t>CONN HEADER 2x3 POS .050" GOLD</t>
  </si>
  <si>
    <t>PinHeader_2x03_P1.27mm_Vertical</t>
  </si>
  <si>
    <t>Sullins</t>
  </si>
  <si>
    <t>GRPB032VWVN-RC</t>
  </si>
  <si>
    <t>J3,J4</t>
  </si>
  <si>
    <t>Conn_01x20</t>
  </si>
  <si>
    <t>CONN HEADER 20 POS .100" GOLD MATING 5.84mm TAIL 3.05mm</t>
  </si>
  <si>
    <t>PinHeader_1x20_P2.54mm_Vertical</t>
  </si>
  <si>
    <t>PRPC020SAAN-RC</t>
  </si>
  <si>
    <t>J5-J7</t>
  </si>
  <si>
    <t>CONN HEADER 20 POS .100" GOLD MATING 5.84mm TAIL 8.13mm</t>
  </si>
  <si>
    <t>PinHeader_1x20_P2.54mm_Vertical_LongTail</t>
  </si>
  <si>
    <t>PRPC020SACN-RC</t>
  </si>
  <si>
    <t>Q1</t>
  </si>
  <si>
    <t>PDTA143ZMB</t>
  </si>
  <si>
    <t>TRANSISTOR PNP RET R1=4.7kΩ R2=47kΩ 100mA SOT883B</t>
  </si>
  <si>
    <t>SOT-883</t>
  </si>
  <si>
    <t>PDTA143ZMB,315</t>
  </si>
  <si>
    <t>R1</t>
  </si>
  <si>
    <t>453</t>
  </si>
  <si>
    <t>RES 453Ω 50mW 1% 0201</t>
  </si>
  <si>
    <t>R_0201_0603Metric</t>
  </si>
  <si>
    <t>Panasonic</t>
  </si>
  <si>
    <t>ERJ-1GNF4530C</t>
  </si>
  <si>
    <t>R10,R11</t>
  </si>
  <si>
    <t>100k</t>
  </si>
  <si>
    <t>RES 100kΩ 50mW 5% 0201</t>
  </si>
  <si>
    <t>ERJ-1GNJ104C</t>
  </si>
  <si>
    <t>R16,R18,R20-R22</t>
  </si>
  <si>
    <t>4.7k</t>
  </si>
  <si>
    <t>RES 4.7kΩ 50mW 5% 0201</t>
  </si>
  <si>
    <t>ERJ-1GNJ472C</t>
  </si>
  <si>
    <t>R17</t>
  </si>
  <si>
    <t>1k</t>
  </si>
  <si>
    <t>RES 1kΩ 50mW 5% 0201</t>
  </si>
  <si>
    <t>ERJ-1GNJ102C</t>
  </si>
  <si>
    <t>R2,R3</t>
  </si>
  <si>
    <t>2.2k</t>
  </si>
  <si>
    <t>RES 2.2kΩ 50mW 5% 0201</t>
  </si>
  <si>
    <t>ERJ-1GNJ222C</t>
  </si>
  <si>
    <t>R4,R5,R12,R15</t>
  </si>
  <si>
    <t>10k</t>
  </si>
  <si>
    <t>RES 10kΩ 50mW 5% 0201</t>
  </si>
  <si>
    <t>ERJ-1GNJ103C</t>
  </si>
  <si>
    <t>R6</t>
  </si>
  <si>
    <t>1.5k</t>
  </si>
  <si>
    <t>RES 1.5kΩ 50mW 5% 0201</t>
  </si>
  <si>
    <t>ERJ-1GNJ152C</t>
  </si>
  <si>
    <t>R7,R8,R19</t>
  </si>
  <si>
    <t>22</t>
  </si>
  <si>
    <t>RES 22Ω 50mW 5% 0201</t>
  </si>
  <si>
    <t>ERJ-1GNJ220C</t>
  </si>
  <si>
    <t>R9,R13,R14</t>
  </si>
  <si>
    <t>100</t>
  </si>
  <si>
    <t>RES 100Ω 50mW 1% 0201</t>
  </si>
  <si>
    <t>ERJ-1GNF1000C</t>
  </si>
  <si>
    <t>SW1</t>
  </si>
  <si>
    <t>KXT331LHS</t>
  </si>
  <si>
    <t>SW TACT 3.0 x 2.0 mm</t>
  </si>
  <si>
    <t>SW_SPST_CK_KXT3</t>
  </si>
  <si>
    <t>C&amp;K</t>
  </si>
  <si>
    <t>U1</t>
  </si>
  <si>
    <t>FPF1048</t>
  </si>
  <si>
    <t>IC LOAD SWITCH 3A WLCSP-6</t>
  </si>
  <si>
    <t>CASE567RM_1.46x0.96mm_P0.5mm</t>
  </si>
  <si>
    <t>FPF1048BUCX</t>
  </si>
  <si>
    <t>U10</t>
  </si>
  <si>
    <t>PTN5110</t>
  </si>
  <si>
    <t>IC USB PD TCPC PHY SOT1883-1</t>
  </si>
  <si>
    <t>SOT-1883-1</t>
  </si>
  <si>
    <t>NXP</t>
  </si>
  <si>
    <t>PTN5110DHQZ</t>
  </si>
  <si>
    <t>U11</t>
  </si>
  <si>
    <t>FUSB340</t>
  </si>
  <si>
    <t>IC USB SWITCH X2QFN-18</t>
  </si>
  <si>
    <t>CASE722AB_2.0x2.8mm_P0.4mm</t>
  </si>
  <si>
    <t>FUSB340TMX</t>
  </si>
  <si>
    <t>U12</t>
  </si>
  <si>
    <t>DSC1103CE2-135.0000</t>
  </si>
  <si>
    <t>IC OSC LVDS VDFN-6</t>
  </si>
  <si>
    <t>Oscillator_SMD_3225-6Pin_3.2x2.5mm</t>
  </si>
  <si>
    <t>Microchip</t>
  </si>
  <si>
    <t>U13</t>
  </si>
  <si>
    <t>FSA2259</t>
  </si>
  <si>
    <t>IC ANALOG SWITCH UQFN-10</t>
  </si>
  <si>
    <t>CASE523BC_1.4x1.8_P0.4mm</t>
  </si>
  <si>
    <t>FSA2259UMX</t>
  </si>
  <si>
    <t>U14</t>
  </si>
  <si>
    <t>W957A8MFYA5I</t>
  </si>
  <si>
    <t>IC HYPERRAM 128MBit TFBGA-24</t>
  </si>
  <si>
    <t>TFBGA-24_6.0x8.0mm_P1mm</t>
  </si>
  <si>
    <t>Winbond</t>
  </si>
  <si>
    <t>U15</t>
  </si>
  <si>
    <t>W25Q128JVPIM</t>
  </si>
  <si>
    <t>IC FLASH 128Mbit WSON-8</t>
  </si>
  <si>
    <t>WSON-8-1EP_6x5mm_P1.27mm_EP3.4x4.3mm</t>
  </si>
  <si>
    <t>U2</t>
  </si>
  <si>
    <t>NCP163AMX250TBG</t>
  </si>
  <si>
    <t>IC REG LDO 2.5V 250mA XDFN4</t>
  </si>
  <si>
    <t>CASE711AJ_1.0x1.0mm_P0.65mm</t>
  </si>
  <si>
    <t>REPLACEMENT PART: NCV8163AMX250TBG</t>
  </si>
  <si>
    <t>U3</t>
  </si>
  <si>
    <t>MYRGP330100W21RA</t>
  </si>
  <si>
    <t>IC REG BUCK 3.3V 1A 2x2.5mm</t>
  </si>
  <si>
    <t>MYRGP-2.0x2.5mm</t>
  </si>
  <si>
    <t>U4</t>
  </si>
  <si>
    <t>FPF2195</t>
  </si>
  <si>
    <t>IC LOAD SWITCH ADJ CUR LIM WLCSP-6</t>
  </si>
  <si>
    <t>CASE567RN_1.48x0.98mm_P0.5mm</t>
  </si>
  <si>
    <t>FPF2195BUCX</t>
  </si>
  <si>
    <t>U5</t>
  </si>
  <si>
    <t>NCP163AMX120TBG</t>
  </si>
  <si>
    <t>IC REG LDO 1.2V 250mA XDFN4</t>
  </si>
  <si>
    <t>REPLACEMENT PART: NCV8163AMX120TBG</t>
  </si>
  <si>
    <t>U6</t>
  </si>
  <si>
    <t>MYRGP120100W21RA</t>
  </si>
  <si>
    <t>IC REG BUCK 1.2V 1A 2x2.5mm</t>
  </si>
  <si>
    <t>U7</t>
  </si>
  <si>
    <t>NCP163AMX300TBG</t>
  </si>
  <si>
    <t>IC REG LDO 3.0V 250mA XDFN4</t>
  </si>
  <si>
    <t>REPLACEMENT PART: NCV8163AMX300TBG</t>
  </si>
  <si>
    <t>U8</t>
  </si>
  <si>
    <t>LFE5UM5G-25F-8MG285C</t>
  </si>
  <si>
    <t>IC FPGA csfBGA-285</t>
  </si>
  <si>
    <t>BGA-285_10x10mm_P0.5mm</t>
  </si>
  <si>
    <t>Lattice</t>
  </si>
  <si>
    <t>U9</t>
  </si>
  <si>
    <t>SGTL5000XNLA3</t>
  </si>
  <si>
    <t>IC AUDIO CODEC UQFN-20</t>
  </si>
  <si>
    <t>QFN-20-1EP_3x3mm_P0.4mm_EP1.65x1.65mm</t>
  </si>
  <si>
    <t>SGTL5000XNLA3R2</t>
  </si>
  <si>
    <t>U16-U19</t>
  </si>
  <si>
    <t>SN74CBTD16211DGVR</t>
  </si>
  <si>
    <t>IC BUS SWITCH WITH LEVEL SHIFTER TVSOP-56</t>
  </si>
  <si>
    <t>Texas_TVSOP-56_4.4x11.3mm_P0.4mm</t>
  </si>
  <si>
    <t>TI</t>
  </si>
  <si>
    <t>Total Purchase:</t>
  </si>
  <si>
    <t>Purchase description:</t>
  </si>
  <si>
    <t>Used currency rates:</t>
  </si>
  <si>
    <t>USD($)/GBP(£):</t>
  </si>
  <si>
    <t>Prj:</t>
  </si>
  <si>
    <t>reDIP 64</t>
  </si>
  <si>
    <t>Co.:</t>
  </si>
  <si>
    <t>Nimrod</t>
  </si>
  <si>
    <t>Prj date:</t>
  </si>
  <si>
    <t>sø. 09. mai 2021 kl. 12.33 +0200</t>
  </si>
  <si>
    <t>Board Qty:</t>
  </si>
  <si>
    <t>Total Cost:</t>
  </si>
  <si>
    <t>Unit Cost:</t>
  </si>
  <si>
    <t>$ date:</t>
  </si>
  <si>
    <t>2021-05-09 12:34:22</t>
  </si>
  <si>
    <t>Arrow</t>
  </si>
  <si>
    <t>Avail</t>
  </si>
  <si>
    <t>Purch</t>
  </si>
  <si>
    <t>Cat#</t>
  </si>
  <si>
    <t>Buy here</t>
  </si>
  <si>
    <t>Digi-Key</t>
  </si>
  <si>
    <t>490-13243-1-ND</t>
  </si>
  <si>
    <t>490-GRT188R61A226ME13DCT-ND</t>
  </si>
  <si>
    <t>NonStk</t>
  </si>
  <si>
    <t>490-13218-1-ND</t>
  </si>
  <si>
    <t>490-13230-1-ND</t>
  </si>
  <si>
    <t>490-10407-1-ND</t>
  </si>
  <si>
    <t>490-10406-1-ND</t>
  </si>
  <si>
    <t>490-14595-1-ND</t>
  </si>
  <si>
    <t>1727-1338-1-ND</t>
  </si>
  <si>
    <t>NSPU3051N2T5GOSCT-ND</t>
  </si>
  <si>
    <t>VESD05A6-HAF-GS08GICT-ND</t>
  </si>
  <si>
    <t>D3V3F8U9LP3810-7DICT-ND</t>
  </si>
  <si>
    <t>67-2331-1-ND</t>
  </si>
  <si>
    <t>490-5258-1-ND</t>
  </si>
  <si>
    <t>670-3104-1-ND</t>
  </si>
  <si>
    <t>S9015E-03-ND</t>
  </si>
  <si>
    <t>S1011EC-20-ND</t>
  </si>
  <si>
    <t>S1131EC-20-ND</t>
  </si>
  <si>
    <t>PDTA143ZMB,315-ND</t>
  </si>
  <si>
    <t>P123020CT-ND</t>
  </si>
  <si>
    <t>P123223CT-ND</t>
  </si>
  <si>
    <t>P4.7AECT-ND</t>
  </si>
  <si>
    <t>P123221CT-ND</t>
  </si>
  <si>
    <t>P123277CT-ND</t>
  </si>
  <si>
    <t>P123222CT-ND</t>
  </si>
  <si>
    <t>P123246CT-ND</t>
  </si>
  <si>
    <t>P123275CT-ND</t>
  </si>
  <si>
    <t>P122654CT-ND</t>
  </si>
  <si>
    <t>CKN10779CT-ND</t>
  </si>
  <si>
    <t>FPF1048BUCXCT-ND</t>
  </si>
  <si>
    <t>568-13794-1-ND</t>
  </si>
  <si>
    <t>FUSB340TMXCT-ND</t>
  </si>
  <si>
    <t>DSC1103CE2-135.0000-ND</t>
  </si>
  <si>
    <t>FSA2259UMXCT-ND</t>
  </si>
  <si>
    <t>W25Q128JVPIM-ND</t>
  </si>
  <si>
    <t>NCP163AMX250TBGOSCT-ND</t>
  </si>
  <si>
    <t>811-MYRGP330100W21RACT-ND</t>
  </si>
  <si>
    <t>FPF2195BUCXCT-ND</t>
  </si>
  <si>
    <t>NCP163AMX120TBG-ND</t>
  </si>
  <si>
    <t>811-MYRGP120100W21RACT-ND</t>
  </si>
  <si>
    <t>NCP163AMX300TBGOSCT-ND</t>
  </si>
  <si>
    <t>LFE5UM5G-25F-8MG285C-ND</t>
  </si>
  <si>
    <t>568-13255-1-ND</t>
  </si>
  <si>
    <t>296-6475-2-ND</t>
  </si>
  <si>
    <t>Farnell</t>
  </si>
  <si>
    <t>3582824</t>
  </si>
  <si>
    <t>3581437</t>
  </si>
  <si>
    <t>3582762</t>
  </si>
  <si>
    <t>3238402</t>
  </si>
  <si>
    <t>3243322</t>
  </si>
  <si>
    <t>2990684</t>
  </si>
  <si>
    <t>3581345</t>
  </si>
  <si>
    <t>2191802</t>
  </si>
  <si>
    <t>3003765</t>
  </si>
  <si>
    <t>3216559</t>
  </si>
  <si>
    <t>1781094</t>
  </si>
  <si>
    <t>3302968</t>
  </si>
  <si>
    <t>3303151</t>
  </si>
  <si>
    <t>2799512</t>
  </si>
  <si>
    <t>3303149</t>
  </si>
  <si>
    <t>3303211</t>
  </si>
  <si>
    <t>3303150</t>
  </si>
  <si>
    <t>3303177</t>
  </si>
  <si>
    <t>3303209</t>
  </si>
  <si>
    <t>2302309</t>
  </si>
  <si>
    <t>3023200</t>
  </si>
  <si>
    <t>3368519</t>
  </si>
  <si>
    <t>3128656</t>
  </si>
  <si>
    <t>3360109</t>
  </si>
  <si>
    <t>3368243</t>
  </si>
  <si>
    <t>2981154</t>
  </si>
  <si>
    <t>3407155RL</t>
  </si>
  <si>
    <t>3613473</t>
  </si>
  <si>
    <t>3611550</t>
  </si>
  <si>
    <t>3407149</t>
  </si>
  <si>
    <t>2723813</t>
  </si>
  <si>
    <t>2776032</t>
  </si>
  <si>
    <t>LCSC</t>
  </si>
  <si>
    <t>C126630</t>
  </si>
  <si>
    <t>C385023</t>
  </si>
  <si>
    <t>C335103</t>
  </si>
  <si>
    <t>C76932</t>
  </si>
  <si>
    <t>C76931</t>
  </si>
  <si>
    <t>C437523</t>
  </si>
  <si>
    <t>C85833</t>
  </si>
  <si>
    <t>C713501</t>
  </si>
  <si>
    <t>C717011</t>
  </si>
  <si>
    <t>C242159</t>
  </si>
  <si>
    <t>C717000</t>
  </si>
  <si>
    <t>C221822</t>
  </si>
  <si>
    <t>C479722</t>
  </si>
  <si>
    <t>C2683750</t>
  </si>
  <si>
    <t>Mouser</t>
  </si>
  <si>
    <t>81GRM187R61A226ME5D</t>
  </si>
  <si>
    <t>81GRT188R61A226ME13</t>
  </si>
  <si>
    <t>81GRM035R60J475ME5D</t>
  </si>
  <si>
    <t>81GRM033R60J224ME5D</t>
  </si>
  <si>
    <t>81GRM33R60J224KE15D</t>
  </si>
  <si>
    <t>81GRM155C81C225KE1D</t>
  </si>
  <si>
    <t>771PMEG2020EPK,315</t>
  </si>
  <si>
    <t>863NSPU3051N2T5G</t>
  </si>
  <si>
    <t>78VESD05A6HAF</t>
  </si>
  <si>
    <t>621D3V3F8U9LP38107</t>
  </si>
  <si>
    <t>696SMDLX0707RGBTR</t>
  </si>
  <si>
    <t>81BLM18KG601SN1D</t>
  </si>
  <si>
    <t>656DX07S024JA1R1300</t>
  </si>
  <si>
    <t>771PDTA143ZMB315</t>
  </si>
  <si>
    <t>667ERJ1GNF4530C</t>
  </si>
  <si>
    <t>667ERJ1GNJ104C</t>
  </si>
  <si>
    <t>667ERJ1GNJ472C</t>
  </si>
  <si>
    <t>667ERJ1GNJ102C</t>
  </si>
  <si>
    <t>667ERJ1GNJ222C</t>
  </si>
  <si>
    <t>667ERJ1GNJ103C</t>
  </si>
  <si>
    <t>667ERJ1GNJ152C</t>
  </si>
  <si>
    <t>667ERJ1GNJ220C</t>
  </si>
  <si>
    <t>667ERJ1GNF1000C</t>
  </si>
  <si>
    <t>611KXT331LHS</t>
  </si>
  <si>
    <t>512FPF1048BUCX</t>
  </si>
  <si>
    <t>771PTN5110DHQZ</t>
  </si>
  <si>
    <t>512FUSB340TMX</t>
  </si>
  <si>
    <t>9981103CE2135.0000</t>
  </si>
  <si>
    <t>512FSA2259UMX</t>
  </si>
  <si>
    <t>863NCP163AMX250TBG</t>
  </si>
  <si>
    <t>81MYRGP330100W21RA</t>
  </si>
  <si>
    <t>512FPF2195BUCX</t>
  </si>
  <si>
    <t>863NCP163AMX120TBG</t>
  </si>
  <si>
    <t>81MYRGP120100W21RA</t>
  </si>
  <si>
    <t>863NCP163AMX300TBG</t>
  </si>
  <si>
    <t>841SGTL5000XNLA3R2</t>
  </si>
  <si>
    <t>59574CBTD16211DGVR</t>
  </si>
  <si>
    <t>Newark</t>
  </si>
  <si>
    <t>03AJ1608</t>
  </si>
  <si>
    <t>92AH5257</t>
  </si>
  <si>
    <t>03AJ1531</t>
  </si>
  <si>
    <t>34AH0743</t>
  </si>
  <si>
    <t>77AH4493</t>
  </si>
  <si>
    <t>94AC8892</t>
  </si>
  <si>
    <t>92AH5000</t>
  </si>
  <si>
    <t>55W4408</t>
  </si>
  <si>
    <t>07AH4421</t>
  </si>
  <si>
    <t>16AC0467</t>
  </si>
  <si>
    <t>02AH5948</t>
  </si>
  <si>
    <t>55R1514</t>
  </si>
  <si>
    <t>80AH4125</t>
  </si>
  <si>
    <t>23AC4813</t>
  </si>
  <si>
    <t>51W5774</t>
  </si>
  <si>
    <t>51W5827</t>
  </si>
  <si>
    <t>23AC4811</t>
  </si>
  <si>
    <t>51W5825</t>
  </si>
  <si>
    <t>85Y7482</t>
  </si>
  <si>
    <t>39AH6821</t>
  </si>
  <si>
    <t>54AH8732</t>
  </si>
  <si>
    <t>07AH4580</t>
  </si>
  <si>
    <t>01AC8852</t>
  </si>
  <si>
    <t>70Y7842</t>
  </si>
  <si>
    <t>54AH8784</t>
  </si>
  <si>
    <t>84AC7226</t>
  </si>
  <si>
    <t>69AH8892</t>
  </si>
  <si>
    <t>79AH2571</t>
  </si>
  <si>
    <t>65AC4909</t>
  </si>
  <si>
    <t>69AH8886</t>
  </si>
  <si>
    <t>31AC0455</t>
  </si>
  <si>
    <t>31AC6932</t>
  </si>
  <si>
    <t>RS Components</t>
  </si>
  <si>
    <t>1851582</t>
  </si>
  <si>
    <t>1851581</t>
  </si>
  <si>
    <t>1807476</t>
  </si>
  <si>
    <t>1826845</t>
  </si>
  <si>
    <t>7474720</t>
  </si>
  <si>
    <t>1797104</t>
  </si>
  <si>
    <t>1797118</t>
  </si>
  <si>
    <t>1797111</t>
  </si>
  <si>
    <t>1797103</t>
  </si>
  <si>
    <t>1797106</t>
  </si>
  <si>
    <t>1797080</t>
  </si>
  <si>
    <t>8075958</t>
  </si>
  <si>
    <t>1858067</t>
  </si>
  <si>
    <t>TME</t>
  </si>
  <si>
    <t>SMDLX0707RGBTR</t>
  </si>
  <si>
    <t>KXT331</t>
  </si>
  <si>
    <t>KiCost® v.1.1.5</t>
  </si>
</sst>
</file>

<file path=xl/styles.xml><?xml version="1.0" encoding="utf-8"?>
<styleSheet xmlns="http://schemas.openxmlformats.org/spreadsheetml/2006/main">
  <numFmts count="1">
    <numFmt numFmtId="164" formatCode="$#,##0.00"/>
    <numFmt numFmtId="164" formatCode="$#,##0.00"/>
    <numFmt numFmtId="164" formatCode="$#,##0.00"/>
  </numFmts>
  <fonts count="11">
    <font>
      <sz val="11"/>
      <color theme="1"/>
      <name val="Calibri"/>
      <family val="2"/>
      <scheme val="minor"/>
    </font>
    <font>
      <b/>
      <sz val="13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3"/>
      <color rgb="FF008000"/>
      <name val="Calibri"/>
      <family val="2"/>
      <scheme val="minor"/>
    </font>
    <font>
      <b/>
      <sz val="13"/>
      <color rgb="FFFF0000"/>
      <name val="Calibri"/>
      <family val="2"/>
      <scheme val="minor"/>
    </font>
    <font>
      <b/>
      <i/>
      <sz val="10"/>
      <color theme="1"/>
      <name val="Calibri"/>
      <family val="2"/>
      <scheme val="minor"/>
    </font>
    <font>
      <b/>
      <sz val="14"/>
      <color rgb="FFFFFFFF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1"/>
      <color theme="10"/>
      <name val="Calibri"/>
      <family val="2"/>
    </font>
    <font>
      <sz val="11"/>
      <color rgb="FF909090"/>
      <name val="Calibri"/>
      <family val="2"/>
      <scheme val="minor"/>
    </font>
    <font>
      <sz val="8"/>
      <color indexed="81"/>
      <name val="Tahoma"/>
      <family val="2"/>
    </font>
  </fonts>
  <fills count="11">
    <fill>
      <patternFill patternType="none"/>
    </fill>
    <fill>
      <patternFill patternType="gray125"/>
    </fill>
    <fill>
      <patternFill patternType="solid">
        <fgColor rgb="FF303030"/>
        <bgColor indexed="64"/>
      </patternFill>
    </fill>
    <fill>
      <patternFill patternType="solid">
        <fgColor rgb="FF000000"/>
        <bgColor indexed="64"/>
      </patternFill>
    </fill>
    <fill>
      <patternFill patternType="solid">
        <fgColor rgb="FFCC0000"/>
        <bgColor indexed="64"/>
      </patternFill>
    </fill>
    <fill>
      <patternFill patternType="solid">
        <fgColor rgb="FFFF6600"/>
        <bgColor indexed="64"/>
      </patternFill>
    </fill>
    <fill>
      <patternFill patternType="solid">
        <fgColor rgb="FF1166DD"/>
        <bgColor indexed="64"/>
      </patternFill>
    </fill>
    <fill>
      <patternFill patternType="solid">
        <fgColor rgb="FF004A85"/>
        <bgColor indexed="64"/>
      </patternFill>
    </fill>
    <fill>
      <patternFill patternType="solid">
        <fgColor rgb="FFA2AE06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C4DA1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8" fillId="0" borderId="0" applyNumberFormat="0" applyFill="0" applyBorder="0" applyAlignment="0" applyProtection="0">
      <alignment vertical="top"/>
      <protection locked="0"/>
    </xf>
  </cellStyleXfs>
  <cellXfs count="22">
    <xf numFmtId="0" fontId="0" fillId="0" borderId="0" xfId="0"/>
    <xf numFmtId="0" fontId="1" fillId="0" borderId="0" xfId="0" applyFont="1" applyAlignment="1">
      <alignment horizontal="right" vertical="center"/>
    </xf>
    <xf numFmtId="0" fontId="2" fillId="0" borderId="0" xfId="0" applyFont="1" applyAlignment="1">
      <alignment horizontal="left" vertical="center"/>
    </xf>
    <xf numFmtId="0" fontId="1" fillId="0" borderId="0" xfId="0" applyFont="1" applyAlignment="1">
      <alignment horizontal="right"/>
    </xf>
    <xf numFmtId="164" fontId="3" fillId="0" borderId="0" xfId="0" applyNumberFormat="1" applyFont="1" applyAlignment="1">
      <alignment vertical="center"/>
    </xf>
    <xf numFmtId="164" fontId="4" fillId="0" borderId="0" xfId="0" applyNumberFormat="1" applyFont="1" applyAlignment="1">
      <alignment vertical="center"/>
    </xf>
    <xf numFmtId="0" fontId="5" fillId="0" borderId="0" xfId="0" applyFont="1" applyAlignment="1">
      <alignment vertical="center"/>
    </xf>
    <xf numFmtId="0" fontId="6" fillId="2" borderId="0" xfId="0" applyFont="1" applyFill="1" applyAlignment="1">
      <alignment horizontal="center" vertical="center"/>
    </xf>
    <xf numFmtId="0" fontId="6" fillId="3" borderId="0" xfId="0" applyFont="1" applyFill="1" applyAlignment="1">
      <alignment horizontal="center" vertical="center"/>
    </xf>
    <xf numFmtId="0" fontId="6" fillId="4" borderId="0" xfId="0" applyFont="1" applyFill="1" applyAlignment="1">
      <alignment horizontal="center" vertical="center"/>
    </xf>
    <xf numFmtId="0" fontId="6" fillId="5" borderId="0" xfId="0" applyFont="1" applyFill="1" applyAlignment="1">
      <alignment horizontal="center" vertical="center"/>
    </xf>
    <xf numFmtId="0" fontId="6" fillId="6" borderId="0" xfId="0" applyFont="1" applyFill="1" applyAlignment="1">
      <alignment horizontal="center" vertical="center"/>
    </xf>
    <xf numFmtId="0" fontId="6" fillId="7" borderId="0" xfId="0" applyFont="1" applyFill="1" applyAlignment="1">
      <alignment horizontal="center" vertical="center"/>
    </xf>
    <xf numFmtId="0" fontId="6" fillId="8" borderId="0" xfId="0" applyFont="1" applyFill="1" applyAlignment="1">
      <alignment horizontal="center" vertical="center"/>
    </xf>
    <xf numFmtId="0" fontId="6" fillId="9" borderId="0" xfId="0" applyFont="1" applyFill="1" applyAlignment="1">
      <alignment horizontal="center" vertical="center"/>
    </xf>
    <xf numFmtId="0" fontId="6" fillId="10" borderId="0" xfId="0" applyFont="1" applyFill="1" applyAlignment="1">
      <alignment horizontal="center" vertical="center"/>
    </xf>
    <xf numFmtId="0" fontId="7" fillId="0" borderId="0" xfId="0" applyFont="1" applyAlignment="1">
      <alignment horizontal="center" vertical="top" wrapText="1"/>
    </xf>
    <xf numFmtId="0" fontId="0" fillId="0" borderId="0" xfId="0" applyAlignment="1">
      <alignment vertical="center"/>
    </xf>
    <xf numFmtId="164" fontId="0" fillId="0" borderId="0" xfId="0" applyNumberFormat="1" applyAlignment="1">
      <alignment vertical="center"/>
    </xf>
    <xf numFmtId="0" fontId="8" fillId="0" borderId="0" xfId="1" applyAlignment="1" applyProtection="1"/>
    <xf numFmtId="0" fontId="9" fillId="0" borderId="0" xfId="0" applyFont="1" applyAlignment="1">
      <alignment horizontal="right" vertical="center"/>
    </xf>
    <xf numFmtId="0" fontId="0" fillId="0" borderId="0" xfId="0" applyAlignment="1">
      <alignment horizontal="right"/>
    </xf>
  </cellXfs>
  <cellStyles count="2">
    <cellStyle name="Hyperlink" xfId="1" builtinId="8"/>
    <cellStyle name="Normal" xfId="0" builtinId="0"/>
  </cellStyles>
  <dxfs count="5">
    <dxf>
      <fill>
        <patternFill>
          <bgColor rgb="FFAAAAAA"/>
        </patternFill>
      </fill>
    </dxf>
    <dxf>
      <font>
        <color rgb="FFFFFFFF"/>
      </font>
      <fill>
        <patternFill>
          <bgColor rgb="FFFF0000"/>
        </patternFill>
      </fill>
    </dxf>
    <dxf>
      <font>
        <color rgb="FF000000"/>
      </font>
      <fill>
        <patternFill>
          <bgColor rgb="FFFF9900"/>
        </patternFill>
      </fill>
    </dxf>
    <dxf>
      <fill>
        <patternFill>
          <bgColor rgb="FFFFFF00"/>
        </patternFill>
      </fill>
    </dxf>
    <dxf>
      <fill>
        <patternFill>
          <bgColor rgb="FF80FF80"/>
        </patternFill>
      </fill>
    </dxf>
  </dxfs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murata.com/products/productdetail?partno=GRM187R61A226ME15%23" TargetMode="External"/><Relationship Id="rId2" Type="http://schemas.openxmlformats.org/officeDocument/2006/relationships/hyperlink" Target="https://octopart.com/click/track?ai=8078&amp;sig=0078d42&amp;sid=459&amp;ppid=71221003&amp;vpid=252726753&amp;ct=offers" TargetMode="External"/><Relationship Id="rId3" Type="http://schemas.openxmlformats.org/officeDocument/2006/relationships/hyperlink" Target="https://octopart.com/click/track?c=1&amp;ai=8078&amp;sig=06fc4f0&amp;sid=819&amp;ppid=71221003&amp;vpid=670691954&amp;ct=offers" TargetMode="External"/><Relationship Id="rId4" Type="http://schemas.openxmlformats.org/officeDocument/2006/relationships/hyperlink" Target="https://octopart.com/click/track?ai=8078&amp;sig=05075d5&amp;sid=2401&amp;ppid=71221003&amp;vpid=269047242&amp;ct=offers" TargetMode="External"/><Relationship Id="rId5" Type="http://schemas.openxmlformats.org/officeDocument/2006/relationships/hyperlink" Target="https://octopart.com/click/track?c=1&amp;ai=8078&amp;sig=026019c&amp;sid=2402&amp;ppid=71221003&amp;vpid=671481225&amp;ct=offers" TargetMode="External"/><Relationship Id="rId6" Type="http://schemas.openxmlformats.org/officeDocument/2006/relationships/hyperlink" Target="https://www.murata.com/products/productdetail.aspx?partno=GRT188R61A226ME13%23" TargetMode="External"/><Relationship Id="rId7" Type="http://schemas.openxmlformats.org/officeDocument/2006/relationships/hyperlink" Target="https://octopart.com/click/track?c=1&amp;ai=8078&amp;sig=0a7b5bd&amp;sid=459&amp;ppid=89916513&amp;vpid=697100953&amp;ct=offers" TargetMode="External"/><Relationship Id="rId8" Type="http://schemas.openxmlformats.org/officeDocument/2006/relationships/hyperlink" Target="https://octopart.com/click/track?c=1&amp;ai=8078&amp;sig=0f7a0d8&amp;sid=11744&amp;ppid=89916513&amp;vpid=667012397&amp;ct=offers" TargetMode="External"/><Relationship Id="rId9" Type="http://schemas.openxmlformats.org/officeDocument/2006/relationships/hyperlink" Target="https://octopart.com/click/track?ai=8078&amp;sig=0dbdff1&amp;sid=27971&amp;ppid=89916513&amp;vpid=469878495&amp;ct=offers" TargetMode="External"/><Relationship Id="rId10" Type="http://schemas.openxmlformats.org/officeDocument/2006/relationships/hyperlink" Target="https://octopart.com/click/track?c=1&amp;ai=8078&amp;sig=0ff3716&amp;sid=2401&amp;ppid=89916513&amp;vpid=469851266&amp;ct=offers" TargetMode="External"/><Relationship Id="rId11" Type="http://schemas.openxmlformats.org/officeDocument/2006/relationships/hyperlink" Target="https://octopart.com/click/track?c=1&amp;ai=8078&amp;sig=0dd99c8&amp;sid=2402&amp;ppid=89916513&amp;vpid=669036544&amp;ct=offers" TargetMode="External"/><Relationship Id="rId12" Type="http://schemas.openxmlformats.org/officeDocument/2006/relationships/hyperlink" Target="https://www.murata.com/products/productdetail.aspx?partno=GRM033C80J105ME05D" TargetMode="External"/><Relationship Id="rId13" Type="http://schemas.openxmlformats.org/officeDocument/2006/relationships/hyperlink" Target="https://octopart.com/click/track?c=1&amp;ai=8078&amp;sig=07524e2&amp;sid=459&amp;ppid=71220979&amp;vpid=252726184&amp;ct=offers" TargetMode="External"/><Relationship Id="rId14" Type="http://schemas.openxmlformats.org/officeDocument/2006/relationships/hyperlink" Target="https://octopart.com/click/track?c=1&amp;ai=8078&amp;sig=013a2f0&amp;sid=819&amp;ppid=71220979&amp;vpid=670691828&amp;ct=offers" TargetMode="External"/><Relationship Id="rId15" Type="http://schemas.openxmlformats.org/officeDocument/2006/relationships/hyperlink" Target="https://octopart.com/click/track?ai=8078&amp;sig=05d4785&amp;sid=27971&amp;ppid=71220979&amp;vpid=552547217&amp;ct=offers" TargetMode="External"/><Relationship Id="rId16" Type="http://schemas.openxmlformats.org/officeDocument/2006/relationships/hyperlink" Target="https://octopart.com/click/track?c=1&amp;ai=8078&amp;sig=0e14f17&amp;sid=2402&amp;ppid=71220979&amp;vpid=671481163&amp;ct=offers" TargetMode="External"/><Relationship Id="rId17" Type="http://schemas.openxmlformats.org/officeDocument/2006/relationships/hyperlink" Target="https://www.murata.com/products/productdetail?partno=GRM187R61A226ME15%23" TargetMode="External"/><Relationship Id="rId18" Type="http://schemas.openxmlformats.org/officeDocument/2006/relationships/hyperlink" Target="https://octopart.com/click/track?ai=8078&amp;sig=0078d42&amp;sid=459&amp;ppid=71221003&amp;vpid=252726753&amp;ct=offers" TargetMode="External"/><Relationship Id="rId19" Type="http://schemas.openxmlformats.org/officeDocument/2006/relationships/hyperlink" Target="https://octopart.com/click/track?c=1&amp;ai=8078&amp;sig=06fc4f0&amp;sid=819&amp;ppid=71221003&amp;vpid=670691954&amp;ct=offers" TargetMode="External"/><Relationship Id="rId20" Type="http://schemas.openxmlformats.org/officeDocument/2006/relationships/hyperlink" Target="https://octopart.com/click/track?ai=8078&amp;sig=05075d5&amp;sid=2401&amp;ppid=71221003&amp;vpid=269047242&amp;ct=offers" TargetMode="External"/><Relationship Id="rId21" Type="http://schemas.openxmlformats.org/officeDocument/2006/relationships/hyperlink" Target="https://octopart.com/click/track?c=1&amp;ai=8078&amp;sig=026019c&amp;sid=2402&amp;ppid=71221003&amp;vpid=671481225&amp;ct=offers" TargetMode="External"/><Relationship Id="rId22" Type="http://schemas.openxmlformats.org/officeDocument/2006/relationships/hyperlink" Target="https://www.murata.com/products/productdetail.aspx?partno=GRM035R60J475ME15D" TargetMode="External"/><Relationship Id="rId23" Type="http://schemas.openxmlformats.org/officeDocument/2006/relationships/hyperlink" Target="https://octopart.com/click/track?ai=8078&amp;sig=02d1bd9&amp;sid=459&amp;ppid=67141176&amp;vpid=252726416&amp;ct=offers" TargetMode="External"/><Relationship Id="rId24" Type="http://schemas.openxmlformats.org/officeDocument/2006/relationships/hyperlink" Target="https://octopart.com/click/track?ai=8078&amp;sig=087aedd&amp;sid=11744&amp;ppid=67141176&amp;vpid=585909672&amp;ct=offers" TargetMode="External"/><Relationship Id="rId25" Type="http://schemas.openxmlformats.org/officeDocument/2006/relationships/hyperlink" Target="https://octopart.com/click/track?ai=8078&amp;sig=0ec1763&amp;sid=27971&amp;ppid=67141176&amp;vpid=510777411&amp;ct=offers" TargetMode="External"/><Relationship Id="rId26" Type="http://schemas.openxmlformats.org/officeDocument/2006/relationships/hyperlink" Target="https://octopart.com/click/track?ai=8078&amp;sig=0e8e022&amp;sid=2401&amp;ppid=67141176&amp;vpid=262254328&amp;ct=offers" TargetMode="External"/><Relationship Id="rId27" Type="http://schemas.openxmlformats.org/officeDocument/2006/relationships/hyperlink" Target="https://octopart.com/click/track?ai=8078&amp;sig=02cfcbc&amp;sid=2402&amp;ppid=67141176&amp;vpid=587966703&amp;ct=offers" TargetMode="External"/><Relationship Id="rId28" Type="http://schemas.openxmlformats.org/officeDocument/2006/relationships/hyperlink" Target="https://www.murata.com/products/productdetail.aspx?partno=GRM033R60J224ME15D" TargetMode="External"/><Relationship Id="rId29" Type="http://schemas.openxmlformats.org/officeDocument/2006/relationships/hyperlink" Target="https://octopart.com/click/track?ai=8078&amp;sig=00005e1&amp;sid=459&amp;ppid=9426694&amp;vpid=172161553&amp;ct=offers" TargetMode="External"/><Relationship Id="rId30" Type="http://schemas.openxmlformats.org/officeDocument/2006/relationships/hyperlink" Target="https://octopart.com/click/track?ai=8078&amp;sig=00ea971&amp;sid=819&amp;ppid=9426694&amp;vpid=629187803&amp;ct=offers" TargetMode="External"/><Relationship Id="rId31" Type="http://schemas.openxmlformats.org/officeDocument/2006/relationships/hyperlink" Target="https://octopart.com/click/track?ai=8078&amp;sig=0f2de0d&amp;sid=27971&amp;ppid=9426694&amp;vpid=445986848&amp;ct=offers" TargetMode="External"/><Relationship Id="rId32" Type="http://schemas.openxmlformats.org/officeDocument/2006/relationships/hyperlink" Target="https://octopart.com/click/track?ai=8078&amp;sig=09ca550&amp;sid=2401&amp;ppid=9426694&amp;vpid=90499050&amp;ct=offers" TargetMode="External"/><Relationship Id="rId33" Type="http://schemas.openxmlformats.org/officeDocument/2006/relationships/hyperlink" Target="https://octopart.com/click/track?ai=8078&amp;sig=00b2c90&amp;sid=2402&amp;ppid=9426694&amp;vpid=630377862&amp;ct=offers" TargetMode="External"/><Relationship Id="rId34" Type="http://schemas.openxmlformats.org/officeDocument/2006/relationships/hyperlink" Target="https://octopart.com/click/track?ai=8078&amp;sig=0fe7d6e&amp;sid=10022&amp;ppid=9426694&amp;vpid=562632811&amp;ct=offers" TargetMode="External"/><Relationship Id="rId35" Type="http://schemas.openxmlformats.org/officeDocument/2006/relationships/hyperlink" Target="https://www.murata.com/products/productdetail.aspx?partno=GRM033R60J224KE15D" TargetMode="External"/><Relationship Id="rId36" Type="http://schemas.openxmlformats.org/officeDocument/2006/relationships/hyperlink" Target="https://octopart.com/click/track?ai=8078&amp;sig=0492ec2&amp;sid=459&amp;ppid=51454422&amp;vpid=172161550&amp;ct=offers" TargetMode="External"/><Relationship Id="rId37" Type="http://schemas.openxmlformats.org/officeDocument/2006/relationships/hyperlink" Target="https://octopart.com/click/track?ai=8078&amp;sig=0efc20f&amp;sid=819&amp;ppid=51454422&amp;vpid=528007216&amp;ct=offers" TargetMode="External"/><Relationship Id="rId38" Type="http://schemas.openxmlformats.org/officeDocument/2006/relationships/hyperlink" Target="https://octopart.com/click/track?ai=8078&amp;sig=0f2788c&amp;sid=27971&amp;ppid=51454422&amp;vpid=445986847&amp;ct=offers" TargetMode="External"/><Relationship Id="rId39" Type="http://schemas.openxmlformats.org/officeDocument/2006/relationships/hyperlink" Target="https://octopart.com/click/track?ai=8078&amp;sig=0207666&amp;sid=2401&amp;ppid=51454422&amp;vpid=178169497&amp;ct=offers" TargetMode="External"/><Relationship Id="rId40" Type="http://schemas.openxmlformats.org/officeDocument/2006/relationships/hyperlink" Target="https://octopart.com/click/track?ai=8078&amp;sig=0d37eed&amp;sid=2402&amp;ppid=51454422&amp;vpid=529126546&amp;ct=offers" TargetMode="External"/><Relationship Id="rId41" Type="http://schemas.openxmlformats.org/officeDocument/2006/relationships/hyperlink" Target="https://octopart.com/click/track?ai=8078&amp;sig=0eaea66&amp;sid=10022&amp;ppid=51454422&amp;vpid=562632808&amp;ct=offers" TargetMode="External"/><Relationship Id="rId42" Type="http://schemas.openxmlformats.org/officeDocument/2006/relationships/hyperlink" Target="https://www.murata.com/products/productdetail.aspx?partno=GRM155C81C225KE11D" TargetMode="External"/><Relationship Id="rId43" Type="http://schemas.openxmlformats.org/officeDocument/2006/relationships/hyperlink" Target="https://octopart.com/click/track?c=1&amp;ai=8078&amp;sig=0de3de3&amp;sid=459&amp;ppid=46692789&amp;vpid=410305221&amp;ct=offers" TargetMode="External"/><Relationship Id="rId44" Type="http://schemas.openxmlformats.org/officeDocument/2006/relationships/hyperlink" Target="https://octopart.com/click/track?ai=8078&amp;sig=0d8f33b&amp;sid=11744&amp;ppid=46692789&amp;vpid=667012154&amp;ct=offers" TargetMode="External"/><Relationship Id="rId45" Type="http://schemas.openxmlformats.org/officeDocument/2006/relationships/hyperlink" Target="https://octopart.com/click/track?ai=8078&amp;sig=005ea9f&amp;sid=27971&amp;ppid=46692789&amp;vpid=666930444&amp;ct=offers" TargetMode="External"/><Relationship Id="rId46" Type="http://schemas.openxmlformats.org/officeDocument/2006/relationships/hyperlink" Target="https://octopart.com/click/track?c=1&amp;ai=8078&amp;sig=06521e3&amp;sid=2401&amp;ppid=46692789&amp;vpid=230758256&amp;ct=offers" TargetMode="External"/><Relationship Id="rId47" Type="http://schemas.openxmlformats.org/officeDocument/2006/relationships/hyperlink" Target="https://octopart.com/click/track?ai=8078&amp;sig=0849c23&amp;sid=2402&amp;ppid=46692789&amp;vpid=669036303&amp;ct=offers" TargetMode="External"/><Relationship Id="rId48" Type="http://schemas.openxmlformats.org/officeDocument/2006/relationships/hyperlink" Target="https://assets.nexperia.com/documents/data-sheet/PMEG2020EPK.pdf" TargetMode="External"/><Relationship Id="rId49" Type="http://schemas.openxmlformats.org/officeDocument/2006/relationships/hyperlink" Target="https://octopart.com/click/track?ai=8078&amp;sig=0f9c061&amp;sid=459&amp;ppid=78736213&amp;vpid=417205945&amp;ct=offers" TargetMode="External"/><Relationship Id="rId50" Type="http://schemas.openxmlformats.org/officeDocument/2006/relationships/hyperlink" Target="https://octopart.com/click/track?c=1&amp;ai=8078&amp;sig=0f275ac&amp;sid=819&amp;ppid=78736213&amp;vpid=521253400&amp;ct=offers" TargetMode="External"/><Relationship Id="rId51" Type="http://schemas.openxmlformats.org/officeDocument/2006/relationships/hyperlink" Target="https://octopart.com/click/track?c=1&amp;ai=8078&amp;sig=062dd84&amp;sid=2401&amp;ppid=78736213&amp;vpid=416182027&amp;ct=offers" TargetMode="External"/><Relationship Id="rId52" Type="http://schemas.openxmlformats.org/officeDocument/2006/relationships/hyperlink" Target="https://octopart.com/click/track?c=1&amp;ai=8078&amp;sig=0df3305&amp;sid=2402&amp;ppid=78736213&amp;vpid=511382526&amp;ct=offers" TargetMode="External"/><Relationship Id="rId53" Type="http://schemas.openxmlformats.org/officeDocument/2006/relationships/hyperlink" Target="https://www.onsemi.com/pdf/datasheet/nspu3051-d.pdf" TargetMode="External"/><Relationship Id="rId54" Type="http://schemas.openxmlformats.org/officeDocument/2006/relationships/hyperlink" Target="https://octopart.com/click/track?ai=8078&amp;sig=0493118&amp;sid=459&amp;ppid=88041566&amp;vpid=462080604&amp;ct=offers" TargetMode="External"/><Relationship Id="rId55" Type="http://schemas.openxmlformats.org/officeDocument/2006/relationships/hyperlink" Target="https://octopart.com/click/track?c=1&amp;ai=8078&amp;sig=0b97106&amp;sid=11744&amp;ppid=88041566&amp;vpid=549213087&amp;ct=offers" TargetMode="External"/><Relationship Id="rId56" Type="http://schemas.openxmlformats.org/officeDocument/2006/relationships/hyperlink" Target="https://octopart.com/click/track?ai=8078&amp;sig=0e4d4b1&amp;sid=2401&amp;ppid=88041566&amp;vpid=461968623&amp;ct=offers" TargetMode="External"/><Relationship Id="rId57" Type="http://schemas.openxmlformats.org/officeDocument/2006/relationships/hyperlink" Target="https://octopart.com/click/track?c=1&amp;ai=8078&amp;sig=008f117&amp;sid=2402&amp;ppid=88041566&amp;vpid=550534618&amp;ct=offers" TargetMode="External"/><Relationship Id="rId58" Type="http://schemas.openxmlformats.org/officeDocument/2006/relationships/hyperlink" Target="https://vishay.com/docs/81311/vesd05a6.pdf" TargetMode="External"/><Relationship Id="rId59" Type="http://schemas.openxmlformats.org/officeDocument/2006/relationships/hyperlink" Target="https://octopart.com/click/track?ai=8078&amp;sig=066da7a&amp;sid=459&amp;ppid=42182781&amp;vpid=159788920&amp;ct=offers" TargetMode="External"/><Relationship Id="rId60" Type="http://schemas.openxmlformats.org/officeDocument/2006/relationships/hyperlink" Target="https://octopart.com/click/track?ai=8078&amp;sig=0f8b020&amp;sid=2401&amp;ppid=42182781&amp;vpid=115161063&amp;ct=offers" TargetMode="External"/><Relationship Id="rId61" Type="http://schemas.openxmlformats.org/officeDocument/2006/relationships/hyperlink" Target="https://octopart.com/click/track?ai=8078&amp;sig=09e9550&amp;sid=2402&amp;ppid=42182781&amp;vpid=477624915&amp;ct=offers" TargetMode="External"/><Relationship Id="rId62" Type="http://schemas.openxmlformats.org/officeDocument/2006/relationships/hyperlink" Target="https://octopart.com/click/track?ai=8078&amp;sig=03c8c1d&amp;sid=10022&amp;ppid=42182781&amp;vpid=510213434&amp;ct=offers" TargetMode="External"/><Relationship Id="rId63" Type="http://schemas.openxmlformats.org/officeDocument/2006/relationships/hyperlink" Target="https://www.diodes.com/assets/Datasheets/D3V3F8U9LP3810.pdf" TargetMode="External"/><Relationship Id="rId64" Type="http://schemas.openxmlformats.org/officeDocument/2006/relationships/hyperlink" Target="https://octopart.com/click/track?ai=8078&amp;sig=02b6308&amp;sid=459&amp;ppid=91620605&amp;vpid=479893368&amp;ct=offers" TargetMode="External"/><Relationship Id="rId65" Type="http://schemas.openxmlformats.org/officeDocument/2006/relationships/hyperlink" Target="https://octopart.com/click/track?ai=8078&amp;sig=045c227&amp;sid=2401&amp;ppid=91620605&amp;vpid=478299237&amp;ct=offers" TargetMode="External"/><Relationship Id="rId66" Type="http://schemas.openxmlformats.org/officeDocument/2006/relationships/hyperlink" Target="https://octopart.com/click/track?ai=8078&amp;sig=0955bdd&amp;sid=10022&amp;ppid=91620605&amp;vpid=529868521&amp;ct=offers" TargetMode="External"/><Relationship Id="rId67" Type="http://schemas.openxmlformats.org/officeDocument/2006/relationships/hyperlink" Target="https://www.lumex.com/datasheet/SMD-LX0707RGB-TR.html" TargetMode="External"/><Relationship Id="rId68" Type="http://schemas.openxmlformats.org/officeDocument/2006/relationships/hyperlink" Target="https://octopart.com/click/track?ai=8078&amp;sig=011841b&amp;sid=459&amp;ppid=98770141&amp;vpid=527582517&amp;ct=offers" TargetMode="External"/><Relationship Id="rId69" Type="http://schemas.openxmlformats.org/officeDocument/2006/relationships/hyperlink" Target="https://octopart.com/click/track?c=1&amp;ai=8078&amp;sig=08846a9&amp;sid=819&amp;ppid=98770141&amp;vpid=575179783&amp;ct=offers" TargetMode="External"/><Relationship Id="rId70" Type="http://schemas.openxmlformats.org/officeDocument/2006/relationships/hyperlink" Target="https://octopart.com/click/track?ai=8078&amp;sig=01b9309&amp;sid=2401&amp;ppid=98770141&amp;vpid=527691918&amp;ct=offers" TargetMode="External"/><Relationship Id="rId71" Type="http://schemas.openxmlformats.org/officeDocument/2006/relationships/hyperlink" Target="https://octopart.com/click/track?c=1&amp;ai=8078&amp;sig=0c78da6&amp;sid=2402&amp;ppid=98770141&amp;vpid=547451562&amp;ct=offers" TargetMode="External"/><Relationship Id="rId72" Type="http://schemas.openxmlformats.org/officeDocument/2006/relationships/hyperlink" Target="https://octopart.com/click/track?ai=8078&amp;sig=0f2b5ee&amp;sid=1532&amp;ppid=98770141&amp;vpid=709065371&amp;ct=offers" TargetMode="External"/><Relationship Id="rId73" Type="http://schemas.openxmlformats.org/officeDocument/2006/relationships/hyperlink" Target="https://www.murata.com/products/productdetail.aspx?partno=BLM18KG601SN1%23" TargetMode="External"/><Relationship Id="rId74" Type="http://schemas.openxmlformats.org/officeDocument/2006/relationships/hyperlink" Target="https://octopart.com/click/track?ai=8078&amp;sig=09695c8&amp;sid=459&amp;ppid=12276433&amp;vpid=34232882&amp;ct=offers" TargetMode="External"/><Relationship Id="rId75" Type="http://schemas.openxmlformats.org/officeDocument/2006/relationships/hyperlink" Target="https://octopart.com/click/track?ai=8078&amp;sig=059ffca&amp;sid=11744&amp;ppid=12276433&amp;vpid=132490409&amp;ct=offers" TargetMode="External"/><Relationship Id="rId76" Type="http://schemas.openxmlformats.org/officeDocument/2006/relationships/hyperlink" Target="https://octopart.com/click/track?ai=8078&amp;sig=0061b01&amp;sid=27971&amp;ppid=12276433&amp;vpid=445986611&amp;ct=offers" TargetMode="External"/><Relationship Id="rId77" Type="http://schemas.openxmlformats.org/officeDocument/2006/relationships/hyperlink" Target="https://octopart.com/click/track?ai=8078&amp;sig=0ea9559&amp;sid=2401&amp;ppid=12276433&amp;vpid=37789808&amp;ct=offers" TargetMode="External"/><Relationship Id="rId78" Type="http://schemas.openxmlformats.org/officeDocument/2006/relationships/hyperlink" Target="https://octopart.com/click/track?ai=8078&amp;sig=0bb38dc&amp;sid=2402&amp;ppid=12276433&amp;vpid=21384392&amp;ct=offers" TargetMode="External"/><Relationship Id="rId79" Type="http://schemas.openxmlformats.org/officeDocument/2006/relationships/hyperlink" Target="https://octopart.com/click/track?ai=8078&amp;sig=0e360eb&amp;sid=10022&amp;ppid=12276433&amp;vpid=199071093&amp;ct=offers" TargetMode="External"/><Relationship Id="rId80" Type="http://schemas.openxmlformats.org/officeDocument/2006/relationships/hyperlink" Target="https://octopart.com/click/track?ai=8078&amp;sig=055d269&amp;sid=1532&amp;ppid=12276433&amp;vpid=709097365&amp;ct=offers" TargetMode="External"/><Relationship Id="rId81" Type="http://schemas.openxmlformats.org/officeDocument/2006/relationships/hyperlink" Target="https://www.jae.com/en/connectors/series/detail/product/id=66506" TargetMode="External"/><Relationship Id="rId82" Type="http://schemas.openxmlformats.org/officeDocument/2006/relationships/hyperlink" Target="https://octopart.com/click/track?ai=8078&amp;sig=03ad64f&amp;sid=459&amp;ppid=96774443&amp;vpid=509309983&amp;ct=offers" TargetMode="External"/><Relationship Id="rId83" Type="http://schemas.openxmlformats.org/officeDocument/2006/relationships/hyperlink" Target="https://octopart.com/click/track?ai=8078&amp;sig=0821fd6&amp;sid=2401&amp;ppid=96774443&amp;vpid=509817078&amp;ct=offers" TargetMode="External"/><Relationship Id="rId84" Type="http://schemas.openxmlformats.org/officeDocument/2006/relationships/hyperlink" Target="https://s3.amazonaws.com/catalogspreads-pdf/PAGE94-95%20.050%20MALE%20HDR%20ST%20RA%20SMT.pdf" TargetMode="External"/><Relationship Id="rId85" Type="http://schemas.openxmlformats.org/officeDocument/2006/relationships/hyperlink" Target="https://octopart.com/click/track?c=1&amp;ai=8078&amp;sig=06d94a0&amp;sid=459&amp;ppid=12650566&amp;vpid=33973679&amp;ct=offers" TargetMode="External"/><Relationship Id="rId86" Type="http://schemas.openxmlformats.org/officeDocument/2006/relationships/hyperlink" Target="https://drawings-pdf.s3.amazonaws.com/11636.pdf" TargetMode="External"/><Relationship Id="rId87" Type="http://schemas.openxmlformats.org/officeDocument/2006/relationships/hyperlink" Target="https://octopart.com/click/track?c=1&amp;ai=8078&amp;sig=0121524&amp;sid=459&amp;ppid=22265840&amp;vpid=47550826&amp;ct=offers" TargetMode="External"/><Relationship Id="rId88" Type="http://schemas.openxmlformats.org/officeDocument/2006/relationships/hyperlink" Target="https://drawings-pdf.s3.amazonaws.com/11636.pdf" TargetMode="External"/><Relationship Id="rId89" Type="http://schemas.openxmlformats.org/officeDocument/2006/relationships/hyperlink" Target="https://octopart.com/click/track?c=1&amp;ai=8078&amp;sig=008d732&amp;sid=459&amp;ppid=22265841&amp;vpid=47550827&amp;ct=offers" TargetMode="External"/><Relationship Id="rId90" Type="http://schemas.openxmlformats.org/officeDocument/2006/relationships/hyperlink" Target="https://assets.nexperia.com/documents/data-sheet/PDTA143ZMB.pdf" TargetMode="External"/><Relationship Id="rId91" Type="http://schemas.openxmlformats.org/officeDocument/2006/relationships/hyperlink" Target="https://octopart.com/click/track?c=1&amp;ai=8078&amp;sig=0944463&amp;sid=459&amp;ppid=78754604&amp;vpid=413679736&amp;ct=offers" TargetMode="External"/><Relationship Id="rId92" Type="http://schemas.openxmlformats.org/officeDocument/2006/relationships/hyperlink" Target="https://octopart.com/click/track?ai=8078&amp;sig=0d6ccfc&amp;sid=2401&amp;ppid=78754604&amp;vpid=504003500&amp;ct=offers" TargetMode="External"/><Relationship Id="rId93" Type="http://schemas.openxmlformats.org/officeDocument/2006/relationships/hyperlink" Target="https://b2b-api.panasonic.eu/file_stream/pids/fileversion/1242" TargetMode="External"/><Relationship Id="rId94" Type="http://schemas.openxmlformats.org/officeDocument/2006/relationships/hyperlink" Target="https://octopart.com/click/track?ai=8078&amp;sig=0c00a8a&amp;sid=459&amp;ppid=44403143&amp;vpid=465234778&amp;ct=offers" TargetMode="External"/><Relationship Id="rId95" Type="http://schemas.openxmlformats.org/officeDocument/2006/relationships/hyperlink" Target="https://octopart.com/click/track?c=1&amp;ai=8078&amp;sig=0ede929&amp;sid=819&amp;ppid=44403143&amp;vpid=603690669&amp;ct=offers" TargetMode="External"/><Relationship Id="rId96" Type="http://schemas.openxmlformats.org/officeDocument/2006/relationships/hyperlink" Target="https://octopart.com/click/track?ai=8078&amp;sig=07904d4&amp;sid=2401&amp;ppid=44403143&amp;vpid=265582849&amp;ct=offers" TargetMode="External"/><Relationship Id="rId97" Type="http://schemas.openxmlformats.org/officeDocument/2006/relationships/hyperlink" Target="https://b2b-api.panasonic.eu/file_stream/pids/fileversion/1242" TargetMode="External"/><Relationship Id="rId98" Type="http://schemas.openxmlformats.org/officeDocument/2006/relationships/hyperlink" Target="https://octopart.com/click/track?ai=8078&amp;sig=0ea42f0&amp;sid=459&amp;ppid=44275189&amp;vpid=465235184&amp;ct=offers" TargetMode="External"/><Relationship Id="rId99" Type="http://schemas.openxmlformats.org/officeDocument/2006/relationships/hyperlink" Target="https://octopart.com/click/track?c=1&amp;ai=8078&amp;sig=0769873&amp;sid=819&amp;ppid=44275189&amp;vpid=603690833&amp;ct=offers" TargetMode="External"/><Relationship Id="rId100" Type="http://schemas.openxmlformats.org/officeDocument/2006/relationships/hyperlink" Target="https://octopart.com/click/track?ai=8078&amp;sig=0c08398&amp;sid=27971&amp;ppid=44275189&amp;vpid=669037579&amp;ct=offers" TargetMode="External"/><Relationship Id="rId101" Type="http://schemas.openxmlformats.org/officeDocument/2006/relationships/hyperlink" Target="https://octopart.com/click/track?ai=8078&amp;sig=099c1ff&amp;sid=2401&amp;ppid=44275189&amp;vpid=118165429&amp;ct=offers" TargetMode="External"/><Relationship Id="rId102" Type="http://schemas.openxmlformats.org/officeDocument/2006/relationships/hyperlink" Target="https://octopart.com/click/track?c=1&amp;ai=8078&amp;sig=09b2488&amp;sid=2402&amp;ppid=44275189&amp;vpid=635967825&amp;ct=offers" TargetMode="External"/><Relationship Id="rId103" Type="http://schemas.openxmlformats.org/officeDocument/2006/relationships/hyperlink" Target="https://octopart.com/click/track?ai=8078&amp;sig=0eeb9da&amp;sid=10022&amp;ppid=44275189&amp;vpid=527534072&amp;ct=offers" TargetMode="External"/><Relationship Id="rId104" Type="http://schemas.openxmlformats.org/officeDocument/2006/relationships/hyperlink" Target="https://b2b-api.panasonic.eu/file_stream/pids/fileversion/1242" TargetMode="External"/><Relationship Id="rId105" Type="http://schemas.openxmlformats.org/officeDocument/2006/relationships/hyperlink" Target="https://octopart.com/click/track?ai=8078&amp;sig=008360a&amp;sid=459&amp;ppid=44322540&amp;vpid=118270227&amp;ct=offers" TargetMode="External"/><Relationship Id="rId106" Type="http://schemas.openxmlformats.org/officeDocument/2006/relationships/hyperlink" Target="https://octopart.com/click/track?c=1&amp;ai=8078&amp;sig=0a6d4f9&amp;sid=819&amp;ppid=44322540&amp;vpid=670693410&amp;ct=offers" TargetMode="External"/><Relationship Id="rId107" Type="http://schemas.openxmlformats.org/officeDocument/2006/relationships/hyperlink" Target="https://octopart.com/click/track?c=1&amp;ai=8078&amp;sig=0f1d18c&amp;sid=2401&amp;ppid=44322540&amp;vpid=118923340&amp;ct=offers" TargetMode="External"/><Relationship Id="rId108" Type="http://schemas.openxmlformats.org/officeDocument/2006/relationships/hyperlink" Target="https://octopart.com/click/track?c=1&amp;ai=8078&amp;sig=0e1e72d&amp;sid=2402&amp;ppid=44322540&amp;vpid=511389189&amp;ct=offers" TargetMode="External"/><Relationship Id="rId109" Type="http://schemas.openxmlformats.org/officeDocument/2006/relationships/hyperlink" Target="https://octopart.com/click/track?ai=8078&amp;sig=05b23cf&amp;sid=10022&amp;ppid=44322540&amp;vpid=527534086&amp;ct=offers" TargetMode="External"/><Relationship Id="rId110" Type="http://schemas.openxmlformats.org/officeDocument/2006/relationships/hyperlink" Target="https://b2b-api.panasonic.eu/file_stream/pids/fileversion/1242" TargetMode="External"/><Relationship Id="rId111" Type="http://schemas.openxmlformats.org/officeDocument/2006/relationships/hyperlink" Target="https://octopart.com/click/track?ai=8078&amp;sig=0d32b30&amp;sid=459&amp;ppid=44403301&amp;vpid=465235180&amp;ct=offers" TargetMode="External"/><Relationship Id="rId112" Type="http://schemas.openxmlformats.org/officeDocument/2006/relationships/hyperlink" Target="https://octopart.com/click/track?c=1&amp;ai=8078&amp;sig=0f42eeb&amp;sid=819&amp;ppid=44403301&amp;vpid=603690831&amp;ct=offers" TargetMode="External"/><Relationship Id="rId113" Type="http://schemas.openxmlformats.org/officeDocument/2006/relationships/hyperlink" Target="https://octopart.com/click/track?ai=8078&amp;sig=026d4fd&amp;sid=27971&amp;ppid=44403301&amp;vpid=669037578&amp;ct=offers" TargetMode="External"/><Relationship Id="rId114" Type="http://schemas.openxmlformats.org/officeDocument/2006/relationships/hyperlink" Target="https://octopart.com/click/track?ai=8078&amp;sig=0460519&amp;sid=2401&amp;ppid=44403301&amp;vpid=119894523&amp;ct=offers" TargetMode="External"/><Relationship Id="rId115" Type="http://schemas.openxmlformats.org/officeDocument/2006/relationships/hyperlink" Target="https://octopart.com/click/track?c=1&amp;ai=8078&amp;sig=0a1801e&amp;sid=2402&amp;ppid=44403301&amp;vpid=252587626&amp;ct=offers" TargetMode="External"/><Relationship Id="rId116" Type="http://schemas.openxmlformats.org/officeDocument/2006/relationships/hyperlink" Target="https://b2b-api.panasonic.eu/file_stream/pids/fileversion/1242" TargetMode="External"/><Relationship Id="rId117" Type="http://schemas.openxmlformats.org/officeDocument/2006/relationships/hyperlink" Target="https://octopart.com/click/track?ai=8078&amp;sig=0fe0904&amp;sid=459&amp;ppid=44403350&amp;vpid=465235292&amp;ct=offers" TargetMode="External"/><Relationship Id="rId118" Type="http://schemas.openxmlformats.org/officeDocument/2006/relationships/hyperlink" Target="https://octopart.com/click/track?c=1&amp;ai=8078&amp;sig=098df08&amp;sid=819&amp;ppid=44403350&amp;vpid=603690887&amp;ct=offers" TargetMode="External"/><Relationship Id="rId119" Type="http://schemas.openxmlformats.org/officeDocument/2006/relationships/hyperlink" Target="https://octopart.com/click/track?ai=8078&amp;sig=07d1d1b&amp;sid=2401&amp;ppid=44403350&amp;vpid=248150297&amp;ct=offers" TargetMode="External"/><Relationship Id="rId120" Type="http://schemas.openxmlformats.org/officeDocument/2006/relationships/hyperlink" Target="https://octopart.com/click/track?c=1&amp;ai=8078&amp;sig=01bc52e&amp;sid=2402&amp;ppid=44403350&amp;vpid=632042349&amp;ct=offers" TargetMode="External"/><Relationship Id="rId121" Type="http://schemas.openxmlformats.org/officeDocument/2006/relationships/hyperlink" Target="https://octopart.com/click/track?ai=8078&amp;sig=07954d2&amp;sid=10022&amp;ppid=44403350&amp;vpid=527534079&amp;ct=offers" TargetMode="External"/><Relationship Id="rId122" Type="http://schemas.openxmlformats.org/officeDocument/2006/relationships/hyperlink" Target="https://b2b-api.panasonic.eu/file_stream/pids/fileversion/1242" TargetMode="External"/><Relationship Id="rId123" Type="http://schemas.openxmlformats.org/officeDocument/2006/relationships/hyperlink" Target="https://octopart.com/click/track?ai=8078&amp;sig=0301d78&amp;sid=459&amp;ppid=44322539&amp;vpid=465235182&amp;ct=offers" TargetMode="External"/><Relationship Id="rId124" Type="http://schemas.openxmlformats.org/officeDocument/2006/relationships/hyperlink" Target="https://octopart.com/click/track?c=1&amp;ai=8078&amp;sig=0fd9335&amp;sid=819&amp;ppid=44322539&amp;vpid=603690832&amp;ct=offers" TargetMode="External"/><Relationship Id="rId125" Type="http://schemas.openxmlformats.org/officeDocument/2006/relationships/hyperlink" Target="https://octopart.com/click/track?ai=8078&amp;sig=06c973b&amp;sid=27971&amp;ppid=44322539&amp;vpid=495511688&amp;ct=offers" TargetMode="External"/><Relationship Id="rId126" Type="http://schemas.openxmlformats.org/officeDocument/2006/relationships/hyperlink" Target="https://octopart.com/click/track?ai=8078&amp;sig=0a64394&amp;sid=2401&amp;ppid=44322539&amp;vpid=120580014&amp;ct=offers" TargetMode="External"/><Relationship Id="rId127" Type="http://schemas.openxmlformats.org/officeDocument/2006/relationships/hyperlink" Target="https://octopart.com/click/track?c=1&amp;ai=8078&amp;sig=07aa8d7&amp;sid=2402&amp;ppid=44322539&amp;vpid=477474193&amp;ct=offers" TargetMode="External"/><Relationship Id="rId128" Type="http://schemas.openxmlformats.org/officeDocument/2006/relationships/hyperlink" Target="https://octopart.com/click/track?ai=8078&amp;sig=0dcb783&amp;sid=10022&amp;ppid=44322539&amp;vpid=527534071&amp;ct=offers" TargetMode="External"/><Relationship Id="rId129" Type="http://schemas.openxmlformats.org/officeDocument/2006/relationships/hyperlink" Target="https://b2b-api.panasonic.eu/file_stream/pids/fileversion/1242" TargetMode="External"/><Relationship Id="rId130" Type="http://schemas.openxmlformats.org/officeDocument/2006/relationships/hyperlink" Target="https://octopart.com/click/track?ai=8078&amp;sig=06f5537&amp;sid=459&amp;ppid=55940368&amp;vpid=465235230&amp;ct=offers" TargetMode="External"/><Relationship Id="rId131" Type="http://schemas.openxmlformats.org/officeDocument/2006/relationships/hyperlink" Target="https://octopart.com/click/track?c=1&amp;ai=8078&amp;sig=031cc2c&amp;sid=819&amp;ppid=55940368&amp;vpid=603690856&amp;ct=offers" TargetMode="External"/><Relationship Id="rId132" Type="http://schemas.openxmlformats.org/officeDocument/2006/relationships/hyperlink" Target="https://octopart.com/click/track?ai=8078&amp;sig=01a465a&amp;sid=2401&amp;ppid=55940368&amp;vpid=165486557&amp;ct=offers" TargetMode="External"/><Relationship Id="rId133" Type="http://schemas.openxmlformats.org/officeDocument/2006/relationships/hyperlink" Target="https://octopart.com/click/track?ai=8078&amp;sig=0e8e49e&amp;sid=10022&amp;ppid=55940368&amp;vpid=527534074&amp;ct=offers" TargetMode="External"/><Relationship Id="rId134" Type="http://schemas.openxmlformats.org/officeDocument/2006/relationships/hyperlink" Target="https://b2b-api.panasonic.eu/file_stream/pids/fileversion/1242" TargetMode="External"/><Relationship Id="rId135" Type="http://schemas.openxmlformats.org/officeDocument/2006/relationships/hyperlink" Target="https://octopart.com/click/track?c=1&amp;ai=8078&amp;sig=04cd504&amp;sid=459&amp;ppid=42505965&amp;vpid=465235288&amp;ct=offers" TargetMode="External"/><Relationship Id="rId136" Type="http://schemas.openxmlformats.org/officeDocument/2006/relationships/hyperlink" Target="https://octopart.com/click/track?c=1&amp;ai=8078&amp;sig=0433a1d&amp;sid=819&amp;ppid=42505965&amp;vpid=603690885&amp;ct=offers" TargetMode="External"/><Relationship Id="rId137" Type="http://schemas.openxmlformats.org/officeDocument/2006/relationships/hyperlink" Target="https://octopart.com/click/track?ai=8078&amp;sig=0d716f6&amp;sid=2401&amp;ppid=42505965&amp;vpid=165486571&amp;ct=offers" TargetMode="External"/><Relationship Id="rId138" Type="http://schemas.openxmlformats.org/officeDocument/2006/relationships/hyperlink" Target="https://octopart.com/click/track?c=1&amp;ai=8078&amp;sig=0965e6c&amp;sid=2402&amp;ppid=42505965&amp;vpid=524371516&amp;ct=offers" TargetMode="External"/><Relationship Id="rId139" Type="http://schemas.openxmlformats.org/officeDocument/2006/relationships/hyperlink" Target="https://b2b-api.panasonic.eu/file_stream/pids/fileversion/1242" TargetMode="External"/><Relationship Id="rId140" Type="http://schemas.openxmlformats.org/officeDocument/2006/relationships/hyperlink" Target="https://octopart.com/click/track?c=1&amp;ai=8078&amp;sig=024bb47&amp;sid=459&amp;ppid=55419695&amp;vpid=465234046&amp;ct=offers" TargetMode="External"/><Relationship Id="rId141" Type="http://schemas.openxmlformats.org/officeDocument/2006/relationships/hyperlink" Target="https://octopart.com/click/track?ai=8078&amp;sig=0f281cc&amp;sid=819&amp;ppid=55419695&amp;vpid=139309628&amp;ct=offers" TargetMode="External"/><Relationship Id="rId142" Type="http://schemas.openxmlformats.org/officeDocument/2006/relationships/hyperlink" Target="https://octopart.com/click/track?ai=8078&amp;sig=082fe6d&amp;sid=27971&amp;ppid=55419695&amp;vpid=669037552&amp;ct=offers" TargetMode="External"/><Relationship Id="rId143" Type="http://schemas.openxmlformats.org/officeDocument/2006/relationships/hyperlink" Target="https://octopart.com/click/track?ai=8078&amp;sig=0a77d19&amp;sid=2401&amp;ppid=55419695&amp;vpid=187838583&amp;ct=offers" TargetMode="External"/><Relationship Id="rId144" Type="http://schemas.openxmlformats.org/officeDocument/2006/relationships/hyperlink" Target="https://octopart.com/click/track?ai=8078&amp;sig=0f7b406&amp;sid=2402&amp;ppid=55419695&amp;vpid=423915170&amp;ct=offers" TargetMode="External"/><Relationship Id="rId145" Type="http://schemas.openxmlformats.org/officeDocument/2006/relationships/hyperlink" Target="https://octopart.com/click/track?ai=8078&amp;sig=063e0f1&amp;sid=10022&amp;ppid=55419695&amp;vpid=527534048&amp;ct=offers" TargetMode="External"/><Relationship Id="rId146" Type="http://schemas.openxmlformats.org/officeDocument/2006/relationships/hyperlink" Target="https://www.ckswitches.com/media/1465/kxt3.pdf" TargetMode="External"/><Relationship Id="rId147" Type="http://schemas.openxmlformats.org/officeDocument/2006/relationships/hyperlink" Target="https://octopart.com/click/track?ai=8078&amp;sig=0d4eb4c&amp;sid=459&amp;ppid=81056066&amp;vpid=409558694&amp;ct=offers" TargetMode="External"/><Relationship Id="rId148" Type="http://schemas.openxmlformats.org/officeDocument/2006/relationships/hyperlink" Target="https://octopart.com/click/track?ai=8078&amp;sig=0dffd79&amp;sid=819&amp;ppid=81056066&amp;vpid=573821257&amp;ct=offers" TargetMode="External"/><Relationship Id="rId149" Type="http://schemas.openxmlformats.org/officeDocument/2006/relationships/hyperlink" Target="https://octopart.com/click/track?ai=8078&amp;sig=008adb4&amp;sid=27971&amp;ppid=81056066&amp;vpid=492569844&amp;ct=offers" TargetMode="External"/><Relationship Id="rId150" Type="http://schemas.openxmlformats.org/officeDocument/2006/relationships/hyperlink" Target="https://octopart.com/click/track?ai=8078&amp;sig=025af0b&amp;sid=2401&amp;ppid=81056066&amp;vpid=418675926&amp;ct=offers" TargetMode="External"/><Relationship Id="rId151" Type="http://schemas.openxmlformats.org/officeDocument/2006/relationships/hyperlink" Target="https://octopart.com/click/track?c=1&amp;ai=8078&amp;sig=0497a32&amp;sid=2402&amp;ppid=81056066&amp;vpid=591711210&amp;ct=offers" TargetMode="External"/><Relationship Id="rId152" Type="http://schemas.openxmlformats.org/officeDocument/2006/relationships/hyperlink" Target="https://octopart.com/click/track?ai=8078&amp;sig=098c562&amp;sid=1532&amp;ppid=81056066&amp;vpid=707824130&amp;ct=offers" TargetMode="External"/><Relationship Id="rId153" Type="http://schemas.openxmlformats.org/officeDocument/2006/relationships/hyperlink" Target="https://www.onsemi.com/pub/Collateral/FPF1048-D.pdf" TargetMode="External"/><Relationship Id="rId154" Type="http://schemas.openxmlformats.org/officeDocument/2006/relationships/hyperlink" Target="https://octopart.com/click/track?ai=8078&amp;sig=04eaa45&amp;sid=459&amp;ppid=84327717&amp;vpid=452465952&amp;ct=offers" TargetMode="External"/><Relationship Id="rId155" Type="http://schemas.openxmlformats.org/officeDocument/2006/relationships/hyperlink" Target="https://octopart.com/click/track?ai=8078&amp;sig=0cbe83f&amp;sid=819&amp;ppid=84327717&amp;vpid=611263499&amp;ct=offers" TargetMode="External"/><Relationship Id="rId156" Type="http://schemas.openxmlformats.org/officeDocument/2006/relationships/hyperlink" Target="https://octopart.com/click/track?ai=8078&amp;sig=0ee8727&amp;sid=27971&amp;ppid=84327717&amp;vpid=609063482&amp;ct=offers" TargetMode="External"/><Relationship Id="rId157" Type="http://schemas.openxmlformats.org/officeDocument/2006/relationships/hyperlink" Target="https://octopart.com/click/track?ai=8078&amp;sig=097e5b6&amp;sid=2401&amp;ppid=84327717&amp;vpid=438583537&amp;ct=offers" TargetMode="External"/><Relationship Id="rId158" Type="http://schemas.openxmlformats.org/officeDocument/2006/relationships/hyperlink" Target="https://octopart.com/click/track?ai=8078&amp;sig=07987ae&amp;sid=2402&amp;ppid=84327717&amp;vpid=610637249&amp;ct=offers" TargetMode="External"/><Relationship Id="rId159" Type="http://schemas.openxmlformats.org/officeDocument/2006/relationships/hyperlink" Target="https://www.nxp.com/docs/en/data-sheet/PTN5110_DS.pdf" TargetMode="External"/><Relationship Id="rId160" Type="http://schemas.openxmlformats.org/officeDocument/2006/relationships/hyperlink" Target="https://octopart.com/click/track?ai=8078&amp;sig=0765b83&amp;sid=459&amp;ppid=80980773&amp;vpid=462850817&amp;ct=offers" TargetMode="External"/><Relationship Id="rId161" Type="http://schemas.openxmlformats.org/officeDocument/2006/relationships/hyperlink" Target="https://octopart.com/click/track?ai=8078&amp;sig=071bd1e&amp;sid=819&amp;ppid=80980773&amp;vpid=549508192&amp;ct=offers" TargetMode="External"/><Relationship Id="rId162" Type="http://schemas.openxmlformats.org/officeDocument/2006/relationships/hyperlink" Target="https://octopart.com/click/track?ai=8078&amp;sig=0876157&amp;sid=2401&amp;ppid=80980773&amp;vpid=456197818&amp;ct=offers" TargetMode="External"/><Relationship Id="rId163" Type="http://schemas.openxmlformats.org/officeDocument/2006/relationships/hyperlink" Target="https://octopart.com/click/track?ai=8078&amp;sig=0672985&amp;sid=2402&amp;ppid=80980773&amp;vpid=551449682&amp;ct=offers" TargetMode="External"/><Relationship Id="rId164" Type="http://schemas.openxmlformats.org/officeDocument/2006/relationships/hyperlink" Target="https://www.onsemi.com/pub/Collateral/FUSB340-D.PDF" TargetMode="External"/><Relationship Id="rId165" Type="http://schemas.openxmlformats.org/officeDocument/2006/relationships/hyperlink" Target="https://octopart.com/click/track?c=1&amp;ai=8078&amp;sig=0f86676&amp;sid=459&amp;ppid=84328700&amp;vpid=452467737&amp;ct=offers" TargetMode="External"/><Relationship Id="rId166" Type="http://schemas.openxmlformats.org/officeDocument/2006/relationships/hyperlink" Target="https://octopart.com/click/track?c=1&amp;ai=8078&amp;sig=07afd36&amp;sid=819&amp;ppid=84328700&amp;vpid=605128911&amp;ct=offers" TargetMode="External"/><Relationship Id="rId167" Type="http://schemas.openxmlformats.org/officeDocument/2006/relationships/hyperlink" Target="https://octopart.com/click/track?c=1&amp;ai=8078&amp;sig=0a2158e&amp;sid=2401&amp;ppid=84328700&amp;vpid=438584370&amp;ct=offers" TargetMode="External"/><Relationship Id="rId168" Type="http://schemas.openxmlformats.org/officeDocument/2006/relationships/hyperlink" Target="https://octopart.com/click/track?c=1&amp;ai=8078&amp;sig=05ed39f&amp;sid=2402&amp;ppid=84328700&amp;vpid=440386720&amp;ct=offers" TargetMode="External"/><Relationship Id="rId169" Type="http://schemas.openxmlformats.org/officeDocument/2006/relationships/hyperlink" Target="https://ww1.microchip.com/downloads/en/DeviceDoc/DSC1103-23-Low-Jitter-Precision-LVDS-Oscillator-DS20005745C.pdf" TargetMode="External"/><Relationship Id="rId170" Type="http://schemas.openxmlformats.org/officeDocument/2006/relationships/hyperlink" Target="https://octopart.com/click/track?c=1&amp;ai=8078&amp;sig=0bd1298&amp;sid=459&amp;ppid=66645726&amp;vpid=240065704&amp;ct=offers" TargetMode="External"/><Relationship Id="rId171" Type="http://schemas.openxmlformats.org/officeDocument/2006/relationships/hyperlink" Target="https://octopart.com/click/track?c=1&amp;ai=8078&amp;sig=02ae754&amp;sid=2401&amp;ppid=66645726&amp;vpid=248137995&amp;ct=offers" TargetMode="External"/><Relationship Id="rId172" Type="http://schemas.openxmlformats.org/officeDocument/2006/relationships/hyperlink" Target="https://octopart.com/click/track?c=1&amp;ai=8078&amp;sig=0cfbb5f&amp;sid=2402&amp;ppid=66645726&amp;vpid=252546613&amp;ct=offers" TargetMode="External"/><Relationship Id="rId173" Type="http://schemas.openxmlformats.org/officeDocument/2006/relationships/hyperlink" Target="https://www.onsemi.com/pub/Collateral/FSA2259-D.PDF" TargetMode="External"/><Relationship Id="rId174" Type="http://schemas.openxmlformats.org/officeDocument/2006/relationships/hyperlink" Target="https://octopart.com/click/track?ai=8078&amp;sig=0436b69&amp;sid=459&amp;ppid=84328211&amp;vpid=452466861&amp;ct=offers" TargetMode="External"/><Relationship Id="rId175" Type="http://schemas.openxmlformats.org/officeDocument/2006/relationships/hyperlink" Target="https://octopart.com/click/track?ai=8078&amp;sig=06a0c5b&amp;sid=819&amp;ppid=84328211&amp;vpid=609656779&amp;ct=offers" TargetMode="External"/><Relationship Id="rId176" Type="http://schemas.openxmlformats.org/officeDocument/2006/relationships/hyperlink" Target="https://octopart.com/click/track?ai=8078&amp;sig=0345a19&amp;sid=2401&amp;ppid=84328211&amp;vpid=438583998&amp;ct=offers" TargetMode="External"/><Relationship Id="rId177" Type="http://schemas.openxmlformats.org/officeDocument/2006/relationships/hyperlink" Target="https://octopart.com/click/track?ai=8078&amp;sig=0f7153a&amp;sid=2402&amp;ppid=84328211&amp;vpid=610637270&amp;ct=offers" TargetMode="External"/><Relationship Id="rId178" Type="http://schemas.openxmlformats.org/officeDocument/2006/relationships/hyperlink" Target="https://octopart.com/click/track?ai=8078&amp;sig=00c16a8&amp;sid=10022&amp;ppid=84328211&amp;vpid=501204245&amp;ct=offers" TargetMode="External"/><Relationship Id="rId179" Type="http://schemas.openxmlformats.org/officeDocument/2006/relationships/hyperlink" Target="https://www.winbond.com/resource-files/W957x8MFYA_128Mb_HyperRAM_TFBGA24_DDP_datasheet_A01-001_20200903.pdf" TargetMode="External"/><Relationship Id="rId180" Type="http://schemas.openxmlformats.org/officeDocument/2006/relationships/hyperlink" Target="https://www.winbond.com/resource-files/w25q128jv%20revf%2003272018%20plus.pdf" TargetMode="External"/><Relationship Id="rId181" Type="http://schemas.openxmlformats.org/officeDocument/2006/relationships/hyperlink" Target="https://octopart.com/click/track?ai=8078&amp;sig=0c22e88&amp;sid=459&amp;ppid=81762594&amp;vpid=420816932&amp;ct=offers" TargetMode="External"/><Relationship Id="rId182" Type="http://schemas.openxmlformats.org/officeDocument/2006/relationships/hyperlink" Target="https://www.onsemi.com/pub/Collateral/NCP163-D.PDF" TargetMode="External"/><Relationship Id="rId183" Type="http://schemas.openxmlformats.org/officeDocument/2006/relationships/hyperlink" Target="https://octopart.com/click/track?ai=8078&amp;sig=0fb810d&amp;sid=459&amp;ppid=85189372&amp;vpid=510801579&amp;ct=offers" TargetMode="External"/><Relationship Id="rId184" Type="http://schemas.openxmlformats.org/officeDocument/2006/relationships/hyperlink" Target="https://octopart.com/click/track?ai=8078&amp;sig=0d53afa&amp;sid=819&amp;ppid=85189372&amp;vpid=521259807&amp;ct=offers" TargetMode="External"/><Relationship Id="rId185" Type="http://schemas.openxmlformats.org/officeDocument/2006/relationships/hyperlink" Target="https://octopart.com/click/track?ai=8078&amp;sig=0d88058&amp;sid=2401&amp;ppid=85189372&amp;vpid=457168827&amp;ct=offers" TargetMode="External"/><Relationship Id="rId186" Type="http://schemas.openxmlformats.org/officeDocument/2006/relationships/hyperlink" Target="https://octopart.com/click/track?ai=8078&amp;sig=0ea4658&amp;sid=2402&amp;ppid=85189372&amp;vpid=532298591&amp;ct=offers" TargetMode="External"/><Relationship Id="rId187" Type="http://schemas.openxmlformats.org/officeDocument/2006/relationships/hyperlink" Target="https://octopart.com/click/track?ai=8078&amp;sig=061f543&amp;sid=10022&amp;ppid=85189372&amp;vpid=562641307&amp;ct=offers" TargetMode="External"/><Relationship Id="rId188" Type="http://schemas.openxmlformats.org/officeDocument/2006/relationships/hyperlink" Target="https://www.murata.com/en-global/products/productdetail?partno=MYRGP330100W21RA" TargetMode="External"/><Relationship Id="rId189" Type="http://schemas.openxmlformats.org/officeDocument/2006/relationships/hyperlink" Target="https://octopart.com/click/track?ai=8078&amp;sig=080665d&amp;sid=459&amp;ppid=106811493&amp;vpid=600526601&amp;ct=offers" TargetMode="External"/><Relationship Id="rId190" Type="http://schemas.openxmlformats.org/officeDocument/2006/relationships/hyperlink" Target="https://octopart.com/click/track?ai=8078&amp;sig=0d729a0&amp;sid=819&amp;ppid=106811493&amp;vpid=619584508&amp;ct=offers" TargetMode="External"/><Relationship Id="rId191" Type="http://schemas.openxmlformats.org/officeDocument/2006/relationships/hyperlink" Target="https://octopart.com/click/track?ai=8078&amp;sig=0957b0e&amp;sid=2401&amp;ppid=106811493&amp;vpid=600765065&amp;ct=offers" TargetMode="External"/><Relationship Id="rId192" Type="http://schemas.openxmlformats.org/officeDocument/2006/relationships/hyperlink" Target="https://octopart.com/click/track?ai=8078&amp;sig=04c5ef7&amp;sid=2402&amp;ppid=106811493&amp;vpid=664868951&amp;ct=offers" TargetMode="External"/><Relationship Id="rId193" Type="http://schemas.openxmlformats.org/officeDocument/2006/relationships/hyperlink" Target="https://www.onsemi.com/pub/Collateral/FPF2194-D.PDF" TargetMode="External"/><Relationship Id="rId194" Type="http://schemas.openxmlformats.org/officeDocument/2006/relationships/hyperlink" Target="https://octopart.com/click/track?ai=8078&amp;sig=0dd6896&amp;sid=459&amp;ppid=84327776&amp;vpid=452466110&amp;ct=offers" TargetMode="External"/><Relationship Id="rId195" Type="http://schemas.openxmlformats.org/officeDocument/2006/relationships/hyperlink" Target="https://octopart.com/click/track?c=1&amp;ai=8078&amp;sig=087667e&amp;sid=819&amp;ppid=84327776&amp;vpid=679563947&amp;ct=offers" TargetMode="External"/><Relationship Id="rId196" Type="http://schemas.openxmlformats.org/officeDocument/2006/relationships/hyperlink" Target="https://octopart.com/click/track?ai=8078&amp;sig=0f59aca&amp;sid=2401&amp;ppid=84327776&amp;vpid=438583592&amp;ct=offers" TargetMode="External"/><Relationship Id="rId197" Type="http://schemas.openxmlformats.org/officeDocument/2006/relationships/hyperlink" Target="https://octopart.com/click/track?c=1&amp;ai=8078&amp;sig=09db032&amp;sid=2402&amp;ppid=84327776&amp;vpid=635965928&amp;ct=offers" TargetMode="External"/><Relationship Id="rId198" Type="http://schemas.openxmlformats.org/officeDocument/2006/relationships/hyperlink" Target="https://www.onsemi.com/pub/Collateral/NCP163-D.PDF" TargetMode="External"/><Relationship Id="rId199" Type="http://schemas.openxmlformats.org/officeDocument/2006/relationships/hyperlink" Target="https://octopart.com/click/track?c=1&amp;ai=8078&amp;sig=003992c&amp;sid=459&amp;ppid=85189370&amp;vpid=480804443&amp;ct=offers" TargetMode="External"/><Relationship Id="rId200" Type="http://schemas.openxmlformats.org/officeDocument/2006/relationships/hyperlink" Target="https://octopart.com/click/track?c=1&amp;ai=8078&amp;sig=05d5745&amp;sid=819&amp;ppid=85189370&amp;vpid=679567311&amp;ct=offers" TargetMode="External"/><Relationship Id="rId201" Type="http://schemas.openxmlformats.org/officeDocument/2006/relationships/hyperlink" Target="https://octopart.com/click/track?c=1&amp;ai=8078&amp;sig=008dcf0&amp;sid=2401&amp;ppid=85189370&amp;vpid=458432971&amp;ct=offers" TargetMode="External"/><Relationship Id="rId202" Type="http://schemas.openxmlformats.org/officeDocument/2006/relationships/hyperlink" Target="https://octopart.com/click/track?c=1&amp;ai=8078&amp;sig=02e0072&amp;sid=2402&amp;ppid=85189370&amp;vpid=508722815&amp;ct=offers" TargetMode="External"/><Relationship Id="rId203" Type="http://schemas.openxmlformats.org/officeDocument/2006/relationships/hyperlink" Target="https://www.murata.com/en-global/products/productdetail?partno=MYRGP330100W21RA" TargetMode="External"/><Relationship Id="rId204" Type="http://schemas.openxmlformats.org/officeDocument/2006/relationships/hyperlink" Target="https://octopart.com/click/track?ai=8078&amp;sig=01b00f8&amp;sid=459&amp;ppid=106811485&amp;vpid=600526589&amp;ct=offers" TargetMode="External"/><Relationship Id="rId205" Type="http://schemas.openxmlformats.org/officeDocument/2006/relationships/hyperlink" Target="https://octopart.com/click/track?ai=8078&amp;sig=030c5e6&amp;sid=11744&amp;ppid=106811485&amp;vpid=619947126&amp;ct=offers" TargetMode="External"/><Relationship Id="rId206" Type="http://schemas.openxmlformats.org/officeDocument/2006/relationships/hyperlink" Target="https://octopart.com/click/track?ai=8078&amp;sig=08f853e&amp;sid=2401&amp;ppid=106811485&amp;vpid=600765057&amp;ct=offers" TargetMode="External"/><Relationship Id="rId207" Type="http://schemas.openxmlformats.org/officeDocument/2006/relationships/hyperlink" Target="https://octopart.com/click/track?ai=8078&amp;sig=0fd6954&amp;sid=2402&amp;ppid=106811485&amp;vpid=664868948&amp;ct=offers" TargetMode="External"/><Relationship Id="rId208" Type="http://schemas.openxmlformats.org/officeDocument/2006/relationships/hyperlink" Target="https://www.onsemi.com/pub/Collateral/NCP163-D.PDF" TargetMode="External"/><Relationship Id="rId209" Type="http://schemas.openxmlformats.org/officeDocument/2006/relationships/hyperlink" Target="https://octopart.com/click/track?c=1&amp;ai=8078&amp;sig=033711e&amp;sid=459&amp;ppid=76379051&amp;vpid=417229427&amp;ct=offers" TargetMode="External"/><Relationship Id="rId210" Type="http://schemas.openxmlformats.org/officeDocument/2006/relationships/hyperlink" Target="https://octopart.com/click/track?c=1&amp;ai=8078&amp;sig=0ca7150&amp;sid=11744&amp;ppid=76379051&amp;vpid=424030194&amp;ct=offers" TargetMode="External"/><Relationship Id="rId211" Type="http://schemas.openxmlformats.org/officeDocument/2006/relationships/hyperlink" Target="https://octopart.com/click/track?ai=8078&amp;sig=053b221&amp;sid=2401&amp;ppid=76379051&amp;vpid=417833962&amp;ct=offers" TargetMode="External"/><Relationship Id="rId212" Type="http://schemas.openxmlformats.org/officeDocument/2006/relationships/hyperlink" Target="https://octopart.com/click/track?c=1&amp;ai=8078&amp;sig=008ac7c&amp;sid=2402&amp;ppid=76379051&amp;vpid=462365890&amp;ct=offers" TargetMode="External"/><Relationship Id="rId213" Type="http://schemas.openxmlformats.org/officeDocument/2006/relationships/hyperlink" Target="https://www.latticesemi.com/view_document?document_id=50461" TargetMode="External"/><Relationship Id="rId214" Type="http://schemas.openxmlformats.org/officeDocument/2006/relationships/hyperlink" Target="https://octopart.com/click/track?c=1&amp;ai=8078&amp;sig=007a1b1&amp;sid=459&amp;ppid=75367160&amp;vpid=271186289&amp;ct=offers" TargetMode="External"/><Relationship Id="rId215" Type="http://schemas.openxmlformats.org/officeDocument/2006/relationships/hyperlink" Target="https://www.nxp.com/docs/en/data-sheet/SGTL5000.pdf" TargetMode="External"/><Relationship Id="rId216" Type="http://schemas.openxmlformats.org/officeDocument/2006/relationships/hyperlink" Target="https://octopart.com/click/track?c=1&amp;ai=8078&amp;sig=04c3e2a&amp;sid=459&amp;ppid=70302734&amp;vpid=355515742&amp;ct=offers" TargetMode="External"/><Relationship Id="rId217" Type="http://schemas.openxmlformats.org/officeDocument/2006/relationships/hyperlink" Target="https://octopart.com/click/track?c=1&amp;ai=8078&amp;sig=026e336&amp;sid=819&amp;ppid=70302734&amp;vpid=441865499&amp;ct=offers" TargetMode="External"/><Relationship Id="rId218" Type="http://schemas.openxmlformats.org/officeDocument/2006/relationships/hyperlink" Target="https://octopart.com/click/track?c=1&amp;ai=8078&amp;sig=0914646&amp;sid=2401&amp;ppid=70302734&amp;vpid=251555961&amp;ct=offers" TargetMode="External"/><Relationship Id="rId219" Type="http://schemas.openxmlformats.org/officeDocument/2006/relationships/hyperlink" Target="https://octopart.com/click/track?c=1&amp;ai=8078&amp;sig=0682eb5&amp;sid=2402&amp;ppid=70302734&amp;vpid=444018517&amp;ct=offers" TargetMode="External"/><Relationship Id="rId220" Type="http://schemas.openxmlformats.org/officeDocument/2006/relationships/hyperlink" Target="https://www.ti.com/lit/ds/symlink/sn74cbtd16211.pdf" TargetMode="External"/><Relationship Id="rId221" Type="http://schemas.openxmlformats.org/officeDocument/2006/relationships/hyperlink" Target="https://octopart.com/click/track?c=1&amp;ai=8078&amp;sig=0aac5c3&amp;sid=459&amp;ppid=472676&amp;vpid=1588405&amp;ct=offers" TargetMode="External"/><Relationship Id="rId222" Type="http://schemas.openxmlformats.org/officeDocument/2006/relationships/hyperlink" Target="https://octopart.com/click/track?ai=8078&amp;sig=0221cb4&amp;sid=27971&amp;ppid=472676&amp;vpid=696942338&amp;ct=offers" TargetMode="External"/><Relationship Id="rId223" Type="http://schemas.openxmlformats.org/officeDocument/2006/relationships/hyperlink" Target="https://octopart.com/click/track?ai=8078&amp;sig=0681b00&amp;sid=2401&amp;ppid=472676&amp;vpid=46887142&amp;ct=offers" TargetMode="External"/><Relationship Id="rId224" Type="http://schemas.openxmlformats.org/officeDocument/2006/relationships/hyperlink" Target="https://www.arrow.com/en/bom-tool/" TargetMode="External"/><Relationship Id="rId225" Type="http://schemas.openxmlformats.org/officeDocument/2006/relationships/hyperlink" Target="https://www.digikey.com/ordering/shoppingcart" TargetMode="External"/><Relationship Id="rId226" Type="http://schemas.openxmlformats.org/officeDocument/2006/relationships/hyperlink" Target="https://www.newark.com/quick-order?isQuickPaste=true" TargetMode="External"/><Relationship Id="rId227" Type="http://schemas.openxmlformats.org/officeDocument/2006/relationships/hyperlink" Target="https://lcsc.com/bom.html" TargetMode="External"/><Relationship Id="rId228" Type="http://schemas.openxmlformats.org/officeDocument/2006/relationships/hyperlink" Target="https://mouser.com/bom/" TargetMode="External"/><Relationship Id="rId229" Type="http://schemas.openxmlformats.org/officeDocument/2006/relationships/hyperlink" Target="https://www.newark.com/quick-order?isQuickPaste=true" TargetMode="External"/><Relationship Id="rId230" Type="http://schemas.openxmlformats.org/officeDocument/2006/relationships/hyperlink" Target="https://uk.rs-online.com/web/mylists/manualQuotes.html?method=showEnquiryCreationPage&amp;mode=new" TargetMode="External"/><Relationship Id="rId231" Type="http://schemas.openxmlformats.org/officeDocument/2006/relationships/hyperlink" Target="https://www.tme.eu/en/Profile/QuickBuy/load.html" TargetMode="External"/><Relationship Id="rId232" Type="http://schemas.openxmlformats.org/officeDocument/2006/relationships/vmlDrawing" Target="../drawings/vmlDrawing1.vml"/><Relationship Id="rId233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X99"/>
  <sheetViews>
    <sheetView tabSelected="1" workbookViewId="0">
      <pane xSplit="10" ySplit="6" topLeftCell="K7" activePane="bottomRight" state="frozen"/>
      <selection pane="topRight" activeCell="K1" sqref="K1"/>
      <selection pane="bottomLeft" activeCell="A7" sqref="A7"/>
      <selection pane="bottomRight"/>
    </sheetView>
  </sheetViews>
  <sheetFormatPr defaultRowHeight="15" outlineLevelCol="2"/>
  <cols>
    <col min="1" max="1" width="9.140625"/>
    <col min="2" max="2" width="9.140625"/>
    <col min="3" max="3" width="9.140625" outlineLevel="2"/>
    <col min="4" max="4" width="9.140625"/>
    <col min="5" max="5" width="9.140625" outlineLevel="2"/>
    <col min="6" max="6" width="9.140625" outlineLevel="1"/>
    <col min="7" max="7" width="9.140625" outlineLevel="1"/>
    <col min="8" max="8" width="9.140625" outlineLevel="1"/>
    <col min="9" max="9" width="9.140625"/>
    <col min="10" max="10" width="15.7109375" customWidth="1"/>
    <col min="11" max="11" width="9.140625" outlineLevel="1"/>
    <col min="12" max="12" width="9.140625" outlineLevel="2"/>
    <col min="13" max="13" width="9.140625" outlineLevel="2"/>
    <col min="14" max="14" width="15.7109375" customWidth="1"/>
    <col min="15" max="15" width="15.7109375" customWidth="1" outlineLevel="2"/>
    <col min="16" max="16" width="9.140625" outlineLevel="1"/>
    <col min="17" max="17" width="9.140625" outlineLevel="2"/>
    <col min="18" max="18" width="9.140625" outlineLevel="2"/>
    <col min="19" max="19" width="15.7109375" customWidth="1"/>
    <col min="20" max="20" width="15.7109375" customWidth="1" outlineLevel="2"/>
    <col min="21" max="21" width="9.140625" outlineLevel="1"/>
    <col min="22" max="22" width="9.140625" outlineLevel="2"/>
    <col min="23" max="23" width="9.140625" outlineLevel="2"/>
    <col min="24" max="24" width="15.7109375" customWidth="1"/>
    <col min="25" max="25" width="15.7109375" customWidth="1" outlineLevel="2"/>
    <col min="26" max="26" width="9.140625" outlineLevel="1"/>
    <col min="27" max="27" width="9.140625" outlineLevel="2"/>
    <col min="28" max="28" width="9.140625" outlineLevel="2"/>
    <col min="29" max="29" width="15.7109375" customWidth="1"/>
    <col min="30" max="30" width="15.7109375" customWidth="1" outlineLevel="2"/>
    <col min="31" max="31" width="9.140625" outlineLevel="1"/>
    <col min="32" max="32" width="9.140625" outlineLevel="2"/>
    <col min="33" max="33" width="9.140625" outlineLevel="2"/>
    <col min="34" max="34" width="15.7109375" customWidth="1"/>
    <col min="35" max="35" width="15.7109375" customWidth="1" outlineLevel="2"/>
    <col min="36" max="36" width="9.140625" outlineLevel="1"/>
    <col min="37" max="37" width="9.140625" outlineLevel="2"/>
    <col min="38" max="38" width="9.140625" outlineLevel="2"/>
    <col min="39" max="39" width="15.7109375" customWidth="1"/>
    <col min="40" max="40" width="15.7109375" customWidth="1" outlineLevel="2"/>
    <col min="41" max="41" width="9.140625" outlineLevel="1"/>
    <col min="42" max="42" width="9.140625" outlineLevel="2"/>
    <col min="43" max="43" width="9.140625" outlineLevel="2"/>
    <col min="44" max="44" width="15.7109375" customWidth="1"/>
    <col min="45" max="45" width="15.7109375" customWidth="1" outlineLevel="2"/>
    <col min="46" max="46" width="9.140625" outlineLevel="1"/>
    <col min="47" max="47" width="9.140625" outlineLevel="2"/>
    <col min="48" max="48" width="9.140625" outlineLevel="2"/>
    <col min="49" max="49" width="15.7109375" customWidth="1"/>
    <col min="50" max="50" width="15.7109375" customWidth="1" outlineLevel="2"/>
  </cols>
  <sheetData>
    <row r="1" spans="1:50">
      <c r="A1" s="1" t="s">
        <v>230</v>
      </c>
      <c r="B1" s="2" t="s">
        <v>231</v>
      </c>
      <c r="I1" s="3" t="s">
        <v>236</v>
      </c>
      <c r="J1" s="3">
        <v>100</v>
      </c>
    </row>
    <row r="2" spans="1:50">
      <c r="A2" s="1" t="s">
        <v>232</v>
      </c>
      <c r="B2" s="2" t="s">
        <v>233</v>
      </c>
      <c r="I2" s="1" t="s">
        <v>238</v>
      </c>
      <c r="J2" s="4">
        <f>TotalCost/BoardQty</f>
        <v>0</v>
      </c>
    </row>
    <row r="3" spans="1:50">
      <c r="A3" s="1" t="s">
        <v>234</v>
      </c>
      <c r="B3" s="2" t="s">
        <v>235</v>
      </c>
      <c r="I3" s="1" t="s">
        <v>237</v>
      </c>
      <c r="J3" s="5">
        <f>SUM(J7:J51)</f>
        <v>0</v>
      </c>
      <c r="N3" s="5">
        <f>SUM(N7:N51)</f>
        <v>0</v>
      </c>
      <c r="O3" s="6">
        <f>(COUNTA(N7:N51)&amp;" of "&amp;ROWS(N7:N51)&amp;" parts found")</f>
        <v>0</v>
      </c>
      <c r="S3" s="5">
        <f>SUM(S7:S51)</f>
        <v>0</v>
      </c>
      <c r="T3" s="6">
        <f>(COUNTA(S7:S51)&amp;" of "&amp;ROWS(S7:S51)&amp;" parts found")</f>
        <v>0</v>
      </c>
      <c r="X3" s="5">
        <f>SUM(X7:X51)</f>
        <v>0</v>
      </c>
      <c r="Y3" s="6">
        <f>(COUNTA(X7:X51)&amp;" of "&amp;ROWS(X7:X51)&amp;" parts found")</f>
        <v>0</v>
      </c>
      <c r="AC3" s="5">
        <f>SUM(AC7:AC51)</f>
        <v>0</v>
      </c>
      <c r="AD3" s="6">
        <f>(COUNTA(AC7:AC51)&amp;" of "&amp;ROWS(AC7:AC51)&amp;" parts found")</f>
        <v>0</v>
      </c>
      <c r="AH3" s="5">
        <f>SUM(AH7:AH51)</f>
        <v>0</v>
      </c>
      <c r="AI3" s="6">
        <f>(COUNTA(AH7:AH51)&amp;" of "&amp;ROWS(AH7:AH51)&amp;" parts found")</f>
        <v>0</v>
      </c>
      <c r="AM3" s="5">
        <f>SUM(AM7:AM51)</f>
        <v>0</v>
      </c>
      <c r="AN3" s="6">
        <f>(COUNTA(AM7:AM51)&amp;" of "&amp;ROWS(AM7:AM51)&amp;" parts found")</f>
        <v>0</v>
      </c>
      <c r="AR3" s="5">
        <f>SUM(AR7:AR51)</f>
        <v>0</v>
      </c>
      <c r="AS3" s="6">
        <f>(COUNTA(AR7:AR51)&amp;" of "&amp;ROWS(AR7:AR51)&amp;" parts found")</f>
        <v>0</v>
      </c>
      <c r="AW3" s="5">
        <f>SUM(AW7:AW51)</f>
        <v>0</v>
      </c>
      <c r="AX3" s="6">
        <f>(COUNTA(AW7:AW51)&amp;" of "&amp;ROWS(AW7:AW51)&amp;" parts found")</f>
        <v>0</v>
      </c>
    </row>
    <row r="4" spans="1:50">
      <c r="A4" s="1" t="s">
        <v>239</v>
      </c>
      <c r="B4" s="2" t="s">
        <v>240</v>
      </c>
    </row>
    <row r="5" spans="1:50">
      <c r="A5" s="7" t="s">
        <v>0</v>
      </c>
      <c r="B5" s="7"/>
      <c r="C5" s="7"/>
      <c r="D5" s="7"/>
      <c r="E5" s="7"/>
      <c r="F5" s="7"/>
      <c r="G5" s="7"/>
      <c r="H5" s="7"/>
      <c r="I5" s="7"/>
      <c r="J5" s="7"/>
      <c r="K5" s="8" t="s">
        <v>241</v>
      </c>
      <c r="L5" s="8"/>
      <c r="M5" s="8"/>
      <c r="N5" s="8"/>
      <c r="O5" s="8"/>
      <c r="P5" s="9" t="s">
        <v>246</v>
      </c>
      <c r="Q5" s="9"/>
      <c r="R5" s="9"/>
      <c r="S5" s="9"/>
      <c r="T5" s="9"/>
      <c r="U5" s="10" t="s">
        <v>291</v>
      </c>
      <c r="V5" s="10"/>
      <c r="W5" s="10"/>
      <c r="X5" s="10"/>
      <c r="Y5" s="10"/>
      <c r="Z5" s="11" t="s">
        <v>324</v>
      </c>
      <c r="AA5" s="11"/>
      <c r="AB5" s="11"/>
      <c r="AC5" s="11"/>
      <c r="AD5" s="11"/>
      <c r="AE5" s="12" t="s">
        <v>339</v>
      </c>
      <c r="AF5" s="12"/>
      <c r="AG5" s="12"/>
      <c r="AH5" s="12"/>
      <c r="AI5" s="12"/>
      <c r="AJ5" s="13" t="s">
        <v>377</v>
      </c>
      <c r="AK5" s="13"/>
      <c r="AL5" s="13"/>
      <c r="AM5" s="13"/>
      <c r="AN5" s="13"/>
      <c r="AO5" s="14" t="s">
        <v>410</v>
      </c>
      <c r="AP5" s="14"/>
      <c r="AQ5" s="14"/>
      <c r="AR5" s="14"/>
      <c r="AS5" s="14"/>
      <c r="AT5" s="15" t="s">
        <v>424</v>
      </c>
      <c r="AU5" s="15"/>
      <c r="AV5" s="15"/>
      <c r="AW5" s="15"/>
      <c r="AX5" s="15"/>
    </row>
    <row r="6" spans="1:50">
      <c r="A6" s="16" t="s">
        <v>1</v>
      </c>
      <c r="B6" s="16" t="s">
        <v>2</v>
      </c>
      <c r="C6" s="16" t="s">
        <v>3</v>
      </c>
      <c r="D6" s="16" t="s">
        <v>10</v>
      </c>
      <c r="E6" s="16" t="s">
        <v>4</v>
      </c>
      <c r="F6" s="16" t="s">
        <v>5</v>
      </c>
      <c r="G6" s="16" t="s">
        <v>6</v>
      </c>
      <c r="H6" s="16" t="s">
        <v>7</v>
      </c>
      <c r="I6" s="16" t="s">
        <v>8</v>
      </c>
      <c r="J6" s="16" t="s">
        <v>9</v>
      </c>
      <c r="K6" s="16" t="s">
        <v>242</v>
      </c>
      <c r="L6" s="16" t="s">
        <v>243</v>
      </c>
      <c r="M6" s="16" t="s">
        <v>8</v>
      </c>
      <c r="N6" s="16" t="s">
        <v>9</v>
      </c>
      <c r="O6" s="16" t="s">
        <v>244</v>
      </c>
      <c r="P6" s="16" t="s">
        <v>242</v>
      </c>
      <c r="Q6" s="16" t="s">
        <v>243</v>
      </c>
      <c r="R6" s="16" t="s">
        <v>8</v>
      </c>
      <c r="S6" s="16" t="s">
        <v>9</v>
      </c>
      <c r="T6" s="16" t="s">
        <v>244</v>
      </c>
      <c r="U6" s="16" t="s">
        <v>242</v>
      </c>
      <c r="V6" s="16" t="s">
        <v>243</v>
      </c>
      <c r="W6" s="16" t="s">
        <v>8</v>
      </c>
      <c r="X6" s="16" t="s">
        <v>9</v>
      </c>
      <c r="Y6" s="16" t="s">
        <v>244</v>
      </c>
      <c r="Z6" s="16" t="s">
        <v>242</v>
      </c>
      <c r="AA6" s="16" t="s">
        <v>243</v>
      </c>
      <c r="AB6" s="16" t="s">
        <v>8</v>
      </c>
      <c r="AC6" s="16" t="s">
        <v>9</v>
      </c>
      <c r="AD6" s="16" t="s">
        <v>244</v>
      </c>
      <c r="AE6" s="16" t="s">
        <v>242</v>
      </c>
      <c r="AF6" s="16" t="s">
        <v>243</v>
      </c>
      <c r="AG6" s="16" t="s">
        <v>8</v>
      </c>
      <c r="AH6" s="16" t="s">
        <v>9</v>
      </c>
      <c r="AI6" s="16" t="s">
        <v>244</v>
      </c>
      <c r="AJ6" s="16" t="s">
        <v>242</v>
      </c>
      <c r="AK6" s="16" t="s">
        <v>243</v>
      </c>
      <c r="AL6" s="16" t="s">
        <v>8</v>
      </c>
      <c r="AM6" s="16" t="s">
        <v>9</v>
      </c>
      <c r="AN6" s="16" t="s">
        <v>244</v>
      </c>
      <c r="AO6" s="16" t="s">
        <v>242</v>
      </c>
      <c r="AP6" s="16" t="s">
        <v>243</v>
      </c>
      <c r="AQ6" s="16" t="s">
        <v>8</v>
      </c>
      <c r="AR6" s="16" t="s">
        <v>9</v>
      </c>
      <c r="AS6" s="16" t="s">
        <v>244</v>
      </c>
      <c r="AT6" s="16" t="s">
        <v>242</v>
      </c>
      <c r="AU6" s="16" t="s">
        <v>243</v>
      </c>
      <c r="AV6" s="16" t="s">
        <v>8</v>
      </c>
      <c r="AW6" s="16" t="s">
        <v>9</v>
      </c>
      <c r="AX6" s="16" t="s">
        <v>244</v>
      </c>
    </row>
    <row r="7" spans="1:50">
      <c r="A7" s="17" t="s">
        <v>11</v>
      </c>
      <c r="B7" s="17" t="s">
        <v>12</v>
      </c>
      <c r="C7" s="17" t="s">
        <v>13</v>
      </c>
      <c r="D7" s="17" t="s">
        <v>17</v>
      </c>
      <c r="E7" s="17" t="s">
        <v>14</v>
      </c>
      <c r="F7" s="17" t="s">
        <v>15</v>
      </c>
      <c r="G7" s="17" t="s">
        <v>16</v>
      </c>
      <c r="H7" s="17">
        <f>BoardQty*2</f>
        <v>0</v>
      </c>
      <c r="I7" s="18">
        <f>MINA(INDIRECT(ADDRESS(ROW(),COLUMN(arrow_part_data)+2)),INDIRECT(ADDRESS(ROW(),COLUMN(digikey_part_data)+2)),INDIRECT(ADDRESS(ROW(),COLUMN(farnell_part_data)+2)),INDIRECT(ADDRESS(ROW(),COLUMN(mouser_part_data)+2)),INDIRECT(ADDRESS(ROW(),COLUMN(newark_part_data)+2)),INDIRECT(ADDRESS(ROW(),COLUMN(rs_part_data)+2)),INDIRECT(ADDRESS(ROW(),COLUMN(tme_part_data)+2)),INDIRECT(ADDRESS(ROW(),COLUMN(lcsc_part_data)+2)))</f>
        <v>0</v>
      </c>
      <c r="J7" s="18">
        <f>iferror(H7*I7,"")</f>
        <v>0</v>
      </c>
      <c r="P7" s="17">
        <v>559024</v>
      </c>
      <c r="R7" s="18">
        <f>iferror(lookup(if(Q7="",H7,Q7),{0,1,10,50,100,500,1000,4000},{0.0,0.54,0.381,0.2884,0.2512,0.18608,0.15816,0.13955}),"")</f>
        <v>0</v>
      </c>
      <c r="S7" s="18">
        <f>iferror(if(Q7="",H7,Q7)*R7,"")</f>
        <v>0</v>
      </c>
      <c r="T7" s="19" t="s">
        <v>247</v>
      </c>
      <c r="U7" s="17">
        <v>8000</v>
      </c>
      <c r="W7" s="18">
        <f>iferror(USD_GBP*lookup(if(V7="",H7,V7),{0,1,10,100,150,500,1000,2000,4000,20000},{0.0,0.287,0.287,0.179,0.179,0.135,0.116,0.0956,0.0797,0.0683}),"")</f>
        <v>0</v>
      </c>
      <c r="X7" s="18">
        <f>iferror(if(V7="",H7,V7)*W7,"")</f>
        <v>0</v>
      </c>
      <c r="Y7" s="19" t="s">
        <v>292</v>
      </c>
      <c r="AE7" s="17">
        <v>816104</v>
      </c>
      <c r="AG7" s="18">
        <f>iferror(lookup(if(AF7="",H7,AF7),{0,1,10,50,100,1000,10000},{0.0,0.52,0.276,0.276,0.241,0.152,0.133}),"")</f>
        <v>0</v>
      </c>
      <c r="AH7" s="18">
        <f>iferror(if(AF7="",H7,AF7)*AG7,"")</f>
        <v>0</v>
      </c>
      <c r="AI7" s="19" t="s">
        <v>340</v>
      </c>
      <c r="AJ7" s="17">
        <v>8000</v>
      </c>
      <c r="AL7" s="18">
        <f>iferror(lookup(if(AK7="",H7,AK7),{0,1,10,25,50,100,4000,8000},{0.0,0.42,0.42,0.372,0.324,0.276,0.117,0.113}),"")</f>
        <v>0</v>
      </c>
      <c r="AM7" s="18">
        <f>iferror(if(AK7="",H7,AK7)*AL7,"")</f>
        <v>0</v>
      </c>
      <c r="AN7" s="19" t="s">
        <v>378</v>
      </c>
    </row>
    <row r="8" spans="1:50">
      <c r="A8" s="17" t="s">
        <v>18</v>
      </c>
      <c r="B8" s="17" t="s">
        <v>19</v>
      </c>
      <c r="C8" s="17" t="s">
        <v>13</v>
      </c>
      <c r="D8" s="17" t="s">
        <v>21</v>
      </c>
      <c r="E8" s="17" t="s">
        <v>14</v>
      </c>
      <c r="F8" s="17" t="s">
        <v>15</v>
      </c>
      <c r="G8" s="17" t="s">
        <v>20</v>
      </c>
      <c r="H8" s="17">
        <f>BoardQty*1</f>
        <v>0</v>
      </c>
      <c r="I8" s="18">
        <f>MINA(INDIRECT(ADDRESS(ROW(),COLUMN(arrow_part_data)+2)),INDIRECT(ADDRESS(ROW(),COLUMN(digikey_part_data)+2)),INDIRECT(ADDRESS(ROW(),COLUMN(farnell_part_data)+2)),INDIRECT(ADDRESS(ROW(),COLUMN(mouser_part_data)+2)),INDIRECT(ADDRESS(ROW(),COLUMN(newark_part_data)+2)),INDIRECT(ADDRESS(ROW(),COLUMN(rs_part_data)+2)),INDIRECT(ADDRESS(ROW(),COLUMN(tme_part_data)+2)),INDIRECT(ADDRESS(ROW(),COLUMN(lcsc_part_data)+2)))</f>
        <v>0</v>
      </c>
      <c r="J8" s="18">
        <f>iferror(H8*I8,"")</f>
        <v>0</v>
      </c>
      <c r="P8" s="20" t="s">
        <v>249</v>
      </c>
      <c r="R8" s="18">
        <f>iferror(lookup(if(Q8="",H8,Q8),{0,1,10,50,100,500,1000,4000},{0.0,0.48,0.339,0.2566,0.2235,0.16552,0.1407,0.12415}),"")</f>
        <v>0</v>
      </c>
      <c r="S8" s="18">
        <f>iferror(if(Q8="",H8,Q8)*R8,"")</f>
        <v>0</v>
      </c>
      <c r="T8" s="19" t="s">
        <v>248</v>
      </c>
      <c r="U8" s="20" t="s">
        <v>249</v>
      </c>
      <c r="W8" s="18">
        <f>iferror(USD_GBP*lookup(if(V8="",H8,V8),{0,1,10,100,150,500,1000,2000,4000,20000},{0.0,0.288,0.288,0.18,0.18,0.136,0.116,0.096,0.08,0.0686}),"")</f>
        <v>0</v>
      </c>
      <c r="X8" s="18">
        <f>iferror(if(V8="",H8,V8)*W8,"")</f>
        <v>0</v>
      </c>
      <c r="Y8" s="19" t="s">
        <v>293</v>
      </c>
      <c r="Z8" s="17">
        <v>9760</v>
      </c>
      <c r="AB8" s="18">
        <f>iferror(lookup(if(AA8="",H8,AA8),{0,1,5,50,150,500,2500,5000},{0.0,0.1126,0.1126,0.0894,0.0852,0.0809,0.079,0.0781}),"")</f>
        <v>0</v>
      </c>
      <c r="AC8" s="18">
        <f>iferror(if(AA8="",H8,AA8)*AB8,"")</f>
        <v>0</v>
      </c>
      <c r="AD8" s="19" t="s">
        <v>325</v>
      </c>
      <c r="AE8" s="20" t="s">
        <v>249</v>
      </c>
      <c r="AG8" s="18">
        <f>iferror(lookup(if(AF8="",H8,AF8),{0,1,10,50,100,1000,10000},{0.0,0.54,0.39,0.39,0.257,0.162,0.126}),"")</f>
        <v>0</v>
      </c>
      <c r="AH8" s="18">
        <f>iferror(if(AF8="",H8,AF8)*AG8,"")</f>
        <v>0</v>
      </c>
      <c r="AI8" s="19" t="s">
        <v>341</v>
      </c>
      <c r="AJ8" s="20" t="s">
        <v>249</v>
      </c>
      <c r="AL8" s="18">
        <f>iferror(lookup(if(AK8="",H8,AK8),{0,1,10,25,50,100,250},{0.0,0.39,0.39,0.346,0.301,0.257,0.228}),"")</f>
        <v>0</v>
      </c>
      <c r="AM8" s="18">
        <f>iferror(if(AK8="",H8,AK8)*AL8,"")</f>
        <v>0</v>
      </c>
      <c r="AN8" s="19" t="s">
        <v>379</v>
      </c>
    </row>
    <row r="9" spans="1:50">
      <c r="A9" s="17" t="s">
        <v>22</v>
      </c>
      <c r="B9" s="17" t="s">
        <v>23</v>
      </c>
      <c r="C9" s="17" t="s">
        <v>24</v>
      </c>
      <c r="D9" s="17" t="s">
        <v>27</v>
      </c>
      <c r="E9" s="17" t="s">
        <v>25</v>
      </c>
      <c r="F9" s="17" t="s">
        <v>15</v>
      </c>
      <c r="G9" s="17" t="s">
        <v>26</v>
      </c>
      <c r="H9" s="17">
        <f>BoardQty*5</f>
        <v>0</v>
      </c>
      <c r="I9" s="18">
        <f>MINA(INDIRECT(ADDRESS(ROW(),COLUMN(arrow_part_data)+2)),INDIRECT(ADDRESS(ROW(),COLUMN(digikey_part_data)+2)),INDIRECT(ADDRESS(ROW(),COLUMN(farnell_part_data)+2)),INDIRECT(ADDRESS(ROW(),COLUMN(mouser_part_data)+2)),INDIRECT(ADDRESS(ROW(),COLUMN(newark_part_data)+2)),INDIRECT(ADDRESS(ROW(),COLUMN(rs_part_data)+2)),INDIRECT(ADDRESS(ROW(),COLUMN(tme_part_data)+2)),INDIRECT(ADDRESS(ROW(),COLUMN(lcsc_part_data)+2)))</f>
        <v>0</v>
      </c>
      <c r="J9" s="18">
        <f>iferror(H9*I9,"")</f>
        <v>0</v>
      </c>
      <c r="P9" s="20" t="s">
        <v>249</v>
      </c>
      <c r="R9" s="18">
        <f>iferror(lookup(if(Q9="",H9,Q9),{0,1,10,50,100,500,1000,2500,5000,15000},{0.0,0.25,0.172,0.115,0.0978,0.069,0.06038,0.0575,0.05319,0.04773}),"")</f>
        <v>0</v>
      </c>
      <c r="S9" s="18">
        <f>iferror(if(Q9="",H9,Q9)*R9,"")</f>
        <v>0</v>
      </c>
      <c r="T9" s="19" t="s">
        <v>250</v>
      </c>
      <c r="U9" s="20" t="s">
        <v>249</v>
      </c>
      <c r="W9" s="18">
        <f>iferror(USD_GBP*lookup(if(V9="",H9,V9),{0,1,10,100,150,500,2500,7500,15000,75000},{0.0,0.218,0.218,0.137,0.137,0.103,0.0727,0.0606,0.0594,0.051}),"")</f>
        <v>0</v>
      </c>
      <c r="X9" s="18">
        <f>iferror(if(V9="",H9,V9)*W9,"")</f>
        <v>0</v>
      </c>
      <c r="Y9" s="19" t="s">
        <v>294</v>
      </c>
      <c r="Z9" s="17">
        <v>3420</v>
      </c>
      <c r="AB9" s="18">
        <f>iferror(lookup(if(AA9="",H9,AA9),{0,1,20,200,600,2000,10000,20000},{0.0,0.0208,0.0208,0.0161,0.0153,0.0144,0.0141,0.0139}),"")</f>
        <v>0</v>
      </c>
      <c r="AC9" s="18">
        <f>iferror(if(AA9="",H9,AA9)*AB9,"")</f>
        <v>0</v>
      </c>
      <c r="AD9" s="19" t="s">
        <v>326</v>
      </c>
      <c r="AJ9" s="20" t="s">
        <v>249</v>
      </c>
      <c r="AL9" s="18">
        <f>iferror(lookup(if(AK9="",H9,AK9),{0,1,10,25,50,100,15000},{0.0,0.121,0.121,0.113,0.105,0.097,0.054}),"")</f>
        <v>0</v>
      </c>
      <c r="AM9" s="18">
        <f>iferror(if(AK9="",H9,AK9)*AL9,"")</f>
        <v>0</v>
      </c>
      <c r="AN9" s="19" t="s">
        <v>380</v>
      </c>
    </row>
    <row r="10" spans="1:50">
      <c r="A10" s="17" t="s">
        <v>28</v>
      </c>
      <c r="B10" s="17" t="s">
        <v>19</v>
      </c>
      <c r="C10" s="17" t="s">
        <v>13</v>
      </c>
      <c r="D10" s="17" t="s">
        <v>29</v>
      </c>
      <c r="E10" s="17" t="s">
        <v>14</v>
      </c>
      <c r="F10" s="17" t="s">
        <v>15</v>
      </c>
      <c r="G10" s="17" t="s">
        <v>16</v>
      </c>
      <c r="H10" s="17">
        <f>BoardQty*1</f>
        <v>0</v>
      </c>
      <c r="I10" s="18">
        <f>MINA(INDIRECT(ADDRESS(ROW(),COLUMN(arrow_part_data)+2)),INDIRECT(ADDRESS(ROW(),COLUMN(digikey_part_data)+2)),INDIRECT(ADDRESS(ROW(),COLUMN(farnell_part_data)+2)),INDIRECT(ADDRESS(ROW(),COLUMN(mouser_part_data)+2)),INDIRECT(ADDRESS(ROW(),COLUMN(newark_part_data)+2)),INDIRECT(ADDRESS(ROW(),COLUMN(rs_part_data)+2)),INDIRECT(ADDRESS(ROW(),COLUMN(tme_part_data)+2)),INDIRECT(ADDRESS(ROW(),COLUMN(lcsc_part_data)+2)))</f>
        <v>0</v>
      </c>
      <c r="J10" s="18">
        <f>iferror(H10*I10,"")</f>
        <v>0</v>
      </c>
      <c r="P10" s="17">
        <v>559024</v>
      </c>
      <c r="R10" s="18">
        <f>iferror(lookup(if(Q10="",H10,Q10),{0,1,10,50,100,500,1000,4000},{0.0,0.54,0.381,0.2884,0.2512,0.18608,0.15816,0.13955}),"")</f>
        <v>0</v>
      </c>
      <c r="S10" s="18">
        <f>iferror(if(Q10="",H10,Q10)*R10,"")</f>
        <v>0</v>
      </c>
      <c r="T10" s="19" t="s">
        <v>247</v>
      </c>
      <c r="U10" s="17">
        <v>8000</v>
      </c>
      <c r="W10" s="18">
        <f>iferror(USD_GBP*lookup(if(V10="",H10,V10),{0,1,10,100,150,500,1000,2000,4000,20000},{0.0,0.287,0.287,0.179,0.179,0.135,0.116,0.0956,0.0797,0.0683}),"")</f>
        <v>0</v>
      </c>
      <c r="X10" s="18">
        <f>iferror(if(V10="",H10,V10)*W10,"")</f>
        <v>0</v>
      </c>
      <c r="Y10" s="19" t="s">
        <v>292</v>
      </c>
      <c r="AE10" s="17">
        <v>816104</v>
      </c>
      <c r="AG10" s="18">
        <f>iferror(lookup(if(AF10="",H10,AF10),{0,1,10,50,100,1000,10000},{0.0,0.52,0.276,0.276,0.241,0.152,0.133}),"")</f>
        <v>0</v>
      </c>
      <c r="AH10" s="18">
        <f>iferror(if(AF10="",H10,AF10)*AG10,"")</f>
        <v>0</v>
      </c>
      <c r="AI10" s="19" t="s">
        <v>340</v>
      </c>
      <c r="AJ10" s="17">
        <v>8000</v>
      </c>
      <c r="AL10" s="18">
        <f>iferror(lookup(if(AK10="",H10,AK10),{0,1,10,25,50,100,4000,8000},{0.0,0.42,0.42,0.372,0.324,0.276,0.117,0.113}),"")</f>
        <v>0</v>
      </c>
      <c r="AM10" s="18">
        <f>iferror(if(AK10="",H10,AK10)*AL10,"")</f>
        <v>0</v>
      </c>
      <c r="AN10" s="19" t="s">
        <v>378</v>
      </c>
    </row>
    <row r="11" spans="1:50">
      <c r="A11" s="17" t="s">
        <v>30</v>
      </c>
      <c r="B11" s="17" t="s">
        <v>23</v>
      </c>
      <c r="C11" s="17" t="s">
        <v>31</v>
      </c>
      <c r="D11" s="17" t="s">
        <v>33</v>
      </c>
      <c r="E11" s="17" t="s">
        <v>25</v>
      </c>
      <c r="F11" s="17" t="s">
        <v>15</v>
      </c>
      <c r="G11" s="17" t="s">
        <v>32</v>
      </c>
      <c r="H11" s="17">
        <f>BoardQty*22</f>
        <v>0</v>
      </c>
      <c r="I11" s="18">
        <f>MINA(INDIRECT(ADDRESS(ROW(),COLUMN(arrow_part_data)+2)),INDIRECT(ADDRESS(ROW(),COLUMN(digikey_part_data)+2)),INDIRECT(ADDRESS(ROW(),COLUMN(farnell_part_data)+2)),INDIRECT(ADDRESS(ROW(),COLUMN(mouser_part_data)+2)),INDIRECT(ADDRESS(ROW(),COLUMN(newark_part_data)+2)),INDIRECT(ADDRESS(ROW(),COLUMN(rs_part_data)+2)),INDIRECT(ADDRESS(ROW(),COLUMN(tme_part_data)+2)),INDIRECT(ADDRESS(ROW(),COLUMN(lcsc_part_data)+2)))</f>
        <v>0</v>
      </c>
      <c r="J11" s="18">
        <f>iferror(H11*I11,"")</f>
        <v>0</v>
      </c>
      <c r="P11" s="17">
        <v>447671</v>
      </c>
      <c r="R11" s="18">
        <f>iferror(lookup(if(Q11="",H11,Q11),{0,1,10,50,100,500,1000,2500,5000,10000},{0.0,0.44,0.307,0.215,0.1842,0.13818,0.11668,0.11054,0.1044,0.09826}),"")</f>
        <v>0</v>
      </c>
      <c r="S11" s="18">
        <f>iferror(if(Q11="",H11,Q11)*R11,"")</f>
        <v>0</v>
      </c>
      <c r="T11" s="19" t="s">
        <v>251</v>
      </c>
      <c r="U11" s="17">
        <v>50000</v>
      </c>
      <c r="W11" s="18">
        <f>iferror(USD_GBP*lookup(if(V11="",H11,V11),{0,1,10,100,150,500,2500,5000,10000,50000},{0.0,0.187,0.187,0.151,0.151,0.0842,0.0797,0.074,0.0718,0.0615}),"")</f>
        <v>0</v>
      </c>
      <c r="X11" s="18">
        <f>iferror(if(V11="",H11,V11)*W11,"")</f>
        <v>0</v>
      </c>
      <c r="Y11" s="19" t="s">
        <v>295</v>
      </c>
      <c r="Z11" s="17">
        <v>227590</v>
      </c>
      <c r="AB11" s="18">
        <f>iferror(lookup(if(AA11="",H11,AA11),{0,1,5,50,150,500,2500,5000},{0.0,0.1199,0.1199,0.0874,0.0815,0.0755,0.0729,0.0715}),"")</f>
        <v>0</v>
      </c>
      <c r="AC11" s="18">
        <f>iferror(if(AA11="",H11,AA11)*AB11,"")</f>
        <v>0</v>
      </c>
      <c r="AD11" s="19" t="s">
        <v>327</v>
      </c>
      <c r="AE11" s="17">
        <v>141918</v>
      </c>
      <c r="AG11" s="18">
        <f>iferror(lookup(if(AF11="",H11,AF11),{0,1,10,50,100,1000,10000},{0.0,0.42,0.206,0.206,0.177,0.112,0.094}),"")</f>
        <v>0</v>
      </c>
      <c r="AH11" s="18">
        <f>iferror(if(AF11="",H11,AF11)*AG11,"")</f>
        <v>0</v>
      </c>
      <c r="AI11" s="19" t="s">
        <v>342</v>
      </c>
      <c r="AJ11" s="17">
        <v>50000</v>
      </c>
      <c r="AL11" s="18">
        <f>iferror(lookup(if(AK11="",H11,AK11),{0,1,10,25,50,100,10000},{0.0,0.227,0.227,0.216,0.205,0.194,0.11}),"")</f>
        <v>0</v>
      </c>
      <c r="AM11" s="18">
        <f>iferror(if(AK11="",H11,AK11)*AL11,"")</f>
        <v>0</v>
      </c>
      <c r="AN11" s="19" t="s">
        <v>381</v>
      </c>
    </row>
    <row r="12" spans="1:50">
      <c r="A12" s="17" t="s">
        <v>34</v>
      </c>
      <c r="B12" s="17" t="s">
        <v>35</v>
      </c>
      <c r="C12" s="17" t="s">
        <v>36</v>
      </c>
      <c r="D12" s="17" t="s">
        <v>38</v>
      </c>
      <c r="E12" s="17" t="s">
        <v>25</v>
      </c>
      <c r="F12" s="17" t="s">
        <v>15</v>
      </c>
      <c r="G12" s="17" t="s">
        <v>37</v>
      </c>
      <c r="H12" s="17">
        <f>BoardQty*2</f>
        <v>0</v>
      </c>
      <c r="I12" s="18">
        <f>MINA(INDIRECT(ADDRESS(ROW(),COLUMN(arrow_part_data)+2)),INDIRECT(ADDRESS(ROW(),COLUMN(digikey_part_data)+2)),INDIRECT(ADDRESS(ROW(),COLUMN(farnell_part_data)+2)),INDIRECT(ADDRESS(ROW(),COLUMN(mouser_part_data)+2)),INDIRECT(ADDRESS(ROW(),COLUMN(newark_part_data)+2)),INDIRECT(ADDRESS(ROW(),COLUMN(rs_part_data)+2)),INDIRECT(ADDRESS(ROW(),COLUMN(tme_part_data)+2)),INDIRECT(ADDRESS(ROW(),COLUMN(lcsc_part_data)+2)))</f>
        <v>0</v>
      </c>
      <c r="J12" s="18">
        <f>iferror(H12*I12,"")</f>
        <v>0</v>
      </c>
      <c r="P12" s="17">
        <v>1404574</v>
      </c>
      <c r="R12" s="18">
        <f>iferror(lookup(if(Q12="",H12,Q12),{0,1,10,50,100,500,1000,2500,5000,15000},{0.0,0.1,0.027,0.0144,0.0118,0.00846,0.00664,0.00604,0.00555,0.0042}),"")</f>
        <v>0</v>
      </c>
      <c r="S12" s="18">
        <f>iferror(if(Q12="",H12,Q12)*R12,"")</f>
        <v>0</v>
      </c>
      <c r="T12" s="19" t="s">
        <v>252</v>
      </c>
      <c r="U12" s="17">
        <v>15000</v>
      </c>
      <c r="W12" s="18">
        <f>iferror(USD_GBP*lookup(if(V12="",H12,V12),{0,1,10,100,150,500,2500,7500,15000,75000},{0.0,0.0223,0.0223,0.0173,0.0173,0.0112,0.0086,0.0065,0.0056,0.0038}),"")</f>
        <v>0</v>
      </c>
      <c r="X12" s="18">
        <f>iferror(if(V12="",H12,V12)*W12,"")</f>
        <v>0</v>
      </c>
      <c r="Y12" s="19" t="s">
        <v>296</v>
      </c>
      <c r="Z12" s="17">
        <v>184500</v>
      </c>
      <c r="AB12" s="18">
        <f>iferror(lookup(if(AA12="",H12,AA12),{0,1,100,1000,3000,10000,50000,100000},{0.0,0.0019,0.0019,0.0014,0.0013,0.0012,0.0011,0.0011}),"")</f>
        <v>0</v>
      </c>
      <c r="AC12" s="18">
        <f>iferror(if(AA12="",H12,AA12)*AB12,"")</f>
        <v>0</v>
      </c>
      <c r="AD12" s="19" t="s">
        <v>328</v>
      </c>
      <c r="AE12" s="17">
        <v>149279</v>
      </c>
      <c r="AG12" s="18">
        <f>iferror(lookup(if(AF12="",H12,AF12),{0,1,10,50,100,1000,10000},{0.0,0.1,0.014,0.014,0.012,0.007,0.006}),"")</f>
        <v>0</v>
      </c>
      <c r="AH12" s="18">
        <f>iferror(if(AF12="",H12,AF12)*AG12,"")</f>
        <v>0</v>
      </c>
      <c r="AI12" s="19" t="s">
        <v>343</v>
      </c>
      <c r="AJ12" s="17">
        <v>6290</v>
      </c>
      <c r="AL12" s="18">
        <f>iferror(lookup(if(AK12="",H12,AK12),{0,1,10,25,50,100,15000},{0.0,0.014,0.014,0.013,0.013,0.012,0.004}),"")</f>
        <v>0</v>
      </c>
      <c r="AM12" s="18">
        <f>iferror(if(AK12="",H12,AK12)*AL12,"")</f>
        <v>0</v>
      </c>
      <c r="AN12" s="19" t="s">
        <v>382</v>
      </c>
      <c r="AO12" s="17">
        <v>14000</v>
      </c>
      <c r="AQ12" s="18">
        <f>iferror(USD_GBP*lookup(if(AP12="",H12,AP12),{0,1,15000,60000},{0.0,0.003,0.003,0.002}),"")</f>
        <v>0</v>
      </c>
      <c r="AR12" s="18">
        <f>iferror(if(AP12="",H12,AP12)*AQ12,"")</f>
        <v>0</v>
      </c>
      <c r="AS12" s="19" t="s">
        <v>411</v>
      </c>
    </row>
    <row r="13" spans="1:50">
      <c r="A13" s="17" t="s">
        <v>39</v>
      </c>
      <c r="B13" s="17" t="s">
        <v>40</v>
      </c>
      <c r="C13" s="17" t="s">
        <v>36</v>
      </c>
      <c r="D13" s="17" t="s">
        <v>42</v>
      </c>
      <c r="E13" s="17" t="s">
        <v>25</v>
      </c>
      <c r="F13" s="17" t="s">
        <v>15</v>
      </c>
      <c r="G13" s="17" t="s">
        <v>41</v>
      </c>
      <c r="H13" s="17">
        <f>BoardQty*30</f>
        <v>0</v>
      </c>
      <c r="I13" s="18">
        <f>MINA(INDIRECT(ADDRESS(ROW(),COLUMN(arrow_part_data)+2)),INDIRECT(ADDRESS(ROW(),COLUMN(digikey_part_data)+2)),INDIRECT(ADDRESS(ROW(),COLUMN(farnell_part_data)+2)),INDIRECT(ADDRESS(ROW(),COLUMN(mouser_part_data)+2)),INDIRECT(ADDRESS(ROW(),COLUMN(newark_part_data)+2)),INDIRECT(ADDRESS(ROW(),COLUMN(rs_part_data)+2)),INDIRECT(ADDRESS(ROW(),COLUMN(tme_part_data)+2)),INDIRECT(ADDRESS(ROW(),COLUMN(lcsc_part_data)+2)))</f>
        <v>0</v>
      </c>
      <c r="J13" s="18">
        <f>iferror(H13*I13,"")</f>
        <v>0</v>
      </c>
      <c r="P13" s="17">
        <v>3513215</v>
      </c>
      <c r="R13" s="18">
        <f>iferror(lookup(if(Q13="",H13,Q13),{0,1,10,50,100,500,1000,2500,5000,15000},{0.0,0.1,0.034,0.0186,0.0152,0.01086,0.00854,0.00776,0.00714,0.00621}),"")</f>
        <v>0</v>
      </c>
      <c r="S13" s="18">
        <f>iferror(if(Q13="",H13,Q13)*R13,"")</f>
        <v>0</v>
      </c>
      <c r="T13" s="19" t="s">
        <v>253</v>
      </c>
      <c r="U13" s="17">
        <v>120000</v>
      </c>
      <c r="W13" s="18">
        <f>iferror(USD_GBP*lookup(if(V13="",H13,V13),{0,1,10,100,150,500,2500,7500,15000,75000},{0.0,0.0202,0.0202,0.0159,0.0159,0.0076,0.0059,0.0058,0.004,0.0039}),"")</f>
        <v>0</v>
      </c>
      <c r="X13" s="18">
        <f>iferror(if(V13="",H13,V13)*W13,"")</f>
        <v>0</v>
      </c>
      <c r="Y13" s="19" t="s">
        <v>297</v>
      </c>
      <c r="Z13" s="17">
        <v>20500</v>
      </c>
      <c r="AB13" s="18">
        <f>iferror(lookup(if(AA13="",H13,AA13),{0,1,50,500,1500,5000,25000,50000},{0.0,0.0035,0.0035,0.0026,0.0024,0.0022,0.0022,0.0021}),"")</f>
        <v>0</v>
      </c>
      <c r="AC13" s="18">
        <f>iferror(if(AA13="",H13,AA13)*AB13,"")</f>
        <v>0</v>
      </c>
      <c r="AD13" s="19" t="s">
        <v>329</v>
      </c>
      <c r="AE13" s="17">
        <v>282778</v>
      </c>
      <c r="AG13" s="18">
        <f>iferror(lookup(if(AF13="",H13,AF13),{0,1,10,50,100,1000,10000},{0.0,0.1,0.018,0.018,0.015,0.009,0.007}),"")</f>
        <v>0</v>
      </c>
      <c r="AH13" s="18">
        <f>iferror(if(AF13="",H13,AF13)*AG13,"")</f>
        <v>0</v>
      </c>
      <c r="AI13" s="19" t="s">
        <v>344</v>
      </c>
      <c r="AJ13" s="17">
        <v>120000</v>
      </c>
      <c r="AL13" s="18">
        <f>iferror(lookup(if(AK13="",H13,AK13),{0,1,10,25,50,100,15000},{0.0,0.034,0.034,0.028,0.021,0.015,0.005}),"")</f>
        <v>0</v>
      </c>
      <c r="AM13" s="18">
        <f>iferror(if(AK13="",H13,AK13)*AL13,"")</f>
        <v>0</v>
      </c>
      <c r="AN13" s="19" t="s">
        <v>383</v>
      </c>
      <c r="AO13" s="17">
        <v>7000</v>
      </c>
      <c r="AQ13" s="18">
        <f>iferror(USD_GBP*lookup(if(AP13="",H13,AP13),{0,1,15000,60000},{0.0,0.004,0.004,0.004}),"")</f>
        <v>0</v>
      </c>
      <c r="AR13" s="18">
        <f>iferror(if(AP13="",H13,AP13)*AQ13,"")</f>
        <v>0</v>
      </c>
      <c r="AS13" s="19" t="s">
        <v>412</v>
      </c>
    </row>
    <row r="14" spans="1:50">
      <c r="A14" s="17" t="s">
        <v>43</v>
      </c>
      <c r="B14" s="17" t="s">
        <v>23</v>
      </c>
      <c r="C14" s="17" t="s">
        <v>44</v>
      </c>
      <c r="D14" s="17" t="s">
        <v>47</v>
      </c>
      <c r="E14" s="17" t="s">
        <v>45</v>
      </c>
      <c r="F14" s="17" t="s">
        <v>15</v>
      </c>
      <c r="G14" s="17" t="s">
        <v>46</v>
      </c>
      <c r="H14" s="17">
        <f>BoardQty*4</f>
        <v>0</v>
      </c>
      <c r="I14" s="18">
        <f>MINA(INDIRECT(ADDRESS(ROW(),COLUMN(arrow_part_data)+2)),INDIRECT(ADDRESS(ROW(),COLUMN(digikey_part_data)+2)),INDIRECT(ADDRESS(ROW(),COLUMN(farnell_part_data)+2)),INDIRECT(ADDRESS(ROW(),COLUMN(mouser_part_data)+2)),INDIRECT(ADDRESS(ROW(),COLUMN(newark_part_data)+2)),INDIRECT(ADDRESS(ROW(),COLUMN(rs_part_data)+2)),INDIRECT(ADDRESS(ROW(),COLUMN(tme_part_data)+2)),INDIRECT(ADDRESS(ROW(),COLUMN(lcsc_part_data)+2)))</f>
        <v>0</v>
      </c>
      <c r="J14" s="18">
        <f>iferror(H14*I14,"")</f>
        <v>0</v>
      </c>
      <c r="P14" s="20" t="s">
        <v>249</v>
      </c>
      <c r="R14" s="18">
        <f>iferror(lookup(if(Q14="",H14,Q14),{0,1,10,50,100,500,1000,2500,5000,10000},{0.0,0.29,0.198,0.119,0.1005,0.06876,0.06084,0.05819,0.0529,0.05026}),"")</f>
        <v>0</v>
      </c>
      <c r="S14" s="18">
        <f>iferror(if(Q14="",H14,Q14)*R14,"")</f>
        <v>0</v>
      </c>
      <c r="T14" s="19" t="s">
        <v>254</v>
      </c>
      <c r="U14" s="17">
        <v>9470</v>
      </c>
      <c r="W14" s="18">
        <f>iferror(USD_GBP*lookup(if(V14="",H14,V14),{0,1,10,100,150,500,2500,5000,10000,50000},{0.0,0.128,0.128,0.0638,0.0638,0.0495,0.0319,0.0292,0.0264,0.022}),"")</f>
        <v>0</v>
      </c>
      <c r="X14" s="18">
        <f>iferror(if(V14="",H14,V14)*W14,"")</f>
        <v>0</v>
      </c>
      <c r="Y14" s="19" t="s">
        <v>298</v>
      </c>
      <c r="Z14" s="17">
        <v>2240</v>
      </c>
      <c r="AB14" s="18">
        <f>iferror(lookup(if(AA14="",H14,AA14),{0,1,10,100,300,1000,5000,10000},{0.0,0.0635,0.0635,0.0494,0.0468,0.0442,0.0431,0.0425}),"")</f>
        <v>0</v>
      </c>
      <c r="AC14" s="18">
        <f>iferror(if(AA14="",H14,AA14)*AB14,"")</f>
        <v>0</v>
      </c>
      <c r="AD14" s="19" t="s">
        <v>330</v>
      </c>
      <c r="AE14" s="20" t="s">
        <v>249</v>
      </c>
      <c r="AG14" s="18">
        <f>iferror(lookup(if(AF14="",H14,AF14),{0,1,10,50,100,1000,10000},{0.0,0.26,0.174,0.174,0.099,0.061,0.043}),"")</f>
        <v>0</v>
      </c>
      <c r="AH14" s="18">
        <f>iferror(if(AF14="",H14,AF14)*AG14,"")</f>
        <v>0</v>
      </c>
      <c r="AI14" s="19" t="s">
        <v>345</v>
      </c>
      <c r="AJ14" s="17">
        <v>9470</v>
      </c>
      <c r="AL14" s="18">
        <f>iferror(lookup(if(AK14="",H14,AK14),{0,1,10,25,50,100},{0.0,0.174,0.174,0.149,0.124,0.099}),"")</f>
        <v>0</v>
      </c>
      <c r="AM14" s="18">
        <f>iferror(if(AK14="",H14,AK14)*AL14,"")</f>
        <v>0</v>
      </c>
      <c r="AN14" s="19" t="s">
        <v>384</v>
      </c>
    </row>
    <row r="15" spans="1:50">
      <c r="A15" s="17" t="s">
        <v>48</v>
      </c>
      <c r="B15" s="17" t="s">
        <v>49</v>
      </c>
      <c r="C15" s="17" t="s">
        <v>50</v>
      </c>
      <c r="E15" s="17" t="s">
        <v>51</v>
      </c>
      <c r="F15" s="17" t="s">
        <v>52</v>
      </c>
      <c r="G15" s="17" t="s">
        <v>53</v>
      </c>
      <c r="H15" s="17">
        <f>BoardQty*1</f>
        <v>0</v>
      </c>
      <c r="I15" s="18">
        <f>MINA(INDIRECT(ADDRESS(ROW(),COLUMN(arrow_part_data)+2)),INDIRECT(ADDRESS(ROW(),COLUMN(digikey_part_data)+2)),INDIRECT(ADDRESS(ROW(),COLUMN(farnell_part_data)+2)),INDIRECT(ADDRESS(ROW(),COLUMN(mouser_part_data)+2)),INDIRECT(ADDRESS(ROW(),COLUMN(newark_part_data)+2)),INDIRECT(ADDRESS(ROW(),COLUMN(rs_part_data)+2)),INDIRECT(ADDRESS(ROW(),COLUMN(tme_part_data)+2)),INDIRECT(ADDRESS(ROW(),COLUMN(lcsc_part_data)+2)))</f>
        <v>0</v>
      </c>
      <c r="J15" s="18">
        <f>iferror(H15*I15,"")</f>
        <v>0</v>
      </c>
      <c r="P15" s="17">
        <v>31500</v>
      </c>
      <c r="R15" s="18">
        <f>iferror(lookup(if(Q15="",H15,Q15),{0,1,10,100,500,1000,2000,8000,16000,24000,56000},{0.0,0.42,0.314,0.1777,0.1177,0.09024,0.07847,0.07062,0.06278,0.05885,0.05218}),"")</f>
        <v>0</v>
      </c>
      <c r="S15" s="18">
        <f>iferror(if(Q15="",H15,Q15)*R15,"")</f>
        <v>0</v>
      </c>
      <c r="T15" s="19" t="s">
        <v>255</v>
      </c>
      <c r="U15" s="20" t="s">
        <v>249</v>
      </c>
      <c r="W15" s="18">
        <f>iferror(USD_GBP*lookup(if(V15="",H15,V15),{0,1,5,10,100,500,1000,5000},{0.0,0.39,0.39,0.253,0.126,0.098,0.0579,0.0489}),"")</f>
        <v>0</v>
      </c>
      <c r="X15" s="18">
        <f>iferror(if(V15="",H15,V15)*W15,"")</f>
        <v>0</v>
      </c>
      <c r="Y15" s="19" t="s">
        <v>299</v>
      </c>
      <c r="AE15" s="20" t="s">
        <v>249</v>
      </c>
      <c r="AG15" s="18">
        <f>iferror(lookup(if(AF15="",H15,AF15),{0,1,10,50,100,1000,10000},{0.0,0.44,0.314,0.314,0.178,0.095,0.066}),"")</f>
        <v>0</v>
      </c>
      <c r="AH15" s="18">
        <f>iferror(if(AF15="",H15,AF15)*AG15,"")</f>
        <v>0</v>
      </c>
      <c r="AI15" s="19" t="s">
        <v>346</v>
      </c>
      <c r="AJ15" s="20" t="s">
        <v>249</v>
      </c>
      <c r="AL15" s="18">
        <f>iferror(lookup(if(AK15="",H15,AK15),{0,1,5,10,100,500,1000,2500},{0.0,0.503,0.503,0.351,0.168,0.15,0.131,0.114}),"")</f>
        <v>0</v>
      </c>
      <c r="AM15" s="18">
        <f>iferror(if(AK15="",H15,AK15)*AL15,"")</f>
        <v>0</v>
      </c>
      <c r="AN15" s="19" t="s">
        <v>385</v>
      </c>
    </row>
    <row r="16" spans="1:50">
      <c r="A16" s="17" t="s">
        <v>54</v>
      </c>
      <c r="B16" s="17" t="s">
        <v>55</v>
      </c>
      <c r="C16" s="17" t="s">
        <v>56</v>
      </c>
      <c r="E16" s="17" t="s">
        <v>57</v>
      </c>
      <c r="F16" s="17" t="s">
        <v>58</v>
      </c>
      <c r="G16" s="17" t="s">
        <v>59</v>
      </c>
      <c r="H16" s="17">
        <f>BoardQty*1</f>
        <v>0</v>
      </c>
      <c r="I16" s="18">
        <f>MINA(INDIRECT(ADDRESS(ROW(),COLUMN(arrow_part_data)+2)),INDIRECT(ADDRESS(ROW(),COLUMN(digikey_part_data)+2)),INDIRECT(ADDRESS(ROW(),COLUMN(farnell_part_data)+2)),INDIRECT(ADDRESS(ROW(),COLUMN(mouser_part_data)+2)),INDIRECT(ADDRESS(ROW(),COLUMN(newark_part_data)+2)),INDIRECT(ADDRESS(ROW(),COLUMN(rs_part_data)+2)),INDIRECT(ADDRESS(ROW(),COLUMN(tme_part_data)+2)),INDIRECT(ADDRESS(ROW(),COLUMN(lcsc_part_data)+2)))</f>
        <v>0</v>
      </c>
      <c r="J16" s="18">
        <f>iferror(H16*I16,"")</f>
        <v>0</v>
      </c>
      <c r="P16" s="17">
        <v>9187</v>
      </c>
      <c r="R16" s="18">
        <f>iferror(lookup(if(Q16="",H16,Q16),{0,1,10,100,500,1000,2000,8000,16000},{0.0,0.4,0.3,0.17,0.11258,0.08631,0.07505,0.06754,0.06195}),"")</f>
        <v>0</v>
      </c>
      <c r="S16" s="18">
        <f>iferror(if(Q16="",H16,Q16)*R16,"")</f>
        <v>0</v>
      </c>
      <c r="T16" s="19" t="s">
        <v>256</v>
      </c>
      <c r="U16" s="20" t="s">
        <v>249</v>
      </c>
      <c r="W16" s="18">
        <f>iferror(USD_GBP*lookup(if(V16="",H16,V16),{0,1,5,10,100,500,8000},{0.0,0.424,0.424,0.285,0.108,0.0565,0.046}),"")</f>
        <v>0</v>
      </c>
      <c r="X16" s="18">
        <f>iferror(if(V16="",H16,V16)*W16,"")</f>
        <v>0</v>
      </c>
      <c r="Y16" s="19" t="s">
        <v>300</v>
      </c>
      <c r="AE16" s="17">
        <v>25</v>
      </c>
      <c r="AG16" s="18">
        <f>iferror(lookup(if(AF16="",H16,AF16),{0,1,10,50,100,1000,10000},{0.0,0.4,0.283,0.283,0.143,0.087,0.06}),"")</f>
        <v>0</v>
      </c>
      <c r="AH16" s="18">
        <f>iferror(if(AF16="",H16,AF16)*AG16,"")</f>
        <v>0</v>
      </c>
      <c r="AI16" s="19" t="s">
        <v>347</v>
      </c>
      <c r="AJ16" s="20" t="s">
        <v>249</v>
      </c>
      <c r="AL16" s="18">
        <f>iferror(lookup(if(AK16="",H16,AK16),{0,1,5,10,100,8000,24000,64000},{0.0,0.438,0.438,0.308,0.156,0.057,0.055,0.052}),"")</f>
        <v>0</v>
      </c>
      <c r="AM16" s="18">
        <f>iferror(if(AK16="",H16,AK16)*AL16,"")</f>
        <v>0</v>
      </c>
      <c r="AN16" s="19" t="s">
        <v>386</v>
      </c>
    </row>
    <row r="17" spans="1:50">
      <c r="A17" s="17" t="s">
        <v>60</v>
      </c>
      <c r="B17" s="17" t="s">
        <v>61</v>
      </c>
      <c r="C17" s="17" t="s">
        <v>62</v>
      </c>
      <c r="E17" s="17" t="s">
        <v>63</v>
      </c>
      <c r="F17" s="17" t="s">
        <v>64</v>
      </c>
      <c r="G17" s="17" t="s">
        <v>65</v>
      </c>
      <c r="H17" s="17">
        <f>BoardQty*1</f>
        <v>0</v>
      </c>
      <c r="I17" s="18">
        <f>MINA(INDIRECT(ADDRESS(ROW(),COLUMN(arrow_part_data)+2)),INDIRECT(ADDRESS(ROW(),COLUMN(digikey_part_data)+2)),INDIRECT(ADDRESS(ROW(),COLUMN(farnell_part_data)+2)),INDIRECT(ADDRESS(ROW(),COLUMN(mouser_part_data)+2)),INDIRECT(ADDRESS(ROW(),COLUMN(newark_part_data)+2)),INDIRECT(ADDRESS(ROW(),COLUMN(rs_part_data)+2)),INDIRECT(ADDRESS(ROW(),COLUMN(tme_part_data)+2)),INDIRECT(ADDRESS(ROW(),COLUMN(lcsc_part_data)+2)))</f>
        <v>0</v>
      </c>
      <c r="J17" s="18">
        <f>iferror(H17*I17,"")</f>
        <v>0</v>
      </c>
      <c r="P17" s="17">
        <v>3000</v>
      </c>
      <c r="R17" s="18">
        <f>iferror(lookup(if(Q17="",H17,Q17),{0,1,10,100,500,1000,3000,6000},{0.0,0.55,0.474,0.3542,0.2783,0.21505,0.19607,0.19205}),"")</f>
        <v>0</v>
      </c>
      <c r="S17" s="18">
        <f>iferror(if(Q17="",H17,Q17)*R17,"")</f>
        <v>0</v>
      </c>
      <c r="T17" s="19" t="s">
        <v>257</v>
      </c>
      <c r="AE17" s="17">
        <v>2694</v>
      </c>
      <c r="AG17" s="18">
        <f>iferror(lookup(if(AF17="",H17,AF17),{0,1,10,50,100,1000,10000},{0.0,0.5,0.403,0.403,0.288,0.173,0.161}),"")</f>
        <v>0</v>
      </c>
      <c r="AH17" s="18">
        <f>iferror(if(AF17="",H17,AF17)*AG17,"")</f>
        <v>0</v>
      </c>
      <c r="AI17" s="19" t="s">
        <v>348</v>
      </c>
      <c r="AJ17" s="17">
        <v>12000</v>
      </c>
      <c r="AL17" s="18">
        <f>iferror(lookup(if(AK17="",H17,AK17),{0,1,3000,6000,12000,18000,30000},{0.0,0.17,0.17,0.166,0.162,0.158,0.154}),"")</f>
        <v>0</v>
      </c>
      <c r="AM17" s="18">
        <f>iferror(if(AK17="",H17,AK17)*AL17,"")</f>
        <v>0</v>
      </c>
      <c r="AN17" s="19" t="s">
        <v>387</v>
      </c>
      <c r="AO17" s="17">
        <v>10820</v>
      </c>
      <c r="AQ17" s="18">
        <f>iferror(USD_GBP*lookup(if(AP17="",H17,AP17),{0,1,3000,6000,9000},{0.0,0.089,0.089,0.123,0.117}),"")</f>
        <v>0</v>
      </c>
      <c r="AR17" s="18">
        <f>iferror(if(AP17="",H17,AP17)*AQ17,"")</f>
        <v>0</v>
      </c>
      <c r="AS17" s="19" t="s">
        <v>413</v>
      </c>
    </row>
    <row r="18" spans="1:50">
      <c r="A18" s="17" t="s">
        <v>66</v>
      </c>
      <c r="B18" s="17" t="s">
        <v>67</v>
      </c>
      <c r="C18" s="17" t="s">
        <v>68</v>
      </c>
      <c r="E18" s="17" t="s">
        <v>69</v>
      </c>
      <c r="F18" s="17" t="s">
        <v>70</v>
      </c>
      <c r="G18" s="17" t="s">
        <v>71</v>
      </c>
      <c r="H18" s="17">
        <f>BoardQty*1</f>
        <v>0</v>
      </c>
      <c r="I18" s="18">
        <f>MINA(INDIRECT(ADDRESS(ROW(),COLUMN(arrow_part_data)+2)),INDIRECT(ADDRESS(ROW(),COLUMN(digikey_part_data)+2)),INDIRECT(ADDRESS(ROW(),COLUMN(farnell_part_data)+2)),INDIRECT(ADDRESS(ROW(),COLUMN(mouser_part_data)+2)),INDIRECT(ADDRESS(ROW(),COLUMN(newark_part_data)+2)),INDIRECT(ADDRESS(ROW(),COLUMN(rs_part_data)+2)),INDIRECT(ADDRESS(ROW(),COLUMN(tme_part_data)+2)),INDIRECT(ADDRESS(ROW(),COLUMN(lcsc_part_data)+2)))</f>
        <v>0</v>
      </c>
      <c r="J18" s="18">
        <f>iferror(H18*I18,"")</f>
        <v>0</v>
      </c>
      <c r="P18" s="17">
        <v>26831</v>
      </c>
      <c r="R18" s="18">
        <f>iferror(lookup(if(Q18="",H18,Q18),{0,1,10,100,500,1000,2000,5000,10000,25000},{0.0,0.45,0.336,0.209,0.143,0.11,0.099,0.0935,0.08525,0.0835}),"")</f>
        <v>0</v>
      </c>
      <c r="S18" s="18">
        <f>iferror(if(Q18="",H18,Q18)*R18,"")</f>
        <v>0</v>
      </c>
      <c r="T18" s="19" t="s">
        <v>258</v>
      </c>
      <c r="AE18" s="17">
        <v>12339</v>
      </c>
      <c r="AG18" s="18">
        <f>iferror(lookup(if(AF18="",H18,AF18),{0,1,10,50,100,1000,10000},{0.0,0.43,0.305,0.305,0.154,0.095,0.082}),"")</f>
        <v>0</v>
      </c>
      <c r="AH18" s="18">
        <f>iferror(if(AF18="",H18,AF18)*AG18,"")</f>
        <v>0</v>
      </c>
      <c r="AI18" s="19" t="s">
        <v>349</v>
      </c>
      <c r="AO18" s="17">
        <v>4800</v>
      </c>
      <c r="AQ18" s="18">
        <f>iferror(USD_GBP*lookup(if(AP18="",H18,AP18),{0,1,5000},{0.0,0.066,0.066}),"")</f>
        <v>0</v>
      </c>
      <c r="AR18" s="18">
        <f>iferror(if(AP18="",H18,AP18)*AQ18,"")</f>
        <v>0</v>
      </c>
      <c r="AS18" s="19" t="s">
        <v>414</v>
      </c>
    </row>
    <row r="19" spans="1:50">
      <c r="A19" s="17" t="s">
        <v>72</v>
      </c>
      <c r="B19" s="17" t="s">
        <v>73</v>
      </c>
      <c r="C19" s="17" t="s">
        <v>74</v>
      </c>
      <c r="D19" s="17" t="s">
        <v>76</v>
      </c>
      <c r="E19" s="17" t="s">
        <v>73</v>
      </c>
      <c r="F19" s="17" t="s">
        <v>75</v>
      </c>
      <c r="G19" s="17" t="s">
        <v>73</v>
      </c>
      <c r="H19" s="17">
        <f>BoardQty*1</f>
        <v>0</v>
      </c>
      <c r="I19" s="18">
        <f>MINA(INDIRECT(ADDRESS(ROW(),COLUMN(arrow_part_data)+2)),INDIRECT(ADDRESS(ROW(),COLUMN(digikey_part_data)+2)),INDIRECT(ADDRESS(ROW(),COLUMN(farnell_part_data)+2)),INDIRECT(ADDRESS(ROW(),COLUMN(mouser_part_data)+2)),INDIRECT(ADDRESS(ROW(),COLUMN(newark_part_data)+2)),INDIRECT(ADDRESS(ROW(),COLUMN(rs_part_data)+2)),INDIRECT(ADDRESS(ROW(),COLUMN(tme_part_data)+2)),INDIRECT(ADDRESS(ROW(),COLUMN(lcsc_part_data)+2)))</f>
        <v>0</v>
      </c>
      <c r="J19" s="18">
        <f>iferror(H19*I19,"")</f>
        <v>0</v>
      </c>
      <c r="P19" s="17">
        <v>24063</v>
      </c>
      <c r="R19" s="18">
        <f>iferror(lookup(if(Q19="",H19,Q19),{0,1,10,100,1000,2000,6000},{0.0,0.72,0.475,0.3145,0.24282,0.21942,0.207}),"")</f>
        <v>0</v>
      </c>
      <c r="S19" s="18">
        <f>iferror(if(Q19="",H19,Q19)*R19,"")</f>
        <v>0</v>
      </c>
      <c r="T19" s="19" t="s">
        <v>259</v>
      </c>
      <c r="U19" s="20" t="s">
        <v>249</v>
      </c>
      <c r="W19" s="18">
        <f>iferror(USD_GBP*lookup(if(V19="",H19,V19),{0,1,10,100,500},{0.0,0.683,0.451,0.347,0.299}),"")</f>
        <v>0</v>
      </c>
      <c r="X19" s="18">
        <f>iferror(if(V19="",H19,V19)*W19,"")</f>
        <v>0</v>
      </c>
      <c r="Y19" s="19" t="s">
        <v>301</v>
      </c>
      <c r="AE19" s="17">
        <v>28018</v>
      </c>
      <c r="AG19" s="18">
        <f>iferror(lookup(if(AF19="",H19,AF19),{0,1,10,50,100,1000,10000},{0.0,0.68,0.441,0.441,0.289,0.228,0.186}),"")</f>
        <v>0</v>
      </c>
      <c r="AH19" s="18">
        <f>iferror(if(AF19="",H19,AF19)*AG19,"")</f>
        <v>0</v>
      </c>
      <c r="AI19" s="19" t="s">
        <v>350</v>
      </c>
      <c r="AJ19" s="20" t="s">
        <v>249</v>
      </c>
      <c r="AL19" s="18">
        <f>iferror(lookup(if(AK19="",H19,AK19),{0,1,10000},{0.0,0.222,0.222}),"")</f>
        <v>0</v>
      </c>
      <c r="AM19" s="18">
        <f>iferror(if(AK19="",H19,AK19)*AL19,"")</f>
        <v>0</v>
      </c>
      <c r="AN19" s="19" t="s">
        <v>388</v>
      </c>
      <c r="AT19" s="17">
        <v>1979</v>
      </c>
      <c r="AV19" s="18">
        <f>iferror(USD_GBP*lookup(if(AU19="",H19,AU19),{0,1,5,25,100,500},{0.0,0.5821,0.2619,0.2037,0.1732,0.1579}),"")</f>
        <v>0</v>
      </c>
      <c r="AW19" s="18">
        <f>iferror(if(AU19="",H19,AU19)*AV19,"")</f>
        <v>0</v>
      </c>
      <c r="AX19" s="19" t="s">
        <v>425</v>
      </c>
    </row>
    <row r="20" spans="1:50">
      <c r="A20" s="17" t="s">
        <v>77</v>
      </c>
      <c r="B20" s="17" t="s">
        <v>78</v>
      </c>
      <c r="C20" s="17" t="s">
        <v>79</v>
      </c>
      <c r="E20" s="17" t="s">
        <v>80</v>
      </c>
      <c r="F20" s="17" t="s">
        <v>15</v>
      </c>
      <c r="G20" s="17" t="s">
        <v>81</v>
      </c>
      <c r="H20" s="17">
        <f>BoardQty*4</f>
        <v>0</v>
      </c>
      <c r="I20" s="18">
        <f>MINA(INDIRECT(ADDRESS(ROW(),COLUMN(arrow_part_data)+2)),INDIRECT(ADDRESS(ROW(),COLUMN(digikey_part_data)+2)),INDIRECT(ADDRESS(ROW(),COLUMN(farnell_part_data)+2)),INDIRECT(ADDRESS(ROW(),COLUMN(mouser_part_data)+2)),INDIRECT(ADDRESS(ROW(),COLUMN(newark_part_data)+2)),INDIRECT(ADDRESS(ROW(),COLUMN(rs_part_data)+2)),INDIRECT(ADDRESS(ROW(),COLUMN(tme_part_data)+2)),INDIRECT(ADDRESS(ROW(),COLUMN(lcsc_part_data)+2)))</f>
        <v>0</v>
      </c>
      <c r="J20" s="18">
        <f>iferror(H20*I20,"")</f>
        <v>0</v>
      </c>
      <c r="P20" s="17">
        <v>17777</v>
      </c>
      <c r="R20" s="18">
        <f>iferror(lookup(if(Q20="",H20,Q20),{0,1,10,25,50,100,250,500,1000,4000,8000,12000,28000},{0.0,0.1,0.079,0.072,0.0648,0.0475,0.03456,0.03168,0.02736,0.02304,0.02088,0.02016,0.01915}),"")</f>
        <v>0</v>
      </c>
      <c r="S20" s="18">
        <f>iferror(if(Q20="",H20,Q20)*R20,"")</f>
        <v>0</v>
      </c>
      <c r="T20" s="19" t="s">
        <v>260</v>
      </c>
      <c r="U20" s="17">
        <v>163703</v>
      </c>
      <c r="W20" s="18">
        <f>iferror(USD_GBP*lookup(if(V20="",H20,V20),{0,1,10,100,150,500,1000,2000,4000,20000},{0.0,0.0417,0.0417,0.0259,0.0259,0.0186,0.0169,0.0139,0.0124,0.0097}),"")</f>
        <v>0</v>
      </c>
      <c r="X20" s="18">
        <f>iferror(if(V20="",H20,V20)*W20,"")</f>
        <v>0</v>
      </c>
      <c r="Y20" s="19" t="s">
        <v>302</v>
      </c>
      <c r="Z20" s="17">
        <v>57450</v>
      </c>
      <c r="AB20" s="18">
        <f>iferror(lookup(if(AA20="",H20,AA20),{0,1,50,500,1500,5000,25000,50000},{0.0,0.0177,0.0177,0.0137,0.013,0.0122,0.0119,0.0117}),"")</f>
        <v>0</v>
      </c>
      <c r="AC20" s="18">
        <f>iferror(if(AA20="",H20,AA20)*AB20,"")</f>
        <v>0</v>
      </c>
      <c r="AD20" s="19" t="s">
        <v>331</v>
      </c>
      <c r="AE20" s="17">
        <v>10237</v>
      </c>
      <c r="AG20" s="18">
        <f>iferror(lookup(if(AF20="",H20,AF20),{0,1,10,50,100,1000,10000},{0.0,0.1,0.052,0.052,0.035,0.025,0.02}),"")</f>
        <v>0</v>
      </c>
      <c r="AH20" s="18">
        <f>iferror(if(AF20="",H20,AF20)*AG20,"")</f>
        <v>0</v>
      </c>
      <c r="AI20" s="19" t="s">
        <v>351</v>
      </c>
      <c r="AJ20" s="17">
        <v>51036</v>
      </c>
      <c r="AL20" s="18">
        <f>iferror(lookup(if(AK20="",H20,AK20),{0,1,10,25,50,100},{0.0,0.1,0.052,0.046,0.041,0.035}),"")</f>
        <v>0</v>
      </c>
      <c r="AM20" s="18">
        <f>iferror(if(AK20="",H20,AK20)*AL20,"")</f>
        <v>0</v>
      </c>
      <c r="AN20" s="19" t="s">
        <v>389</v>
      </c>
      <c r="AO20" s="17">
        <v>9700</v>
      </c>
      <c r="AQ20" s="18">
        <f>iferror(USD_GBP*lookup(if(AP20="",H20,AP20),{0,1,100,1000,2000,5000,10000},{0.0,0.025,0.025,0.021,0.019,0.016,0.015}),"")</f>
        <v>0</v>
      </c>
      <c r="AR20" s="18">
        <f>iferror(if(AP20="",H20,AP20)*AQ20,"")</f>
        <v>0</v>
      </c>
      <c r="AS20" s="19" t="s">
        <v>415</v>
      </c>
      <c r="AT20" s="17">
        <v>41150</v>
      </c>
      <c r="AV20" s="18">
        <f>iferror(USD_GBP*lookup(if(AU20="",H20,AU20),{0,1,50,250,1000,4000,12000},{0.0,0.02148,0.02148,0.01499,0.01126,0.00953,0.00944}),"")</f>
        <v>0</v>
      </c>
      <c r="AW20" s="18">
        <f>iferror(if(AU20="",H20,AU20)*AV20,"")</f>
        <v>0</v>
      </c>
      <c r="AX20" s="19" t="s">
        <v>81</v>
      </c>
    </row>
    <row r="21" spans="1:50">
      <c r="A21" s="17" t="s">
        <v>82</v>
      </c>
      <c r="B21" s="17" t="s">
        <v>83</v>
      </c>
      <c r="C21" s="17" t="s">
        <v>84</v>
      </c>
      <c r="E21" s="17" t="s">
        <v>85</v>
      </c>
      <c r="F21" s="17" t="s">
        <v>86</v>
      </c>
      <c r="G21" s="17" t="s">
        <v>87</v>
      </c>
      <c r="H21" s="17">
        <f>BoardQty*1</f>
        <v>0</v>
      </c>
      <c r="I21" s="18">
        <f>MINA(INDIRECT(ADDRESS(ROW(),COLUMN(arrow_part_data)+2)),INDIRECT(ADDRESS(ROW(),COLUMN(digikey_part_data)+2)),INDIRECT(ADDRESS(ROW(),COLUMN(farnell_part_data)+2)),INDIRECT(ADDRESS(ROW(),COLUMN(mouser_part_data)+2)),INDIRECT(ADDRESS(ROW(),COLUMN(newark_part_data)+2)),INDIRECT(ADDRESS(ROW(),COLUMN(rs_part_data)+2)),INDIRECT(ADDRESS(ROW(),COLUMN(tme_part_data)+2)),INDIRECT(ADDRESS(ROW(),COLUMN(lcsc_part_data)+2)))</f>
        <v>0</v>
      </c>
      <c r="J21" s="18">
        <f>iferror(H21*I21,"")</f>
        <v>0</v>
      </c>
      <c r="P21" s="17">
        <v>11</v>
      </c>
      <c r="R21" s="18">
        <f>iferror(lookup(if(Q21="",H21,Q21),{0,1,10,25,50,100,250,500,1300,2600,6500,9100},{0.0,1.96,1.782,1.6724,1.5998,1.5271,1.38168,1.2726,1.0908,1.01808,0.96718,0.94536}),"")</f>
        <v>0</v>
      </c>
      <c r="S21" s="18">
        <f>iferror(if(Q21="",H21,Q21)*R21,"")</f>
        <v>0</v>
      </c>
      <c r="T21" s="19" t="s">
        <v>261</v>
      </c>
      <c r="AE21" s="17">
        <v>650</v>
      </c>
      <c r="AG21" s="18">
        <f>iferror(lookup(if(AF21="",H21,AF21),{0,1,10,50,100,1000,10000},{0.0,2.07,1.68,1.68,1.61,1.34,1.07}),"")</f>
        <v>0</v>
      </c>
      <c r="AH21" s="18">
        <f>iferror(if(AF21="",H21,AF21)*AG21,"")</f>
        <v>0</v>
      </c>
      <c r="AI21" s="19" t="s">
        <v>352</v>
      </c>
    </row>
    <row r="22" spans="1:50">
      <c r="A22" s="17" t="s">
        <v>88</v>
      </c>
      <c r="B22" s="17" t="s">
        <v>89</v>
      </c>
      <c r="C22" s="17" t="s">
        <v>90</v>
      </c>
      <c r="E22" s="17" t="s">
        <v>91</v>
      </c>
      <c r="F22" s="17" t="s">
        <v>92</v>
      </c>
      <c r="G22" s="17" t="s">
        <v>93</v>
      </c>
      <c r="H22" s="17">
        <f>BoardQty*1</f>
        <v>0</v>
      </c>
      <c r="I22" s="18">
        <f>MINA(INDIRECT(ADDRESS(ROW(),COLUMN(arrow_part_data)+2)),INDIRECT(ADDRESS(ROW(),COLUMN(digikey_part_data)+2)),INDIRECT(ADDRESS(ROW(),COLUMN(farnell_part_data)+2)),INDIRECT(ADDRESS(ROW(),COLUMN(mouser_part_data)+2)),INDIRECT(ADDRESS(ROW(),COLUMN(newark_part_data)+2)),INDIRECT(ADDRESS(ROW(),COLUMN(rs_part_data)+2)),INDIRECT(ADDRESS(ROW(),COLUMN(tme_part_data)+2)),INDIRECT(ADDRESS(ROW(),COLUMN(lcsc_part_data)+2)))</f>
        <v>0</v>
      </c>
      <c r="J22" s="18">
        <f>iferror(H22*I22,"")</f>
        <v>0</v>
      </c>
      <c r="P22" s="17">
        <v>19980</v>
      </c>
      <c r="R22" s="18">
        <f>iferror(lookup(if(Q22="",H22,Q22),{0,1,10,100,500,1000,5000,10000},{0.0,0.48,0.448,0.3436,0.2988,0.24651,0.21663,0.20169}),"")</f>
        <v>0</v>
      </c>
      <c r="S22" s="18">
        <f>iferror(if(Q22="",H22,Q22)*R22,"")</f>
        <v>0</v>
      </c>
      <c r="T22" s="19" t="s">
        <v>262</v>
      </c>
    </row>
    <row r="23" spans="1:50">
      <c r="A23" s="17" t="s">
        <v>94</v>
      </c>
      <c r="B23" s="17" t="s">
        <v>95</v>
      </c>
      <c r="C23" s="17" t="s">
        <v>96</v>
      </c>
      <c r="E23" s="17" t="s">
        <v>97</v>
      </c>
      <c r="F23" s="17" t="s">
        <v>92</v>
      </c>
      <c r="G23" s="17" t="s">
        <v>98</v>
      </c>
      <c r="H23" s="17">
        <f>BoardQty*2</f>
        <v>0</v>
      </c>
      <c r="I23" s="18">
        <f>MINA(INDIRECT(ADDRESS(ROW(),COLUMN(arrow_part_data)+2)),INDIRECT(ADDRESS(ROW(),COLUMN(digikey_part_data)+2)),INDIRECT(ADDRESS(ROW(),COLUMN(farnell_part_data)+2)),INDIRECT(ADDRESS(ROW(),COLUMN(mouser_part_data)+2)),INDIRECT(ADDRESS(ROW(),COLUMN(newark_part_data)+2)),INDIRECT(ADDRESS(ROW(),COLUMN(rs_part_data)+2)),INDIRECT(ADDRESS(ROW(),COLUMN(tme_part_data)+2)),INDIRECT(ADDRESS(ROW(),COLUMN(lcsc_part_data)+2)))</f>
        <v>0</v>
      </c>
      <c r="J23" s="18">
        <f>iferror(H23*I23,"")</f>
        <v>0</v>
      </c>
      <c r="P23" s="17">
        <v>1252</v>
      </c>
      <c r="R23" s="18">
        <f>iferror(lookup(if(Q23="",H23,Q23),{0,1,10,25,50,100,250,500},{0.0,0.5,0.464,0.418,0.3716,0.356,0.32508,0.3096}),"")</f>
        <v>0</v>
      </c>
      <c r="S23" s="18">
        <f>iferror(if(Q23="",H23,Q23)*R23,"")</f>
        <v>0</v>
      </c>
      <c r="T23" s="19" t="s">
        <v>263</v>
      </c>
    </row>
    <row r="24" spans="1:50">
      <c r="A24" s="17" t="s">
        <v>99</v>
      </c>
      <c r="B24" s="17" t="s">
        <v>95</v>
      </c>
      <c r="C24" s="17" t="s">
        <v>100</v>
      </c>
      <c r="E24" s="17" t="s">
        <v>101</v>
      </c>
      <c r="F24" s="17" t="s">
        <v>92</v>
      </c>
      <c r="G24" s="17" t="s">
        <v>102</v>
      </c>
      <c r="H24" s="17">
        <f>BoardQty*3</f>
        <v>0</v>
      </c>
      <c r="I24" s="18">
        <f>MINA(INDIRECT(ADDRESS(ROW(),COLUMN(arrow_part_data)+2)),INDIRECT(ADDRESS(ROW(),COLUMN(digikey_part_data)+2)),INDIRECT(ADDRESS(ROW(),COLUMN(farnell_part_data)+2)),INDIRECT(ADDRESS(ROW(),COLUMN(mouser_part_data)+2)),INDIRECT(ADDRESS(ROW(),COLUMN(newark_part_data)+2)),INDIRECT(ADDRESS(ROW(),COLUMN(rs_part_data)+2)),INDIRECT(ADDRESS(ROW(),COLUMN(tme_part_data)+2)),INDIRECT(ADDRESS(ROW(),COLUMN(lcsc_part_data)+2)))</f>
        <v>0</v>
      </c>
      <c r="J24" s="18">
        <f>iferror(H24*I24,"")</f>
        <v>0</v>
      </c>
      <c r="P24" s="17">
        <v>2227</v>
      </c>
      <c r="R24" s="18">
        <f>iferror(lookup(if(Q24="",H24,Q24),{0,1,10,25,50,100,250,500},{0.0,0.67,0.628,0.5652,0.5026,0.4816,0.43976,0.4188}),"")</f>
        <v>0</v>
      </c>
      <c r="S24" s="18">
        <f>iferror(if(Q24="",H24,Q24)*R24,"")</f>
        <v>0</v>
      </c>
      <c r="T24" s="19" t="s">
        <v>264</v>
      </c>
    </row>
    <row r="25" spans="1:50">
      <c r="A25" s="17" t="s">
        <v>103</v>
      </c>
      <c r="B25" s="17" t="s">
        <v>104</v>
      </c>
      <c r="C25" s="17" t="s">
        <v>105</v>
      </c>
      <c r="E25" s="17" t="s">
        <v>106</v>
      </c>
      <c r="F25" s="17" t="s">
        <v>52</v>
      </c>
      <c r="G25" s="17" t="s">
        <v>107</v>
      </c>
      <c r="H25" s="17">
        <f>BoardQty*1</f>
        <v>0</v>
      </c>
      <c r="I25" s="18">
        <f>MINA(INDIRECT(ADDRESS(ROW(),COLUMN(arrow_part_data)+2)),INDIRECT(ADDRESS(ROW(),COLUMN(digikey_part_data)+2)),INDIRECT(ADDRESS(ROW(),COLUMN(farnell_part_data)+2)),INDIRECT(ADDRESS(ROW(),COLUMN(mouser_part_data)+2)),INDIRECT(ADDRESS(ROW(),COLUMN(newark_part_data)+2)),INDIRECT(ADDRESS(ROW(),COLUMN(rs_part_data)+2)),INDIRECT(ADDRESS(ROW(),COLUMN(tme_part_data)+2)),INDIRECT(ADDRESS(ROW(),COLUMN(lcsc_part_data)+2)))</f>
        <v>0</v>
      </c>
      <c r="J25" s="18">
        <f>iferror(H25*I25,"")</f>
        <v>0</v>
      </c>
      <c r="P25" s="20" t="s">
        <v>249</v>
      </c>
      <c r="R25" s="18">
        <f>iferror(lookup(if(Q25="",H25,Q25),{0,1,10000},{0.0,0.0302,0.0302}),"")</f>
        <v>0</v>
      </c>
      <c r="S25" s="18">
        <f>iferror(if(Q25="",H25,Q25)*R25,"")</f>
        <v>0</v>
      </c>
      <c r="T25" s="19" t="s">
        <v>265</v>
      </c>
      <c r="AE25" s="17">
        <v>10000</v>
      </c>
      <c r="AG25" s="18">
        <f>iferror(lookup(if(AF25="",H25,AF25),{0,1,10,50,100,1000,10000},{0.0,0.35,0.243,0.243,0.102,0.069,0.046}),"")</f>
        <v>0</v>
      </c>
      <c r="AH25" s="18">
        <f>iferror(if(AF25="",H25,AF25)*AG25,"")</f>
        <v>0</v>
      </c>
      <c r="AI25" s="19" t="s">
        <v>353</v>
      </c>
    </row>
    <row r="26" spans="1:50">
      <c r="A26" s="17" t="s">
        <v>108</v>
      </c>
      <c r="B26" s="17" t="s">
        <v>109</v>
      </c>
      <c r="C26" s="17" t="s">
        <v>110</v>
      </c>
      <c r="E26" s="17" t="s">
        <v>111</v>
      </c>
      <c r="F26" s="17" t="s">
        <v>112</v>
      </c>
      <c r="G26" s="17" t="s">
        <v>113</v>
      </c>
      <c r="H26" s="17">
        <f>BoardQty*1</f>
        <v>0</v>
      </c>
      <c r="I26" s="18">
        <f>MINA(INDIRECT(ADDRESS(ROW(),COLUMN(arrow_part_data)+2)),INDIRECT(ADDRESS(ROW(),COLUMN(digikey_part_data)+2)),INDIRECT(ADDRESS(ROW(),COLUMN(farnell_part_data)+2)),INDIRECT(ADDRESS(ROW(),COLUMN(mouser_part_data)+2)),INDIRECT(ADDRESS(ROW(),COLUMN(newark_part_data)+2)),INDIRECT(ADDRESS(ROW(),COLUMN(rs_part_data)+2)),INDIRECT(ADDRESS(ROW(),COLUMN(tme_part_data)+2)),INDIRECT(ADDRESS(ROW(),COLUMN(lcsc_part_data)+2)))</f>
        <v>0</v>
      </c>
      <c r="J26" s="18">
        <f>iferror(H26*I26,"")</f>
        <v>0</v>
      </c>
      <c r="P26" s="17">
        <v>17070</v>
      </c>
      <c r="R26" s="18">
        <f>iferror(lookup(if(Q26="",H26,Q26),{0,1,10,100,1000,2500,5000,15000},{0.0,0.1,0.053,0.0217,0.00975,0.00846,0.00699,0.00607}),"")</f>
        <v>0</v>
      </c>
      <c r="S26" s="18">
        <f>iferror(if(Q26="",H26,Q26)*R26,"")</f>
        <v>0</v>
      </c>
      <c r="T26" s="19" t="s">
        <v>266</v>
      </c>
      <c r="U26" s="20" t="s">
        <v>249</v>
      </c>
      <c r="W26" s="18">
        <f>iferror(USD_GBP*lookup(if(V26="",H26,V26),{0,1,30000},{0.0,0.0056,0.0056}),"")</f>
        <v>0</v>
      </c>
      <c r="X26" s="18">
        <f>iferror(if(V26="",H26,V26)*W26,"")</f>
        <v>0</v>
      </c>
      <c r="Y26" s="19" t="s">
        <v>303</v>
      </c>
      <c r="AE26" s="17">
        <v>63797</v>
      </c>
      <c r="AG26" s="18">
        <f>iferror(lookup(if(AF26="",H26,AF26),{0,1,10,50,100,1000,10000},{0.0,0.1,0.051,0.051,0.02,0.009,0.005}),"")</f>
        <v>0</v>
      </c>
      <c r="AH26" s="18">
        <f>iferror(if(AF26="",H26,AF26)*AG26,"")</f>
        <v>0</v>
      </c>
      <c r="AI26" s="19" t="s">
        <v>354</v>
      </c>
    </row>
    <row r="27" spans="1:50">
      <c r="A27" s="17" t="s">
        <v>114</v>
      </c>
      <c r="B27" s="17" t="s">
        <v>115</v>
      </c>
      <c r="C27" s="17" t="s">
        <v>116</v>
      </c>
      <c r="E27" s="17" t="s">
        <v>111</v>
      </c>
      <c r="F27" s="17" t="s">
        <v>112</v>
      </c>
      <c r="G27" s="17" t="s">
        <v>117</v>
      </c>
      <c r="H27" s="17">
        <f>BoardQty*2</f>
        <v>0</v>
      </c>
      <c r="I27" s="18">
        <f>MINA(INDIRECT(ADDRESS(ROW(),COLUMN(arrow_part_data)+2)),INDIRECT(ADDRESS(ROW(),COLUMN(digikey_part_data)+2)),INDIRECT(ADDRESS(ROW(),COLUMN(farnell_part_data)+2)),INDIRECT(ADDRESS(ROW(),COLUMN(mouser_part_data)+2)),INDIRECT(ADDRESS(ROW(),COLUMN(newark_part_data)+2)),INDIRECT(ADDRESS(ROW(),COLUMN(rs_part_data)+2)),INDIRECT(ADDRESS(ROW(),COLUMN(tme_part_data)+2)),INDIRECT(ADDRESS(ROW(),COLUMN(lcsc_part_data)+2)))</f>
        <v>0</v>
      </c>
      <c r="J27" s="18">
        <f>iferror(H27*I27,"")</f>
        <v>0</v>
      </c>
      <c r="P27" s="17">
        <v>151</v>
      </c>
      <c r="R27" s="18">
        <f>iferror(lookup(if(Q27="",H27,Q27),{0,1,10,100,1000,2500,5000,15000},{0.0,0.1,0.028,0.0115,0.00518,0.0045,0.00371,0.00323}),"")</f>
        <v>0</v>
      </c>
      <c r="S27" s="18">
        <f>iferror(if(Q27="",H27,Q27)*R27,"")</f>
        <v>0</v>
      </c>
      <c r="T27" s="19" t="s">
        <v>267</v>
      </c>
      <c r="U27" s="20" t="s">
        <v>249</v>
      </c>
      <c r="W27" s="18">
        <f>iferror(USD_GBP*lookup(if(V27="",H27,V27),{0,1,30000},{0.0,0.0046,0.0046}),"")</f>
        <v>0</v>
      </c>
      <c r="X27" s="18">
        <f>iferror(if(V27="",H27,V27)*W27,"")</f>
        <v>0</v>
      </c>
      <c r="Y27" s="19" t="s">
        <v>304</v>
      </c>
      <c r="Z27" s="17">
        <v>14500</v>
      </c>
      <c r="AB27" s="18">
        <f>iferror(lookup(if(AA27="",H27,AA27),{0,1,50,500,1500,5000,25000,50000},{0.0,0.0063,0.0063,0.0048,0.0045,0.0042,0.0041,0.004}),"")</f>
        <v>0</v>
      </c>
      <c r="AC27" s="18">
        <f>iferror(if(AA27="",H27,AA27)*AB27,"")</f>
        <v>0</v>
      </c>
      <c r="AD27" s="19" t="s">
        <v>332</v>
      </c>
      <c r="AE27" s="17">
        <v>39833</v>
      </c>
      <c r="AG27" s="18">
        <f>iferror(lookup(if(AF27="",H27,AF27),{0,1,10,50,100,1000,10000},{0.0,0.1,0.028,0.028,0.012,0.006,0.003}),"")</f>
        <v>0</v>
      </c>
      <c r="AH27" s="18">
        <f>iferror(if(AF27="",H27,AF27)*AG27,"")</f>
        <v>0</v>
      </c>
      <c r="AI27" s="19" t="s">
        <v>355</v>
      </c>
      <c r="AJ27" s="20" t="s">
        <v>249</v>
      </c>
      <c r="AL27" s="18">
        <f>iferror(lookup(if(AK27="",H27,AK27),{0,1,135000},{0.0,0.004,0.004}),"")</f>
        <v>0</v>
      </c>
      <c r="AM27" s="18">
        <f>iferror(if(AK27="",H27,AK27)*AL27,"")</f>
        <v>0</v>
      </c>
      <c r="AN27" s="19" t="s">
        <v>390</v>
      </c>
      <c r="AO27" s="17">
        <v>22000</v>
      </c>
      <c r="AQ27" s="18">
        <f>iferror(USD_GBP*lookup(if(AP27="",H27,AP27),{0,1,15000},{0.0,0.004,0.004}),"")</f>
        <v>0</v>
      </c>
      <c r="AR27" s="18">
        <f>iferror(if(AP27="",H27,AP27)*AQ27,"")</f>
        <v>0</v>
      </c>
      <c r="AS27" s="19" t="s">
        <v>416</v>
      </c>
    </row>
    <row r="28" spans="1:50">
      <c r="A28" s="17" t="s">
        <v>118</v>
      </c>
      <c r="B28" s="17" t="s">
        <v>119</v>
      </c>
      <c r="C28" s="17" t="s">
        <v>120</v>
      </c>
      <c r="E28" s="17" t="s">
        <v>111</v>
      </c>
      <c r="F28" s="17" t="s">
        <v>112</v>
      </c>
      <c r="G28" s="17" t="s">
        <v>121</v>
      </c>
      <c r="H28" s="17">
        <f>BoardQty*5</f>
        <v>0</v>
      </c>
      <c r="I28" s="18">
        <f>MINA(INDIRECT(ADDRESS(ROW(),COLUMN(arrow_part_data)+2)),INDIRECT(ADDRESS(ROW(),COLUMN(digikey_part_data)+2)),INDIRECT(ADDRESS(ROW(),COLUMN(farnell_part_data)+2)),INDIRECT(ADDRESS(ROW(),COLUMN(mouser_part_data)+2)),INDIRECT(ADDRESS(ROW(),COLUMN(newark_part_data)+2)),INDIRECT(ADDRESS(ROW(),COLUMN(rs_part_data)+2)),INDIRECT(ADDRESS(ROW(),COLUMN(tme_part_data)+2)),INDIRECT(ADDRESS(ROW(),COLUMN(lcsc_part_data)+2)))</f>
        <v>0</v>
      </c>
      <c r="J28" s="18">
        <f>iferror(H28*I28,"")</f>
        <v>0</v>
      </c>
      <c r="P28" s="17">
        <v>6335</v>
      </c>
      <c r="R28" s="18">
        <f>iferror(lookup(if(Q28="",H28,Q28),{0,1,10,100,1000,2500,5000,15000},{0.0,0.1,0.028,0.0115,0.00518,0.0045,0.00371,0.00323}),"")</f>
        <v>0</v>
      </c>
      <c r="S28" s="18">
        <f>iferror(if(Q28="",H28,Q28)*R28,"")</f>
        <v>0</v>
      </c>
      <c r="T28" s="19" t="s">
        <v>268</v>
      </c>
      <c r="U28" s="20" t="s">
        <v>249</v>
      </c>
      <c r="W28" s="18">
        <f>iferror(USD_GBP*lookup(if(V28="",H28,V28),{0,1,10,100,150,500,2500,7500,15000,75000},{0.0,0.04,0.04,0.024,0.024,0.018,0.012,0.009,0.007,0.0046}),"")</f>
        <v>0</v>
      </c>
      <c r="X28" s="18">
        <f>iferror(if(V28="",H28,V28)*W28,"")</f>
        <v>0</v>
      </c>
      <c r="Y28" s="19" t="s">
        <v>305</v>
      </c>
      <c r="AE28" s="20" t="s">
        <v>249</v>
      </c>
      <c r="AG28" s="18">
        <f>iferror(lookup(if(AF28="",H28,AF28),{0,1,10,50,100,1000,10000},{0.0,0.1,0.028,0.028,0.012,0.006,0.004}),"")</f>
        <v>0</v>
      </c>
      <c r="AH28" s="18">
        <f>iferror(if(AF28="",H28,AF28)*AG28,"")</f>
        <v>0</v>
      </c>
      <c r="AI28" s="19" t="s">
        <v>356</v>
      </c>
      <c r="AJ28" s="20" t="s">
        <v>249</v>
      </c>
      <c r="AL28" s="18">
        <f>iferror(lookup(if(AK28="",H28,AK28),{0,1,135000},{0.0,0.004,0.004}),"")</f>
        <v>0</v>
      </c>
      <c r="AM28" s="18">
        <f>iferror(if(AK28="",H28,AK28)*AL28,"")</f>
        <v>0</v>
      </c>
      <c r="AN28" s="19" t="s">
        <v>391</v>
      </c>
      <c r="AO28" s="17">
        <v>24000</v>
      </c>
      <c r="AQ28" s="18">
        <f>iferror(USD_GBP*lookup(if(AP28="",H28,AP28),{0,1,15000},{0.0,0.004,0.004}),"")</f>
        <v>0</v>
      </c>
      <c r="AR28" s="18">
        <f>iferror(if(AP28="",H28,AP28)*AQ28,"")</f>
        <v>0</v>
      </c>
      <c r="AS28" s="19" t="s">
        <v>417</v>
      </c>
    </row>
    <row r="29" spans="1:50">
      <c r="A29" s="17" t="s">
        <v>122</v>
      </c>
      <c r="B29" s="17" t="s">
        <v>123</v>
      </c>
      <c r="C29" s="17" t="s">
        <v>124</v>
      </c>
      <c r="E29" s="17" t="s">
        <v>111</v>
      </c>
      <c r="F29" s="17" t="s">
        <v>112</v>
      </c>
      <c r="G29" s="17" t="s">
        <v>125</v>
      </c>
      <c r="H29" s="17">
        <f>BoardQty*1</f>
        <v>0</v>
      </c>
      <c r="I29" s="18">
        <f>MINA(INDIRECT(ADDRESS(ROW(),COLUMN(arrow_part_data)+2)),INDIRECT(ADDRESS(ROW(),COLUMN(digikey_part_data)+2)),INDIRECT(ADDRESS(ROW(),COLUMN(farnell_part_data)+2)),INDIRECT(ADDRESS(ROW(),COLUMN(mouser_part_data)+2)),INDIRECT(ADDRESS(ROW(),COLUMN(newark_part_data)+2)),INDIRECT(ADDRESS(ROW(),COLUMN(rs_part_data)+2)),INDIRECT(ADDRESS(ROW(),COLUMN(tme_part_data)+2)),INDIRECT(ADDRESS(ROW(),COLUMN(lcsc_part_data)+2)))</f>
        <v>0</v>
      </c>
      <c r="J29" s="18">
        <f>iferror(H29*I29,"")</f>
        <v>0</v>
      </c>
      <c r="P29" s="17">
        <v>404709</v>
      </c>
      <c r="R29" s="18">
        <f>iferror(lookup(if(Q29="",H29,Q29),{0,1,10,100,1000,2500,5000,15000},{0.0,0.1,0.028,0.0115,0.00518,0.0045,0.00371,0.00323}),"")</f>
        <v>0</v>
      </c>
      <c r="S29" s="18">
        <f>iferror(if(Q29="",H29,Q29)*R29,"")</f>
        <v>0</v>
      </c>
      <c r="T29" s="19" t="s">
        <v>269</v>
      </c>
      <c r="U29" s="20" t="s">
        <v>249</v>
      </c>
      <c r="W29" s="18">
        <f>iferror(USD_GBP*lookup(if(V29="",H29,V29),{0,1,30000},{0.0,0.0046,0.0046}),"")</f>
        <v>0</v>
      </c>
      <c r="X29" s="18">
        <f>iferror(if(V29="",H29,V29)*W29,"")</f>
        <v>0</v>
      </c>
      <c r="Y29" s="19" t="s">
        <v>306</v>
      </c>
      <c r="Z29" s="17">
        <v>14550</v>
      </c>
      <c r="AB29" s="18">
        <f>iferror(lookup(if(AA29="",H29,AA29),{0,1,50,500,1500,5000,25000,50000},{0.0,0.0063,0.0063,0.0048,0.0045,0.0042,0.0041,0.004}),"")</f>
        <v>0</v>
      </c>
      <c r="AC29" s="18">
        <f>iferror(if(AA29="",H29,AA29)*AB29,"")</f>
        <v>0</v>
      </c>
      <c r="AD29" s="19" t="s">
        <v>333</v>
      </c>
      <c r="AE29" s="17">
        <v>60554</v>
      </c>
      <c r="AG29" s="18">
        <f>iferror(lookup(if(AF29="",H29,AF29),{0,1,10,50,100,1000,10000},{0.0,0.1,0.025,0.025,0.008,0.005,0.003}),"")</f>
        <v>0</v>
      </c>
      <c r="AH29" s="18">
        <f>iferror(if(AF29="",H29,AF29)*AG29,"")</f>
        <v>0</v>
      </c>
      <c r="AI29" s="19" t="s">
        <v>357</v>
      </c>
      <c r="AJ29" s="20" t="s">
        <v>249</v>
      </c>
      <c r="AN29" s="19" t="s">
        <v>392</v>
      </c>
    </row>
    <row r="30" spans="1:50">
      <c r="A30" s="17" t="s">
        <v>126</v>
      </c>
      <c r="B30" s="17" t="s">
        <v>127</v>
      </c>
      <c r="C30" s="17" t="s">
        <v>128</v>
      </c>
      <c r="E30" s="17" t="s">
        <v>111</v>
      </c>
      <c r="F30" s="17" t="s">
        <v>112</v>
      </c>
      <c r="G30" s="17" t="s">
        <v>129</v>
      </c>
      <c r="H30" s="17">
        <f>BoardQty*2</f>
        <v>0</v>
      </c>
      <c r="I30" s="18">
        <f>MINA(INDIRECT(ADDRESS(ROW(),COLUMN(arrow_part_data)+2)),INDIRECT(ADDRESS(ROW(),COLUMN(digikey_part_data)+2)),INDIRECT(ADDRESS(ROW(),COLUMN(farnell_part_data)+2)),INDIRECT(ADDRESS(ROW(),COLUMN(mouser_part_data)+2)),INDIRECT(ADDRESS(ROW(),COLUMN(newark_part_data)+2)),INDIRECT(ADDRESS(ROW(),COLUMN(rs_part_data)+2)),INDIRECT(ADDRESS(ROW(),COLUMN(tme_part_data)+2)),INDIRECT(ADDRESS(ROW(),COLUMN(lcsc_part_data)+2)))</f>
        <v>0</v>
      </c>
      <c r="J30" s="18">
        <f>iferror(H30*I30,"")</f>
        <v>0</v>
      </c>
      <c r="P30" s="17">
        <v>73539</v>
      </c>
      <c r="R30" s="18">
        <f>iferror(lookup(if(Q30="",H30,Q30),{0,1,10,100,1000,2500,5000,15000},{0.0,0.1,0.028,0.0115,0.00518,0.0045,0.00371,0.00323}),"")</f>
        <v>0</v>
      </c>
      <c r="S30" s="18">
        <f>iferror(if(Q30="",H30,Q30)*R30,"")</f>
        <v>0</v>
      </c>
      <c r="T30" s="19" t="s">
        <v>270</v>
      </c>
      <c r="U30" s="20" t="s">
        <v>249</v>
      </c>
      <c r="W30" s="18">
        <f>iferror(USD_GBP*lookup(if(V30="",H30,V30),{0,1,30000},{0.0,0.0046,0.0046}),"")</f>
        <v>0</v>
      </c>
      <c r="X30" s="18">
        <f>iferror(if(V30="",H30,V30)*W30,"")</f>
        <v>0</v>
      </c>
      <c r="Y30" s="19" t="s">
        <v>307</v>
      </c>
      <c r="AE30" s="17">
        <v>27831</v>
      </c>
      <c r="AG30" s="18">
        <f>iferror(lookup(if(AF30="",H30,AF30),{0,1,10,50,100,1000,10000},{0.0,0.1,0.025,0.025,0.008,0.005,0.003}),"")</f>
        <v>0</v>
      </c>
      <c r="AH30" s="18">
        <f>iferror(if(AF30="",H30,AF30)*AG30,"")</f>
        <v>0</v>
      </c>
      <c r="AI30" s="19" t="s">
        <v>358</v>
      </c>
      <c r="AJ30" s="20" t="s">
        <v>249</v>
      </c>
      <c r="AL30" s="18">
        <f>iferror(lookup(if(AK30="",H30,AK30),{0,1,15000,30000},{0.0,0.005,0.005,0.004}),"")</f>
        <v>0</v>
      </c>
      <c r="AM30" s="18">
        <f>iferror(if(AK30="",H30,AK30)*AL30,"")</f>
        <v>0</v>
      </c>
      <c r="AN30" s="19" t="s">
        <v>393</v>
      </c>
      <c r="AO30" s="17">
        <v>38000</v>
      </c>
      <c r="AQ30" s="18">
        <f>iferror(USD_GBP*lookup(if(AP30="",H30,AP30),{0,1,15000},{0.0,0.004,0.004}),"")</f>
        <v>0</v>
      </c>
      <c r="AR30" s="18">
        <f>iferror(if(AP30="",H30,AP30)*AQ30,"")</f>
        <v>0</v>
      </c>
      <c r="AS30" s="19" t="s">
        <v>418</v>
      </c>
    </row>
    <row r="31" spans="1:50">
      <c r="A31" s="17" t="s">
        <v>130</v>
      </c>
      <c r="B31" s="17" t="s">
        <v>131</v>
      </c>
      <c r="C31" s="17" t="s">
        <v>132</v>
      </c>
      <c r="E31" s="17" t="s">
        <v>111</v>
      </c>
      <c r="F31" s="17" t="s">
        <v>112</v>
      </c>
      <c r="G31" s="17" t="s">
        <v>133</v>
      </c>
      <c r="H31" s="17">
        <f>BoardQty*4</f>
        <v>0</v>
      </c>
      <c r="I31" s="18">
        <f>MINA(INDIRECT(ADDRESS(ROW(),COLUMN(arrow_part_data)+2)),INDIRECT(ADDRESS(ROW(),COLUMN(digikey_part_data)+2)),INDIRECT(ADDRESS(ROW(),COLUMN(farnell_part_data)+2)),INDIRECT(ADDRESS(ROW(),COLUMN(mouser_part_data)+2)),INDIRECT(ADDRESS(ROW(),COLUMN(newark_part_data)+2)),INDIRECT(ADDRESS(ROW(),COLUMN(rs_part_data)+2)),INDIRECT(ADDRESS(ROW(),COLUMN(tme_part_data)+2)),INDIRECT(ADDRESS(ROW(),COLUMN(lcsc_part_data)+2)))</f>
        <v>0</v>
      </c>
      <c r="J31" s="18">
        <f>iferror(H31*I31,"")</f>
        <v>0</v>
      </c>
      <c r="P31" s="17">
        <v>13574</v>
      </c>
      <c r="R31" s="18">
        <f>iferror(lookup(if(Q31="",H31,Q31),{0,1,10,100,1000,2500,5000,15000},{0.0,0.1,0.028,0.0115,0.00518,0.0045,0.00371,0.00323}),"")</f>
        <v>0</v>
      </c>
      <c r="S31" s="18">
        <f>iferror(if(Q31="",H31,Q31)*R31,"")</f>
        <v>0</v>
      </c>
      <c r="T31" s="19" t="s">
        <v>271</v>
      </c>
      <c r="U31" s="20" t="s">
        <v>249</v>
      </c>
      <c r="W31" s="18">
        <f>iferror(USD_GBP*lookup(if(V31="",H31,V31),{0,1,30000},{0.0,0.0046,0.0046}),"")</f>
        <v>0</v>
      </c>
      <c r="X31" s="18">
        <f>iferror(if(V31="",H31,V31)*W31,"")</f>
        <v>0</v>
      </c>
      <c r="Y31" s="19" t="s">
        <v>308</v>
      </c>
      <c r="Z31" s="17">
        <v>4000</v>
      </c>
      <c r="AB31" s="18">
        <f>iferror(lookup(if(AA31="",H31,AA31),{0,1,50,500,1500,5000,25000,50000},{0.0,0.0197,0.0197,0.0151,0.0143,0.0135,0.0131,0.0129}),"")</f>
        <v>0</v>
      </c>
      <c r="AC31" s="18">
        <f>iferror(if(AA31="",H31,AA31)*AB31,"")</f>
        <v>0</v>
      </c>
      <c r="AD31" s="19" t="s">
        <v>334</v>
      </c>
      <c r="AE31" s="17">
        <v>209823</v>
      </c>
      <c r="AG31" s="18">
        <f>iferror(lookup(if(AF31="",H31,AF31),{0,1,10,50,100,1000,10000},{0.0,0.1,0.027,0.027,0.011,0.005,0.003}),"")</f>
        <v>0</v>
      </c>
      <c r="AH31" s="18">
        <f>iferror(if(AF31="",H31,AF31)*AG31,"")</f>
        <v>0</v>
      </c>
      <c r="AI31" s="19" t="s">
        <v>359</v>
      </c>
      <c r="AJ31" s="20" t="s">
        <v>249</v>
      </c>
      <c r="AL31" s="18">
        <f>iferror(lookup(if(AK31="",H31,AK31),{0,1,45000},{0.0,0.004,0.004}),"")</f>
        <v>0</v>
      </c>
      <c r="AM31" s="18">
        <f>iferror(if(AK31="",H31,AK31)*AL31,"")</f>
        <v>0</v>
      </c>
      <c r="AN31" s="19" t="s">
        <v>394</v>
      </c>
      <c r="AO31" s="17">
        <v>8000</v>
      </c>
      <c r="AQ31" s="18">
        <f>iferror(USD_GBP*lookup(if(AP31="",H31,AP31),{0,1,15000},{0.0,0.006,0.006}),"")</f>
        <v>0</v>
      </c>
      <c r="AR31" s="18">
        <f>iferror(if(AP31="",H31,AP31)*AQ31,"")</f>
        <v>0</v>
      </c>
      <c r="AS31" s="19" t="s">
        <v>419</v>
      </c>
    </row>
    <row r="32" spans="1:50">
      <c r="A32" s="17" t="s">
        <v>134</v>
      </c>
      <c r="B32" s="17" t="s">
        <v>135</v>
      </c>
      <c r="C32" s="17" t="s">
        <v>136</v>
      </c>
      <c r="E32" s="17" t="s">
        <v>111</v>
      </c>
      <c r="F32" s="17" t="s">
        <v>112</v>
      </c>
      <c r="G32" s="17" t="s">
        <v>137</v>
      </c>
      <c r="H32" s="17">
        <f>BoardQty*1</f>
        <v>0</v>
      </c>
      <c r="I32" s="18">
        <f>MINA(INDIRECT(ADDRESS(ROW(),COLUMN(arrow_part_data)+2)),INDIRECT(ADDRESS(ROW(),COLUMN(digikey_part_data)+2)),INDIRECT(ADDRESS(ROW(),COLUMN(farnell_part_data)+2)),INDIRECT(ADDRESS(ROW(),COLUMN(mouser_part_data)+2)),INDIRECT(ADDRESS(ROW(),COLUMN(newark_part_data)+2)),INDIRECT(ADDRESS(ROW(),COLUMN(rs_part_data)+2)),INDIRECT(ADDRESS(ROW(),COLUMN(tme_part_data)+2)),INDIRECT(ADDRESS(ROW(),COLUMN(lcsc_part_data)+2)))</f>
        <v>0</v>
      </c>
      <c r="J32" s="18">
        <f>iferror(H32*I32,"")</f>
        <v>0</v>
      </c>
      <c r="P32" s="17">
        <v>125384</v>
      </c>
      <c r="R32" s="18">
        <f>iferror(lookup(if(Q32="",H32,Q32),{0,1,10,100,1000,2500,5000,15000},{0.0,0.1,0.028,0.0115,0.00518,0.0045,0.00371,0.00323}),"")</f>
        <v>0</v>
      </c>
      <c r="S32" s="18">
        <f>iferror(if(Q32="",H32,Q32)*R32,"")</f>
        <v>0</v>
      </c>
      <c r="T32" s="19" t="s">
        <v>272</v>
      </c>
      <c r="U32" s="20" t="s">
        <v>249</v>
      </c>
      <c r="W32" s="18">
        <f>iferror(USD_GBP*lookup(if(V32="",H32,V32),{0,1,30000},{0.0,0.0064,0.0064}),"")</f>
        <v>0</v>
      </c>
      <c r="X32" s="18">
        <f>iferror(if(V32="",H32,V32)*W32,"")</f>
        <v>0</v>
      </c>
      <c r="Y32" s="19" t="s">
        <v>309</v>
      </c>
      <c r="AE32" s="17">
        <v>81745</v>
      </c>
      <c r="AG32" s="18">
        <f>iferror(lookup(if(AF32="",H32,AF32),{0,1,10,50,100,1000,10000},{0.0,0.1,0.028,0.028,0.012,0.006,0.003}),"")</f>
        <v>0</v>
      </c>
      <c r="AH32" s="18">
        <f>iferror(if(AF32="",H32,AF32)*AG32,"")</f>
        <v>0</v>
      </c>
      <c r="AI32" s="19" t="s">
        <v>360</v>
      </c>
      <c r="AO32" s="17">
        <v>28000</v>
      </c>
      <c r="AQ32" s="18">
        <f>iferror(USD_GBP*lookup(if(AP32="",H32,AP32),{0,1,15000},{0.0,0.004,0.004}),"")</f>
        <v>0</v>
      </c>
      <c r="AR32" s="18">
        <f>iferror(if(AP32="",H32,AP32)*AQ32,"")</f>
        <v>0</v>
      </c>
      <c r="AS32" s="19" t="s">
        <v>420</v>
      </c>
    </row>
    <row r="33" spans="1:50">
      <c r="A33" s="17" t="s">
        <v>138</v>
      </c>
      <c r="B33" s="17" t="s">
        <v>139</v>
      </c>
      <c r="C33" s="17" t="s">
        <v>140</v>
      </c>
      <c r="E33" s="17" t="s">
        <v>111</v>
      </c>
      <c r="F33" s="17" t="s">
        <v>112</v>
      </c>
      <c r="G33" s="17" t="s">
        <v>141</v>
      </c>
      <c r="H33" s="17">
        <f>BoardQty*3</f>
        <v>0</v>
      </c>
      <c r="I33" s="18">
        <f>MINA(INDIRECT(ADDRESS(ROW(),COLUMN(arrow_part_data)+2)),INDIRECT(ADDRESS(ROW(),COLUMN(digikey_part_data)+2)),INDIRECT(ADDRESS(ROW(),COLUMN(farnell_part_data)+2)),INDIRECT(ADDRESS(ROW(),COLUMN(mouser_part_data)+2)),INDIRECT(ADDRESS(ROW(),COLUMN(newark_part_data)+2)),INDIRECT(ADDRESS(ROW(),COLUMN(rs_part_data)+2)),INDIRECT(ADDRESS(ROW(),COLUMN(tme_part_data)+2)),INDIRECT(ADDRESS(ROW(),COLUMN(lcsc_part_data)+2)))</f>
        <v>0</v>
      </c>
      <c r="J33" s="18">
        <f>iferror(H33*I33,"")</f>
        <v>0</v>
      </c>
      <c r="P33" s="20" t="s">
        <v>249</v>
      </c>
      <c r="R33" s="18">
        <f>iferror(lookup(if(Q33="",H33,Q33),{0,1,10,100,1000,2500,5000,15000},{0.0,0.1,0.028,0.0115,0.00518,0.0045,0.00371,0.00323}),"")</f>
        <v>0</v>
      </c>
      <c r="S33" s="18">
        <f>iferror(if(Q33="",H33,Q33)*R33,"")</f>
        <v>0</v>
      </c>
      <c r="T33" s="19" t="s">
        <v>273</v>
      </c>
      <c r="U33" s="20" t="s">
        <v>249</v>
      </c>
      <c r="W33" s="18">
        <f>iferror(USD_GBP*lookup(if(V33="",H33,V33),{0,1,30000},{0.0,0.0046,0.0046}),"")</f>
        <v>0</v>
      </c>
      <c r="X33" s="18">
        <f>iferror(if(V33="",H33,V33)*W33,"")</f>
        <v>0</v>
      </c>
      <c r="Y33" s="19" t="s">
        <v>310</v>
      </c>
      <c r="AE33" s="17">
        <v>8764</v>
      </c>
      <c r="AG33" s="18">
        <f>iferror(lookup(if(AF33="",H33,AF33),{0,1,10,50,100,1000,10000},{0.0,0.1,0.031,0.031,0.014,0.007,0.005}),"")</f>
        <v>0</v>
      </c>
      <c r="AH33" s="18">
        <f>iferror(if(AF33="",H33,AF33)*AG33,"")</f>
        <v>0</v>
      </c>
      <c r="AI33" s="19" t="s">
        <v>361</v>
      </c>
      <c r="AJ33" s="20" t="s">
        <v>249</v>
      </c>
      <c r="AL33" s="18">
        <f>iferror(lookup(if(AK33="",H33,AK33),{0,1,15000},{0.0,0.006,0.006}),"")</f>
        <v>0</v>
      </c>
      <c r="AM33" s="18">
        <f>iferror(if(AK33="",H33,AK33)*AL33,"")</f>
        <v>0</v>
      </c>
      <c r="AN33" s="19" t="s">
        <v>395</v>
      </c>
    </row>
    <row r="34" spans="1:50">
      <c r="A34" s="17" t="s">
        <v>142</v>
      </c>
      <c r="B34" s="17" t="s">
        <v>143</v>
      </c>
      <c r="C34" s="17" t="s">
        <v>144</v>
      </c>
      <c r="E34" s="17" t="s">
        <v>111</v>
      </c>
      <c r="F34" s="17" t="s">
        <v>112</v>
      </c>
      <c r="G34" s="17" t="s">
        <v>145</v>
      </c>
      <c r="H34" s="17">
        <f>BoardQty*3</f>
        <v>0</v>
      </c>
      <c r="I34" s="18">
        <f>MINA(INDIRECT(ADDRESS(ROW(),COLUMN(arrow_part_data)+2)),INDIRECT(ADDRESS(ROW(),COLUMN(digikey_part_data)+2)),INDIRECT(ADDRESS(ROW(),COLUMN(farnell_part_data)+2)),INDIRECT(ADDRESS(ROW(),COLUMN(mouser_part_data)+2)),INDIRECT(ADDRESS(ROW(),COLUMN(newark_part_data)+2)),INDIRECT(ADDRESS(ROW(),COLUMN(rs_part_data)+2)),INDIRECT(ADDRESS(ROW(),COLUMN(tme_part_data)+2)),INDIRECT(ADDRESS(ROW(),COLUMN(lcsc_part_data)+2)))</f>
        <v>0</v>
      </c>
      <c r="J34" s="18">
        <f>iferror(H34*I34,"")</f>
        <v>0</v>
      </c>
      <c r="P34" s="20" t="s">
        <v>249</v>
      </c>
      <c r="R34" s="18">
        <f>iferror(lookup(if(Q34="",H34,Q34),{0,1,10,100,1000,2500,5000,15000},{0.0,0.1,0.053,0.0217,0.00975,0.00846,0.00699,0.00607}),"")</f>
        <v>0</v>
      </c>
      <c r="S34" s="18">
        <f>iferror(if(Q34="",H34,Q34)*R34,"")</f>
        <v>0</v>
      </c>
      <c r="T34" s="19" t="s">
        <v>274</v>
      </c>
      <c r="U34" s="17">
        <v>19388</v>
      </c>
      <c r="W34" s="18">
        <f>iferror(USD_GBP*lookup(if(V34="",H34,V34),{0,1,10,100,150,500,2500,7500,15000,75000},{0.0,0.0454,0.0454,0.0185,0.0185,0.0083,0.0074,0.0065,0.0061,0.0058}),"")</f>
        <v>0</v>
      </c>
      <c r="X34" s="18">
        <f>iferror(if(V34="",H34,V34)*W34,"")</f>
        <v>0</v>
      </c>
      <c r="Y34" s="19" t="s">
        <v>311</v>
      </c>
      <c r="Z34" s="17">
        <v>50</v>
      </c>
      <c r="AB34" s="18">
        <f>iferror(lookup(if(AA34="",H34,AA34),{0,1,50,500,1500,5000,25000,50000},{0.0,0.0117,0.0117,0.009,0.0085,0.008,0.0078,0.0077}),"")</f>
        <v>0</v>
      </c>
      <c r="AC34" s="18">
        <f>iferror(if(AA34="",H34,AA34)*AB34,"")</f>
        <v>0</v>
      </c>
      <c r="AD34" s="19" t="s">
        <v>335</v>
      </c>
      <c r="AE34" s="17">
        <v>39</v>
      </c>
      <c r="AG34" s="18">
        <f>iferror(lookup(if(AF34="",H34,AF34),{0,1,10,50,100,1000,10000},{0.0,0.1,0.058,0.058,0.023,0.01,0.006}),"")</f>
        <v>0</v>
      </c>
      <c r="AH34" s="18">
        <f>iferror(if(AF34="",H34,AF34)*AG34,"")</f>
        <v>0</v>
      </c>
      <c r="AI34" s="19" t="s">
        <v>362</v>
      </c>
      <c r="AJ34" s="17">
        <v>16190</v>
      </c>
      <c r="AL34" s="18">
        <f>iferror(lookup(if(AK34="",H34,AK34),{0,1,10,25,50,100,250,500,1000,2500,15000},{0.0,0.101,0.058,0.046,0.035,0.023,0.02,0.015,0.011,0.008,0.017}),"")</f>
        <v>0</v>
      </c>
      <c r="AM34" s="18">
        <f>iferror(if(AK34="",H34,AK34)*AL34,"")</f>
        <v>0</v>
      </c>
      <c r="AN34" s="19" t="s">
        <v>396</v>
      </c>
      <c r="AO34" s="17">
        <v>44000</v>
      </c>
      <c r="AQ34" s="18">
        <f>iferror(USD_GBP*lookup(if(AP34="",H34,AP34),{0,1,15000},{0.0,0.006,0.006}),"")</f>
        <v>0</v>
      </c>
      <c r="AR34" s="18">
        <f>iferror(if(AP34="",H34,AP34)*AQ34,"")</f>
        <v>0</v>
      </c>
      <c r="AS34" s="19" t="s">
        <v>421</v>
      </c>
    </row>
    <row r="35" spans="1:50">
      <c r="A35" s="17" t="s">
        <v>146</v>
      </c>
      <c r="B35" s="17" t="s">
        <v>147</v>
      </c>
      <c r="C35" s="17" t="s">
        <v>148</v>
      </c>
      <c r="E35" s="17" t="s">
        <v>149</v>
      </c>
      <c r="F35" s="17" t="s">
        <v>150</v>
      </c>
      <c r="G35" s="17" t="s">
        <v>147</v>
      </c>
      <c r="H35" s="17">
        <f>BoardQty*1</f>
        <v>0</v>
      </c>
      <c r="I35" s="18">
        <f>MINA(INDIRECT(ADDRESS(ROW(),COLUMN(arrow_part_data)+2)),INDIRECT(ADDRESS(ROW(),COLUMN(digikey_part_data)+2)),INDIRECT(ADDRESS(ROW(),COLUMN(farnell_part_data)+2)),INDIRECT(ADDRESS(ROW(),COLUMN(mouser_part_data)+2)),INDIRECT(ADDRESS(ROW(),COLUMN(newark_part_data)+2)),INDIRECT(ADDRESS(ROW(),COLUMN(rs_part_data)+2)),INDIRECT(ADDRESS(ROW(),COLUMN(tme_part_data)+2)),INDIRECT(ADDRESS(ROW(),COLUMN(lcsc_part_data)+2)))</f>
        <v>0</v>
      </c>
      <c r="J35" s="18">
        <f>iferror(H35*I35,"")</f>
        <v>0</v>
      </c>
      <c r="P35" s="17">
        <v>10313</v>
      </c>
      <c r="R35" s="18">
        <f>iferror(lookup(if(Q35="",H35,Q35),{0,1,10,25,100,250,500,1000,2500,8500,17000},{0.0,0.22,0.211,0.2,0.1819,0.171,0.15644,0.13097,0.12733,0.12005,0.11278}),"")</f>
        <v>0</v>
      </c>
      <c r="S35" s="18">
        <f>iferror(if(Q35="",H35,Q35)*R35,"")</f>
        <v>0</v>
      </c>
      <c r="T35" s="19" t="s">
        <v>275</v>
      </c>
      <c r="U35" s="17">
        <v>7370</v>
      </c>
      <c r="W35" s="18">
        <f>iferror(USD_GBP*lookup(if(V35="",H35,V35),{0,1,10,50,100,500},{0.0,0.155,0.155,0.146,0.133,0.123}),"")</f>
        <v>0</v>
      </c>
      <c r="X35" s="18">
        <f>iferror(if(V35="",H35,V35)*W35,"")</f>
        <v>0</v>
      </c>
      <c r="Y35" s="19" t="s">
        <v>312</v>
      </c>
      <c r="Z35" s="17">
        <v>18839</v>
      </c>
      <c r="AB35" s="18">
        <f>iferror(lookup(if(AA35="",H35,AA35),{0,1,10,30,100,500,1000},{0.0,0.1984,0.1437,0.1336,0.1236,0.1191,0.1169}),"")</f>
        <v>0</v>
      </c>
      <c r="AC35" s="18">
        <f>iferror(if(AA35="",H35,AA35)*AB35,"")</f>
        <v>0</v>
      </c>
      <c r="AD35" s="19" t="s">
        <v>336</v>
      </c>
      <c r="AE35" s="17">
        <v>11717</v>
      </c>
      <c r="AG35" s="18">
        <f>iferror(lookup(if(AF35="",H35,AF35),{0,1,10,50,100,1000,10000},{0.0,0.22,0.211,0.194,0.173,0.119,0.119}),"")</f>
        <v>0</v>
      </c>
      <c r="AH35" s="18">
        <f>iferror(if(AF35="",H35,AF35)*AG35,"")</f>
        <v>0</v>
      </c>
      <c r="AI35" s="19" t="s">
        <v>363</v>
      </c>
      <c r="AJ35" s="17">
        <v>7019</v>
      </c>
      <c r="AL35" s="18">
        <f>iferror(lookup(if(AK35="",H35,AK35),{0,1,8500,100000},{0.0,0.148,0.162,0.136}),"")</f>
        <v>0</v>
      </c>
      <c r="AM35" s="18">
        <f>iferror(if(AK35="",H35,AK35)*AL35,"")</f>
        <v>0</v>
      </c>
      <c r="AN35" s="19" t="s">
        <v>397</v>
      </c>
      <c r="AT35" s="17">
        <v>2880</v>
      </c>
      <c r="AV35" s="18">
        <f>iferror(USD_GBP*lookup(if(AU35="",H35,AU35),{0,1,5,100,1000,3000,8500},{0.0,0.1646,0.1646,0.1386,0.0953,0.0849,0.0832}),"")</f>
        <v>0</v>
      </c>
      <c r="AW35" s="18">
        <f>iferror(if(AU35="",H35,AU35)*AV35,"")</f>
        <v>0</v>
      </c>
      <c r="AX35" s="19" t="s">
        <v>426</v>
      </c>
    </row>
    <row r="36" spans="1:50">
      <c r="A36" s="17" t="s">
        <v>151</v>
      </c>
      <c r="B36" s="17" t="s">
        <v>152</v>
      </c>
      <c r="C36" s="17" t="s">
        <v>153</v>
      </c>
      <c r="E36" s="17" t="s">
        <v>154</v>
      </c>
      <c r="F36" s="17" t="s">
        <v>58</v>
      </c>
      <c r="G36" s="17" t="s">
        <v>155</v>
      </c>
      <c r="H36" s="17">
        <f>BoardQty*1</f>
        <v>0</v>
      </c>
      <c r="I36" s="18">
        <f>MINA(INDIRECT(ADDRESS(ROW(),COLUMN(arrow_part_data)+2)),INDIRECT(ADDRESS(ROW(),COLUMN(digikey_part_data)+2)),INDIRECT(ADDRESS(ROW(),COLUMN(farnell_part_data)+2)),INDIRECT(ADDRESS(ROW(),COLUMN(mouser_part_data)+2)),INDIRECT(ADDRESS(ROW(),COLUMN(newark_part_data)+2)),INDIRECT(ADDRESS(ROW(),COLUMN(rs_part_data)+2)),INDIRECT(ADDRESS(ROW(),COLUMN(tme_part_data)+2)),INDIRECT(ADDRESS(ROW(),COLUMN(lcsc_part_data)+2)))</f>
        <v>0</v>
      </c>
      <c r="J36" s="18">
        <f>iferror(H36*I36,"")</f>
        <v>0</v>
      </c>
      <c r="P36" s="17">
        <v>8887</v>
      </c>
      <c r="R36" s="18">
        <f>iferror(lookup(if(Q36="",H36,Q36),{0,1,10,25,100,250,500,1000,3000},{0.0,0.73,0.64,0.6012,0.4905,0.4556,0.38774,0.32008,0.32007}),"")</f>
        <v>0</v>
      </c>
      <c r="S36" s="18">
        <f>iferror(if(Q36="",H36,Q36)*R36,"")</f>
        <v>0</v>
      </c>
      <c r="T36" s="19" t="s">
        <v>276</v>
      </c>
      <c r="U36" s="17">
        <v>2880</v>
      </c>
      <c r="W36" s="18">
        <f>iferror(USD_GBP*lookup(if(V36="",H36,V36),{0,1,5,10,100,150,500,3000,9000,24000,45000},{0.0,0.517,0.517,0.398,0.216,0.216,0.208,0.2,0.19,0.182,0.173}),"")</f>
        <v>0</v>
      </c>
      <c r="X36" s="18">
        <f>iferror(if(V36="",H36,V36)*W36,"")</f>
        <v>0</v>
      </c>
      <c r="Y36" s="19" t="s">
        <v>313</v>
      </c>
      <c r="Z36" s="17">
        <v>6</v>
      </c>
      <c r="AB36" s="18">
        <f>iferror(lookup(if(AA36="",H36,AA36),{0,1,10,30,100,500},{0.0,0.4437,0.431,0.4238,0.4148,0.4148}),"")</f>
        <v>0</v>
      </c>
      <c r="AC36" s="18">
        <f>iferror(if(AA36="",H36,AA36)*AB36,"")</f>
        <v>0</v>
      </c>
      <c r="AD36" s="19" t="s">
        <v>337</v>
      </c>
      <c r="AE36" s="17">
        <v>5920</v>
      </c>
      <c r="AG36" s="18">
        <f>iferror(lookup(if(AF36="",H36,AF36),{0,1,10,50,100,1000,10000},{0.0,0.73,0.64,0.64,0.491,0.311,0.256}),"")</f>
        <v>0</v>
      </c>
      <c r="AH36" s="18">
        <f>iferror(if(AF36="",H36,AF36)*AG36,"")</f>
        <v>0</v>
      </c>
      <c r="AI36" s="19" t="s">
        <v>364</v>
      </c>
      <c r="AJ36" s="17">
        <v>2880</v>
      </c>
      <c r="AL36" s="18">
        <f>iferror(lookup(if(AK36="",H36,AK36),{0,1,10,100,3000,9000,24000,45000},{0.0,0.85,0.71,0.458,0.238,0.233,0.216,0.21}),"")</f>
        <v>0</v>
      </c>
      <c r="AM36" s="18">
        <f>iferror(if(AK36="",H36,AK36)*AL36,"")</f>
        <v>0</v>
      </c>
      <c r="AN36" s="19" t="s">
        <v>398</v>
      </c>
    </row>
    <row r="37" spans="1:50">
      <c r="A37" s="17" t="s">
        <v>156</v>
      </c>
      <c r="B37" s="17" t="s">
        <v>157</v>
      </c>
      <c r="C37" s="17" t="s">
        <v>158</v>
      </c>
      <c r="E37" s="17" t="s">
        <v>159</v>
      </c>
      <c r="F37" s="17" t="s">
        <v>160</v>
      </c>
      <c r="G37" s="17" t="s">
        <v>161</v>
      </c>
      <c r="H37" s="17">
        <f>BoardQty*1</f>
        <v>0</v>
      </c>
      <c r="I37" s="18">
        <f>MINA(INDIRECT(ADDRESS(ROW(),COLUMN(arrow_part_data)+2)),INDIRECT(ADDRESS(ROW(),COLUMN(digikey_part_data)+2)),INDIRECT(ADDRESS(ROW(),COLUMN(farnell_part_data)+2)),INDIRECT(ADDRESS(ROW(),COLUMN(mouser_part_data)+2)),INDIRECT(ADDRESS(ROW(),COLUMN(newark_part_data)+2)),INDIRECT(ADDRESS(ROW(),COLUMN(rs_part_data)+2)),INDIRECT(ADDRESS(ROW(),COLUMN(tme_part_data)+2)),INDIRECT(ADDRESS(ROW(),COLUMN(lcsc_part_data)+2)))</f>
        <v>0</v>
      </c>
      <c r="J37" s="18">
        <f>iferror(H37*I37,"")</f>
        <v>0</v>
      </c>
      <c r="P37" s="17">
        <v>1503</v>
      </c>
      <c r="R37" s="18">
        <f>iferror(lookup(if(Q37="",H37,Q37),{0,1,10,4000},{0.0,1.99,1.828,1.76358}),"")</f>
        <v>0</v>
      </c>
      <c r="S37" s="18">
        <f>iferror(if(Q37="",H37,Q37)*R37,"")</f>
        <v>0</v>
      </c>
      <c r="T37" s="19" t="s">
        <v>277</v>
      </c>
      <c r="U37" s="17">
        <v>3487</v>
      </c>
      <c r="W37" s="18">
        <f>iferror(USD_GBP*lookup(if(V37="",H37,V37),{0,1,10,50,100,250},{0.0,1.95,1.51,1.27,1.02,1.0}),"")</f>
        <v>0</v>
      </c>
      <c r="X37" s="18">
        <f>iferror(if(V37="",H37,V37)*W37,"")</f>
        <v>0</v>
      </c>
      <c r="Y37" s="19" t="s">
        <v>314</v>
      </c>
      <c r="AE37" s="17">
        <v>4756</v>
      </c>
      <c r="AG37" s="18">
        <f>iferror(lookup(if(AF37="",H37,AF37),{0,1,10,50,100,1000,10000},{0.0,2.0,1.81,1.7,1.45,1.33,1.28}),"")</f>
        <v>0</v>
      </c>
      <c r="AH37" s="18">
        <f>iferror(if(AF37="",H37,AF37)*AG37,"")</f>
        <v>0</v>
      </c>
      <c r="AI37" s="19" t="s">
        <v>365</v>
      </c>
      <c r="AJ37" s="17">
        <v>3487</v>
      </c>
      <c r="AL37" s="18">
        <f>iferror(lookup(if(AK37="",H37,AK37),{0,1,10,25,50,100},{0.0,2.14,1.81,1.64,1.45,1.28}),"")</f>
        <v>0</v>
      </c>
      <c r="AM37" s="18">
        <f>iferror(if(AK37="",H37,AK37)*AL37,"")</f>
        <v>0</v>
      </c>
      <c r="AN37" s="19" t="s">
        <v>399</v>
      </c>
    </row>
    <row r="38" spans="1:50">
      <c r="A38" s="17" t="s">
        <v>162</v>
      </c>
      <c r="B38" s="17" t="s">
        <v>163</v>
      </c>
      <c r="C38" s="17" t="s">
        <v>164</v>
      </c>
      <c r="E38" s="17" t="s">
        <v>165</v>
      </c>
      <c r="F38" s="17" t="s">
        <v>58</v>
      </c>
      <c r="G38" s="17" t="s">
        <v>166</v>
      </c>
      <c r="H38" s="17">
        <f>BoardQty*1</f>
        <v>0</v>
      </c>
      <c r="I38" s="18">
        <f>MINA(INDIRECT(ADDRESS(ROW(),COLUMN(arrow_part_data)+2)),INDIRECT(ADDRESS(ROW(),COLUMN(digikey_part_data)+2)),INDIRECT(ADDRESS(ROW(),COLUMN(farnell_part_data)+2)),INDIRECT(ADDRESS(ROW(),COLUMN(mouser_part_data)+2)),INDIRECT(ADDRESS(ROW(),COLUMN(newark_part_data)+2)),INDIRECT(ADDRESS(ROW(),COLUMN(rs_part_data)+2)),INDIRECT(ADDRESS(ROW(),COLUMN(tme_part_data)+2)),INDIRECT(ADDRESS(ROW(),COLUMN(lcsc_part_data)+2)))</f>
        <v>0</v>
      </c>
      <c r="J38" s="18">
        <f>iferror(H38*I38,"")</f>
        <v>0</v>
      </c>
      <c r="P38" s="20" t="s">
        <v>249</v>
      </c>
      <c r="R38" s="18">
        <f>iferror(lookup(if(Q38="",H38,Q38),{0,1,10,25,100,250,500,1000,5000},{0.0,1.01,0.901,0.8548,0.7021,0.65636,0.58004,0.504,0.504}),"")</f>
        <v>0</v>
      </c>
      <c r="S38" s="18">
        <f>iferror(if(Q38="",H38,Q38)*R38,"")</f>
        <v>0</v>
      </c>
      <c r="T38" s="19" t="s">
        <v>278</v>
      </c>
      <c r="U38" s="20" t="s">
        <v>249</v>
      </c>
      <c r="W38" s="18">
        <f>iferror(USD_GBP*lookup(if(V38="",H38,V38),{0,1,5,10,100,500,1000,2500,5000,15000,40000,75000},{0.0,0.845,0.87,0.704,0.438,0.313,0.359,0.346,0.299,0.293,0.288,0.281}),"")</f>
        <v>0</v>
      </c>
      <c r="X38" s="18">
        <f>iferror(if(V38="",H38,V38)*W38,"")</f>
        <v>0</v>
      </c>
      <c r="Y38" s="19" t="s">
        <v>315</v>
      </c>
      <c r="AE38" s="20" t="s">
        <v>249</v>
      </c>
      <c r="AG38" s="18">
        <f>iferror(lookup(if(AF38="",H38,AF38),{0,1,10,50,100,1000,10000},{0.0,1.0,0.901,0.855,0.703,0.458,0.403}),"")</f>
        <v>0</v>
      </c>
      <c r="AH38" s="18">
        <f>iferror(if(AF38="",H38,AF38)*AG38,"")</f>
        <v>0</v>
      </c>
      <c r="AI38" s="19" t="s">
        <v>366</v>
      </c>
      <c r="AJ38" s="20" t="s">
        <v>249</v>
      </c>
      <c r="AL38" s="18">
        <f>iferror(lookup(if(AK38="",H38,AK38),{0,1,10,100,500,1000,2500,5000,10000,20000,30000,40000,50000,500000},{0.0,1.19,1.01,0.684,0.648,0.504,0.489,0.377,0.369,0.363,0.358,0.352,0.346,0.34}),"")</f>
        <v>0</v>
      </c>
      <c r="AM38" s="18">
        <f>iferror(if(AK38="",H38,AK38)*AL38,"")</f>
        <v>0</v>
      </c>
      <c r="AN38" s="19" t="s">
        <v>400</v>
      </c>
    </row>
    <row r="39" spans="1:50">
      <c r="A39" s="17" t="s">
        <v>167</v>
      </c>
      <c r="B39" s="17" t="s">
        <v>168</v>
      </c>
      <c r="C39" s="17" t="s">
        <v>169</v>
      </c>
      <c r="E39" s="17" t="s">
        <v>170</v>
      </c>
      <c r="F39" s="17" t="s">
        <v>171</v>
      </c>
      <c r="G39" s="17" t="s">
        <v>168</v>
      </c>
      <c r="H39" s="17">
        <f>BoardQty*1</f>
        <v>0</v>
      </c>
      <c r="I39" s="18">
        <f>MINA(INDIRECT(ADDRESS(ROW(),COLUMN(arrow_part_data)+2)),INDIRECT(ADDRESS(ROW(),COLUMN(digikey_part_data)+2)),INDIRECT(ADDRESS(ROW(),COLUMN(farnell_part_data)+2)),INDIRECT(ADDRESS(ROW(),COLUMN(mouser_part_data)+2)),INDIRECT(ADDRESS(ROW(),COLUMN(newark_part_data)+2)),INDIRECT(ADDRESS(ROW(),COLUMN(rs_part_data)+2)),INDIRECT(ADDRESS(ROW(),COLUMN(tme_part_data)+2)),INDIRECT(ADDRESS(ROW(),COLUMN(lcsc_part_data)+2)))</f>
        <v>0</v>
      </c>
      <c r="J39" s="18">
        <f>iferror(H39*I39,"")</f>
        <v>0</v>
      </c>
      <c r="P39" s="20" t="s">
        <v>249</v>
      </c>
      <c r="R39" s="18">
        <f>iferror(lookup(if(Q39="",H39,Q39),{0,1,25,100},{0.0,2.39,1.99,1.81}),"")</f>
        <v>0</v>
      </c>
      <c r="S39" s="18">
        <f>iferror(if(Q39="",H39,Q39)*R39,"")</f>
        <v>0</v>
      </c>
      <c r="T39" s="19" t="s">
        <v>279</v>
      </c>
      <c r="AE39" s="20" t="s">
        <v>249</v>
      </c>
      <c r="AG39" s="18">
        <f>iferror(lookup(if(AF39="",H39,AF39),{0,1,10,50,100,1000,10000},{0.0,2.39,2.39,1.99,1.81,1.81,1.81}),"")</f>
        <v>0</v>
      </c>
      <c r="AH39" s="18">
        <f>iferror(if(AF39="",H39,AF39)*AG39,"")</f>
        <v>0</v>
      </c>
      <c r="AI39" s="19" t="s">
        <v>367</v>
      </c>
      <c r="AJ39" s="20" t="s">
        <v>249</v>
      </c>
      <c r="AL39" s="18">
        <f>iferror(lookup(if(AK39="",H39,AK39),{0,1,220},{0.0,1.81,1.81}),"")</f>
        <v>0</v>
      </c>
      <c r="AM39" s="18">
        <f>iferror(if(AK39="",H39,AK39)*AL39,"")</f>
        <v>0</v>
      </c>
      <c r="AN39" s="19" t="s">
        <v>401</v>
      </c>
    </row>
    <row r="40" spans="1:50">
      <c r="A40" s="17" t="s">
        <v>172</v>
      </c>
      <c r="B40" s="17" t="s">
        <v>173</v>
      </c>
      <c r="C40" s="17" t="s">
        <v>174</v>
      </c>
      <c r="E40" s="17" t="s">
        <v>175</v>
      </c>
      <c r="F40" s="17" t="s">
        <v>58</v>
      </c>
      <c r="G40" s="17" t="s">
        <v>176</v>
      </c>
      <c r="H40" s="17">
        <f>BoardQty*1</f>
        <v>0</v>
      </c>
      <c r="I40" s="18">
        <f>MINA(INDIRECT(ADDRESS(ROW(),COLUMN(arrow_part_data)+2)),INDIRECT(ADDRESS(ROW(),COLUMN(digikey_part_data)+2)),INDIRECT(ADDRESS(ROW(),COLUMN(farnell_part_data)+2)),INDIRECT(ADDRESS(ROW(),COLUMN(mouser_part_data)+2)),INDIRECT(ADDRESS(ROW(),COLUMN(newark_part_data)+2)),INDIRECT(ADDRESS(ROW(),COLUMN(rs_part_data)+2)),INDIRECT(ADDRESS(ROW(),COLUMN(tme_part_data)+2)),INDIRECT(ADDRESS(ROW(),COLUMN(lcsc_part_data)+2)))</f>
        <v>0</v>
      </c>
      <c r="J40" s="18">
        <f>iferror(H40*I40,"")</f>
        <v>0</v>
      </c>
      <c r="P40" s="17">
        <v>5414</v>
      </c>
      <c r="R40" s="18">
        <f>iferror(lookup(if(Q40="",H40,Q40),{0,1,10,25,100,250,500,1000,2500,5000},{0.0,0.5,0.427,0.3984,0.3188,0.296,0.25046,0.19353,0.18795,0.18795}),"")</f>
        <v>0</v>
      </c>
      <c r="S40" s="18">
        <f>iferror(if(Q40="",H40,Q40)*R40,"")</f>
        <v>0</v>
      </c>
      <c r="T40" s="19" t="s">
        <v>280</v>
      </c>
      <c r="U40" s="17">
        <v>1019</v>
      </c>
      <c r="W40" s="18">
        <f>iferror(USD_GBP*lookup(if(V40="",H40,V40),{0,1,5,10,100,150,500,5000},{0.0,0.505,0.505,0.393,0.21,0.21,0.146,0.135}),"")</f>
        <v>0</v>
      </c>
      <c r="X40" s="18">
        <f>iferror(if(V40="",H40,V40)*W40,"")</f>
        <v>0</v>
      </c>
      <c r="Y40" s="19" t="s">
        <v>316</v>
      </c>
      <c r="AE40" s="17">
        <v>5498</v>
      </c>
      <c r="AG40" s="18">
        <f>iferror(lookup(if(AF40="",H40,AF40),{0,1,10,50,100,1000,10000},{0.0,0.5,0.428,0.428,0.296,0.194,0.155}),"")</f>
        <v>0</v>
      </c>
      <c r="AH40" s="18">
        <f>iferror(if(AF40="",H40,AF40)*AG40,"")</f>
        <v>0</v>
      </c>
      <c r="AI40" s="19" t="s">
        <v>368</v>
      </c>
      <c r="AJ40" s="17">
        <v>1019</v>
      </c>
      <c r="AL40" s="18">
        <f>iferror(lookup(if(AK40="",H40,AK40),{0,1,5,10,100,5000,15000,40000,75000},{0.0,0.55,0.55,0.469,0.325,0.14,0.136,0.133,0.132}),"")</f>
        <v>0</v>
      </c>
      <c r="AM40" s="18">
        <f>iferror(if(AK40="",H40,AK40)*AL40,"")</f>
        <v>0</v>
      </c>
      <c r="AN40" s="19" t="s">
        <v>402</v>
      </c>
      <c r="AO40" s="17">
        <v>1000</v>
      </c>
      <c r="AQ40" s="18">
        <f>iferror(USD_GBP*lookup(if(AP40="",H40,AP40),{0,1,20,100,1000,5000,10000},{0.0,0.266,0.266,0.16,0.111,0.107,0.103}),"")</f>
        <v>0</v>
      </c>
      <c r="AR40" s="18">
        <f>iferror(if(AP40="",H40,AP40)*AQ40,"")</f>
        <v>0</v>
      </c>
      <c r="AS40" s="19" t="s">
        <v>422</v>
      </c>
    </row>
    <row r="41" spans="1:50">
      <c r="A41" s="17" t="s">
        <v>177</v>
      </c>
      <c r="B41" s="17" t="s">
        <v>178</v>
      </c>
      <c r="C41" s="17" t="s">
        <v>179</v>
      </c>
      <c r="E41" s="17" t="s">
        <v>180</v>
      </c>
      <c r="F41" s="17" t="s">
        <v>181</v>
      </c>
      <c r="G41" s="17" t="s">
        <v>178</v>
      </c>
      <c r="H41" s="17">
        <f>BoardQty*1</f>
        <v>0</v>
      </c>
      <c r="I41" s="18">
        <f>MINA(INDIRECT(ADDRESS(ROW(),COLUMN(arrow_part_data)+2)),INDIRECT(ADDRESS(ROW(),COLUMN(digikey_part_data)+2)),INDIRECT(ADDRESS(ROW(),COLUMN(farnell_part_data)+2)),INDIRECT(ADDRESS(ROW(),COLUMN(mouser_part_data)+2)),INDIRECT(ADDRESS(ROW(),COLUMN(newark_part_data)+2)),INDIRECT(ADDRESS(ROW(),COLUMN(rs_part_data)+2)),INDIRECT(ADDRESS(ROW(),COLUMN(tme_part_data)+2)),INDIRECT(ADDRESS(ROW(),COLUMN(lcsc_part_data)+2)))</f>
        <v>0</v>
      </c>
      <c r="J41" s="18">
        <f>iferror(H41*I41,"")</f>
        <v>0</v>
      </c>
    </row>
    <row r="42" spans="1:50">
      <c r="A42" s="17" t="s">
        <v>182</v>
      </c>
      <c r="B42" s="17" t="s">
        <v>183</v>
      </c>
      <c r="C42" s="17" t="s">
        <v>184</v>
      </c>
      <c r="E42" s="17" t="s">
        <v>185</v>
      </c>
      <c r="F42" s="17" t="s">
        <v>181</v>
      </c>
      <c r="G42" s="17" t="s">
        <v>183</v>
      </c>
      <c r="H42" s="17">
        <f>BoardQty*1</f>
        <v>0</v>
      </c>
      <c r="I42" s="18">
        <f>MINA(INDIRECT(ADDRESS(ROW(),COLUMN(arrow_part_data)+2)),INDIRECT(ADDRESS(ROW(),COLUMN(digikey_part_data)+2)),INDIRECT(ADDRESS(ROW(),COLUMN(farnell_part_data)+2)),INDIRECT(ADDRESS(ROW(),COLUMN(mouser_part_data)+2)),INDIRECT(ADDRESS(ROW(),COLUMN(newark_part_data)+2)),INDIRECT(ADDRESS(ROW(),COLUMN(rs_part_data)+2)),INDIRECT(ADDRESS(ROW(),COLUMN(tme_part_data)+2)),INDIRECT(ADDRESS(ROW(),COLUMN(lcsc_part_data)+2)))</f>
        <v>0</v>
      </c>
      <c r="J42" s="18">
        <f>iferror(H42*I42,"")</f>
        <v>0</v>
      </c>
      <c r="P42" s="17">
        <v>465</v>
      </c>
      <c r="R42" s="18">
        <f>iferror(lookup(if(Q42="",H42,Q42),{0,1,10,25,50,100,250,500,1000,5000},{0.0,1.72,1.566,1.5232,1.5154,1.3547,1.35072,1.33034,1.27387,1.18601}),"")</f>
        <v>0</v>
      </c>
      <c r="S42" s="18">
        <f>iferror(if(Q42="",H42,Q42)*R42,"")</f>
        <v>0</v>
      </c>
      <c r="T42" s="19" t="s">
        <v>281</v>
      </c>
    </row>
    <row r="43" spans="1:50">
      <c r="A43" s="17" t="s">
        <v>186</v>
      </c>
      <c r="B43" s="17" t="s">
        <v>187</v>
      </c>
      <c r="C43" s="17" t="s">
        <v>188</v>
      </c>
      <c r="D43" s="17" t="s">
        <v>190</v>
      </c>
      <c r="E43" s="17" t="s">
        <v>189</v>
      </c>
      <c r="F43" s="17" t="s">
        <v>58</v>
      </c>
      <c r="G43" s="17" t="s">
        <v>187</v>
      </c>
      <c r="H43" s="17">
        <f>BoardQty*1</f>
        <v>0</v>
      </c>
      <c r="I43" s="18">
        <f>MINA(INDIRECT(ADDRESS(ROW(),COLUMN(arrow_part_data)+2)),INDIRECT(ADDRESS(ROW(),COLUMN(digikey_part_data)+2)),INDIRECT(ADDRESS(ROW(),COLUMN(farnell_part_data)+2)),INDIRECT(ADDRESS(ROW(),COLUMN(mouser_part_data)+2)),INDIRECT(ADDRESS(ROW(),COLUMN(newark_part_data)+2)),INDIRECT(ADDRESS(ROW(),COLUMN(rs_part_data)+2)),INDIRECT(ADDRESS(ROW(),COLUMN(tme_part_data)+2)),INDIRECT(ADDRESS(ROW(),COLUMN(lcsc_part_data)+2)))</f>
        <v>0</v>
      </c>
      <c r="J43" s="18">
        <f>iferror(H43*I43,"")</f>
        <v>0</v>
      </c>
      <c r="P43" s="17">
        <v>636</v>
      </c>
      <c r="R43" s="18">
        <f>iferror(lookup(if(Q43="",H43,Q43),{0,1,10,25,100,250,500,1000,3000},{0.0,0.53,0.427,0.3912,0.291,0.26376,0.21828,0.16371,0.15015}),"")</f>
        <v>0</v>
      </c>
      <c r="S43" s="18">
        <f>iferror(if(Q43="",H43,Q43)*R43,"")</f>
        <v>0</v>
      </c>
      <c r="T43" s="19" t="s">
        <v>282</v>
      </c>
      <c r="U43" s="17">
        <v>2674</v>
      </c>
      <c r="W43" s="18">
        <f>iferror(USD_GBP*lookup(if(V43="",H43,V43),{0,1,5,10,100,150,500,3000,9000,24000,45000},{0.0,0.392,0.392,0.259,0.112,0.112,0.0838,0.0805,0.0774,0.0741,0.0709}),"")</f>
        <v>0</v>
      </c>
      <c r="X43" s="18">
        <f>iferror(if(V43="",H43,V43)*W43,"")</f>
        <v>0</v>
      </c>
      <c r="Y43" s="19" t="s">
        <v>317</v>
      </c>
      <c r="AE43" s="17">
        <v>4209</v>
      </c>
      <c r="AG43" s="18">
        <f>iferror(lookup(if(AF43="",H43,AF43),{0,1,10,50,100,1000,10000},{0.0,0.53,0.428,0.428,0.264,0.164,0.131}),"")</f>
        <v>0</v>
      </c>
      <c r="AH43" s="18">
        <f>iferror(if(AF43="",H43,AF43)*AG43,"")</f>
        <v>0</v>
      </c>
      <c r="AI43" s="19" t="s">
        <v>369</v>
      </c>
      <c r="AJ43" s="17">
        <v>2674</v>
      </c>
      <c r="AL43" s="18">
        <f>iferror(lookup(if(AK43="",H43,AK43),{0,1,5,10,100},{0.0,0.43,0.43,0.321,0.165}),"")</f>
        <v>0</v>
      </c>
      <c r="AM43" s="18">
        <f>iferror(if(AK43="",H43,AK43)*AL43,"")</f>
        <v>0</v>
      </c>
      <c r="AN43" s="19" t="s">
        <v>403</v>
      </c>
      <c r="AO43" s="17">
        <v>2960</v>
      </c>
      <c r="AQ43" s="18">
        <f>iferror(USD_GBP*lookup(if(AP43="",H43,AP43),{0,1,3000,9000,24000},{0.0,0.082,0.082,0.081,0.08}),"")</f>
        <v>0</v>
      </c>
      <c r="AR43" s="18">
        <f>iferror(if(AP43="",H43,AP43)*AQ43,"")</f>
        <v>0</v>
      </c>
      <c r="AS43" s="19" t="s">
        <v>423</v>
      </c>
    </row>
    <row r="44" spans="1:50">
      <c r="A44" s="17" t="s">
        <v>191</v>
      </c>
      <c r="B44" s="17" t="s">
        <v>192</v>
      </c>
      <c r="C44" s="17" t="s">
        <v>193</v>
      </c>
      <c r="E44" s="17" t="s">
        <v>194</v>
      </c>
      <c r="F44" s="17" t="s">
        <v>15</v>
      </c>
      <c r="G44" s="17" t="s">
        <v>192</v>
      </c>
      <c r="H44" s="17">
        <f>BoardQty*1</f>
        <v>0</v>
      </c>
      <c r="I44" s="18">
        <f>MINA(INDIRECT(ADDRESS(ROW(),COLUMN(arrow_part_data)+2)),INDIRECT(ADDRESS(ROW(),COLUMN(digikey_part_data)+2)),INDIRECT(ADDRESS(ROW(),COLUMN(farnell_part_data)+2)),INDIRECT(ADDRESS(ROW(),COLUMN(mouser_part_data)+2)),INDIRECT(ADDRESS(ROW(),COLUMN(newark_part_data)+2)),INDIRECT(ADDRESS(ROW(),COLUMN(rs_part_data)+2)),INDIRECT(ADDRESS(ROW(),COLUMN(tme_part_data)+2)),INDIRECT(ADDRESS(ROW(),COLUMN(lcsc_part_data)+2)))</f>
        <v>0</v>
      </c>
      <c r="J44" s="18">
        <f>iferror(H44*I44,"")</f>
        <v>0</v>
      </c>
      <c r="P44" s="17">
        <v>3</v>
      </c>
      <c r="R44" s="18">
        <f>iferror(lookup(if(Q44="",H44,Q44),{0,1,5,10,25,50,100,250,500,3000},{0.0,1.47,1.45,1.428,1.386,1.344,1.302,1.26,1.176,1.176}),"")</f>
        <v>0</v>
      </c>
      <c r="S44" s="18">
        <f>iferror(if(Q44="",H44,Q44)*R44,"")</f>
        <v>0</v>
      </c>
      <c r="T44" s="19" t="s">
        <v>283</v>
      </c>
      <c r="U44" s="17">
        <v>490</v>
      </c>
      <c r="W44" s="18">
        <f>iferror(USD_GBP*lookup(if(V44="",H44,V44),{0,1,10,25,50,250,500},{0.0,1.89,1.89,1.68,1.51,1.39,1.31}),"")</f>
        <v>0</v>
      </c>
      <c r="X44" s="18">
        <f>iferror(if(V44="",H44,V44)*W44,"")</f>
        <v>0</v>
      </c>
      <c r="Y44" s="19" t="s">
        <v>318</v>
      </c>
      <c r="AE44" s="17">
        <v>53</v>
      </c>
      <c r="AG44" s="18">
        <f>iferror(lookup(if(AF44="",H44,AF44),{0,1,10,50,100,1000,10000},{0.0,1.47,1.43,1.34,1.3,1.15,1.15}),"")</f>
        <v>0</v>
      </c>
      <c r="AH44" s="18">
        <f>iferror(if(AF44="",H44,AF44)*AG44,"")</f>
        <v>0</v>
      </c>
      <c r="AI44" s="19" t="s">
        <v>370</v>
      </c>
      <c r="AJ44" s="17">
        <v>490</v>
      </c>
      <c r="AL44" s="18">
        <f>iferror(lookup(if(AK44="",H44,AK44),{0,1,10,25,50,100},{0.0,1.47,1.43,1.39,1.34,1.3}),"")</f>
        <v>0</v>
      </c>
      <c r="AM44" s="18">
        <f>iferror(if(AK44="",H44,AK44)*AL44,"")</f>
        <v>0</v>
      </c>
      <c r="AN44" s="19" t="s">
        <v>404</v>
      </c>
    </row>
    <row r="45" spans="1:50">
      <c r="A45" s="17" t="s">
        <v>195</v>
      </c>
      <c r="B45" s="17" t="s">
        <v>196</v>
      </c>
      <c r="C45" s="17" t="s">
        <v>197</v>
      </c>
      <c r="E45" s="17" t="s">
        <v>198</v>
      </c>
      <c r="F45" s="17" t="s">
        <v>58</v>
      </c>
      <c r="G45" s="17" t="s">
        <v>199</v>
      </c>
      <c r="H45" s="17">
        <f>BoardQty*1</f>
        <v>0</v>
      </c>
      <c r="I45" s="18">
        <f>MINA(INDIRECT(ADDRESS(ROW(),COLUMN(arrow_part_data)+2)),INDIRECT(ADDRESS(ROW(),COLUMN(digikey_part_data)+2)),INDIRECT(ADDRESS(ROW(),COLUMN(farnell_part_data)+2)),INDIRECT(ADDRESS(ROW(),COLUMN(mouser_part_data)+2)),INDIRECT(ADDRESS(ROW(),COLUMN(newark_part_data)+2)),INDIRECT(ADDRESS(ROW(),COLUMN(rs_part_data)+2)),INDIRECT(ADDRESS(ROW(),COLUMN(tme_part_data)+2)),INDIRECT(ADDRESS(ROW(),COLUMN(lcsc_part_data)+2)))</f>
        <v>0</v>
      </c>
      <c r="J45" s="18">
        <f>iferror(H45*I45,"")</f>
        <v>0</v>
      </c>
      <c r="P45" s="17">
        <v>5760</v>
      </c>
      <c r="R45" s="18">
        <f>iferror(lookup(if(Q45="",H45,Q45),{0,1,10,25,100,250,500,1000,3000},{0.0,0.87,0.782,0.742,0.6095,0.56976,0.5035,0.4375,0.4375}),"")</f>
        <v>0</v>
      </c>
      <c r="S45" s="18">
        <f>iferror(if(Q45="",H45,Q45)*R45,"")</f>
        <v>0</v>
      </c>
      <c r="T45" s="19" t="s">
        <v>284</v>
      </c>
      <c r="U45" s="20" t="s">
        <v>249</v>
      </c>
      <c r="W45" s="18">
        <f>iferror(USD_GBP*lookup(if(V45="",H45,V45),{0,1,3000},{0.0,0.25,0.25}),"")</f>
        <v>0</v>
      </c>
      <c r="X45" s="18">
        <f>iferror(if(V45="",H45,V45)*W45,"")</f>
        <v>0</v>
      </c>
      <c r="Y45" s="19" t="s">
        <v>319</v>
      </c>
      <c r="AE45" s="17">
        <v>2982</v>
      </c>
      <c r="AG45" s="18">
        <f>iferror(lookup(if(AF45="",H45,AF45),{0,1,10,50,100,1000,10000},{0.0,0.87,0.782,0.742,0.61,0.398,0.349}),"")</f>
        <v>0</v>
      </c>
      <c r="AH45" s="18">
        <f>iferror(if(AF45="",H45,AF45)*AG45,"")</f>
        <v>0</v>
      </c>
      <c r="AI45" s="19" t="s">
        <v>371</v>
      </c>
      <c r="AJ45" s="20" t="s">
        <v>249</v>
      </c>
      <c r="AL45" s="18">
        <f>iferror(lookup(if(AK45="",H45,AK45),{0,1,3000,6000,12000,18000,24000,30000,300000},{0.0,0.308,0.308,0.303,0.295,0.29,0.287,0.283,0.275}),"")</f>
        <v>0</v>
      </c>
      <c r="AM45" s="18">
        <f>iferror(if(AK45="",H45,AK45)*AL45,"")</f>
        <v>0</v>
      </c>
      <c r="AN45" s="19" t="s">
        <v>405</v>
      </c>
    </row>
    <row r="46" spans="1:50">
      <c r="A46" s="17" t="s">
        <v>200</v>
      </c>
      <c r="B46" s="17" t="s">
        <v>201</v>
      </c>
      <c r="C46" s="17" t="s">
        <v>202</v>
      </c>
      <c r="D46" s="17" t="s">
        <v>203</v>
      </c>
      <c r="E46" s="17" t="s">
        <v>189</v>
      </c>
      <c r="F46" s="17" t="s">
        <v>58</v>
      </c>
      <c r="G46" s="17" t="s">
        <v>201</v>
      </c>
      <c r="H46" s="17">
        <f>BoardQty*1</f>
        <v>0</v>
      </c>
      <c r="I46" s="18">
        <f>MINA(INDIRECT(ADDRESS(ROW(),COLUMN(arrow_part_data)+2)),INDIRECT(ADDRESS(ROW(),COLUMN(digikey_part_data)+2)),INDIRECT(ADDRESS(ROW(),COLUMN(farnell_part_data)+2)),INDIRECT(ADDRESS(ROW(),COLUMN(mouser_part_data)+2)),INDIRECT(ADDRESS(ROW(),COLUMN(newark_part_data)+2)),INDIRECT(ADDRESS(ROW(),COLUMN(rs_part_data)+2)),INDIRECT(ADDRESS(ROW(),COLUMN(tme_part_data)+2)),INDIRECT(ADDRESS(ROW(),COLUMN(lcsc_part_data)+2)))</f>
        <v>0</v>
      </c>
      <c r="J46" s="18">
        <f>iferror(H46*I46,"")</f>
        <v>0</v>
      </c>
      <c r="P46" s="20" t="s">
        <v>249</v>
      </c>
      <c r="R46" s="18">
        <f>iferror(lookup(if(Q46="",H46,Q46),{0,1,3000},{0.0,0.15015,0.15015}),"")</f>
        <v>0</v>
      </c>
      <c r="S46" s="18">
        <f>iferror(if(Q46="",H46,Q46)*R46,"")</f>
        <v>0</v>
      </c>
      <c r="T46" s="19" t="s">
        <v>285</v>
      </c>
      <c r="U46" s="20" t="s">
        <v>249</v>
      </c>
      <c r="W46" s="18">
        <f>iferror(USD_GBP*lookup(if(V46="",H46,V46),{0,1,3000},{0.0,0.0746,0.0746}),"")</f>
        <v>0</v>
      </c>
      <c r="X46" s="18">
        <f>iferror(if(V46="",H46,V46)*W46,"")</f>
        <v>0</v>
      </c>
      <c r="Y46" s="19" t="s">
        <v>320</v>
      </c>
      <c r="AE46" s="20" t="s">
        <v>249</v>
      </c>
      <c r="AG46" s="18">
        <f>iferror(lookup(if(AF46="",H46,AF46),{0,1,10,50,100,1000,10000},{0.0,0.53,0.428,0.428,0.264,0.164,0.15}),"")</f>
        <v>0</v>
      </c>
      <c r="AH46" s="18">
        <f>iferror(if(AF46="",H46,AF46)*AG46,"")</f>
        <v>0</v>
      </c>
      <c r="AI46" s="19" t="s">
        <v>372</v>
      </c>
      <c r="AJ46" s="20" t="s">
        <v>249</v>
      </c>
      <c r="AL46" s="18">
        <f>iferror(lookup(if(AK46="",H46,AK46),{0,1,3000},{0.0,0.119,0.119}),"")</f>
        <v>0</v>
      </c>
      <c r="AM46" s="18">
        <f>iferror(if(AK46="",H46,AK46)*AL46,"")</f>
        <v>0</v>
      </c>
      <c r="AN46" s="19" t="s">
        <v>406</v>
      </c>
    </row>
    <row r="47" spans="1:50">
      <c r="A47" s="17" t="s">
        <v>204</v>
      </c>
      <c r="B47" s="17" t="s">
        <v>205</v>
      </c>
      <c r="C47" s="17" t="s">
        <v>206</v>
      </c>
      <c r="E47" s="17" t="s">
        <v>194</v>
      </c>
      <c r="F47" s="17" t="s">
        <v>15</v>
      </c>
      <c r="G47" s="17" t="s">
        <v>205</v>
      </c>
      <c r="H47" s="17">
        <f>BoardQty*1</f>
        <v>0</v>
      </c>
      <c r="I47" s="18">
        <f>MINA(INDIRECT(ADDRESS(ROW(),COLUMN(arrow_part_data)+2)),INDIRECT(ADDRESS(ROW(),COLUMN(digikey_part_data)+2)),INDIRECT(ADDRESS(ROW(),COLUMN(farnell_part_data)+2)),INDIRECT(ADDRESS(ROW(),COLUMN(mouser_part_data)+2)),INDIRECT(ADDRESS(ROW(),COLUMN(newark_part_data)+2)),INDIRECT(ADDRESS(ROW(),COLUMN(rs_part_data)+2)),INDIRECT(ADDRESS(ROW(),COLUMN(tme_part_data)+2)),INDIRECT(ADDRESS(ROW(),COLUMN(lcsc_part_data)+2)))</f>
        <v>0</v>
      </c>
      <c r="J47" s="18">
        <f>iferror(H47*I47,"")</f>
        <v>0</v>
      </c>
      <c r="P47" s="17">
        <v>500</v>
      </c>
      <c r="R47" s="18">
        <f>iferror(lookup(if(Q47="",H47,Q47),{0,1,5,10,25,50,100,250,500,3000},{0.0,1.47,1.45,1.428,1.386,1.344,1.302,1.26,1.176,1.176}),"")</f>
        <v>0</v>
      </c>
      <c r="S47" s="18">
        <f>iferror(if(Q47="",H47,Q47)*R47,"")</f>
        <v>0</v>
      </c>
      <c r="T47" s="19" t="s">
        <v>286</v>
      </c>
      <c r="U47" s="17">
        <v>500</v>
      </c>
      <c r="W47" s="18">
        <f>iferror(USD_GBP*lookup(if(V47="",H47,V47),{0,1,10,25,50,250,500},{0.0,1.89,1.89,1.68,1.51,1.39,1.31}),"")</f>
        <v>0</v>
      </c>
      <c r="X47" s="18">
        <f>iferror(if(V47="",H47,V47)*W47,"")</f>
        <v>0</v>
      </c>
      <c r="Y47" s="19" t="s">
        <v>321</v>
      </c>
      <c r="AE47" s="17">
        <v>480</v>
      </c>
      <c r="AG47" s="18">
        <f>iferror(lookup(if(AF47="",H47,AF47),{0,1,10,50,100,1000,10000},{0.0,1.47,1.43,1.34,1.3,1.18,1.18}),"")</f>
        <v>0</v>
      </c>
      <c r="AH47" s="18">
        <f>iferror(if(AF47="",H47,AF47)*AG47,"")</f>
        <v>0</v>
      </c>
      <c r="AI47" s="19" t="s">
        <v>373</v>
      </c>
      <c r="AJ47" s="17">
        <v>500</v>
      </c>
      <c r="AL47" s="18">
        <f>iferror(lookup(if(AK47="",H47,AK47),{0,1,10,25,50,100},{0.0,1.47,1.43,1.39,1.34,1.3}),"")</f>
        <v>0</v>
      </c>
      <c r="AM47" s="18">
        <f>iferror(if(AK47="",H47,AK47)*AL47,"")</f>
        <v>0</v>
      </c>
      <c r="AN47" s="19" t="s">
        <v>407</v>
      </c>
    </row>
    <row r="48" spans="1:50">
      <c r="A48" s="17" t="s">
        <v>207</v>
      </c>
      <c r="B48" s="17" t="s">
        <v>208</v>
      </c>
      <c r="C48" s="17" t="s">
        <v>209</v>
      </c>
      <c r="D48" s="17" t="s">
        <v>210</v>
      </c>
      <c r="E48" s="17" t="s">
        <v>189</v>
      </c>
      <c r="F48" s="17" t="s">
        <v>58</v>
      </c>
      <c r="G48" s="17" t="s">
        <v>208</v>
      </c>
      <c r="H48" s="17">
        <f>BoardQty*1</f>
        <v>0</v>
      </c>
      <c r="I48" s="18">
        <f>MINA(INDIRECT(ADDRESS(ROW(),COLUMN(arrow_part_data)+2)),INDIRECT(ADDRESS(ROW(),COLUMN(digikey_part_data)+2)),INDIRECT(ADDRESS(ROW(),COLUMN(farnell_part_data)+2)),INDIRECT(ADDRESS(ROW(),COLUMN(mouser_part_data)+2)),INDIRECT(ADDRESS(ROW(),COLUMN(newark_part_data)+2)),INDIRECT(ADDRESS(ROW(),COLUMN(rs_part_data)+2)),INDIRECT(ADDRESS(ROW(),COLUMN(tme_part_data)+2)),INDIRECT(ADDRESS(ROW(),COLUMN(lcsc_part_data)+2)))</f>
        <v>0</v>
      </c>
      <c r="J48" s="18">
        <f>iferror(H48*I48,"")</f>
        <v>0</v>
      </c>
      <c r="P48" s="20" t="s">
        <v>249</v>
      </c>
      <c r="R48" s="18">
        <f>iferror(lookup(if(Q48="",H48,Q48),{0,1,10,25,100,250,500,1000,3000},{0.0,0.53,0.427,0.3912,0.291,0.26376,0.21828,0.16371,0.15015}),"")</f>
        <v>0</v>
      </c>
      <c r="S48" s="18">
        <f>iferror(if(Q48="",H48,Q48)*R48,"")</f>
        <v>0</v>
      </c>
      <c r="T48" s="19" t="s">
        <v>287</v>
      </c>
      <c r="U48" s="17">
        <v>10</v>
      </c>
      <c r="W48" s="18">
        <f>iferror(USD_GBP*lookup(if(V48="",H48,V48),{0,1,5,10,100,150,500,3000},{0.0,0.516,0.516,0.341,0.148,0.148,0.11,0.0932}),"")</f>
        <v>0</v>
      </c>
      <c r="X48" s="18">
        <f>iferror(if(V48="",H48,V48)*W48,"")</f>
        <v>0</v>
      </c>
      <c r="Y48" s="19" t="s">
        <v>322</v>
      </c>
      <c r="AE48" s="17">
        <v>1124</v>
      </c>
      <c r="AG48" s="18">
        <f>iferror(lookup(if(AF48="",H48,AF48),{0,1,10,50,100,1000,10000},{0.0,0.53,0.428,0.428,0.264,0.164,0.131}),"")</f>
        <v>0</v>
      </c>
      <c r="AH48" s="18">
        <f>iferror(if(AF48="",H48,AF48)*AG48,"")</f>
        <v>0</v>
      </c>
      <c r="AI48" s="19" t="s">
        <v>374</v>
      </c>
      <c r="AJ48" s="20" t="s">
        <v>249</v>
      </c>
      <c r="AL48" s="18">
        <f>iferror(lookup(if(AK48="",H48,AK48),{0,1,3000},{0.0,0.124,0.124}),"")</f>
        <v>0</v>
      </c>
      <c r="AM48" s="18">
        <f>iferror(if(AK48="",H48,AK48)*AL48,"")</f>
        <v>0</v>
      </c>
      <c r="AN48" s="19" t="s">
        <v>408</v>
      </c>
    </row>
    <row r="49" spans="1:49">
      <c r="A49" s="17" t="s">
        <v>211</v>
      </c>
      <c r="B49" s="17" t="s">
        <v>212</v>
      </c>
      <c r="C49" s="17" t="s">
        <v>213</v>
      </c>
      <c r="E49" s="17" t="s">
        <v>214</v>
      </c>
      <c r="F49" s="17" t="s">
        <v>215</v>
      </c>
      <c r="G49" s="17" t="s">
        <v>212</v>
      </c>
      <c r="H49" s="17">
        <f>BoardQty*1</f>
        <v>0</v>
      </c>
      <c r="I49" s="18">
        <f>MINA(INDIRECT(ADDRESS(ROW(),COLUMN(arrow_part_data)+2)),INDIRECT(ADDRESS(ROW(),COLUMN(digikey_part_data)+2)),INDIRECT(ADDRESS(ROW(),COLUMN(farnell_part_data)+2)),INDIRECT(ADDRESS(ROW(),COLUMN(mouser_part_data)+2)),INDIRECT(ADDRESS(ROW(),COLUMN(newark_part_data)+2)),INDIRECT(ADDRESS(ROW(),COLUMN(rs_part_data)+2)),INDIRECT(ADDRESS(ROW(),COLUMN(tme_part_data)+2)),INDIRECT(ADDRESS(ROW(),COLUMN(lcsc_part_data)+2)))</f>
        <v>0</v>
      </c>
      <c r="J49" s="18">
        <f>iferror(H49*I49,"")</f>
        <v>0</v>
      </c>
      <c r="P49" s="20" t="s">
        <v>249</v>
      </c>
      <c r="R49" s="18">
        <f>iferror(lookup(if(Q49="",H49,Q49),{0,1,168},{0.0,13.46006,13.46006}),"")</f>
        <v>0</v>
      </c>
      <c r="S49" s="18">
        <f>iferror(if(Q49="",H49,Q49)*R49,"")</f>
        <v>0</v>
      </c>
      <c r="T49" s="19" t="s">
        <v>288</v>
      </c>
    </row>
    <row r="50" spans="1:49">
      <c r="A50" s="17" t="s">
        <v>216</v>
      </c>
      <c r="B50" s="17" t="s">
        <v>217</v>
      </c>
      <c r="C50" s="17" t="s">
        <v>218</v>
      </c>
      <c r="E50" s="17" t="s">
        <v>219</v>
      </c>
      <c r="F50" s="17" t="s">
        <v>160</v>
      </c>
      <c r="G50" s="17" t="s">
        <v>220</v>
      </c>
      <c r="H50" s="17">
        <f>BoardQty*1</f>
        <v>0</v>
      </c>
      <c r="I50" s="18">
        <f>MINA(INDIRECT(ADDRESS(ROW(),COLUMN(arrow_part_data)+2)),INDIRECT(ADDRESS(ROW(),COLUMN(digikey_part_data)+2)),INDIRECT(ADDRESS(ROW(),COLUMN(farnell_part_data)+2)),INDIRECT(ADDRESS(ROW(),COLUMN(mouser_part_data)+2)),INDIRECT(ADDRESS(ROW(),COLUMN(newark_part_data)+2)),INDIRECT(ADDRESS(ROW(),COLUMN(rs_part_data)+2)),INDIRECT(ADDRESS(ROW(),COLUMN(tme_part_data)+2)),INDIRECT(ADDRESS(ROW(),COLUMN(lcsc_part_data)+2)))</f>
        <v>0</v>
      </c>
      <c r="J50" s="18">
        <f>iferror(H50*I50,"")</f>
        <v>0</v>
      </c>
      <c r="P50" s="20" t="s">
        <v>249</v>
      </c>
      <c r="R50" s="18">
        <f>iferror(lookup(if(Q50="",H50,Q50),{0,1,5000},{0.0,3.63,3.49965}),"")</f>
        <v>0</v>
      </c>
      <c r="S50" s="18">
        <f>iferror(if(Q50="",H50,Q50)*R50,"")</f>
        <v>0</v>
      </c>
      <c r="T50" s="19" t="s">
        <v>289</v>
      </c>
      <c r="U50" s="20" t="s">
        <v>249</v>
      </c>
      <c r="W50" s="18">
        <f>iferror(USD_GBP*lookup(if(V50="",H50,V50),{0,1,10,25,50,100,250,500,1000},{0.0,2.9,2.17,2.05,1.92,1.8,1.61,1.54,1.28}),"")</f>
        <v>0</v>
      </c>
      <c r="X50" s="18">
        <f>iferror(if(V50="",H50,V50)*W50,"")</f>
        <v>0</v>
      </c>
      <c r="Y50" s="19" t="s">
        <v>323</v>
      </c>
      <c r="AE50" s="20" t="s">
        <v>249</v>
      </c>
      <c r="AG50" s="18">
        <f>iferror(lookup(if(AF50="",H50,AF50),{0,1,10,50,100,1000,10000},{0.0,3.58,3.22,3.04,2.64,2.59,2.54}),"")</f>
        <v>0</v>
      </c>
      <c r="AH50" s="18">
        <f>iferror(if(AF50="",H50,AF50)*AG50,"")</f>
        <v>0</v>
      </c>
      <c r="AI50" s="19" t="s">
        <v>375</v>
      </c>
      <c r="AJ50" s="20" t="s">
        <v>249</v>
      </c>
      <c r="AL50" s="18">
        <f>iferror(lookup(if(AK50="",H50,AK50),{0,1,5000},{0.0,3.45,3.33}),"")</f>
        <v>0</v>
      </c>
      <c r="AM50" s="18">
        <f>iferror(if(AK50="",H50,AK50)*AL50,"")</f>
        <v>0</v>
      </c>
      <c r="AN50" s="19" t="s">
        <v>409</v>
      </c>
    </row>
    <row r="51" spans="1:49">
      <c r="A51" s="17" t="s">
        <v>221</v>
      </c>
      <c r="B51" s="17" t="s">
        <v>222</v>
      </c>
      <c r="C51" s="17" t="s">
        <v>223</v>
      </c>
      <c r="E51" s="17" t="s">
        <v>224</v>
      </c>
      <c r="F51" s="17" t="s">
        <v>225</v>
      </c>
      <c r="G51" s="17" t="s">
        <v>222</v>
      </c>
      <c r="H51" s="17">
        <f>BoardQty*4</f>
        <v>0</v>
      </c>
      <c r="I51" s="18">
        <f>MINA(INDIRECT(ADDRESS(ROW(),COLUMN(arrow_part_data)+2)),INDIRECT(ADDRESS(ROW(),COLUMN(digikey_part_data)+2)),INDIRECT(ADDRESS(ROW(),COLUMN(farnell_part_data)+2)),INDIRECT(ADDRESS(ROW(),COLUMN(mouser_part_data)+2)),INDIRECT(ADDRESS(ROW(),COLUMN(newark_part_data)+2)),INDIRECT(ADDRESS(ROW(),COLUMN(rs_part_data)+2)),INDIRECT(ADDRESS(ROW(),COLUMN(tme_part_data)+2)),INDIRECT(ADDRESS(ROW(),COLUMN(lcsc_part_data)+2)))</f>
        <v>0</v>
      </c>
      <c r="J51" s="18">
        <f>iferror(H51*I51,"")</f>
        <v>0</v>
      </c>
      <c r="P51" s="20" t="s">
        <v>249</v>
      </c>
      <c r="R51" s="18">
        <f>iferror(lookup(if(Q51="",H51,Q51),{0,1,2000},{0.0,1.336,1.336}),"")</f>
        <v>0</v>
      </c>
      <c r="S51" s="18">
        <f>iferror(if(Q51="",H51,Q51)*R51,"")</f>
        <v>0</v>
      </c>
      <c r="T51" s="19" t="s">
        <v>290</v>
      </c>
      <c r="Z51" s="17">
        <v>1990</v>
      </c>
      <c r="AB51" s="18">
        <f>iferror(lookup(if(AA51="",H51,AA51),{0,1,10,30,100,500,1000},{0.0,1.4156,1.0496,0.9828,0.9161,0.8855,0.871}),"")</f>
        <v>0</v>
      </c>
      <c r="AC51" s="18">
        <f>iferror(if(AA51="",H51,AA51)*AB51,"")</f>
        <v>0</v>
      </c>
      <c r="AD51" s="19" t="s">
        <v>338</v>
      </c>
      <c r="AE51" s="17">
        <v>594</v>
      </c>
      <c r="AG51" s="18">
        <f>iferror(lookup(if(AF51="",H51,AF51),{0,1,10,50,100,1000,10000},{0.0,2.5,2.25,2.12,1.61,1.3,1.11}),"")</f>
        <v>0</v>
      </c>
      <c r="AH51" s="18">
        <f>iferror(if(AF51="",H51,AF51)*AG51,"")</f>
        <v>0</v>
      </c>
      <c r="AI51" s="19" t="s">
        <v>376</v>
      </c>
    </row>
    <row r="53" spans="1:49">
      <c r="B53" s="21" t="s">
        <v>228</v>
      </c>
      <c r="I53" s="1" t="s">
        <v>226</v>
      </c>
      <c r="J53" s="5">
        <f>SUM(INDIRECT(ADDRESS(ROW(),COLUMN(arrow_part_data)+3)),INDIRECT(ADDRESS(ROW(),COLUMN(digikey_part_data)+3)),INDIRECT(ADDRESS(ROW(),COLUMN(farnell_part_data)+3)),INDIRECT(ADDRESS(ROW(),COLUMN(mouser_part_data)+3)),INDIRECT(ADDRESS(ROW(),COLUMN(newark_part_data)+3)),INDIRECT(ADDRESS(ROW(),COLUMN(rs_part_data)+3)),INDIRECT(ADDRESS(ROW(),COLUMN(tme_part_data)+3)),INDIRECT(ADDRESS(ROW(),COLUMN(lcsc_part_data)+3)))</f>
        <v>0</v>
      </c>
      <c r="K53" s="19" t="s">
        <v>245</v>
      </c>
      <c r="L53" s="6">
        <f>IFERROR(IF(OR(L7:L51),COUNTIFS(L7:L51,"&gt;0",N7:N51,"&lt;&gt;")&amp;" of "&amp;(ROWS(N7:N51)-COUNTBLANK(N7:N51))&amp;" parts purchased",""),"")</f>
        <v>0</v>
      </c>
      <c r="N53" s="5">
        <f>SUMIF(L7:L51,"&gt;0",N7:N51)</f>
        <v>0</v>
      </c>
      <c r="P53" s="19" t="s">
        <v>245</v>
      </c>
      <c r="Q53" s="6">
        <f>IFERROR(IF(OR(Q7:Q51),COUNTIFS(Q7:Q51,"&gt;0",S7:S51,"&lt;&gt;")&amp;" of "&amp;(ROWS(S7:S51)-COUNTBLANK(S7:S51))&amp;" parts purchased",""),"")</f>
        <v>0</v>
      </c>
      <c r="S53" s="5">
        <f>SUMIF(Q7:Q51,"&gt;0",S7:S51)</f>
        <v>0</v>
      </c>
      <c r="U53" s="19" t="s">
        <v>245</v>
      </c>
      <c r="V53" s="6">
        <f>IFERROR(IF(OR(V7:V51),COUNTIFS(V7:V51,"&gt;0",X7:X51,"&lt;&gt;")&amp;" of "&amp;(ROWS(X7:X51)-COUNTBLANK(X7:X51))&amp;" parts purchased",""),"")</f>
        <v>0</v>
      </c>
      <c r="X53" s="5">
        <f>SUMIF(V7:V51,"&gt;0",X7:X51)</f>
        <v>0</v>
      </c>
      <c r="Z53" s="19" t="s">
        <v>245</v>
      </c>
      <c r="AA53" s="6">
        <f>IFERROR(IF(OR(AA7:AA51),COUNTIFS(AA7:AA51,"&gt;0",AC7:AC51,"&lt;&gt;")&amp;" of "&amp;(ROWS(AC7:AC51)-COUNTBLANK(AC7:AC51))&amp;" parts purchased",""),"")</f>
        <v>0</v>
      </c>
      <c r="AC53" s="5">
        <f>SUMIF(AA7:AA51,"&gt;0",AC7:AC51)</f>
        <v>0</v>
      </c>
      <c r="AE53" s="19" t="s">
        <v>245</v>
      </c>
      <c r="AF53" s="6">
        <f>IFERROR(IF(OR(AF7:AF51),COUNTIFS(AF7:AF51,"&gt;0",AH7:AH51,"&lt;&gt;")&amp;" of "&amp;(ROWS(AH7:AH51)-COUNTBLANK(AH7:AH51))&amp;" parts purchased",""),"")</f>
        <v>0</v>
      </c>
      <c r="AH53" s="5">
        <f>SUMIF(AF7:AF51,"&gt;0",AH7:AH51)</f>
        <v>0</v>
      </c>
      <c r="AJ53" s="19" t="s">
        <v>245</v>
      </c>
      <c r="AK53" s="6">
        <f>IFERROR(IF(OR(AK7:AK51),COUNTIFS(AK7:AK51,"&gt;0",AM7:AM51,"&lt;&gt;")&amp;" of "&amp;(ROWS(AM7:AM51)-COUNTBLANK(AM7:AM51))&amp;" parts purchased",""),"")</f>
        <v>0</v>
      </c>
      <c r="AM53" s="5">
        <f>SUMIF(AK7:AK51,"&gt;0",AM7:AM51)</f>
        <v>0</v>
      </c>
      <c r="AO53" s="19" t="s">
        <v>245</v>
      </c>
      <c r="AP53" s="6">
        <f>IFERROR(IF(OR(AP7:AP51),COUNTIFS(AP7:AP51,"&gt;0",AR7:AR51,"&lt;&gt;")&amp;" of "&amp;(ROWS(AR7:AR51)-COUNTBLANK(AR7:AR51))&amp;" parts purchased",""),"")</f>
        <v>0</v>
      </c>
      <c r="AR53" s="5">
        <f>SUMIF(AP7:AP51,"&gt;0",AR7:AR51)</f>
        <v>0</v>
      </c>
      <c r="AT53" s="19" t="s">
        <v>245</v>
      </c>
      <c r="AU53" s="6">
        <f>IFERROR(IF(OR(AU7:AU51),COUNTIFS(AU7:AU51,"&gt;0",AW7:AW51,"&lt;&gt;")&amp;" of "&amp;(ROWS(AW7:AW51)-COUNTBLANK(AW7:AW51))&amp;" parts purchased",""),"")</f>
        <v>0</v>
      </c>
      <c r="AW53" s="5">
        <f>SUMIF(AU7:AU51,"&gt;0",AW7:AW51)</f>
        <v>0</v>
      </c>
    </row>
    <row r="54" spans="1:49">
      <c r="B54" s="21" t="s">
        <v>229</v>
      </c>
      <c r="C54">
        <v>1.293904700565222</v>
      </c>
      <c r="I54" s="21" t="s">
        <v>227</v>
      </c>
      <c r="L54">
        <f t="array" ref="L54">IFERROR(CONCATENATE(INDEX(O7:O51,SMALL(IF(ISNUMBER(L7:L51),IF(L7:L51&gt;0,IF(O7:O51&lt;&gt;"",ROW(L7:L51)-MIN(ROW(L7:L51))+1))),ROW()-ROW(A$54)+1)),",",TEXT(INDEX(L7:L51,SMALL(IF(ISNUMBER(L7:L51),IF(L7:L51&gt;0,IF(O7:O51&lt;&gt;"",ROW(L7:L51)-MIN(ROW(L7:L51))+1))),ROW()-ROW(A$54)+1)),"##0"),",",SUBSTITUTE(INDEX(IF(PURCHASE_DESCRIPTION&lt;&gt;"",PURCHASE_DESCRIPTION&amp;":","")&amp;A7:A51,SMALL(IF(ISNUMBER(L7:L51),IF(L7:L51&gt;0,IF(O7:O51&lt;&gt;"",ROW(L7:L51)-MIN(ROW(L7:L51))+1))),ROW()-ROW(A$54)+1)),",",";")),"")</f>
        <v>0</v>
      </c>
      <c r="Q54">
        <f t="array" ref="Q54">IFERROR(CONCATENATE(TEXT(INDEX(Q7:Q51,SMALL(IF(ISNUMBER(Q7:Q51),IF(Q7:Q51&gt;0,IF(T7:T51&lt;&gt;"",ROW(Q7:Q51)-MIN(ROW(Q7:Q51))+1))),ROW()-ROW(A$54)+1)),"##0"),",",INDEX(T7:T51,SMALL(IF(ISNUMBER(Q7:Q51),IF(Q7:Q51&gt;0,IF(T7:T51&lt;&gt;"",ROW(Q7:Q51)-MIN(ROW(Q7:Q51))+1))),ROW()-ROW(A$54)+1)),",",SUBSTITUTE(INDEX(IF(PURCHASE_DESCRIPTION&lt;&gt;"",PURCHASE_DESCRIPTION&amp;":","")&amp;A7:A51,SMALL(IF(ISNUMBER(Q7:Q51),IF(Q7:Q51&gt;0,IF(T7:T51&lt;&gt;"",ROW(Q7:Q51)-MIN(ROW(Q7:Q51))+1))),ROW()-ROW(A$54)+1)),",",";")),"")</f>
        <v>0</v>
      </c>
      <c r="V54">
        <f t="array" ref="V54">IFERROR(CONCATENATE(INDEX(Y7:Y51,SMALL(IF(ISNUMBER(V7:V51),IF(V7:V51&gt;0,IF(Y7:Y51&lt;&gt;"",ROW(V7:V51)-MIN(ROW(V7:V51))+1))),ROW()-ROW(A$54)+1)),",",TEXT(INDEX(V7:V51,SMALL(IF(ISNUMBER(V7:V51),IF(V7:V51&gt;0,IF(Y7:Y51&lt;&gt;"",ROW(V7:V51)-MIN(ROW(V7:V51))+1))),ROW()-ROW(A$54)+1)),"##0"),",",SUBSTITUTE(SUBSTITUTE(INDEX(IF(PURCHASE_DESCRIPTION&lt;&gt;"",PURCHASE_DESCRIPTION&amp;":","")&amp;A7:A51,SMALL(IF(ISNUMBER(V7:V51),IF(V7:V51&gt;0,IF(Y7:Y51&lt;&gt;"",ROW(V7:V51)-MIN(ROW(V7:V51))+1))),ROW()-ROW(A$54)+1)),",",";"),"
",";"),",",SUBSTITUTE(SUBSTITUTE(INDEX(IF(PURCHASE_DESCRIPTION&lt;&gt;"",PURCHASE_DESCRIPTION&amp;":","")&amp;C7:C51,SMALL(IF(ISNUMBER(V7:V51),IF(V7:V51&gt;0,IF(Y7:Y51&lt;&gt;"",ROW(V7:V51)-MIN(ROW(V7:V51))+1))),ROW()-ROW(A$54)+1)),",",";"),"
",";"),",",SUBSTITUTE(SUBSTITUTE(INDEX(IF(PURCHASE_DESCRIPTION&lt;&gt;"",PURCHASE_DESCRIPTION&amp;":","")&amp;F7:F51,SMALL(IF(ISNUMBER(V7:V51),IF(V7:V51&gt;0,IF(Y7:Y51&lt;&gt;"",ROW(V7:V51)-MIN(ROW(V7:V51))+1))),ROW()-ROW(A$54)+1)),",",";"),"
",";"),",",SUBSTITUTE(SUBSTITUTE(INDEX(IF(PURCHASE_DESCRIPTION&lt;&gt;"",PURCHASE_DESCRIPTION&amp;":","")&amp;D7:D51,SMALL(IF(ISNUMBER(V7:V51),IF(V7:V51&gt;0,IF(Y7:Y51&lt;&gt;"",ROW(V7:V51)-MIN(ROW(V7:V51))+1))),ROW()-ROW(A$54)+1)),",",";"),"
",";")),"")</f>
        <v>0</v>
      </c>
      <c r="AA54" s="6">
        <f>IFERROR(IF(COUNTIFS(AA7:AA51,"&gt;0",AC7:AC51,"&lt;&gt;")&gt;0,"Quantity,Comment,Designator,Footprint,LCSC Part #(optional)",""),"")</f>
        <v>0</v>
      </c>
      <c r="AF54">
        <f t="array" ref="AF54">IFERROR(CONCATENATE(INDEX(AI7:AI51,SMALL(IF(ISNUMBER(AF7:AF51),IF(AF7:AF51&gt;0,IF(AI7:AI51&lt;&gt;"",ROW(AF7:AF51)-MIN(ROW(AF7:AF51))+1))),ROW()-ROW(A$54)+1)),"|",TEXT(INDEX(AF7:AF51,SMALL(IF(ISNUMBER(AF7:AF51),IF(AF7:AF51&gt;0,IF(AI7:AI51&lt;&gt;"",ROW(AF7:AF51)-MIN(ROW(AF7:AF51))+1))),ROW()-ROW(A$54)+1)),"##0"),"|",SUBSTITUTE(SUBSTITUTE(INDEX(IF(PURCHASE_DESCRIPTION&lt;&gt;"",PURCHASE_DESCRIPTION&amp;":","")&amp;A7:A51,SMALL(IF(ISNUMBER(AF7:AF51),IF(AF7:AF51&gt;0,IF(AI7:AI51&lt;&gt;"",ROW(AF7:AF51)-MIN(ROW(AF7:AF51))+1))),ROW()-ROW(A$54)+1)),"|",";")," ","_")),"")</f>
        <v>0</v>
      </c>
      <c r="AK54">
        <f t="array" ref="AK54">IFERROR(CONCATENATE(INDEX(AN7:AN51,SMALL(IF(ISNUMBER(AK7:AK51),IF(AK7:AK51&gt;0,IF(AN7:AN51&lt;&gt;"",ROW(AK7:AK51)-MIN(ROW(AK7:AK51))+1))),ROW()-ROW(A$54)+1)),",",TEXT(INDEX(AK7:AK51,SMALL(IF(ISNUMBER(AK7:AK51),IF(AK7:AK51&gt;0,IF(AN7:AN51&lt;&gt;"",ROW(AK7:AK51)-MIN(ROW(AK7:AK51))+1))),ROW()-ROW(A$54)+1)),"##0"),",",SUBSTITUTE(SUBSTITUTE(INDEX(IF(PURCHASE_DESCRIPTION&lt;&gt;"",PURCHASE_DESCRIPTION&amp;":","")&amp;A7:A51,SMALL(IF(ISNUMBER(AK7:AK51),IF(AK7:AK51&gt;0,IF(AN7:AN51&lt;&gt;"",ROW(AK7:AK51)-MIN(ROW(AK7:AK51))+1))),ROW()-ROW(A$54)+1)),",",";"),"
",";"),",",SUBSTITUTE(SUBSTITUTE(INDEX(IF(PURCHASE_DESCRIPTION&lt;&gt;"",PURCHASE_DESCRIPTION&amp;":","")&amp;C7:C51,SMALL(IF(ISNUMBER(AK7:AK51),IF(AK7:AK51&gt;0,IF(AN7:AN51&lt;&gt;"",ROW(AK7:AK51)-MIN(ROW(AK7:AK51))+1))),ROW()-ROW(A$54)+1)),",",";"),"
",";"),",",SUBSTITUTE(SUBSTITUTE(INDEX(IF(PURCHASE_DESCRIPTION&lt;&gt;"",PURCHASE_DESCRIPTION&amp;":","")&amp;F7:F51,SMALL(IF(ISNUMBER(AK7:AK51),IF(AK7:AK51&gt;0,IF(AN7:AN51&lt;&gt;"",ROW(AK7:AK51)-MIN(ROW(AK7:AK51))+1))),ROW()-ROW(A$54)+1)),",",";"),"
",";"),",",SUBSTITUTE(SUBSTITUTE(INDEX(IF(PURCHASE_DESCRIPTION&lt;&gt;"",PURCHASE_DESCRIPTION&amp;":","")&amp;D7:D51,SMALL(IF(ISNUMBER(AK7:AK51),IF(AK7:AK51&gt;0,IF(AN7:AN51&lt;&gt;"",ROW(AK7:AK51)-MIN(ROW(AK7:AK51))+1))),ROW()-ROW(A$54)+1)),",",";"),"
",";")),"")</f>
        <v>0</v>
      </c>
      <c r="AP54">
        <f t="array" ref="AP54">IFERROR(CONCATENATE(INDEX(AS7:AS51,SMALL(IF(ISNUMBER(AP7:AP51),IF(AP7:AP51&gt;0,IF(AS7:AS51&lt;&gt;"",ROW(AP7:AP51)-MIN(ROW(AP7:AP51))+1))),ROW()-ROW(A$54)+1)),",",TEXT(INDEX(AP7:AP51,SMALL(IF(ISNUMBER(AP7:AP51),IF(AP7:AP51&gt;0,IF(AS7:AS51&lt;&gt;"",ROW(AP7:AP51)-MIN(ROW(AP7:AP51))+1))),ROW()-ROW(A$54)+1)),"##0"),",",,",",,",",,",",INDEX(G7:G51,SMALL(IF(ISNUMBER(AP7:AP51),IF(AP7:AP51&gt;0,IF(AS7:AS51&lt;&gt;"",ROW(AP7:AP51)-MIN(ROW(AP7:AP51))+1))),ROW()-ROW(A$54)+1)),",",SUBSTITUTE(INDEX(IF(PURCHASE_DESCRIPTION&lt;&gt;"",PURCHASE_DESCRIPTION&amp;":","")&amp;A7:A51,SMALL(IF(ISNUMBER(AP7:AP51),IF(AP7:AP51&gt;0,IF(AS7:AS51&lt;&gt;"",ROW(AP7:AP51)-MIN(ROW(AP7:AP51))+1))),ROW()-ROW(A$54)+1)),",",";")),"")</f>
        <v>0</v>
      </c>
      <c r="AU54">
        <f t="array" ref="AU54">IFERROR(CONCATENATE(INDEX(AX7:AX51,SMALL(IF(ISNUMBER(AU7:AU51),IF(AU7:AU51&gt;0,IF(AX7:AX51&lt;&gt;"",ROW(AU7:AU51)-MIN(ROW(AU7:AU51))+1))),ROW()-ROW(A$54)+1))," ",TEXT(INDEX(AU7:AU51,SMALL(IF(ISNUMBER(AU7:AU51),IF(AU7:AU51&gt;0,IF(AX7:AX51&lt;&gt;"",ROW(AU7:AU51)-MIN(ROW(AU7:AU51))+1))),ROW()-ROW(A$54)+1)),"##0")," ",SUBSTITUTE(INDEX(IF(PURCHASE_DESCRIPTION&lt;&gt;"",PURCHASE_DESCRIPTION&amp;":","")&amp;A7:A51,SMALL(IF(ISNUMBER(AU7:AU51),IF(AU7:AU51&gt;0,IF(AX7:AX51&lt;&gt;"",ROW(AU7:AU51)-MIN(ROW(AU7:AU51))+1))),ROW()-ROW(A$54)+1))," ",";")),"")</f>
        <v>0</v>
      </c>
    </row>
    <row r="55" spans="1:49">
      <c r="L55">
        <f t="array" ref="L55">IFERROR(CONCATENATE(INDEX(O7:O51,SMALL(IF(ISNUMBER(L7:L51),IF(L7:L51&gt;0,IF(O7:O51&lt;&gt;"",ROW(L7:L51)-MIN(ROW(L7:L51))+1))),ROW()-ROW(A$54)+1)),",",TEXT(INDEX(L7:L51,SMALL(IF(ISNUMBER(L7:L51),IF(L7:L51&gt;0,IF(O7:O51&lt;&gt;"",ROW(L7:L51)-MIN(ROW(L7:L51))+1))),ROW()-ROW(A$54)+1)),"##0"),",",SUBSTITUTE(INDEX(IF(PURCHASE_DESCRIPTION&lt;&gt;"",PURCHASE_DESCRIPTION&amp;":","")&amp;A7:A51,SMALL(IF(ISNUMBER(L7:L51),IF(L7:L51&gt;0,IF(O7:O51&lt;&gt;"",ROW(L7:L51)-MIN(ROW(L7:L51))+1))),ROW()-ROW(A$54)+1)),",",";")),"")</f>
        <v>0</v>
      </c>
      <c r="Q55">
        <f t="array" ref="Q55">IFERROR(CONCATENATE(TEXT(INDEX(Q7:Q51,SMALL(IF(ISNUMBER(Q7:Q51),IF(Q7:Q51&gt;0,IF(T7:T51&lt;&gt;"",ROW(Q7:Q51)-MIN(ROW(Q7:Q51))+1))),ROW()-ROW(A$54)+1)),"##0"),",",INDEX(T7:T51,SMALL(IF(ISNUMBER(Q7:Q51),IF(Q7:Q51&gt;0,IF(T7:T51&lt;&gt;"",ROW(Q7:Q51)-MIN(ROW(Q7:Q51))+1))),ROW()-ROW(A$54)+1)),",",SUBSTITUTE(INDEX(IF(PURCHASE_DESCRIPTION&lt;&gt;"",PURCHASE_DESCRIPTION&amp;":","")&amp;A7:A51,SMALL(IF(ISNUMBER(Q7:Q51),IF(Q7:Q51&gt;0,IF(T7:T51&lt;&gt;"",ROW(Q7:Q51)-MIN(ROW(Q7:Q51))+1))),ROW()-ROW(A$54)+1)),",",";")),"")</f>
        <v>0</v>
      </c>
      <c r="V55">
        <f t="array" ref="V55">IFERROR(CONCATENATE(INDEX(Y7:Y51,SMALL(IF(ISNUMBER(V7:V51),IF(V7:V51&gt;0,IF(Y7:Y51&lt;&gt;"",ROW(V7:V51)-MIN(ROW(V7:V51))+1))),ROW()-ROW(A$54)+1)),",",TEXT(INDEX(V7:V51,SMALL(IF(ISNUMBER(V7:V51),IF(V7:V51&gt;0,IF(Y7:Y51&lt;&gt;"",ROW(V7:V51)-MIN(ROW(V7:V51))+1))),ROW()-ROW(A$54)+1)),"##0"),",",SUBSTITUTE(SUBSTITUTE(INDEX(IF(PURCHASE_DESCRIPTION&lt;&gt;"",PURCHASE_DESCRIPTION&amp;":","")&amp;A7:A51,SMALL(IF(ISNUMBER(V7:V51),IF(V7:V51&gt;0,IF(Y7:Y51&lt;&gt;"",ROW(V7:V51)-MIN(ROW(V7:V51))+1))),ROW()-ROW(A$54)+1)),",",";"),"
",";"),",",SUBSTITUTE(SUBSTITUTE(INDEX(IF(PURCHASE_DESCRIPTION&lt;&gt;"",PURCHASE_DESCRIPTION&amp;":","")&amp;C7:C51,SMALL(IF(ISNUMBER(V7:V51),IF(V7:V51&gt;0,IF(Y7:Y51&lt;&gt;"",ROW(V7:V51)-MIN(ROW(V7:V51))+1))),ROW()-ROW(A$54)+1)),",",";"),"
",";"),",",SUBSTITUTE(SUBSTITUTE(INDEX(IF(PURCHASE_DESCRIPTION&lt;&gt;"",PURCHASE_DESCRIPTION&amp;":","")&amp;F7:F51,SMALL(IF(ISNUMBER(V7:V51),IF(V7:V51&gt;0,IF(Y7:Y51&lt;&gt;"",ROW(V7:V51)-MIN(ROW(V7:V51))+1))),ROW()-ROW(A$54)+1)),",",";"),"
",";"),",",SUBSTITUTE(SUBSTITUTE(INDEX(IF(PURCHASE_DESCRIPTION&lt;&gt;"",PURCHASE_DESCRIPTION&amp;":","")&amp;D7:D51,SMALL(IF(ISNUMBER(V7:V51),IF(V7:V51&gt;0,IF(Y7:Y51&lt;&gt;"",ROW(V7:V51)-MIN(ROW(V7:V51))+1))),ROW()-ROW(A$54)+1)),",",";"),"
",";")),"")</f>
        <v>0</v>
      </c>
      <c r="AA55">
        <f t="array" ref="AA55">IFERROR(CONCATENATE(TEXT(INDEX(AA7:AA51,SMALL(IF(ISNUMBER(AA7:AA51),IF(AA7:AA51&gt;0,IF(AD7:AD51&lt;&gt;"",ROW(AA7:AA51)-MIN(ROW(AA7:AA51))+1))),ROW()-ROW(A$55)+1)),"##0"),",",SUBSTITUTE(INDEX(IF(PURCHASE_DESCRIPTION&lt;&gt;"",PURCHASE_DESCRIPTION&amp;":","")&amp;A7:A51,SMALL(IF(ISNUMBER(AA7:AA51),IF(AA7:AA51&gt;0,IF(AD7:AD51&lt;&gt;"",ROW(AA7:AA51)-MIN(ROW(AA7:AA51))+1))),ROW()-ROW(A$55)+1)),",",";"),",",SUBSTITUTE(INDEX(IF(PURCHASE_DESCRIPTION&lt;&gt;"",PURCHASE_DESCRIPTION&amp;":","")&amp;E7:E51,SMALL(IF(ISNUMBER(AA7:AA51),IF(AA7:AA51&gt;0,IF(AD7:AD51&lt;&gt;"",ROW(AA7:AA51)-MIN(ROW(AA7:AA51))+1))),ROW()-ROW(A$55)+1)),",",";"),",",INDEX(AD7:AD51,SMALL(IF(ISNUMBER(AA7:AA51),IF(AA7:AA51&gt;0,IF(AD7:AD51&lt;&gt;"",ROW(AA7:AA51)-MIN(ROW(AA7:AA51))+1))),ROW()-ROW(A$55)+1))),"")</f>
        <v>0</v>
      </c>
      <c r="AF55">
        <f t="array" ref="AF55">IFERROR(CONCATENATE(INDEX(AI7:AI51,SMALL(IF(ISNUMBER(AF7:AF51),IF(AF7:AF51&gt;0,IF(AI7:AI51&lt;&gt;"",ROW(AF7:AF51)-MIN(ROW(AF7:AF51))+1))),ROW()-ROW(A$54)+1)),"|",TEXT(INDEX(AF7:AF51,SMALL(IF(ISNUMBER(AF7:AF51),IF(AF7:AF51&gt;0,IF(AI7:AI51&lt;&gt;"",ROW(AF7:AF51)-MIN(ROW(AF7:AF51))+1))),ROW()-ROW(A$54)+1)),"##0"),"|",SUBSTITUTE(SUBSTITUTE(INDEX(IF(PURCHASE_DESCRIPTION&lt;&gt;"",PURCHASE_DESCRIPTION&amp;":","")&amp;A7:A51,SMALL(IF(ISNUMBER(AF7:AF51),IF(AF7:AF51&gt;0,IF(AI7:AI51&lt;&gt;"",ROW(AF7:AF51)-MIN(ROW(AF7:AF51))+1))),ROW()-ROW(A$54)+1)),"|",";")," ","_")),"")</f>
        <v>0</v>
      </c>
      <c r="AK55">
        <f t="array" ref="AK55">IFERROR(CONCATENATE(INDEX(AN7:AN51,SMALL(IF(ISNUMBER(AK7:AK51),IF(AK7:AK51&gt;0,IF(AN7:AN51&lt;&gt;"",ROW(AK7:AK51)-MIN(ROW(AK7:AK51))+1))),ROW()-ROW(A$54)+1)),",",TEXT(INDEX(AK7:AK51,SMALL(IF(ISNUMBER(AK7:AK51),IF(AK7:AK51&gt;0,IF(AN7:AN51&lt;&gt;"",ROW(AK7:AK51)-MIN(ROW(AK7:AK51))+1))),ROW()-ROW(A$54)+1)),"##0"),",",SUBSTITUTE(SUBSTITUTE(INDEX(IF(PURCHASE_DESCRIPTION&lt;&gt;"",PURCHASE_DESCRIPTION&amp;":","")&amp;A7:A51,SMALL(IF(ISNUMBER(AK7:AK51),IF(AK7:AK51&gt;0,IF(AN7:AN51&lt;&gt;"",ROW(AK7:AK51)-MIN(ROW(AK7:AK51))+1))),ROW()-ROW(A$54)+1)),",",";"),"
",";"),",",SUBSTITUTE(SUBSTITUTE(INDEX(IF(PURCHASE_DESCRIPTION&lt;&gt;"",PURCHASE_DESCRIPTION&amp;":","")&amp;C7:C51,SMALL(IF(ISNUMBER(AK7:AK51),IF(AK7:AK51&gt;0,IF(AN7:AN51&lt;&gt;"",ROW(AK7:AK51)-MIN(ROW(AK7:AK51))+1))),ROW()-ROW(A$54)+1)),",",";"),"
",";"),",",SUBSTITUTE(SUBSTITUTE(INDEX(IF(PURCHASE_DESCRIPTION&lt;&gt;"",PURCHASE_DESCRIPTION&amp;":","")&amp;F7:F51,SMALL(IF(ISNUMBER(AK7:AK51),IF(AK7:AK51&gt;0,IF(AN7:AN51&lt;&gt;"",ROW(AK7:AK51)-MIN(ROW(AK7:AK51))+1))),ROW()-ROW(A$54)+1)),",",";"),"
",";"),",",SUBSTITUTE(SUBSTITUTE(INDEX(IF(PURCHASE_DESCRIPTION&lt;&gt;"",PURCHASE_DESCRIPTION&amp;":","")&amp;D7:D51,SMALL(IF(ISNUMBER(AK7:AK51),IF(AK7:AK51&gt;0,IF(AN7:AN51&lt;&gt;"",ROW(AK7:AK51)-MIN(ROW(AK7:AK51))+1))),ROW()-ROW(A$54)+1)),",",";"),"
",";")),"")</f>
        <v>0</v>
      </c>
      <c r="AP55">
        <f t="array" ref="AP55">IFERROR(CONCATENATE(INDEX(AS7:AS51,SMALL(IF(ISNUMBER(AP7:AP51),IF(AP7:AP51&gt;0,IF(AS7:AS51&lt;&gt;"",ROW(AP7:AP51)-MIN(ROW(AP7:AP51))+1))),ROW()-ROW(A$54)+1)),",",TEXT(INDEX(AP7:AP51,SMALL(IF(ISNUMBER(AP7:AP51),IF(AP7:AP51&gt;0,IF(AS7:AS51&lt;&gt;"",ROW(AP7:AP51)-MIN(ROW(AP7:AP51))+1))),ROW()-ROW(A$54)+1)),"##0"),",",,",",,",",,",",INDEX(G7:G51,SMALL(IF(ISNUMBER(AP7:AP51),IF(AP7:AP51&gt;0,IF(AS7:AS51&lt;&gt;"",ROW(AP7:AP51)-MIN(ROW(AP7:AP51))+1))),ROW()-ROW(A$54)+1)),",",SUBSTITUTE(INDEX(IF(PURCHASE_DESCRIPTION&lt;&gt;"",PURCHASE_DESCRIPTION&amp;":","")&amp;A7:A51,SMALL(IF(ISNUMBER(AP7:AP51),IF(AP7:AP51&gt;0,IF(AS7:AS51&lt;&gt;"",ROW(AP7:AP51)-MIN(ROW(AP7:AP51))+1))),ROW()-ROW(A$54)+1)),",",";")),"")</f>
        <v>0</v>
      </c>
      <c r="AU55">
        <f t="array" ref="AU55">IFERROR(CONCATENATE(INDEX(AX7:AX51,SMALL(IF(ISNUMBER(AU7:AU51),IF(AU7:AU51&gt;0,IF(AX7:AX51&lt;&gt;"",ROW(AU7:AU51)-MIN(ROW(AU7:AU51))+1))),ROW()-ROW(A$54)+1))," ",TEXT(INDEX(AU7:AU51,SMALL(IF(ISNUMBER(AU7:AU51),IF(AU7:AU51&gt;0,IF(AX7:AX51&lt;&gt;"",ROW(AU7:AU51)-MIN(ROW(AU7:AU51))+1))),ROW()-ROW(A$54)+1)),"##0")," ",SUBSTITUTE(INDEX(IF(PURCHASE_DESCRIPTION&lt;&gt;"",PURCHASE_DESCRIPTION&amp;":","")&amp;A7:A51,SMALL(IF(ISNUMBER(AU7:AU51),IF(AU7:AU51&gt;0,IF(AX7:AX51&lt;&gt;"",ROW(AU7:AU51)-MIN(ROW(AU7:AU51))+1))),ROW()-ROW(A$54)+1))," ",";")),"")</f>
        <v>0</v>
      </c>
    </row>
    <row r="56" spans="1:49">
      <c r="A56" s="2" t="s">
        <v>427</v>
      </c>
      <c r="L56">
        <f t="array" ref="L56">IFERROR(CONCATENATE(INDEX(O7:O51,SMALL(IF(ISNUMBER(L7:L51),IF(L7:L51&gt;0,IF(O7:O51&lt;&gt;"",ROW(L7:L51)-MIN(ROW(L7:L51))+1))),ROW()-ROW(A$54)+1)),",",TEXT(INDEX(L7:L51,SMALL(IF(ISNUMBER(L7:L51),IF(L7:L51&gt;0,IF(O7:O51&lt;&gt;"",ROW(L7:L51)-MIN(ROW(L7:L51))+1))),ROW()-ROW(A$54)+1)),"##0"),",",SUBSTITUTE(INDEX(IF(PURCHASE_DESCRIPTION&lt;&gt;"",PURCHASE_DESCRIPTION&amp;":","")&amp;A7:A51,SMALL(IF(ISNUMBER(L7:L51),IF(L7:L51&gt;0,IF(O7:O51&lt;&gt;"",ROW(L7:L51)-MIN(ROW(L7:L51))+1))),ROW()-ROW(A$54)+1)),",",";")),"")</f>
        <v>0</v>
      </c>
      <c r="Q56">
        <f t="array" ref="Q56">IFERROR(CONCATENATE(TEXT(INDEX(Q7:Q51,SMALL(IF(ISNUMBER(Q7:Q51),IF(Q7:Q51&gt;0,IF(T7:T51&lt;&gt;"",ROW(Q7:Q51)-MIN(ROW(Q7:Q51))+1))),ROW()-ROW(A$54)+1)),"##0"),",",INDEX(T7:T51,SMALL(IF(ISNUMBER(Q7:Q51),IF(Q7:Q51&gt;0,IF(T7:T51&lt;&gt;"",ROW(Q7:Q51)-MIN(ROW(Q7:Q51))+1))),ROW()-ROW(A$54)+1)),",",SUBSTITUTE(INDEX(IF(PURCHASE_DESCRIPTION&lt;&gt;"",PURCHASE_DESCRIPTION&amp;":","")&amp;A7:A51,SMALL(IF(ISNUMBER(Q7:Q51),IF(Q7:Q51&gt;0,IF(T7:T51&lt;&gt;"",ROW(Q7:Q51)-MIN(ROW(Q7:Q51))+1))),ROW()-ROW(A$54)+1)),",",";")),"")</f>
        <v>0</v>
      </c>
      <c r="V56">
        <f t="array" ref="V56">IFERROR(CONCATENATE(INDEX(Y7:Y51,SMALL(IF(ISNUMBER(V7:V51),IF(V7:V51&gt;0,IF(Y7:Y51&lt;&gt;"",ROW(V7:V51)-MIN(ROW(V7:V51))+1))),ROW()-ROW(A$54)+1)),",",TEXT(INDEX(V7:V51,SMALL(IF(ISNUMBER(V7:V51),IF(V7:V51&gt;0,IF(Y7:Y51&lt;&gt;"",ROW(V7:V51)-MIN(ROW(V7:V51))+1))),ROW()-ROW(A$54)+1)),"##0"),",",SUBSTITUTE(SUBSTITUTE(INDEX(IF(PURCHASE_DESCRIPTION&lt;&gt;"",PURCHASE_DESCRIPTION&amp;":","")&amp;A7:A51,SMALL(IF(ISNUMBER(V7:V51),IF(V7:V51&gt;0,IF(Y7:Y51&lt;&gt;"",ROW(V7:V51)-MIN(ROW(V7:V51))+1))),ROW()-ROW(A$54)+1)),",",";"),"
",";"),",",SUBSTITUTE(SUBSTITUTE(INDEX(IF(PURCHASE_DESCRIPTION&lt;&gt;"",PURCHASE_DESCRIPTION&amp;":","")&amp;C7:C51,SMALL(IF(ISNUMBER(V7:V51),IF(V7:V51&gt;0,IF(Y7:Y51&lt;&gt;"",ROW(V7:V51)-MIN(ROW(V7:V51))+1))),ROW()-ROW(A$54)+1)),",",";"),"
",";"),",",SUBSTITUTE(SUBSTITUTE(INDEX(IF(PURCHASE_DESCRIPTION&lt;&gt;"",PURCHASE_DESCRIPTION&amp;":","")&amp;F7:F51,SMALL(IF(ISNUMBER(V7:V51),IF(V7:V51&gt;0,IF(Y7:Y51&lt;&gt;"",ROW(V7:V51)-MIN(ROW(V7:V51))+1))),ROW()-ROW(A$54)+1)),",",";"),"
",";"),",",SUBSTITUTE(SUBSTITUTE(INDEX(IF(PURCHASE_DESCRIPTION&lt;&gt;"",PURCHASE_DESCRIPTION&amp;":","")&amp;D7:D51,SMALL(IF(ISNUMBER(V7:V51),IF(V7:V51&gt;0,IF(Y7:Y51&lt;&gt;"",ROW(V7:V51)-MIN(ROW(V7:V51))+1))),ROW()-ROW(A$54)+1)),",",";"),"
",";")),"")</f>
        <v>0</v>
      </c>
      <c r="AA56">
        <f t="array" ref="AA56">IFERROR(CONCATENATE(TEXT(INDEX(AA7:AA51,SMALL(IF(ISNUMBER(AA7:AA51),IF(AA7:AA51&gt;0,IF(AD7:AD51&lt;&gt;"",ROW(AA7:AA51)-MIN(ROW(AA7:AA51))+1))),ROW()-ROW(A$55)+1)),"##0"),",",SUBSTITUTE(INDEX(IF(PURCHASE_DESCRIPTION&lt;&gt;"",PURCHASE_DESCRIPTION&amp;":","")&amp;A7:A51,SMALL(IF(ISNUMBER(AA7:AA51),IF(AA7:AA51&gt;0,IF(AD7:AD51&lt;&gt;"",ROW(AA7:AA51)-MIN(ROW(AA7:AA51))+1))),ROW()-ROW(A$55)+1)),",",";"),",",SUBSTITUTE(INDEX(IF(PURCHASE_DESCRIPTION&lt;&gt;"",PURCHASE_DESCRIPTION&amp;":","")&amp;E7:E51,SMALL(IF(ISNUMBER(AA7:AA51),IF(AA7:AA51&gt;0,IF(AD7:AD51&lt;&gt;"",ROW(AA7:AA51)-MIN(ROW(AA7:AA51))+1))),ROW()-ROW(A$55)+1)),",",";"),",",INDEX(AD7:AD51,SMALL(IF(ISNUMBER(AA7:AA51),IF(AA7:AA51&gt;0,IF(AD7:AD51&lt;&gt;"",ROW(AA7:AA51)-MIN(ROW(AA7:AA51))+1))),ROW()-ROW(A$55)+1))),"")</f>
        <v>0</v>
      </c>
      <c r="AF56">
        <f t="array" ref="AF56">IFERROR(CONCATENATE(INDEX(AI7:AI51,SMALL(IF(ISNUMBER(AF7:AF51),IF(AF7:AF51&gt;0,IF(AI7:AI51&lt;&gt;"",ROW(AF7:AF51)-MIN(ROW(AF7:AF51))+1))),ROW()-ROW(A$54)+1)),"|",TEXT(INDEX(AF7:AF51,SMALL(IF(ISNUMBER(AF7:AF51),IF(AF7:AF51&gt;0,IF(AI7:AI51&lt;&gt;"",ROW(AF7:AF51)-MIN(ROW(AF7:AF51))+1))),ROW()-ROW(A$54)+1)),"##0"),"|",SUBSTITUTE(SUBSTITUTE(INDEX(IF(PURCHASE_DESCRIPTION&lt;&gt;"",PURCHASE_DESCRIPTION&amp;":","")&amp;A7:A51,SMALL(IF(ISNUMBER(AF7:AF51),IF(AF7:AF51&gt;0,IF(AI7:AI51&lt;&gt;"",ROW(AF7:AF51)-MIN(ROW(AF7:AF51))+1))),ROW()-ROW(A$54)+1)),"|",";")," ","_")),"")</f>
        <v>0</v>
      </c>
      <c r="AK56">
        <f t="array" ref="AK56">IFERROR(CONCATENATE(INDEX(AN7:AN51,SMALL(IF(ISNUMBER(AK7:AK51),IF(AK7:AK51&gt;0,IF(AN7:AN51&lt;&gt;"",ROW(AK7:AK51)-MIN(ROW(AK7:AK51))+1))),ROW()-ROW(A$54)+1)),",",TEXT(INDEX(AK7:AK51,SMALL(IF(ISNUMBER(AK7:AK51),IF(AK7:AK51&gt;0,IF(AN7:AN51&lt;&gt;"",ROW(AK7:AK51)-MIN(ROW(AK7:AK51))+1))),ROW()-ROW(A$54)+1)),"##0"),",",SUBSTITUTE(SUBSTITUTE(INDEX(IF(PURCHASE_DESCRIPTION&lt;&gt;"",PURCHASE_DESCRIPTION&amp;":","")&amp;A7:A51,SMALL(IF(ISNUMBER(AK7:AK51),IF(AK7:AK51&gt;0,IF(AN7:AN51&lt;&gt;"",ROW(AK7:AK51)-MIN(ROW(AK7:AK51))+1))),ROW()-ROW(A$54)+1)),",",";"),"
",";"),",",SUBSTITUTE(SUBSTITUTE(INDEX(IF(PURCHASE_DESCRIPTION&lt;&gt;"",PURCHASE_DESCRIPTION&amp;":","")&amp;C7:C51,SMALL(IF(ISNUMBER(AK7:AK51),IF(AK7:AK51&gt;0,IF(AN7:AN51&lt;&gt;"",ROW(AK7:AK51)-MIN(ROW(AK7:AK51))+1))),ROW()-ROW(A$54)+1)),",",";"),"
",";"),",",SUBSTITUTE(SUBSTITUTE(INDEX(IF(PURCHASE_DESCRIPTION&lt;&gt;"",PURCHASE_DESCRIPTION&amp;":","")&amp;F7:F51,SMALL(IF(ISNUMBER(AK7:AK51),IF(AK7:AK51&gt;0,IF(AN7:AN51&lt;&gt;"",ROW(AK7:AK51)-MIN(ROW(AK7:AK51))+1))),ROW()-ROW(A$54)+1)),",",";"),"
",";"),",",SUBSTITUTE(SUBSTITUTE(INDEX(IF(PURCHASE_DESCRIPTION&lt;&gt;"",PURCHASE_DESCRIPTION&amp;":","")&amp;D7:D51,SMALL(IF(ISNUMBER(AK7:AK51),IF(AK7:AK51&gt;0,IF(AN7:AN51&lt;&gt;"",ROW(AK7:AK51)-MIN(ROW(AK7:AK51))+1))),ROW()-ROW(A$54)+1)),",",";"),"
",";")),"")</f>
        <v>0</v>
      </c>
      <c r="AP56">
        <f t="array" ref="AP56">IFERROR(CONCATENATE(INDEX(AS7:AS51,SMALL(IF(ISNUMBER(AP7:AP51),IF(AP7:AP51&gt;0,IF(AS7:AS51&lt;&gt;"",ROW(AP7:AP51)-MIN(ROW(AP7:AP51))+1))),ROW()-ROW(A$54)+1)),",",TEXT(INDEX(AP7:AP51,SMALL(IF(ISNUMBER(AP7:AP51),IF(AP7:AP51&gt;0,IF(AS7:AS51&lt;&gt;"",ROW(AP7:AP51)-MIN(ROW(AP7:AP51))+1))),ROW()-ROW(A$54)+1)),"##0"),",",,",",,",",,",",INDEX(G7:G51,SMALL(IF(ISNUMBER(AP7:AP51),IF(AP7:AP51&gt;0,IF(AS7:AS51&lt;&gt;"",ROW(AP7:AP51)-MIN(ROW(AP7:AP51))+1))),ROW()-ROW(A$54)+1)),",",SUBSTITUTE(INDEX(IF(PURCHASE_DESCRIPTION&lt;&gt;"",PURCHASE_DESCRIPTION&amp;":","")&amp;A7:A51,SMALL(IF(ISNUMBER(AP7:AP51),IF(AP7:AP51&gt;0,IF(AS7:AS51&lt;&gt;"",ROW(AP7:AP51)-MIN(ROW(AP7:AP51))+1))),ROW()-ROW(A$54)+1)),",",";")),"")</f>
        <v>0</v>
      </c>
      <c r="AU56">
        <f t="array" ref="AU56">IFERROR(CONCATENATE(INDEX(AX7:AX51,SMALL(IF(ISNUMBER(AU7:AU51),IF(AU7:AU51&gt;0,IF(AX7:AX51&lt;&gt;"",ROW(AU7:AU51)-MIN(ROW(AU7:AU51))+1))),ROW()-ROW(A$54)+1))," ",TEXT(INDEX(AU7:AU51,SMALL(IF(ISNUMBER(AU7:AU51),IF(AU7:AU51&gt;0,IF(AX7:AX51&lt;&gt;"",ROW(AU7:AU51)-MIN(ROW(AU7:AU51))+1))),ROW()-ROW(A$54)+1)),"##0")," ",SUBSTITUTE(INDEX(IF(PURCHASE_DESCRIPTION&lt;&gt;"",PURCHASE_DESCRIPTION&amp;":","")&amp;A7:A51,SMALL(IF(ISNUMBER(AU7:AU51),IF(AU7:AU51&gt;0,IF(AX7:AX51&lt;&gt;"",ROW(AU7:AU51)-MIN(ROW(AU7:AU51))+1))),ROW()-ROW(A$54)+1))," ",";")),"")</f>
        <v>0</v>
      </c>
    </row>
    <row r="57" spans="1:49">
      <c r="L57">
        <f t="array" ref="L57">IFERROR(CONCATENATE(INDEX(O7:O51,SMALL(IF(ISNUMBER(L7:L51),IF(L7:L51&gt;0,IF(O7:O51&lt;&gt;"",ROW(L7:L51)-MIN(ROW(L7:L51))+1))),ROW()-ROW(A$54)+1)),",",TEXT(INDEX(L7:L51,SMALL(IF(ISNUMBER(L7:L51),IF(L7:L51&gt;0,IF(O7:O51&lt;&gt;"",ROW(L7:L51)-MIN(ROW(L7:L51))+1))),ROW()-ROW(A$54)+1)),"##0"),",",SUBSTITUTE(INDEX(IF(PURCHASE_DESCRIPTION&lt;&gt;"",PURCHASE_DESCRIPTION&amp;":","")&amp;A7:A51,SMALL(IF(ISNUMBER(L7:L51),IF(L7:L51&gt;0,IF(O7:O51&lt;&gt;"",ROW(L7:L51)-MIN(ROW(L7:L51))+1))),ROW()-ROW(A$54)+1)),",",";")),"")</f>
        <v>0</v>
      </c>
      <c r="Q57">
        <f t="array" ref="Q57">IFERROR(CONCATENATE(TEXT(INDEX(Q7:Q51,SMALL(IF(ISNUMBER(Q7:Q51),IF(Q7:Q51&gt;0,IF(T7:T51&lt;&gt;"",ROW(Q7:Q51)-MIN(ROW(Q7:Q51))+1))),ROW()-ROW(A$54)+1)),"##0"),",",INDEX(T7:T51,SMALL(IF(ISNUMBER(Q7:Q51),IF(Q7:Q51&gt;0,IF(T7:T51&lt;&gt;"",ROW(Q7:Q51)-MIN(ROW(Q7:Q51))+1))),ROW()-ROW(A$54)+1)),",",SUBSTITUTE(INDEX(IF(PURCHASE_DESCRIPTION&lt;&gt;"",PURCHASE_DESCRIPTION&amp;":","")&amp;A7:A51,SMALL(IF(ISNUMBER(Q7:Q51),IF(Q7:Q51&gt;0,IF(T7:T51&lt;&gt;"",ROW(Q7:Q51)-MIN(ROW(Q7:Q51))+1))),ROW()-ROW(A$54)+1)),",",";")),"")</f>
        <v>0</v>
      </c>
      <c r="V57">
        <f t="array" ref="V57">IFERROR(CONCATENATE(INDEX(Y7:Y51,SMALL(IF(ISNUMBER(V7:V51),IF(V7:V51&gt;0,IF(Y7:Y51&lt;&gt;"",ROW(V7:V51)-MIN(ROW(V7:V51))+1))),ROW()-ROW(A$54)+1)),",",TEXT(INDEX(V7:V51,SMALL(IF(ISNUMBER(V7:V51),IF(V7:V51&gt;0,IF(Y7:Y51&lt;&gt;"",ROW(V7:V51)-MIN(ROW(V7:V51))+1))),ROW()-ROW(A$54)+1)),"##0"),",",SUBSTITUTE(SUBSTITUTE(INDEX(IF(PURCHASE_DESCRIPTION&lt;&gt;"",PURCHASE_DESCRIPTION&amp;":","")&amp;A7:A51,SMALL(IF(ISNUMBER(V7:V51),IF(V7:V51&gt;0,IF(Y7:Y51&lt;&gt;"",ROW(V7:V51)-MIN(ROW(V7:V51))+1))),ROW()-ROW(A$54)+1)),",",";"),"
",";"),",",SUBSTITUTE(SUBSTITUTE(INDEX(IF(PURCHASE_DESCRIPTION&lt;&gt;"",PURCHASE_DESCRIPTION&amp;":","")&amp;C7:C51,SMALL(IF(ISNUMBER(V7:V51),IF(V7:V51&gt;0,IF(Y7:Y51&lt;&gt;"",ROW(V7:V51)-MIN(ROW(V7:V51))+1))),ROW()-ROW(A$54)+1)),",",";"),"
",";"),",",SUBSTITUTE(SUBSTITUTE(INDEX(IF(PURCHASE_DESCRIPTION&lt;&gt;"",PURCHASE_DESCRIPTION&amp;":","")&amp;F7:F51,SMALL(IF(ISNUMBER(V7:V51),IF(V7:V51&gt;0,IF(Y7:Y51&lt;&gt;"",ROW(V7:V51)-MIN(ROW(V7:V51))+1))),ROW()-ROW(A$54)+1)),",",";"),"
",";"),",",SUBSTITUTE(SUBSTITUTE(INDEX(IF(PURCHASE_DESCRIPTION&lt;&gt;"",PURCHASE_DESCRIPTION&amp;":","")&amp;D7:D51,SMALL(IF(ISNUMBER(V7:V51),IF(V7:V51&gt;0,IF(Y7:Y51&lt;&gt;"",ROW(V7:V51)-MIN(ROW(V7:V51))+1))),ROW()-ROW(A$54)+1)),",",";"),"
",";")),"")</f>
        <v>0</v>
      </c>
      <c r="AA57">
        <f t="array" ref="AA57">IFERROR(CONCATENATE(TEXT(INDEX(AA7:AA51,SMALL(IF(ISNUMBER(AA7:AA51),IF(AA7:AA51&gt;0,IF(AD7:AD51&lt;&gt;"",ROW(AA7:AA51)-MIN(ROW(AA7:AA51))+1))),ROW()-ROW(A$55)+1)),"##0"),",",SUBSTITUTE(INDEX(IF(PURCHASE_DESCRIPTION&lt;&gt;"",PURCHASE_DESCRIPTION&amp;":","")&amp;A7:A51,SMALL(IF(ISNUMBER(AA7:AA51),IF(AA7:AA51&gt;0,IF(AD7:AD51&lt;&gt;"",ROW(AA7:AA51)-MIN(ROW(AA7:AA51))+1))),ROW()-ROW(A$55)+1)),",",";"),",",SUBSTITUTE(INDEX(IF(PURCHASE_DESCRIPTION&lt;&gt;"",PURCHASE_DESCRIPTION&amp;":","")&amp;E7:E51,SMALL(IF(ISNUMBER(AA7:AA51),IF(AA7:AA51&gt;0,IF(AD7:AD51&lt;&gt;"",ROW(AA7:AA51)-MIN(ROW(AA7:AA51))+1))),ROW()-ROW(A$55)+1)),",",";"),",",INDEX(AD7:AD51,SMALL(IF(ISNUMBER(AA7:AA51),IF(AA7:AA51&gt;0,IF(AD7:AD51&lt;&gt;"",ROW(AA7:AA51)-MIN(ROW(AA7:AA51))+1))),ROW()-ROW(A$55)+1))),"")</f>
        <v>0</v>
      </c>
      <c r="AF57">
        <f t="array" ref="AF57">IFERROR(CONCATENATE(INDEX(AI7:AI51,SMALL(IF(ISNUMBER(AF7:AF51),IF(AF7:AF51&gt;0,IF(AI7:AI51&lt;&gt;"",ROW(AF7:AF51)-MIN(ROW(AF7:AF51))+1))),ROW()-ROW(A$54)+1)),"|",TEXT(INDEX(AF7:AF51,SMALL(IF(ISNUMBER(AF7:AF51),IF(AF7:AF51&gt;0,IF(AI7:AI51&lt;&gt;"",ROW(AF7:AF51)-MIN(ROW(AF7:AF51))+1))),ROW()-ROW(A$54)+1)),"##0"),"|",SUBSTITUTE(SUBSTITUTE(INDEX(IF(PURCHASE_DESCRIPTION&lt;&gt;"",PURCHASE_DESCRIPTION&amp;":","")&amp;A7:A51,SMALL(IF(ISNUMBER(AF7:AF51),IF(AF7:AF51&gt;0,IF(AI7:AI51&lt;&gt;"",ROW(AF7:AF51)-MIN(ROW(AF7:AF51))+1))),ROW()-ROW(A$54)+1)),"|",";")," ","_")),"")</f>
        <v>0</v>
      </c>
      <c r="AK57">
        <f t="array" ref="AK57">IFERROR(CONCATENATE(INDEX(AN7:AN51,SMALL(IF(ISNUMBER(AK7:AK51),IF(AK7:AK51&gt;0,IF(AN7:AN51&lt;&gt;"",ROW(AK7:AK51)-MIN(ROW(AK7:AK51))+1))),ROW()-ROW(A$54)+1)),",",TEXT(INDEX(AK7:AK51,SMALL(IF(ISNUMBER(AK7:AK51),IF(AK7:AK51&gt;0,IF(AN7:AN51&lt;&gt;"",ROW(AK7:AK51)-MIN(ROW(AK7:AK51))+1))),ROW()-ROW(A$54)+1)),"##0"),",",SUBSTITUTE(SUBSTITUTE(INDEX(IF(PURCHASE_DESCRIPTION&lt;&gt;"",PURCHASE_DESCRIPTION&amp;":","")&amp;A7:A51,SMALL(IF(ISNUMBER(AK7:AK51),IF(AK7:AK51&gt;0,IF(AN7:AN51&lt;&gt;"",ROW(AK7:AK51)-MIN(ROW(AK7:AK51))+1))),ROW()-ROW(A$54)+1)),",",";"),"
",";"),",",SUBSTITUTE(SUBSTITUTE(INDEX(IF(PURCHASE_DESCRIPTION&lt;&gt;"",PURCHASE_DESCRIPTION&amp;":","")&amp;C7:C51,SMALL(IF(ISNUMBER(AK7:AK51),IF(AK7:AK51&gt;0,IF(AN7:AN51&lt;&gt;"",ROW(AK7:AK51)-MIN(ROW(AK7:AK51))+1))),ROW()-ROW(A$54)+1)),",",";"),"
",";"),",",SUBSTITUTE(SUBSTITUTE(INDEX(IF(PURCHASE_DESCRIPTION&lt;&gt;"",PURCHASE_DESCRIPTION&amp;":","")&amp;F7:F51,SMALL(IF(ISNUMBER(AK7:AK51),IF(AK7:AK51&gt;0,IF(AN7:AN51&lt;&gt;"",ROW(AK7:AK51)-MIN(ROW(AK7:AK51))+1))),ROW()-ROW(A$54)+1)),",",";"),"
",";"),",",SUBSTITUTE(SUBSTITUTE(INDEX(IF(PURCHASE_DESCRIPTION&lt;&gt;"",PURCHASE_DESCRIPTION&amp;":","")&amp;D7:D51,SMALL(IF(ISNUMBER(AK7:AK51),IF(AK7:AK51&gt;0,IF(AN7:AN51&lt;&gt;"",ROW(AK7:AK51)-MIN(ROW(AK7:AK51))+1))),ROW()-ROW(A$54)+1)),",",";"),"
",";")),"")</f>
        <v>0</v>
      </c>
      <c r="AP57">
        <f t="array" ref="AP57">IFERROR(CONCATENATE(INDEX(AS7:AS51,SMALL(IF(ISNUMBER(AP7:AP51),IF(AP7:AP51&gt;0,IF(AS7:AS51&lt;&gt;"",ROW(AP7:AP51)-MIN(ROW(AP7:AP51))+1))),ROW()-ROW(A$54)+1)),",",TEXT(INDEX(AP7:AP51,SMALL(IF(ISNUMBER(AP7:AP51),IF(AP7:AP51&gt;0,IF(AS7:AS51&lt;&gt;"",ROW(AP7:AP51)-MIN(ROW(AP7:AP51))+1))),ROW()-ROW(A$54)+1)),"##0"),",",,",",,",",,",",INDEX(G7:G51,SMALL(IF(ISNUMBER(AP7:AP51),IF(AP7:AP51&gt;0,IF(AS7:AS51&lt;&gt;"",ROW(AP7:AP51)-MIN(ROW(AP7:AP51))+1))),ROW()-ROW(A$54)+1)),",",SUBSTITUTE(INDEX(IF(PURCHASE_DESCRIPTION&lt;&gt;"",PURCHASE_DESCRIPTION&amp;":","")&amp;A7:A51,SMALL(IF(ISNUMBER(AP7:AP51),IF(AP7:AP51&gt;0,IF(AS7:AS51&lt;&gt;"",ROW(AP7:AP51)-MIN(ROW(AP7:AP51))+1))),ROW()-ROW(A$54)+1)),",",";")),"")</f>
        <v>0</v>
      </c>
      <c r="AU57">
        <f t="array" ref="AU57">IFERROR(CONCATENATE(INDEX(AX7:AX51,SMALL(IF(ISNUMBER(AU7:AU51),IF(AU7:AU51&gt;0,IF(AX7:AX51&lt;&gt;"",ROW(AU7:AU51)-MIN(ROW(AU7:AU51))+1))),ROW()-ROW(A$54)+1))," ",TEXT(INDEX(AU7:AU51,SMALL(IF(ISNUMBER(AU7:AU51),IF(AU7:AU51&gt;0,IF(AX7:AX51&lt;&gt;"",ROW(AU7:AU51)-MIN(ROW(AU7:AU51))+1))),ROW()-ROW(A$54)+1)),"##0")," ",SUBSTITUTE(INDEX(IF(PURCHASE_DESCRIPTION&lt;&gt;"",PURCHASE_DESCRIPTION&amp;":","")&amp;A7:A51,SMALL(IF(ISNUMBER(AU7:AU51),IF(AU7:AU51&gt;0,IF(AX7:AX51&lt;&gt;"",ROW(AU7:AU51)-MIN(ROW(AU7:AU51))+1))),ROW()-ROW(A$54)+1))," ",";")),"")</f>
        <v>0</v>
      </c>
    </row>
    <row r="58" spans="1:49">
      <c r="L58">
        <f t="array" ref="L58">IFERROR(CONCATENATE(INDEX(O7:O51,SMALL(IF(ISNUMBER(L7:L51),IF(L7:L51&gt;0,IF(O7:O51&lt;&gt;"",ROW(L7:L51)-MIN(ROW(L7:L51))+1))),ROW()-ROW(A$54)+1)),",",TEXT(INDEX(L7:L51,SMALL(IF(ISNUMBER(L7:L51),IF(L7:L51&gt;0,IF(O7:O51&lt;&gt;"",ROW(L7:L51)-MIN(ROW(L7:L51))+1))),ROW()-ROW(A$54)+1)),"##0"),",",SUBSTITUTE(INDEX(IF(PURCHASE_DESCRIPTION&lt;&gt;"",PURCHASE_DESCRIPTION&amp;":","")&amp;A7:A51,SMALL(IF(ISNUMBER(L7:L51),IF(L7:L51&gt;0,IF(O7:O51&lt;&gt;"",ROW(L7:L51)-MIN(ROW(L7:L51))+1))),ROW()-ROW(A$54)+1)),",",";")),"")</f>
        <v>0</v>
      </c>
      <c r="Q58">
        <f t="array" ref="Q58">IFERROR(CONCATENATE(TEXT(INDEX(Q7:Q51,SMALL(IF(ISNUMBER(Q7:Q51),IF(Q7:Q51&gt;0,IF(T7:T51&lt;&gt;"",ROW(Q7:Q51)-MIN(ROW(Q7:Q51))+1))),ROW()-ROW(A$54)+1)),"##0"),",",INDEX(T7:T51,SMALL(IF(ISNUMBER(Q7:Q51),IF(Q7:Q51&gt;0,IF(T7:T51&lt;&gt;"",ROW(Q7:Q51)-MIN(ROW(Q7:Q51))+1))),ROW()-ROW(A$54)+1)),",",SUBSTITUTE(INDEX(IF(PURCHASE_DESCRIPTION&lt;&gt;"",PURCHASE_DESCRIPTION&amp;":","")&amp;A7:A51,SMALL(IF(ISNUMBER(Q7:Q51),IF(Q7:Q51&gt;0,IF(T7:T51&lt;&gt;"",ROW(Q7:Q51)-MIN(ROW(Q7:Q51))+1))),ROW()-ROW(A$54)+1)),",",";")),"")</f>
        <v>0</v>
      </c>
      <c r="V58">
        <f t="array" ref="V58">IFERROR(CONCATENATE(INDEX(Y7:Y51,SMALL(IF(ISNUMBER(V7:V51),IF(V7:V51&gt;0,IF(Y7:Y51&lt;&gt;"",ROW(V7:V51)-MIN(ROW(V7:V51))+1))),ROW()-ROW(A$54)+1)),",",TEXT(INDEX(V7:V51,SMALL(IF(ISNUMBER(V7:V51),IF(V7:V51&gt;0,IF(Y7:Y51&lt;&gt;"",ROW(V7:V51)-MIN(ROW(V7:V51))+1))),ROW()-ROW(A$54)+1)),"##0"),",",SUBSTITUTE(SUBSTITUTE(INDEX(IF(PURCHASE_DESCRIPTION&lt;&gt;"",PURCHASE_DESCRIPTION&amp;":","")&amp;A7:A51,SMALL(IF(ISNUMBER(V7:V51),IF(V7:V51&gt;0,IF(Y7:Y51&lt;&gt;"",ROW(V7:V51)-MIN(ROW(V7:V51))+1))),ROW()-ROW(A$54)+1)),",",";"),"
",";"),",",SUBSTITUTE(SUBSTITUTE(INDEX(IF(PURCHASE_DESCRIPTION&lt;&gt;"",PURCHASE_DESCRIPTION&amp;":","")&amp;C7:C51,SMALL(IF(ISNUMBER(V7:V51),IF(V7:V51&gt;0,IF(Y7:Y51&lt;&gt;"",ROW(V7:V51)-MIN(ROW(V7:V51))+1))),ROW()-ROW(A$54)+1)),",",";"),"
",";"),",",SUBSTITUTE(SUBSTITUTE(INDEX(IF(PURCHASE_DESCRIPTION&lt;&gt;"",PURCHASE_DESCRIPTION&amp;":","")&amp;F7:F51,SMALL(IF(ISNUMBER(V7:V51),IF(V7:V51&gt;0,IF(Y7:Y51&lt;&gt;"",ROW(V7:V51)-MIN(ROW(V7:V51))+1))),ROW()-ROW(A$54)+1)),",",";"),"
",";"),",",SUBSTITUTE(SUBSTITUTE(INDEX(IF(PURCHASE_DESCRIPTION&lt;&gt;"",PURCHASE_DESCRIPTION&amp;":","")&amp;D7:D51,SMALL(IF(ISNUMBER(V7:V51),IF(V7:V51&gt;0,IF(Y7:Y51&lt;&gt;"",ROW(V7:V51)-MIN(ROW(V7:V51))+1))),ROW()-ROW(A$54)+1)),",",";"),"
",";")),"")</f>
        <v>0</v>
      </c>
      <c r="AA58">
        <f t="array" ref="AA58">IFERROR(CONCATENATE(TEXT(INDEX(AA7:AA51,SMALL(IF(ISNUMBER(AA7:AA51),IF(AA7:AA51&gt;0,IF(AD7:AD51&lt;&gt;"",ROW(AA7:AA51)-MIN(ROW(AA7:AA51))+1))),ROW()-ROW(A$55)+1)),"##0"),",",SUBSTITUTE(INDEX(IF(PURCHASE_DESCRIPTION&lt;&gt;"",PURCHASE_DESCRIPTION&amp;":","")&amp;A7:A51,SMALL(IF(ISNUMBER(AA7:AA51),IF(AA7:AA51&gt;0,IF(AD7:AD51&lt;&gt;"",ROW(AA7:AA51)-MIN(ROW(AA7:AA51))+1))),ROW()-ROW(A$55)+1)),",",";"),",",SUBSTITUTE(INDEX(IF(PURCHASE_DESCRIPTION&lt;&gt;"",PURCHASE_DESCRIPTION&amp;":","")&amp;E7:E51,SMALL(IF(ISNUMBER(AA7:AA51),IF(AA7:AA51&gt;0,IF(AD7:AD51&lt;&gt;"",ROW(AA7:AA51)-MIN(ROW(AA7:AA51))+1))),ROW()-ROW(A$55)+1)),",",";"),",",INDEX(AD7:AD51,SMALL(IF(ISNUMBER(AA7:AA51),IF(AA7:AA51&gt;0,IF(AD7:AD51&lt;&gt;"",ROW(AA7:AA51)-MIN(ROW(AA7:AA51))+1))),ROW()-ROW(A$55)+1))),"")</f>
        <v>0</v>
      </c>
      <c r="AF58">
        <f t="array" ref="AF58">IFERROR(CONCATENATE(INDEX(AI7:AI51,SMALL(IF(ISNUMBER(AF7:AF51),IF(AF7:AF51&gt;0,IF(AI7:AI51&lt;&gt;"",ROW(AF7:AF51)-MIN(ROW(AF7:AF51))+1))),ROW()-ROW(A$54)+1)),"|",TEXT(INDEX(AF7:AF51,SMALL(IF(ISNUMBER(AF7:AF51),IF(AF7:AF51&gt;0,IF(AI7:AI51&lt;&gt;"",ROW(AF7:AF51)-MIN(ROW(AF7:AF51))+1))),ROW()-ROW(A$54)+1)),"##0"),"|",SUBSTITUTE(SUBSTITUTE(INDEX(IF(PURCHASE_DESCRIPTION&lt;&gt;"",PURCHASE_DESCRIPTION&amp;":","")&amp;A7:A51,SMALL(IF(ISNUMBER(AF7:AF51),IF(AF7:AF51&gt;0,IF(AI7:AI51&lt;&gt;"",ROW(AF7:AF51)-MIN(ROW(AF7:AF51))+1))),ROW()-ROW(A$54)+1)),"|",";")," ","_")),"")</f>
        <v>0</v>
      </c>
      <c r="AK58">
        <f t="array" ref="AK58">IFERROR(CONCATENATE(INDEX(AN7:AN51,SMALL(IF(ISNUMBER(AK7:AK51),IF(AK7:AK51&gt;0,IF(AN7:AN51&lt;&gt;"",ROW(AK7:AK51)-MIN(ROW(AK7:AK51))+1))),ROW()-ROW(A$54)+1)),",",TEXT(INDEX(AK7:AK51,SMALL(IF(ISNUMBER(AK7:AK51),IF(AK7:AK51&gt;0,IF(AN7:AN51&lt;&gt;"",ROW(AK7:AK51)-MIN(ROW(AK7:AK51))+1))),ROW()-ROW(A$54)+1)),"##0"),",",SUBSTITUTE(SUBSTITUTE(INDEX(IF(PURCHASE_DESCRIPTION&lt;&gt;"",PURCHASE_DESCRIPTION&amp;":","")&amp;A7:A51,SMALL(IF(ISNUMBER(AK7:AK51),IF(AK7:AK51&gt;0,IF(AN7:AN51&lt;&gt;"",ROW(AK7:AK51)-MIN(ROW(AK7:AK51))+1))),ROW()-ROW(A$54)+1)),",",";"),"
",";"),",",SUBSTITUTE(SUBSTITUTE(INDEX(IF(PURCHASE_DESCRIPTION&lt;&gt;"",PURCHASE_DESCRIPTION&amp;":","")&amp;C7:C51,SMALL(IF(ISNUMBER(AK7:AK51),IF(AK7:AK51&gt;0,IF(AN7:AN51&lt;&gt;"",ROW(AK7:AK51)-MIN(ROW(AK7:AK51))+1))),ROW()-ROW(A$54)+1)),",",";"),"
",";"),",",SUBSTITUTE(SUBSTITUTE(INDEX(IF(PURCHASE_DESCRIPTION&lt;&gt;"",PURCHASE_DESCRIPTION&amp;":","")&amp;F7:F51,SMALL(IF(ISNUMBER(AK7:AK51),IF(AK7:AK51&gt;0,IF(AN7:AN51&lt;&gt;"",ROW(AK7:AK51)-MIN(ROW(AK7:AK51))+1))),ROW()-ROW(A$54)+1)),",",";"),"
",";"),",",SUBSTITUTE(SUBSTITUTE(INDEX(IF(PURCHASE_DESCRIPTION&lt;&gt;"",PURCHASE_DESCRIPTION&amp;":","")&amp;D7:D51,SMALL(IF(ISNUMBER(AK7:AK51),IF(AK7:AK51&gt;0,IF(AN7:AN51&lt;&gt;"",ROW(AK7:AK51)-MIN(ROW(AK7:AK51))+1))),ROW()-ROW(A$54)+1)),",",";"),"
",";")),"")</f>
        <v>0</v>
      </c>
      <c r="AP58">
        <f t="array" ref="AP58">IFERROR(CONCATENATE(INDEX(AS7:AS51,SMALL(IF(ISNUMBER(AP7:AP51),IF(AP7:AP51&gt;0,IF(AS7:AS51&lt;&gt;"",ROW(AP7:AP51)-MIN(ROW(AP7:AP51))+1))),ROW()-ROW(A$54)+1)),",",TEXT(INDEX(AP7:AP51,SMALL(IF(ISNUMBER(AP7:AP51),IF(AP7:AP51&gt;0,IF(AS7:AS51&lt;&gt;"",ROW(AP7:AP51)-MIN(ROW(AP7:AP51))+1))),ROW()-ROW(A$54)+1)),"##0"),",",,",",,",",,",",INDEX(G7:G51,SMALL(IF(ISNUMBER(AP7:AP51),IF(AP7:AP51&gt;0,IF(AS7:AS51&lt;&gt;"",ROW(AP7:AP51)-MIN(ROW(AP7:AP51))+1))),ROW()-ROW(A$54)+1)),",",SUBSTITUTE(INDEX(IF(PURCHASE_DESCRIPTION&lt;&gt;"",PURCHASE_DESCRIPTION&amp;":","")&amp;A7:A51,SMALL(IF(ISNUMBER(AP7:AP51),IF(AP7:AP51&gt;0,IF(AS7:AS51&lt;&gt;"",ROW(AP7:AP51)-MIN(ROW(AP7:AP51))+1))),ROW()-ROW(A$54)+1)),",",";")),"")</f>
        <v>0</v>
      </c>
      <c r="AU58">
        <f t="array" ref="AU58">IFERROR(CONCATENATE(INDEX(AX7:AX51,SMALL(IF(ISNUMBER(AU7:AU51),IF(AU7:AU51&gt;0,IF(AX7:AX51&lt;&gt;"",ROW(AU7:AU51)-MIN(ROW(AU7:AU51))+1))),ROW()-ROW(A$54)+1))," ",TEXT(INDEX(AU7:AU51,SMALL(IF(ISNUMBER(AU7:AU51),IF(AU7:AU51&gt;0,IF(AX7:AX51&lt;&gt;"",ROW(AU7:AU51)-MIN(ROW(AU7:AU51))+1))),ROW()-ROW(A$54)+1)),"##0")," ",SUBSTITUTE(INDEX(IF(PURCHASE_DESCRIPTION&lt;&gt;"",PURCHASE_DESCRIPTION&amp;":","")&amp;A7:A51,SMALL(IF(ISNUMBER(AU7:AU51),IF(AU7:AU51&gt;0,IF(AX7:AX51&lt;&gt;"",ROW(AU7:AU51)-MIN(ROW(AU7:AU51))+1))),ROW()-ROW(A$54)+1))," ",";")),"")</f>
        <v>0</v>
      </c>
    </row>
    <row r="59" spans="1:49">
      <c r="L59">
        <f t="array" ref="L59">IFERROR(CONCATENATE(INDEX(O7:O51,SMALL(IF(ISNUMBER(L7:L51),IF(L7:L51&gt;0,IF(O7:O51&lt;&gt;"",ROW(L7:L51)-MIN(ROW(L7:L51))+1))),ROW()-ROW(A$54)+1)),",",TEXT(INDEX(L7:L51,SMALL(IF(ISNUMBER(L7:L51),IF(L7:L51&gt;0,IF(O7:O51&lt;&gt;"",ROW(L7:L51)-MIN(ROW(L7:L51))+1))),ROW()-ROW(A$54)+1)),"##0"),",",SUBSTITUTE(INDEX(IF(PURCHASE_DESCRIPTION&lt;&gt;"",PURCHASE_DESCRIPTION&amp;":","")&amp;A7:A51,SMALL(IF(ISNUMBER(L7:L51),IF(L7:L51&gt;0,IF(O7:O51&lt;&gt;"",ROW(L7:L51)-MIN(ROW(L7:L51))+1))),ROW()-ROW(A$54)+1)),",",";")),"")</f>
        <v>0</v>
      </c>
      <c r="Q59">
        <f t="array" ref="Q59">IFERROR(CONCATENATE(TEXT(INDEX(Q7:Q51,SMALL(IF(ISNUMBER(Q7:Q51),IF(Q7:Q51&gt;0,IF(T7:T51&lt;&gt;"",ROW(Q7:Q51)-MIN(ROW(Q7:Q51))+1))),ROW()-ROW(A$54)+1)),"##0"),",",INDEX(T7:T51,SMALL(IF(ISNUMBER(Q7:Q51),IF(Q7:Q51&gt;0,IF(T7:T51&lt;&gt;"",ROW(Q7:Q51)-MIN(ROW(Q7:Q51))+1))),ROW()-ROW(A$54)+1)),",",SUBSTITUTE(INDEX(IF(PURCHASE_DESCRIPTION&lt;&gt;"",PURCHASE_DESCRIPTION&amp;":","")&amp;A7:A51,SMALL(IF(ISNUMBER(Q7:Q51),IF(Q7:Q51&gt;0,IF(T7:T51&lt;&gt;"",ROW(Q7:Q51)-MIN(ROW(Q7:Q51))+1))),ROW()-ROW(A$54)+1)),",",";")),"")</f>
        <v>0</v>
      </c>
      <c r="V59">
        <f t="array" ref="V59">IFERROR(CONCATENATE(INDEX(Y7:Y51,SMALL(IF(ISNUMBER(V7:V51),IF(V7:V51&gt;0,IF(Y7:Y51&lt;&gt;"",ROW(V7:V51)-MIN(ROW(V7:V51))+1))),ROW()-ROW(A$54)+1)),",",TEXT(INDEX(V7:V51,SMALL(IF(ISNUMBER(V7:V51),IF(V7:V51&gt;0,IF(Y7:Y51&lt;&gt;"",ROW(V7:V51)-MIN(ROW(V7:V51))+1))),ROW()-ROW(A$54)+1)),"##0"),",",SUBSTITUTE(SUBSTITUTE(INDEX(IF(PURCHASE_DESCRIPTION&lt;&gt;"",PURCHASE_DESCRIPTION&amp;":","")&amp;A7:A51,SMALL(IF(ISNUMBER(V7:V51),IF(V7:V51&gt;0,IF(Y7:Y51&lt;&gt;"",ROW(V7:V51)-MIN(ROW(V7:V51))+1))),ROW()-ROW(A$54)+1)),",",";"),"
",";"),",",SUBSTITUTE(SUBSTITUTE(INDEX(IF(PURCHASE_DESCRIPTION&lt;&gt;"",PURCHASE_DESCRIPTION&amp;":","")&amp;C7:C51,SMALL(IF(ISNUMBER(V7:V51),IF(V7:V51&gt;0,IF(Y7:Y51&lt;&gt;"",ROW(V7:V51)-MIN(ROW(V7:V51))+1))),ROW()-ROW(A$54)+1)),",",";"),"
",";"),",",SUBSTITUTE(SUBSTITUTE(INDEX(IF(PURCHASE_DESCRIPTION&lt;&gt;"",PURCHASE_DESCRIPTION&amp;":","")&amp;F7:F51,SMALL(IF(ISNUMBER(V7:V51),IF(V7:V51&gt;0,IF(Y7:Y51&lt;&gt;"",ROW(V7:V51)-MIN(ROW(V7:V51))+1))),ROW()-ROW(A$54)+1)),",",";"),"
",";"),",",SUBSTITUTE(SUBSTITUTE(INDEX(IF(PURCHASE_DESCRIPTION&lt;&gt;"",PURCHASE_DESCRIPTION&amp;":","")&amp;D7:D51,SMALL(IF(ISNUMBER(V7:V51),IF(V7:V51&gt;0,IF(Y7:Y51&lt;&gt;"",ROW(V7:V51)-MIN(ROW(V7:V51))+1))),ROW()-ROW(A$54)+1)),",",";"),"
",";")),"")</f>
        <v>0</v>
      </c>
      <c r="AA59">
        <f t="array" ref="AA59">IFERROR(CONCATENATE(TEXT(INDEX(AA7:AA51,SMALL(IF(ISNUMBER(AA7:AA51),IF(AA7:AA51&gt;0,IF(AD7:AD51&lt;&gt;"",ROW(AA7:AA51)-MIN(ROW(AA7:AA51))+1))),ROW()-ROW(A$55)+1)),"##0"),",",SUBSTITUTE(INDEX(IF(PURCHASE_DESCRIPTION&lt;&gt;"",PURCHASE_DESCRIPTION&amp;":","")&amp;A7:A51,SMALL(IF(ISNUMBER(AA7:AA51),IF(AA7:AA51&gt;0,IF(AD7:AD51&lt;&gt;"",ROW(AA7:AA51)-MIN(ROW(AA7:AA51))+1))),ROW()-ROW(A$55)+1)),",",";"),",",SUBSTITUTE(INDEX(IF(PURCHASE_DESCRIPTION&lt;&gt;"",PURCHASE_DESCRIPTION&amp;":","")&amp;E7:E51,SMALL(IF(ISNUMBER(AA7:AA51),IF(AA7:AA51&gt;0,IF(AD7:AD51&lt;&gt;"",ROW(AA7:AA51)-MIN(ROW(AA7:AA51))+1))),ROW()-ROW(A$55)+1)),",",";"),",",INDEX(AD7:AD51,SMALL(IF(ISNUMBER(AA7:AA51),IF(AA7:AA51&gt;0,IF(AD7:AD51&lt;&gt;"",ROW(AA7:AA51)-MIN(ROW(AA7:AA51))+1))),ROW()-ROW(A$55)+1))),"")</f>
        <v>0</v>
      </c>
      <c r="AF59">
        <f t="array" ref="AF59">IFERROR(CONCATENATE(INDEX(AI7:AI51,SMALL(IF(ISNUMBER(AF7:AF51),IF(AF7:AF51&gt;0,IF(AI7:AI51&lt;&gt;"",ROW(AF7:AF51)-MIN(ROW(AF7:AF51))+1))),ROW()-ROW(A$54)+1)),"|",TEXT(INDEX(AF7:AF51,SMALL(IF(ISNUMBER(AF7:AF51),IF(AF7:AF51&gt;0,IF(AI7:AI51&lt;&gt;"",ROW(AF7:AF51)-MIN(ROW(AF7:AF51))+1))),ROW()-ROW(A$54)+1)),"##0"),"|",SUBSTITUTE(SUBSTITUTE(INDEX(IF(PURCHASE_DESCRIPTION&lt;&gt;"",PURCHASE_DESCRIPTION&amp;":","")&amp;A7:A51,SMALL(IF(ISNUMBER(AF7:AF51),IF(AF7:AF51&gt;0,IF(AI7:AI51&lt;&gt;"",ROW(AF7:AF51)-MIN(ROW(AF7:AF51))+1))),ROW()-ROW(A$54)+1)),"|",";")," ","_")),"")</f>
        <v>0</v>
      </c>
      <c r="AK59">
        <f t="array" ref="AK59">IFERROR(CONCATENATE(INDEX(AN7:AN51,SMALL(IF(ISNUMBER(AK7:AK51),IF(AK7:AK51&gt;0,IF(AN7:AN51&lt;&gt;"",ROW(AK7:AK51)-MIN(ROW(AK7:AK51))+1))),ROW()-ROW(A$54)+1)),",",TEXT(INDEX(AK7:AK51,SMALL(IF(ISNUMBER(AK7:AK51),IF(AK7:AK51&gt;0,IF(AN7:AN51&lt;&gt;"",ROW(AK7:AK51)-MIN(ROW(AK7:AK51))+1))),ROW()-ROW(A$54)+1)),"##0"),",",SUBSTITUTE(SUBSTITUTE(INDEX(IF(PURCHASE_DESCRIPTION&lt;&gt;"",PURCHASE_DESCRIPTION&amp;":","")&amp;A7:A51,SMALL(IF(ISNUMBER(AK7:AK51),IF(AK7:AK51&gt;0,IF(AN7:AN51&lt;&gt;"",ROW(AK7:AK51)-MIN(ROW(AK7:AK51))+1))),ROW()-ROW(A$54)+1)),",",";"),"
",";"),",",SUBSTITUTE(SUBSTITUTE(INDEX(IF(PURCHASE_DESCRIPTION&lt;&gt;"",PURCHASE_DESCRIPTION&amp;":","")&amp;C7:C51,SMALL(IF(ISNUMBER(AK7:AK51),IF(AK7:AK51&gt;0,IF(AN7:AN51&lt;&gt;"",ROW(AK7:AK51)-MIN(ROW(AK7:AK51))+1))),ROW()-ROW(A$54)+1)),",",";"),"
",";"),",",SUBSTITUTE(SUBSTITUTE(INDEX(IF(PURCHASE_DESCRIPTION&lt;&gt;"",PURCHASE_DESCRIPTION&amp;":","")&amp;F7:F51,SMALL(IF(ISNUMBER(AK7:AK51),IF(AK7:AK51&gt;0,IF(AN7:AN51&lt;&gt;"",ROW(AK7:AK51)-MIN(ROW(AK7:AK51))+1))),ROW()-ROW(A$54)+1)),",",";"),"
",";"),",",SUBSTITUTE(SUBSTITUTE(INDEX(IF(PURCHASE_DESCRIPTION&lt;&gt;"",PURCHASE_DESCRIPTION&amp;":","")&amp;D7:D51,SMALL(IF(ISNUMBER(AK7:AK51),IF(AK7:AK51&gt;0,IF(AN7:AN51&lt;&gt;"",ROW(AK7:AK51)-MIN(ROW(AK7:AK51))+1))),ROW()-ROW(A$54)+1)),",",";"),"
",";")),"")</f>
        <v>0</v>
      </c>
      <c r="AP59">
        <f t="array" ref="AP59">IFERROR(CONCATENATE(INDEX(AS7:AS51,SMALL(IF(ISNUMBER(AP7:AP51),IF(AP7:AP51&gt;0,IF(AS7:AS51&lt;&gt;"",ROW(AP7:AP51)-MIN(ROW(AP7:AP51))+1))),ROW()-ROW(A$54)+1)),",",TEXT(INDEX(AP7:AP51,SMALL(IF(ISNUMBER(AP7:AP51),IF(AP7:AP51&gt;0,IF(AS7:AS51&lt;&gt;"",ROW(AP7:AP51)-MIN(ROW(AP7:AP51))+1))),ROW()-ROW(A$54)+1)),"##0"),",",,",",,",",,",",INDEX(G7:G51,SMALL(IF(ISNUMBER(AP7:AP51),IF(AP7:AP51&gt;0,IF(AS7:AS51&lt;&gt;"",ROW(AP7:AP51)-MIN(ROW(AP7:AP51))+1))),ROW()-ROW(A$54)+1)),",",SUBSTITUTE(INDEX(IF(PURCHASE_DESCRIPTION&lt;&gt;"",PURCHASE_DESCRIPTION&amp;":","")&amp;A7:A51,SMALL(IF(ISNUMBER(AP7:AP51),IF(AP7:AP51&gt;0,IF(AS7:AS51&lt;&gt;"",ROW(AP7:AP51)-MIN(ROW(AP7:AP51))+1))),ROW()-ROW(A$54)+1)),",",";")),"")</f>
        <v>0</v>
      </c>
      <c r="AU59">
        <f t="array" ref="AU59">IFERROR(CONCATENATE(INDEX(AX7:AX51,SMALL(IF(ISNUMBER(AU7:AU51),IF(AU7:AU51&gt;0,IF(AX7:AX51&lt;&gt;"",ROW(AU7:AU51)-MIN(ROW(AU7:AU51))+1))),ROW()-ROW(A$54)+1))," ",TEXT(INDEX(AU7:AU51,SMALL(IF(ISNUMBER(AU7:AU51),IF(AU7:AU51&gt;0,IF(AX7:AX51&lt;&gt;"",ROW(AU7:AU51)-MIN(ROW(AU7:AU51))+1))),ROW()-ROW(A$54)+1)),"##0")," ",SUBSTITUTE(INDEX(IF(PURCHASE_DESCRIPTION&lt;&gt;"",PURCHASE_DESCRIPTION&amp;":","")&amp;A7:A51,SMALL(IF(ISNUMBER(AU7:AU51),IF(AU7:AU51&gt;0,IF(AX7:AX51&lt;&gt;"",ROW(AU7:AU51)-MIN(ROW(AU7:AU51))+1))),ROW()-ROW(A$54)+1))," ",";")),"")</f>
        <v>0</v>
      </c>
    </row>
    <row r="60" spans="1:49">
      <c r="L60">
        <f t="array" ref="L60">IFERROR(CONCATENATE(INDEX(O7:O51,SMALL(IF(ISNUMBER(L7:L51),IF(L7:L51&gt;0,IF(O7:O51&lt;&gt;"",ROW(L7:L51)-MIN(ROW(L7:L51))+1))),ROW()-ROW(A$54)+1)),",",TEXT(INDEX(L7:L51,SMALL(IF(ISNUMBER(L7:L51),IF(L7:L51&gt;0,IF(O7:O51&lt;&gt;"",ROW(L7:L51)-MIN(ROW(L7:L51))+1))),ROW()-ROW(A$54)+1)),"##0"),",",SUBSTITUTE(INDEX(IF(PURCHASE_DESCRIPTION&lt;&gt;"",PURCHASE_DESCRIPTION&amp;":","")&amp;A7:A51,SMALL(IF(ISNUMBER(L7:L51),IF(L7:L51&gt;0,IF(O7:O51&lt;&gt;"",ROW(L7:L51)-MIN(ROW(L7:L51))+1))),ROW()-ROW(A$54)+1)),",",";")),"")</f>
        <v>0</v>
      </c>
      <c r="Q60">
        <f t="array" ref="Q60">IFERROR(CONCATENATE(TEXT(INDEX(Q7:Q51,SMALL(IF(ISNUMBER(Q7:Q51),IF(Q7:Q51&gt;0,IF(T7:T51&lt;&gt;"",ROW(Q7:Q51)-MIN(ROW(Q7:Q51))+1))),ROW()-ROW(A$54)+1)),"##0"),",",INDEX(T7:T51,SMALL(IF(ISNUMBER(Q7:Q51),IF(Q7:Q51&gt;0,IF(T7:T51&lt;&gt;"",ROW(Q7:Q51)-MIN(ROW(Q7:Q51))+1))),ROW()-ROW(A$54)+1)),",",SUBSTITUTE(INDEX(IF(PURCHASE_DESCRIPTION&lt;&gt;"",PURCHASE_DESCRIPTION&amp;":","")&amp;A7:A51,SMALL(IF(ISNUMBER(Q7:Q51),IF(Q7:Q51&gt;0,IF(T7:T51&lt;&gt;"",ROW(Q7:Q51)-MIN(ROW(Q7:Q51))+1))),ROW()-ROW(A$54)+1)),",",";")),"")</f>
        <v>0</v>
      </c>
      <c r="V60">
        <f t="array" ref="V60">IFERROR(CONCATENATE(INDEX(Y7:Y51,SMALL(IF(ISNUMBER(V7:V51),IF(V7:V51&gt;0,IF(Y7:Y51&lt;&gt;"",ROW(V7:V51)-MIN(ROW(V7:V51))+1))),ROW()-ROW(A$54)+1)),",",TEXT(INDEX(V7:V51,SMALL(IF(ISNUMBER(V7:V51),IF(V7:V51&gt;0,IF(Y7:Y51&lt;&gt;"",ROW(V7:V51)-MIN(ROW(V7:V51))+1))),ROW()-ROW(A$54)+1)),"##0"),",",SUBSTITUTE(SUBSTITUTE(INDEX(IF(PURCHASE_DESCRIPTION&lt;&gt;"",PURCHASE_DESCRIPTION&amp;":","")&amp;A7:A51,SMALL(IF(ISNUMBER(V7:V51),IF(V7:V51&gt;0,IF(Y7:Y51&lt;&gt;"",ROW(V7:V51)-MIN(ROW(V7:V51))+1))),ROW()-ROW(A$54)+1)),",",";"),"
",";"),",",SUBSTITUTE(SUBSTITUTE(INDEX(IF(PURCHASE_DESCRIPTION&lt;&gt;"",PURCHASE_DESCRIPTION&amp;":","")&amp;C7:C51,SMALL(IF(ISNUMBER(V7:V51),IF(V7:V51&gt;0,IF(Y7:Y51&lt;&gt;"",ROW(V7:V51)-MIN(ROW(V7:V51))+1))),ROW()-ROW(A$54)+1)),",",";"),"
",";"),",",SUBSTITUTE(SUBSTITUTE(INDEX(IF(PURCHASE_DESCRIPTION&lt;&gt;"",PURCHASE_DESCRIPTION&amp;":","")&amp;F7:F51,SMALL(IF(ISNUMBER(V7:V51),IF(V7:V51&gt;0,IF(Y7:Y51&lt;&gt;"",ROW(V7:V51)-MIN(ROW(V7:V51))+1))),ROW()-ROW(A$54)+1)),",",";"),"
",";"),",",SUBSTITUTE(SUBSTITUTE(INDEX(IF(PURCHASE_DESCRIPTION&lt;&gt;"",PURCHASE_DESCRIPTION&amp;":","")&amp;D7:D51,SMALL(IF(ISNUMBER(V7:V51),IF(V7:V51&gt;0,IF(Y7:Y51&lt;&gt;"",ROW(V7:V51)-MIN(ROW(V7:V51))+1))),ROW()-ROW(A$54)+1)),",",";"),"
",";")),"")</f>
        <v>0</v>
      </c>
      <c r="AA60">
        <f t="array" ref="AA60">IFERROR(CONCATENATE(TEXT(INDEX(AA7:AA51,SMALL(IF(ISNUMBER(AA7:AA51),IF(AA7:AA51&gt;0,IF(AD7:AD51&lt;&gt;"",ROW(AA7:AA51)-MIN(ROW(AA7:AA51))+1))),ROW()-ROW(A$55)+1)),"##0"),",",SUBSTITUTE(INDEX(IF(PURCHASE_DESCRIPTION&lt;&gt;"",PURCHASE_DESCRIPTION&amp;":","")&amp;A7:A51,SMALL(IF(ISNUMBER(AA7:AA51),IF(AA7:AA51&gt;0,IF(AD7:AD51&lt;&gt;"",ROW(AA7:AA51)-MIN(ROW(AA7:AA51))+1))),ROW()-ROW(A$55)+1)),",",";"),",",SUBSTITUTE(INDEX(IF(PURCHASE_DESCRIPTION&lt;&gt;"",PURCHASE_DESCRIPTION&amp;":","")&amp;E7:E51,SMALL(IF(ISNUMBER(AA7:AA51),IF(AA7:AA51&gt;0,IF(AD7:AD51&lt;&gt;"",ROW(AA7:AA51)-MIN(ROW(AA7:AA51))+1))),ROW()-ROW(A$55)+1)),",",";"),",",INDEX(AD7:AD51,SMALL(IF(ISNUMBER(AA7:AA51),IF(AA7:AA51&gt;0,IF(AD7:AD51&lt;&gt;"",ROW(AA7:AA51)-MIN(ROW(AA7:AA51))+1))),ROW()-ROW(A$55)+1))),"")</f>
        <v>0</v>
      </c>
      <c r="AF60">
        <f t="array" ref="AF60">IFERROR(CONCATENATE(INDEX(AI7:AI51,SMALL(IF(ISNUMBER(AF7:AF51),IF(AF7:AF51&gt;0,IF(AI7:AI51&lt;&gt;"",ROW(AF7:AF51)-MIN(ROW(AF7:AF51))+1))),ROW()-ROW(A$54)+1)),"|",TEXT(INDEX(AF7:AF51,SMALL(IF(ISNUMBER(AF7:AF51),IF(AF7:AF51&gt;0,IF(AI7:AI51&lt;&gt;"",ROW(AF7:AF51)-MIN(ROW(AF7:AF51))+1))),ROW()-ROW(A$54)+1)),"##0"),"|",SUBSTITUTE(SUBSTITUTE(INDEX(IF(PURCHASE_DESCRIPTION&lt;&gt;"",PURCHASE_DESCRIPTION&amp;":","")&amp;A7:A51,SMALL(IF(ISNUMBER(AF7:AF51),IF(AF7:AF51&gt;0,IF(AI7:AI51&lt;&gt;"",ROW(AF7:AF51)-MIN(ROW(AF7:AF51))+1))),ROW()-ROW(A$54)+1)),"|",";")," ","_")),"")</f>
        <v>0</v>
      </c>
      <c r="AK60">
        <f t="array" ref="AK60">IFERROR(CONCATENATE(INDEX(AN7:AN51,SMALL(IF(ISNUMBER(AK7:AK51),IF(AK7:AK51&gt;0,IF(AN7:AN51&lt;&gt;"",ROW(AK7:AK51)-MIN(ROW(AK7:AK51))+1))),ROW()-ROW(A$54)+1)),",",TEXT(INDEX(AK7:AK51,SMALL(IF(ISNUMBER(AK7:AK51),IF(AK7:AK51&gt;0,IF(AN7:AN51&lt;&gt;"",ROW(AK7:AK51)-MIN(ROW(AK7:AK51))+1))),ROW()-ROW(A$54)+1)),"##0"),",",SUBSTITUTE(SUBSTITUTE(INDEX(IF(PURCHASE_DESCRIPTION&lt;&gt;"",PURCHASE_DESCRIPTION&amp;":","")&amp;A7:A51,SMALL(IF(ISNUMBER(AK7:AK51),IF(AK7:AK51&gt;0,IF(AN7:AN51&lt;&gt;"",ROW(AK7:AK51)-MIN(ROW(AK7:AK51))+1))),ROW()-ROW(A$54)+1)),",",";"),"
",";"),",",SUBSTITUTE(SUBSTITUTE(INDEX(IF(PURCHASE_DESCRIPTION&lt;&gt;"",PURCHASE_DESCRIPTION&amp;":","")&amp;C7:C51,SMALL(IF(ISNUMBER(AK7:AK51),IF(AK7:AK51&gt;0,IF(AN7:AN51&lt;&gt;"",ROW(AK7:AK51)-MIN(ROW(AK7:AK51))+1))),ROW()-ROW(A$54)+1)),",",";"),"
",";"),",",SUBSTITUTE(SUBSTITUTE(INDEX(IF(PURCHASE_DESCRIPTION&lt;&gt;"",PURCHASE_DESCRIPTION&amp;":","")&amp;F7:F51,SMALL(IF(ISNUMBER(AK7:AK51),IF(AK7:AK51&gt;0,IF(AN7:AN51&lt;&gt;"",ROW(AK7:AK51)-MIN(ROW(AK7:AK51))+1))),ROW()-ROW(A$54)+1)),",",";"),"
",";"),",",SUBSTITUTE(SUBSTITUTE(INDEX(IF(PURCHASE_DESCRIPTION&lt;&gt;"",PURCHASE_DESCRIPTION&amp;":","")&amp;D7:D51,SMALL(IF(ISNUMBER(AK7:AK51),IF(AK7:AK51&gt;0,IF(AN7:AN51&lt;&gt;"",ROW(AK7:AK51)-MIN(ROW(AK7:AK51))+1))),ROW()-ROW(A$54)+1)),",",";"),"
",";")),"")</f>
        <v>0</v>
      </c>
      <c r="AP60">
        <f t="array" ref="AP60">IFERROR(CONCATENATE(INDEX(AS7:AS51,SMALL(IF(ISNUMBER(AP7:AP51),IF(AP7:AP51&gt;0,IF(AS7:AS51&lt;&gt;"",ROW(AP7:AP51)-MIN(ROW(AP7:AP51))+1))),ROW()-ROW(A$54)+1)),",",TEXT(INDEX(AP7:AP51,SMALL(IF(ISNUMBER(AP7:AP51),IF(AP7:AP51&gt;0,IF(AS7:AS51&lt;&gt;"",ROW(AP7:AP51)-MIN(ROW(AP7:AP51))+1))),ROW()-ROW(A$54)+1)),"##0"),",",,",",,",",,",",INDEX(G7:G51,SMALL(IF(ISNUMBER(AP7:AP51),IF(AP7:AP51&gt;0,IF(AS7:AS51&lt;&gt;"",ROW(AP7:AP51)-MIN(ROW(AP7:AP51))+1))),ROW()-ROW(A$54)+1)),",",SUBSTITUTE(INDEX(IF(PURCHASE_DESCRIPTION&lt;&gt;"",PURCHASE_DESCRIPTION&amp;":","")&amp;A7:A51,SMALL(IF(ISNUMBER(AP7:AP51),IF(AP7:AP51&gt;0,IF(AS7:AS51&lt;&gt;"",ROW(AP7:AP51)-MIN(ROW(AP7:AP51))+1))),ROW()-ROW(A$54)+1)),",",";")),"")</f>
        <v>0</v>
      </c>
      <c r="AU60">
        <f t="array" ref="AU60">IFERROR(CONCATENATE(INDEX(AX7:AX51,SMALL(IF(ISNUMBER(AU7:AU51),IF(AU7:AU51&gt;0,IF(AX7:AX51&lt;&gt;"",ROW(AU7:AU51)-MIN(ROW(AU7:AU51))+1))),ROW()-ROW(A$54)+1))," ",TEXT(INDEX(AU7:AU51,SMALL(IF(ISNUMBER(AU7:AU51),IF(AU7:AU51&gt;0,IF(AX7:AX51&lt;&gt;"",ROW(AU7:AU51)-MIN(ROW(AU7:AU51))+1))),ROW()-ROW(A$54)+1)),"##0")," ",SUBSTITUTE(INDEX(IF(PURCHASE_DESCRIPTION&lt;&gt;"",PURCHASE_DESCRIPTION&amp;":","")&amp;A7:A51,SMALL(IF(ISNUMBER(AU7:AU51),IF(AU7:AU51&gt;0,IF(AX7:AX51&lt;&gt;"",ROW(AU7:AU51)-MIN(ROW(AU7:AU51))+1))),ROW()-ROW(A$54)+1))," ",";")),"")</f>
        <v>0</v>
      </c>
    </row>
    <row r="61" spans="1:49">
      <c r="L61">
        <f t="array" ref="L61">IFERROR(CONCATENATE(INDEX(O7:O51,SMALL(IF(ISNUMBER(L7:L51),IF(L7:L51&gt;0,IF(O7:O51&lt;&gt;"",ROW(L7:L51)-MIN(ROW(L7:L51))+1))),ROW()-ROW(A$54)+1)),",",TEXT(INDEX(L7:L51,SMALL(IF(ISNUMBER(L7:L51),IF(L7:L51&gt;0,IF(O7:O51&lt;&gt;"",ROW(L7:L51)-MIN(ROW(L7:L51))+1))),ROW()-ROW(A$54)+1)),"##0"),",",SUBSTITUTE(INDEX(IF(PURCHASE_DESCRIPTION&lt;&gt;"",PURCHASE_DESCRIPTION&amp;":","")&amp;A7:A51,SMALL(IF(ISNUMBER(L7:L51),IF(L7:L51&gt;0,IF(O7:O51&lt;&gt;"",ROW(L7:L51)-MIN(ROW(L7:L51))+1))),ROW()-ROW(A$54)+1)),",",";")),"")</f>
        <v>0</v>
      </c>
      <c r="Q61">
        <f t="array" ref="Q61">IFERROR(CONCATENATE(TEXT(INDEX(Q7:Q51,SMALL(IF(ISNUMBER(Q7:Q51),IF(Q7:Q51&gt;0,IF(T7:T51&lt;&gt;"",ROW(Q7:Q51)-MIN(ROW(Q7:Q51))+1))),ROW()-ROW(A$54)+1)),"##0"),",",INDEX(T7:T51,SMALL(IF(ISNUMBER(Q7:Q51),IF(Q7:Q51&gt;0,IF(T7:T51&lt;&gt;"",ROW(Q7:Q51)-MIN(ROW(Q7:Q51))+1))),ROW()-ROW(A$54)+1)),",",SUBSTITUTE(INDEX(IF(PURCHASE_DESCRIPTION&lt;&gt;"",PURCHASE_DESCRIPTION&amp;":","")&amp;A7:A51,SMALL(IF(ISNUMBER(Q7:Q51),IF(Q7:Q51&gt;0,IF(T7:T51&lt;&gt;"",ROW(Q7:Q51)-MIN(ROW(Q7:Q51))+1))),ROW()-ROW(A$54)+1)),",",";")),"")</f>
        <v>0</v>
      </c>
      <c r="V61">
        <f t="array" ref="V61">IFERROR(CONCATENATE(INDEX(Y7:Y51,SMALL(IF(ISNUMBER(V7:V51),IF(V7:V51&gt;0,IF(Y7:Y51&lt;&gt;"",ROW(V7:V51)-MIN(ROW(V7:V51))+1))),ROW()-ROW(A$54)+1)),",",TEXT(INDEX(V7:V51,SMALL(IF(ISNUMBER(V7:V51),IF(V7:V51&gt;0,IF(Y7:Y51&lt;&gt;"",ROW(V7:V51)-MIN(ROW(V7:V51))+1))),ROW()-ROW(A$54)+1)),"##0"),",",SUBSTITUTE(SUBSTITUTE(INDEX(IF(PURCHASE_DESCRIPTION&lt;&gt;"",PURCHASE_DESCRIPTION&amp;":","")&amp;A7:A51,SMALL(IF(ISNUMBER(V7:V51),IF(V7:V51&gt;0,IF(Y7:Y51&lt;&gt;"",ROW(V7:V51)-MIN(ROW(V7:V51))+1))),ROW()-ROW(A$54)+1)),",",";"),"
",";"),",",SUBSTITUTE(SUBSTITUTE(INDEX(IF(PURCHASE_DESCRIPTION&lt;&gt;"",PURCHASE_DESCRIPTION&amp;":","")&amp;C7:C51,SMALL(IF(ISNUMBER(V7:V51),IF(V7:V51&gt;0,IF(Y7:Y51&lt;&gt;"",ROW(V7:V51)-MIN(ROW(V7:V51))+1))),ROW()-ROW(A$54)+1)),",",";"),"
",";"),",",SUBSTITUTE(SUBSTITUTE(INDEX(IF(PURCHASE_DESCRIPTION&lt;&gt;"",PURCHASE_DESCRIPTION&amp;":","")&amp;F7:F51,SMALL(IF(ISNUMBER(V7:V51),IF(V7:V51&gt;0,IF(Y7:Y51&lt;&gt;"",ROW(V7:V51)-MIN(ROW(V7:V51))+1))),ROW()-ROW(A$54)+1)),",",";"),"
",";"),",",SUBSTITUTE(SUBSTITUTE(INDEX(IF(PURCHASE_DESCRIPTION&lt;&gt;"",PURCHASE_DESCRIPTION&amp;":","")&amp;D7:D51,SMALL(IF(ISNUMBER(V7:V51),IF(V7:V51&gt;0,IF(Y7:Y51&lt;&gt;"",ROW(V7:V51)-MIN(ROW(V7:V51))+1))),ROW()-ROW(A$54)+1)),",",";"),"
",";")),"")</f>
        <v>0</v>
      </c>
      <c r="AA61">
        <f t="array" ref="AA61">IFERROR(CONCATENATE(TEXT(INDEX(AA7:AA51,SMALL(IF(ISNUMBER(AA7:AA51),IF(AA7:AA51&gt;0,IF(AD7:AD51&lt;&gt;"",ROW(AA7:AA51)-MIN(ROW(AA7:AA51))+1))),ROW()-ROW(A$55)+1)),"##0"),",",SUBSTITUTE(INDEX(IF(PURCHASE_DESCRIPTION&lt;&gt;"",PURCHASE_DESCRIPTION&amp;":","")&amp;A7:A51,SMALL(IF(ISNUMBER(AA7:AA51),IF(AA7:AA51&gt;0,IF(AD7:AD51&lt;&gt;"",ROW(AA7:AA51)-MIN(ROW(AA7:AA51))+1))),ROW()-ROW(A$55)+1)),",",";"),",",SUBSTITUTE(INDEX(IF(PURCHASE_DESCRIPTION&lt;&gt;"",PURCHASE_DESCRIPTION&amp;":","")&amp;E7:E51,SMALL(IF(ISNUMBER(AA7:AA51),IF(AA7:AA51&gt;0,IF(AD7:AD51&lt;&gt;"",ROW(AA7:AA51)-MIN(ROW(AA7:AA51))+1))),ROW()-ROW(A$55)+1)),",",";"),",",INDEX(AD7:AD51,SMALL(IF(ISNUMBER(AA7:AA51),IF(AA7:AA51&gt;0,IF(AD7:AD51&lt;&gt;"",ROW(AA7:AA51)-MIN(ROW(AA7:AA51))+1))),ROW()-ROW(A$55)+1))),"")</f>
        <v>0</v>
      </c>
      <c r="AF61">
        <f t="array" ref="AF61">IFERROR(CONCATENATE(INDEX(AI7:AI51,SMALL(IF(ISNUMBER(AF7:AF51),IF(AF7:AF51&gt;0,IF(AI7:AI51&lt;&gt;"",ROW(AF7:AF51)-MIN(ROW(AF7:AF51))+1))),ROW()-ROW(A$54)+1)),"|",TEXT(INDEX(AF7:AF51,SMALL(IF(ISNUMBER(AF7:AF51),IF(AF7:AF51&gt;0,IF(AI7:AI51&lt;&gt;"",ROW(AF7:AF51)-MIN(ROW(AF7:AF51))+1))),ROW()-ROW(A$54)+1)),"##0"),"|",SUBSTITUTE(SUBSTITUTE(INDEX(IF(PURCHASE_DESCRIPTION&lt;&gt;"",PURCHASE_DESCRIPTION&amp;":","")&amp;A7:A51,SMALL(IF(ISNUMBER(AF7:AF51),IF(AF7:AF51&gt;0,IF(AI7:AI51&lt;&gt;"",ROW(AF7:AF51)-MIN(ROW(AF7:AF51))+1))),ROW()-ROW(A$54)+1)),"|",";")," ","_")),"")</f>
        <v>0</v>
      </c>
      <c r="AK61">
        <f t="array" ref="AK61">IFERROR(CONCATENATE(INDEX(AN7:AN51,SMALL(IF(ISNUMBER(AK7:AK51),IF(AK7:AK51&gt;0,IF(AN7:AN51&lt;&gt;"",ROW(AK7:AK51)-MIN(ROW(AK7:AK51))+1))),ROW()-ROW(A$54)+1)),",",TEXT(INDEX(AK7:AK51,SMALL(IF(ISNUMBER(AK7:AK51),IF(AK7:AK51&gt;0,IF(AN7:AN51&lt;&gt;"",ROW(AK7:AK51)-MIN(ROW(AK7:AK51))+1))),ROW()-ROW(A$54)+1)),"##0"),",",SUBSTITUTE(SUBSTITUTE(INDEX(IF(PURCHASE_DESCRIPTION&lt;&gt;"",PURCHASE_DESCRIPTION&amp;":","")&amp;A7:A51,SMALL(IF(ISNUMBER(AK7:AK51),IF(AK7:AK51&gt;0,IF(AN7:AN51&lt;&gt;"",ROW(AK7:AK51)-MIN(ROW(AK7:AK51))+1))),ROW()-ROW(A$54)+1)),",",";"),"
",";"),",",SUBSTITUTE(SUBSTITUTE(INDEX(IF(PURCHASE_DESCRIPTION&lt;&gt;"",PURCHASE_DESCRIPTION&amp;":","")&amp;C7:C51,SMALL(IF(ISNUMBER(AK7:AK51),IF(AK7:AK51&gt;0,IF(AN7:AN51&lt;&gt;"",ROW(AK7:AK51)-MIN(ROW(AK7:AK51))+1))),ROW()-ROW(A$54)+1)),",",";"),"
",";"),",",SUBSTITUTE(SUBSTITUTE(INDEX(IF(PURCHASE_DESCRIPTION&lt;&gt;"",PURCHASE_DESCRIPTION&amp;":","")&amp;F7:F51,SMALL(IF(ISNUMBER(AK7:AK51),IF(AK7:AK51&gt;0,IF(AN7:AN51&lt;&gt;"",ROW(AK7:AK51)-MIN(ROW(AK7:AK51))+1))),ROW()-ROW(A$54)+1)),",",";"),"
",";"),",",SUBSTITUTE(SUBSTITUTE(INDEX(IF(PURCHASE_DESCRIPTION&lt;&gt;"",PURCHASE_DESCRIPTION&amp;":","")&amp;D7:D51,SMALL(IF(ISNUMBER(AK7:AK51),IF(AK7:AK51&gt;0,IF(AN7:AN51&lt;&gt;"",ROW(AK7:AK51)-MIN(ROW(AK7:AK51))+1))),ROW()-ROW(A$54)+1)),",",";"),"
",";")),"")</f>
        <v>0</v>
      </c>
      <c r="AP61">
        <f t="array" ref="AP61">IFERROR(CONCATENATE(INDEX(AS7:AS51,SMALL(IF(ISNUMBER(AP7:AP51),IF(AP7:AP51&gt;0,IF(AS7:AS51&lt;&gt;"",ROW(AP7:AP51)-MIN(ROW(AP7:AP51))+1))),ROW()-ROW(A$54)+1)),",",TEXT(INDEX(AP7:AP51,SMALL(IF(ISNUMBER(AP7:AP51),IF(AP7:AP51&gt;0,IF(AS7:AS51&lt;&gt;"",ROW(AP7:AP51)-MIN(ROW(AP7:AP51))+1))),ROW()-ROW(A$54)+1)),"##0"),",",,",",,",",,",",INDEX(G7:G51,SMALL(IF(ISNUMBER(AP7:AP51),IF(AP7:AP51&gt;0,IF(AS7:AS51&lt;&gt;"",ROW(AP7:AP51)-MIN(ROW(AP7:AP51))+1))),ROW()-ROW(A$54)+1)),",",SUBSTITUTE(INDEX(IF(PURCHASE_DESCRIPTION&lt;&gt;"",PURCHASE_DESCRIPTION&amp;":","")&amp;A7:A51,SMALL(IF(ISNUMBER(AP7:AP51),IF(AP7:AP51&gt;0,IF(AS7:AS51&lt;&gt;"",ROW(AP7:AP51)-MIN(ROW(AP7:AP51))+1))),ROW()-ROW(A$54)+1)),",",";")),"")</f>
        <v>0</v>
      </c>
      <c r="AU61">
        <f t="array" ref="AU61">IFERROR(CONCATENATE(INDEX(AX7:AX51,SMALL(IF(ISNUMBER(AU7:AU51),IF(AU7:AU51&gt;0,IF(AX7:AX51&lt;&gt;"",ROW(AU7:AU51)-MIN(ROW(AU7:AU51))+1))),ROW()-ROW(A$54)+1))," ",TEXT(INDEX(AU7:AU51,SMALL(IF(ISNUMBER(AU7:AU51),IF(AU7:AU51&gt;0,IF(AX7:AX51&lt;&gt;"",ROW(AU7:AU51)-MIN(ROW(AU7:AU51))+1))),ROW()-ROW(A$54)+1)),"##0")," ",SUBSTITUTE(INDEX(IF(PURCHASE_DESCRIPTION&lt;&gt;"",PURCHASE_DESCRIPTION&amp;":","")&amp;A7:A51,SMALL(IF(ISNUMBER(AU7:AU51),IF(AU7:AU51&gt;0,IF(AX7:AX51&lt;&gt;"",ROW(AU7:AU51)-MIN(ROW(AU7:AU51))+1))),ROW()-ROW(A$54)+1))," ",";")),"")</f>
        <v>0</v>
      </c>
    </row>
    <row r="62" spans="1:49">
      <c r="L62">
        <f t="array" ref="L62">IFERROR(CONCATENATE(INDEX(O7:O51,SMALL(IF(ISNUMBER(L7:L51),IF(L7:L51&gt;0,IF(O7:O51&lt;&gt;"",ROW(L7:L51)-MIN(ROW(L7:L51))+1))),ROW()-ROW(A$54)+1)),",",TEXT(INDEX(L7:L51,SMALL(IF(ISNUMBER(L7:L51),IF(L7:L51&gt;0,IF(O7:O51&lt;&gt;"",ROW(L7:L51)-MIN(ROW(L7:L51))+1))),ROW()-ROW(A$54)+1)),"##0"),",",SUBSTITUTE(INDEX(IF(PURCHASE_DESCRIPTION&lt;&gt;"",PURCHASE_DESCRIPTION&amp;":","")&amp;A7:A51,SMALL(IF(ISNUMBER(L7:L51),IF(L7:L51&gt;0,IF(O7:O51&lt;&gt;"",ROW(L7:L51)-MIN(ROW(L7:L51))+1))),ROW()-ROW(A$54)+1)),",",";")),"")</f>
        <v>0</v>
      </c>
      <c r="Q62">
        <f t="array" ref="Q62">IFERROR(CONCATENATE(TEXT(INDEX(Q7:Q51,SMALL(IF(ISNUMBER(Q7:Q51),IF(Q7:Q51&gt;0,IF(T7:T51&lt;&gt;"",ROW(Q7:Q51)-MIN(ROW(Q7:Q51))+1))),ROW()-ROW(A$54)+1)),"##0"),",",INDEX(T7:T51,SMALL(IF(ISNUMBER(Q7:Q51),IF(Q7:Q51&gt;0,IF(T7:T51&lt;&gt;"",ROW(Q7:Q51)-MIN(ROW(Q7:Q51))+1))),ROW()-ROW(A$54)+1)),",",SUBSTITUTE(INDEX(IF(PURCHASE_DESCRIPTION&lt;&gt;"",PURCHASE_DESCRIPTION&amp;":","")&amp;A7:A51,SMALL(IF(ISNUMBER(Q7:Q51),IF(Q7:Q51&gt;0,IF(T7:T51&lt;&gt;"",ROW(Q7:Q51)-MIN(ROW(Q7:Q51))+1))),ROW()-ROW(A$54)+1)),",",";")),"")</f>
        <v>0</v>
      </c>
      <c r="V62">
        <f t="array" ref="V62">IFERROR(CONCATENATE(INDEX(Y7:Y51,SMALL(IF(ISNUMBER(V7:V51),IF(V7:V51&gt;0,IF(Y7:Y51&lt;&gt;"",ROW(V7:V51)-MIN(ROW(V7:V51))+1))),ROW()-ROW(A$54)+1)),",",TEXT(INDEX(V7:V51,SMALL(IF(ISNUMBER(V7:V51),IF(V7:V51&gt;0,IF(Y7:Y51&lt;&gt;"",ROW(V7:V51)-MIN(ROW(V7:V51))+1))),ROW()-ROW(A$54)+1)),"##0"),",",SUBSTITUTE(SUBSTITUTE(INDEX(IF(PURCHASE_DESCRIPTION&lt;&gt;"",PURCHASE_DESCRIPTION&amp;":","")&amp;A7:A51,SMALL(IF(ISNUMBER(V7:V51),IF(V7:V51&gt;0,IF(Y7:Y51&lt;&gt;"",ROW(V7:V51)-MIN(ROW(V7:V51))+1))),ROW()-ROW(A$54)+1)),",",";"),"
",";"),",",SUBSTITUTE(SUBSTITUTE(INDEX(IF(PURCHASE_DESCRIPTION&lt;&gt;"",PURCHASE_DESCRIPTION&amp;":","")&amp;C7:C51,SMALL(IF(ISNUMBER(V7:V51),IF(V7:V51&gt;0,IF(Y7:Y51&lt;&gt;"",ROW(V7:V51)-MIN(ROW(V7:V51))+1))),ROW()-ROW(A$54)+1)),",",";"),"
",";"),",",SUBSTITUTE(SUBSTITUTE(INDEX(IF(PURCHASE_DESCRIPTION&lt;&gt;"",PURCHASE_DESCRIPTION&amp;":","")&amp;F7:F51,SMALL(IF(ISNUMBER(V7:V51),IF(V7:V51&gt;0,IF(Y7:Y51&lt;&gt;"",ROW(V7:V51)-MIN(ROW(V7:V51))+1))),ROW()-ROW(A$54)+1)),",",";"),"
",";"),",",SUBSTITUTE(SUBSTITUTE(INDEX(IF(PURCHASE_DESCRIPTION&lt;&gt;"",PURCHASE_DESCRIPTION&amp;":","")&amp;D7:D51,SMALL(IF(ISNUMBER(V7:V51),IF(V7:V51&gt;0,IF(Y7:Y51&lt;&gt;"",ROW(V7:V51)-MIN(ROW(V7:V51))+1))),ROW()-ROW(A$54)+1)),",",";"),"
",";")),"")</f>
        <v>0</v>
      </c>
      <c r="AA62">
        <f t="array" ref="AA62">IFERROR(CONCATENATE(TEXT(INDEX(AA7:AA51,SMALL(IF(ISNUMBER(AA7:AA51),IF(AA7:AA51&gt;0,IF(AD7:AD51&lt;&gt;"",ROW(AA7:AA51)-MIN(ROW(AA7:AA51))+1))),ROW()-ROW(A$55)+1)),"##0"),",",SUBSTITUTE(INDEX(IF(PURCHASE_DESCRIPTION&lt;&gt;"",PURCHASE_DESCRIPTION&amp;":","")&amp;A7:A51,SMALL(IF(ISNUMBER(AA7:AA51),IF(AA7:AA51&gt;0,IF(AD7:AD51&lt;&gt;"",ROW(AA7:AA51)-MIN(ROW(AA7:AA51))+1))),ROW()-ROW(A$55)+1)),",",";"),",",SUBSTITUTE(INDEX(IF(PURCHASE_DESCRIPTION&lt;&gt;"",PURCHASE_DESCRIPTION&amp;":","")&amp;E7:E51,SMALL(IF(ISNUMBER(AA7:AA51),IF(AA7:AA51&gt;0,IF(AD7:AD51&lt;&gt;"",ROW(AA7:AA51)-MIN(ROW(AA7:AA51))+1))),ROW()-ROW(A$55)+1)),",",";"),",",INDEX(AD7:AD51,SMALL(IF(ISNUMBER(AA7:AA51),IF(AA7:AA51&gt;0,IF(AD7:AD51&lt;&gt;"",ROW(AA7:AA51)-MIN(ROW(AA7:AA51))+1))),ROW()-ROW(A$55)+1))),"")</f>
        <v>0</v>
      </c>
      <c r="AF62">
        <f t="array" ref="AF62">IFERROR(CONCATENATE(INDEX(AI7:AI51,SMALL(IF(ISNUMBER(AF7:AF51),IF(AF7:AF51&gt;0,IF(AI7:AI51&lt;&gt;"",ROW(AF7:AF51)-MIN(ROW(AF7:AF51))+1))),ROW()-ROW(A$54)+1)),"|",TEXT(INDEX(AF7:AF51,SMALL(IF(ISNUMBER(AF7:AF51),IF(AF7:AF51&gt;0,IF(AI7:AI51&lt;&gt;"",ROW(AF7:AF51)-MIN(ROW(AF7:AF51))+1))),ROW()-ROW(A$54)+1)),"##0"),"|",SUBSTITUTE(SUBSTITUTE(INDEX(IF(PURCHASE_DESCRIPTION&lt;&gt;"",PURCHASE_DESCRIPTION&amp;":","")&amp;A7:A51,SMALL(IF(ISNUMBER(AF7:AF51),IF(AF7:AF51&gt;0,IF(AI7:AI51&lt;&gt;"",ROW(AF7:AF51)-MIN(ROW(AF7:AF51))+1))),ROW()-ROW(A$54)+1)),"|",";")," ","_")),"")</f>
        <v>0</v>
      </c>
      <c r="AK62">
        <f t="array" ref="AK62">IFERROR(CONCATENATE(INDEX(AN7:AN51,SMALL(IF(ISNUMBER(AK7:AK51),IF(AK7:AK51&gt;0,IF(AN7:AN51&lt;&gt;"",ROW(AK7:AK51)-MIN(ROW(AK7:AK51))+1))),ROW()-ROW(A$54)+1)),",",TEXT(INDEX(AK7:AK51,SMALL(IF(ISNUMBER(AK7:AK51),IF(AK7:AK51&gt;0,IF(AN7:AN51&lt;&gt;"",ROW(AK7:AK51)-MIN(ROW(AK7:AK51))+1))),ROW()-ROW(A$54)+1)),"##0"),",",SUBSTITUTE(SUBSTITUTE(INDEX(IF(PURCHASE_DESCRIPTION&lt;&gt;"",PURCHASE_DESCRIPTION&amp;":","")&amp;A7:A51,SMALL(IF(ISNUMBER(AK7:AK51),IF(AK7:AK51&gt;0,IF(AN7:AN51&lt;&gt;"",ROW(AK7:AK51)-MIN(ROW(AK7:AK51))+1))),ROW()-ROW(A$54)+1)),",",";"),"
",";"),",",SUBSTITUTE(SUBSTITUTE(INDEX(IF(PURCHASE_DESCRIPTION&lt;&gt;"",PURCHASE_DESCRIPTION&amp;":","")&amp;C7:C51,SMALL(IF(ISNUMBER(AK7:AK51),IF(AK7:AK51&gt;0,IF(AN7:AN51&lt;&gt;"",ROW(AK7:AK51)-MIN(ROW(AK7:AK51))+1))),ROW()-ROW(A$54)+1)),",",";"),"
",";"),",",SUBSTITUTE(SUBSTITUTE(INDEX(IF(PURCHASE_DESCRIPTION&lt;&gt;"",PURCHASE_DESCRIPTION&amp;":","")&amp;F7:F51,SMALL(IF(ISNUMBER(AK7:AK51),IF(AK7:AK51&gt;0,IF(AN7:AN51&lt;&gt;"",ROW(AK7:AK51)-MIN(ROW(AK7:AK51))+1))),ROW()-ROW(A$54)+1)),",",";"),"
",";"),",",SUBSTITUTE(SUBSTITUTE(INDEX(IF(PURCHASE_DESCRIPTION&lt;&gt;"",PURCHASE_DESCRIPTION&amp;":","")&amp;D7:D51,SMALL(IF(ISNUMBER(AK7:AK51),IF(AK7:AK51&gt;0,IF(AN7:AN51&lt;&gt;"",ROW(AK7:AK51)-MIN(ROW(AK7:AK51))+1))),ROW()-ROW(A$54)+1)),",",";"),"
",";")),"")</f>
        <v>0</v>
      </c>
      <c r="AP62">
        <f t="array" ref="AP62">IFERROR(CONCATENATE(INDEX(AS7:AS51,SMALL(IF(ISNUMBER(AP7:AP51),IF(AP7:AP51&gt;0,IF(AS7:AS51&lt;&gt;"",ROW(AP7:AP51)-MIN(ROW(AP7:AP51))+1))),ROW()-ROW(A$54)+1)),",",TEXT(INDEX(AP7:AP51,SMALL(IF(ISNUMBER(AP7:AP51),IF(AP7:AP51&gt;0,IF(AS7:AS51&lt;&gt;"",ROW(AP7:AP51)-MIN(ROW(AP7:AP51))+1))),ROW()-ROW(A$54)+1)),"##0"),",",,",",,",",,",",INDEX(G7:G51,SMALL(IF(ISNUMBER(AP7:AP51),IF(AP7:AP51&gt;0,IF(AS7:AS51&lt;&gt;"",ROW(AP7:AP51)-MIN(ROW(AP7:AP51))+1))),ROW()-ROW(A$54)+1)),",",SUBSTITUTE(INDEX(IF(PURCHASE_DESCRIPTION&lt;&gt;"",PURCHASE_DESCRIPTION&amp;":","")&amp;A7:A51,SMALL(IF(ISNUMBER(AP7:AP51),IF(AP7:AP51&gt;0,IF(AS7:AS51&lt;&gt;"",ROW(AP7:AP51)-MIN(ROW(AP7:AP51))+1))),ROW()-ROW(A$54)+1)),",",";")),"")</f>
        <v>0</v>
      </c>
      <c r="AU62">
        <f t="array" ref="AU62">IFERROR(CONCATENATE(INDEX(AX7:AX51,SMALL(IF(ISNUMBER(AU7:AU51),IF(AU7:AU51&gt;0,IF(AX7:AX51&lt;&gt;"",ROW(AU7:AU51)-MIN(ROW(AU7:AU51))+1))),ROW()-ROW(A$54)+1))," ",TEXT(INDEX(AU7:AU51,SMALL(IF(ISNUMBER(AU7:AU51),IF(AU7:AU51&gt;0,IF(AX7:AX51&lt;&gt;"",ROW(AU7:AU51)-MIN(ROW(AU7:AU51))+1))),ROW()-ROW(A$54)+1)),"##0")," ",SUBSTITUTE(INDEX(IF(PURCHASE_DESCRIPTION&lt;&gt;"",PURCHASE_DESCRIPTION&amp;":","")&amp;A7:A51,SMALL(IF(ISNUMBER(AU7:AU51),IF(AU7:AU51&gt;0,IF(AX7:AX51&lt;&gt;"",ROW(AU7:AU51)-MIN(ROW(AU7:AU51))+1))),ROW()-ROW(A$54)+1))," ",";")),"")</f>
        <v>0</v>
      </c>
    </row>
    <row r="63" spans="1:49">
      <c r="L63">
        <f t="array" ref="L63">IFERROR(CONCATENATE(INDEX(O7:O51,SMALL(IF(ISNUMBER(L7:L51),IF(L7:L51&gt;0,IF(O7:O51&lt;&gt;"",ROW(L7:L51)-MIN(ROW(L7:L51))+1))),ROW()-ROW(A$54)+1)),",",TEXT(INDEX(L7:L51,SMALL(IF(ISNUMBER(L7:L51),IF(L7:L51&gt;0,IF(O7:O51&lt;&gt;"",ROW(L7:L51)-MIN(ROW(L7:L51))+1))),ROW()-ROW(A$54)+1)),"##0"),",",SUBSTITUTE(INDEX(IF(PURCHASE_DESCRIPTION&lt;&gt;"",PURCHASE_DESCRIPTION&amp;":","")&amp;A7:A51,SMALL(IF(ISNUMBER(L7:L51),IF(L7:L51&gt;0,IF(O7:O51&lt;&gt;"",ROW(L7:L51)-MIN(ROW(L7:L51))+1))),ROW()-ROW(A$54)+1)),",",";")),"")</f>
        <v>0</v>
      </c>
      <c r="Q63">
        <f t="array" ref="Q63">IFERROR(CONCATENATE(TEXT(INDEX(Q7:Q51,SMALL(IF(ISNUMBER(Q7:Q51),IF(Q7:Q51&gt;0,IF(T7:T51&lt;&gt;"",ROW(Q7:Q51)-MIN(ROW(Q7:Q51))+1))),ROW()-ROW(A$54)+1)),"##0"),",",INDEX(T7:T51,SMALL(IF(ISNUMBER(Q7:Q51),IF(Q7:Q51&gt;0,IF(T7:T51&lt;&gt;"",ROW(Q7:Q51)-MIN(ROW(Q7:Q51))+1))),ROW()-ROW(A$54)+1)),",",SUBSTITUTE(INDEX(IF(PURCHASE_DESCRIPTION&lt;&gt;"",PURCHASE_DESCRIPTION&amp;":","")&amp;A7:A51,SMALL(IF(ISNUMBER(Q7:Q51),IF(Q7:Q51&gt;0,IF(T7:T51&lt;&gt;"",ROW(Q7:Q51)-MIN(ROW(Q7:Q51))+1))),ROW()-ROW(A$54)+1)),",",";")),"")</f>
        <v>0</v>
      </c>
      <c r="V63">
        <f t="array" ref="V63">IFERROR(CONCATENATE(INDEX(Y7:Y51,SMALL(IF(ISNUMBER(V7:V51),IF(V7:V51&gt;0,IF(Y7:Y51&lt;&gt;"",ROW(V7:V51)-MIN(ROW(V7:V51))+1))),ROW()-ROW(A$54)+1)),",",TEXT(INDEX(V7:V51,SMALL(IF(ISNUMBER(V7:V51),IF(V7:V51&gt;0,IF(Y7:Y51&lt;&gt;"",ROW(V7:V51)-MIN(ROW(V7:V51))+1))),ROW()-ROW(A$54)+1)),"##0"),",",SUBSTITUTE(SUBSTITUTE(INDEX(IF(PURCHASE_DESCRIPTION&lt;&gt;"",PURCHASE_DESCRIPTION&amp;":","")&amp;A7:A51,SMALL(IF(ISNUMBER(V7:V51),IF(V7:V51&gt;0,IF(Y7:Y51&lt;&gt;"",ROW(V7:V51)-MIN(ROW(V7:V51))+1))),ROW()-ROW(A$54)+1)),",",";"),"
",";"),",",SUBSTITUTE(SUBSTITUTE(INDEX(IF(PURCHASE_DESCRIPTION&lt;&gt;"",PURCHASE_DESCRIPTION&amp;":","")&amp;C7:C51,SMALL(IF(ISNUMBER(V7:V51),IF(V7:V51&gt;0,IF(Y7:Y51&lt;&gt;"",ROW(V7:V51)-MIN(ROW(V7:V51))+1))),ROW()-ROW(A$54)+1)),",",";"),"
",";"),",",SUBSTITUTE(SUBSTITUTE(INDEX(IF(PURCHASE_DESCRIPTION&lt;&gt;"",PURCHASE_DESCRIPTION&amp;":","")&amp;F7:F51,SMALL(IF(ISNUMBER(V7:V51),IF(V7:V51&gt;0,IF(Y7:Y51&lt;&gt;"",ROW(V7:V51)-MIN(ROW(V7:V51))+1))),ROW()-ROW(A$54)+1)),",",";"),"
",";"),",",SUBSTITUTE(SUBSTITUTE(INDEX(IF(PURCHASE_DESCRIPTION&lt;&gt;"",PURCHASE_DESCRIPTION&amp;":","")&amp;D7:D51,SMALL(IF(ISNUMBER(V7:V51),IF(V7:V51&gt;0,IF(Y7:Y51&lt;&gt;"",ROW(V7:V51)-MIN(ROW(V7:V51))+1))),ROW()-ROW(A$54)+1)),",",";"),"
",";")),"")</f>
        <v>0</v>
      </c>
      <c r="AA63">
        <f t="array" ref="AA63">IFERROR(CONCATENATE(TEXT(INDEX(AA7:AA51,SMALL(IF(ISNUMBER(AA7:AA51),IF(AA7:AA51&gt;0,IF(AD7:AD51&lt;&gt;"",ROW(AA7:AA51)-MIN(ROW(AA7:AA51))+1))),ROW()-ROW(A$55)+1)),"##0"),",",SUBSTITUTE(INDEX(IF(PURCHASE_DESCRIPTION&lt;&gt;"",PURCHASE_DESCRIPTION&amp;":","")&amp;A7:A51,SMALL(IF(ISNUMBER(AA7:AA51),IF(AA7:AA51&gt;0,IF(AD7:AD51&lt;&gt;"",ROW(AA7:AA51)-MIN(ROW(AA7:AA51))+1))),ROW()-ROW(A$55)+1)),",",";"),",",SUBSTITUTE(INDEX(IF(PURCHASE_DESCRIPTION&lt;&gt;"",PURCHASE_DESCRIPTION&amp;":","")&amp;E7:E51,SMALL(IF(ISNUMBER(AA7:AA51),IF(AA7:AA51&gt;0,IF(AD7:AD51&lt;&gt;"",ROW(AA7:AA51)-MIN(ROW(AA7:AA51))+1))),ROW()-ROW(A$55)+1)),",",";"),",",INDEX(AD7:AD51,SMALL(IF(ISNUMBER(AA7:AA51),IF(AA7:AA51&gt;0,IF(AD7:AD51&lt;&gt;"",ROW(AA7:AA51)-MIN(ROW(AA7:AA51))+1))),ROW()-ROW(A$55)+1))),"")</f>
        <v>0</v>
      </c>
      <c r="AF63">
        <f t="array" ref="AF63">IFERROR(CONCATENATE(INDEX(AI7:AI51,SMALL(IF(ISNUMBER(AF7:AF51),IF(AF7:AF51&gt;0,IF(AI7:AI51&lt;&gt;"",ROW(AF7:AF51)-MIN(ROW(AF7:AF51))+1))),ROW()-ROW(A$54)+1)),"|",TEXT(INDEX(AF7:AF51,SMALL(IF(ISNUMBER(AF7:AF51),IF(AF7:AF51&gt;0,IF(AI7:AI51&lt;&gt;"",ROW(AF7:AF51)-MIN(ROW(AF7:AF51))+1))),ROW()-ROW(A$54)+1)),"##0"),"|",SUBSTITUTE(SUBSTITUTE(INDEX(IF(PURCHASE_DESCRIPTION&lt;&gt;"",PURCHASE_DESCRIPTION&amp;":","")&amp;A7:A51,SMALL(IF(ISNUMBER(AF7:AF51),IF(AF7:AF51&gt;0,IF(AI7:AI51&lt;&gt;"",ROW(AF7:AF51)-MIN(ROW(AF7:AF51))+1))),ROW()-ROW(A$54)+1)),"|",";")," ","_")),"")</f>
        <v>0</v>
      </c>
      <c r="AK63">
        <f t="array" ref="AK63">IFERROR(CONCATENATE(INDEX(AN7:AN51,SMALL(IF(ISNUMBER(AK7:AK51),IF(AK7:AK51&gt;0,IF(AN7:AN51&lt;&gt;"",ROW(AK7:AK51)-MIN(ROW(AK7:AK51))+1))),ROW()-ROW(A$54)+1)),",",TEXT(INDEX(AK7:AK51,SMALL(IF(ISNUMBER(AK7:AK51),IF(AK7:AK51&gt;0,IF(AN7:AN51&lt;&gt;"",ROW(AK7:AK51)-MIN(ROW(AK7:AK51))+1))),ROW()-ROW(A$54)+1)),"##0"),",",SUBSTITUTE(SUBSTITUTE(INDEX(IF(PURCHASE_DESCRIPTION&lt;&gt;"",PURCHASE_DESCRIPTION&amp;":","")&amp;A7:A51,SMALL(IF(ISNUMBER(AK7:AK51),IF(AK7:AK51&gt;0,IF(AN7:AN51&lt;&gt;"",ROW(AK7:AK51)-MIN(ROW(AK7:AK51))+1))),ROW()-ROW(A$54)+1)),",",";"),"
",";"),",",SUBSTITUTE(SUBSTITUTE(INDEX(IF(PURCHASE_DESCRIPTION&lt;&gt;"",PURCHASE_DESCRIPTION&amp;":","")&amp;C7:C51,SMALL(IF(ISNUMBER(AK7:AK51),IF(AK7:AK51&gt;0,IF(AN7:AN51&lt;&gt;"",ROW(AK7:AK51)-MIN(ROW(AK7:AK51))+1))),ROW()-ROW(A$54)+1)),",",";"),"
",";"),",",SUBSTITUTE(SUBSTITUTE(INDEX(IF(PURCHASE_DESCRIPTION&lt;&gt;"",PURCHASE_DESCRIPTION&amp;":","")&amp;F7:F51,SMALL(IF(ISNUMBER(AK7:AK51),IF(AK7:AK51&gt;0,IF(AN7:AN51&lt;&gt;"",ROW(AK7:AK51)-MIN(ROW(AK7:AK51))+1))),ROW()-ROW(A$54)+1)),",",";"),"
",";"),",",SUBSTITUTE(SUBSTITUTE(INDEX(IF(PURCHASE_DESCRIPTION&lt;&gt;"",PURCHASE_DESCRIPTION&amp;":","")&amp;D7:D51,SMALL(IF(ISNUMBER(AK7:AK51),IF(AK7:AK51&gt;0,IF(AN7:AN51&lt;&gt;"",ROW(AK7:AK51)-MIN(ROW(AK7:AK51))+1))),ROW()-ROW(A$54)+1)),",",";"),"
",";")),"")</f>
        <v>0</v>
      </c>
      <c r="AP63">
        <f t="array" ref="AP63">IFERROR(CONCATENATE(INDEX(AS7:AS51,SMALL(IF(ISNUMBER(AP7:AP51),IF(AP7:AP51&gt;0,IF(AS7:AS51&lt;&gt;"",ROW(AP7:AP51)-MIN(ROW(AP7:AP51))+1))),ROW()-ROW(A$54)+1)),",",TEXT(INDEX(AP7:AP51,SMALL(IF(ISNUMBER(AP7:AP51),IF(AP7:AP51&gt;0,IF(AS7:AS51&lt;&gt;"",ROW(AP7:AP51)-MIN(ROW(AP7:AP51))+1))),ROW()-ROW(A$54)+1)),"##0"),",",,",",,",",,",",INDEX(G7:G51,SMALL(IF(ISNUMBER(AP7:AP51),IF(AP7:AP51&gt;0,IF(AS7:AS51&lt;&gt;"",ROW(AP7:AP51)-MIN(ROW(AP7:AP51))+1))),ROW()-ROW(A$54)+1)),",",SUBSTITUTE(INDEX(IF(PURCHASE_DESCRIPTION&lt;&gt;"",PURCHASE_DESCRIPTION&amp;":","")&amp;A7:A51,SMALL(IF(ISNUMBER(AP7:AP51),IF(AP7:AP51&gt;0,IF(AS7:AS51&lt;&gt;"",ROW(AP7:AP51)-MIN(ROW(AP7:AP51))+1))),ROW()-ROW(A$54)+1)),",",";")),"")</f>
        <v>0</v>
      </c>
      <c r="AU63">
        <f t="array" ref="AU63">IFERROR(CONCATENATE(INDEX(AX7:AX51,SMALL(IF(ISNUMBER(AU7:AU51),IF(AU7:AU51&gt;0,IF(AX7:AX51&lt;&gt;"",ROW(AU7:AU51)-MIN(ROW(AU7:AU51))+1))),ROW()-ROW(A$54)+1))," ",TEXT(INDEX(AU7:AU51,SMALL(IF(ISNUMBER(AU7:AU51),IF(AU7:AU51&gt;0,IF(AX7:AX51&lt;&gt;"",ROW(AU7:AU51)-MIN(ROW(AU7:AU51))+1))),ROW()-ROW(A$54)+1)),"##0")," ",SUBSTITUTE(INDEX(IF(PURCHASE_DESCRIPTION&lt;&gt;"",PURCHASE_DESCRIPTION&amp;":","")&amp;A7:A51,SMALL(IF(ISNUMBER(AU7:AU51),IF(AU7:AU51&gt;0,IF(AX7:AX51&lt;&gt;"",ROW(AU7:AU51)-MIN(ROW(AU7:AU51))+1))),ROW()-ROW(A$54)+1))," ",";")),"")</f>
        <v>0</v>
      </c>
    </row>
    <row r="64" spans="1:49">
      <c r="L64">
        <f t="array" ref="L64">IFERROR(CONCATENATE(INDEX(O7:O51,SMALL(IF(ISNUMBER(L7:L51),IF(L7:L51&gt;0,IF(O7:O51&lt;&gt;"",ROW(L7:L51)-MIN(ROW(L7:L51))+1))),ROW()-ROW(A$54)+1)),",",TEXT(INDEX(L7:L51,SMALL(IF(ISNUMBER(L7:L51),IF(L7:L51&gt;0,IF(O7:O51&lt;&gt;"",ROW(L7:L51)-MIN(ROW(L7:L51))+1))),ROW()-ROW(A$54)+1)),"##0"),",",SUBSTITUTE(INDEX(IF(PURCHASE_DESCRIPTION&lt;&gt;"",PURCHASE_DESCRIPTION&amp;":","")&amp;A7:A51,SMALL(IF(ISNUMBER(L7:L51),IF(L7:L51&gt;0,IF(O7:O51&lt;&gt;"",ROW(L7:L51)-MIN(ROW(L7:L51))+1))),ROW()-ROW(A$54)+1)),",",";")),"")</f>
        <v>0</v>
      </c>
      <c r="Q64">
        <f t="array" ref="Q64">IFERROR(CONCATENATE(TEXT(INDEX(Q7:Q51,SMALL(IF(ISNUMBER(Q7:Q51),IF(Q7:Q51&gt;0,IF(T7:T51&lt;&gt;"",ROW(Q7:Q51)-MIN(ROW(Q7:Q51))+1))),ROW()-ROW(A$54)+1)),"##0"),",",INDEX(T7:T51,SMALL(IF(ISNUMBER(Q7:Q51),IF(Q7:Q51&gt;0,IF(T7:T51&lt;&gt;"",ROW(Q7:Q51)-MIN(ROW(Q7:Q51))+1))),ROW()-ROW(A$54)+1)),",",SUBSTITUTE(INDEX(IF(PURCHASE_DESCRIPTION&lt;&gt;"",PURCHASE_DESCRIPTION&amp;":","")&amp;A7:A51,SMALL(IF(ISNUMBER(Q7:Q51),IF(Q7:Q51&gt;0,IF(T7:T51&lt;&gt;"",ROW(Q7:Q51)-MIN(ROW(Q7:Q51))+1))),ROW()-ROW(A$54)+1)),",",";")),"")</f>
        <v>0</v>
      </c>
      <c r="V64">
        <f t="array" ref="V64">IFERROR(CONCATENATE(INDEX(Y7:Y51,SMALL(IF(ISNUMBER(V7:V51),IF(V7:V51&gt;0,IF(Y7:Y51&lt;&gt;"",ROW(V7:V51)-MIN(ROW(V7:V51))+1))),ROW()-ROW(A$54)+1)),",",TEXT(INDEX(V7:V51,SMALL(IF(ISNUMBER(V7:V51),IF(V7:V51&gt;0,IF(Y7:Y51&lt;&gt;"",ROW(V7:V51)-MIN(ROW(V7:V51))+1))),ROW()-ROW(A$54)+1)),"##0"),",",SUBSTITUTE(SUBSTITUTE(INDEX(IF(PURCHASE_DESCRIPTION&lt;&gt;"",PURCHASE_DESCRIPTION&amp;":","")&amp;A7:A51,SMALL(IF(ISNUMBER(V7:V51),IF(V7:V51&gt;0,IF(Y7:Y51&lt;&gt;"",ROW(V7:V51)-MIN(ROW(V7:V51))+1))),ROW()-ROW(A$54)+1)),",",";"),"
",";"),",",SUBSTITUTE(SUBSTITUTE(INDEX(IF(PURCHASE_DESCRIPTION&lt;&gt;"",PURCHASE_DESCRIPTION&amp;":","")&amp;C7:C51,SMALL(IF(ISNUMBER(V7:V51),IF(V7:V51&gt;0,IF(Y7:Y51&lt;&gt;"",ROW(V7:V51)-MIN(ROW(V7:V51))+1))),ROW()-ROW(A$54)+1)),",",";"),"
",";"),",",SUBSTITUTE(SUBSTITUTE(INDEX(IF(PURCHASE_DESCRIPTION&lt;&gt;"",PURCHASE_DESCRIPTION&amp;":","")&amp;F7:F51,SMALL(IF(ISNUMBER(V7:V51),IF(V7:V51&gt;0,IF(Y7:Y51&lt;&gt;"",ROW(V7:V51)-MIN(ROW(V7:V51))+1))),ROW()-ROW(A$54)+1)),",",";"),"
",";"),",",SUBSTITUTE(SUBSTITUTE(INDEX(IF(PURCHASE_DESCRIPTION&lt;&gt;"",PURCHASE_DESCRIPTION&amp;":","")&amp;D7:D51,SMALL(IF(ISNUMBER(V7:V51),IF(V7:V51&gt;0,IF(Y7:Y51&lt;&gt;"",ROW(V7:V51)-MIN(ROW(V7:V51))+1))),ROW()-ROW(A$54)+1)),",",";"),"
",";")),"")</f>
        <v>0</v>
      </c>
      <c r="AA64">
        <f t="array" ref="AA64">IFERROR(CONCATENATE(TEXT(INDEX(AA7:AA51,SMALL(IF(ISNUMBER(AA7:AA51),IF(AA7:AA51&gt;0,IF(AD7:AD51&lt;&gt;"",ROW(AA7:AA51)-MIN(ROW(AA7:AA51))+1))),ROW()-ROW(A$55)+1)),"##0"),",",SUBSTITUTE(INDEX(IF(PURCHASE_DESCRIPTION&lt;&gt;"",PURCHASE_DESCRIPTION&amp;":","")&amp;A7:A51,SMALL(IF(ISNUMBER(AA7:AA51),IF(AA7:AA51&gt;0,IF(AD7:AD51&lt;&gt;"",ROW(AA7:AA51)-MIN(ROW(AA7:AA51))+1))),ROW()-ROW(A$55)+1)),",",";"),",",SUBSTITUTE(INDEX(IF(PURCHASE_DESCRIPTION&lt;&gt;"",PURCHASE_DESCRIPTION&amp;":","")&amp;E7:E51,SMALL(IF(ISNUMBER(AA7:AA51),IF(AA7:AA51&gt;0,IF(AD7:AD51&lt;&gt;"",ROW(AA7:AA51)-MIN(ROW(AA7:AA51))+1))),ROW()-ROW(A$55)+1)),",",";"),",",INDEX(AD7:AD51,SMALL(IF(ISNUMBER(AA7:AA51),IF(AA7:AA51&gt;0,IF(AD7:AD51&lt;&gt;"",ROW(AA7:AA51)-MIN(ROW(AA7:AA51))+1))),ROW()-ROW(A$55)+1))),"")</f>
        <v>0</v>
      </c>
      <c r="AF64">
        <f t="array" ref="AF64">IFERROR(CONCATENATE(INDEX(AI7:AI51,SMALL(IF(ISNUMBER(AF7:AF51),IF(AF7:AF51&gt;0,IF(AI7:AI51&lt;&gt;"",ROW(AF7:AF51)-MIN(ROW(AF7:AF51))+1))),ROW()-ROW(A$54)+1)),"|",TEXT(INDEX(AF7:AF51,SMALL(IF(ISNUMBER(AF7:AF51),IF(AF7:AF51&gt;0,IF(AI7:AI51&lt;&gt;"",ROW(AF7:AF51)-MIN(ROW(AF7:AF51))+1))),ROW()-ROW(A$54)+1)),"##0"),"|",SUBSTITUTE(SUBSTITUTE(INDEX(IF(PURCHASE_DESCRIPTION&lt;&gt;"",PURCHASE_DESCRIPTION&amp;":","")&amp;A7:A51,SMALL(IF(ISNUMBER(AF7:AF51),IF(AF7:AF51&gt;0,IF(AI7:AI51&lt;&gt;"",ROW(AF7:AF51)-MIN(ROW(AF7:AF51))+1))),ROW()-ROW(A$54)+1)),"|",";")," ","_")),"")</f>
        <v>0</v>
      </c>
      <c r="AK64">
        <f t="array" ref="AK64">IFERROR(CONCATENATE(INDEX(AN7:AN51,SMALL(IF(ISNUMBER(AK7:AK51),IF(AK7:AK51&gt;0,IF(AN7:AN51&lt;&gt;"",ROW(AK7:AK51)-MIN(ROW(AK7:AK51))+1))),ROW()-ROW(A$54)+1)),",",TEXT(INDEX(AK7:AK51,SMALL(IF(ISNUMBER(AK7:AK51),IF(AK7:AK51&gt;0,IF(AN7:AN51&lt;&gt;"",ROW(AK7:AK51)-MIN(ROW(AK7:AK51))+1))),ROW()-ROW(A$54)+1)),"##0"),",",SUBSTITUTE(SUBSTITUTE(INDEX(IF(PURCHASE_DESCRIPTION&lt;&gt;"",PURCHASE_DESCRIPTION&amp;":","")&amp;A7:A51,SMALL(IF(ISNUMBER(AK7:AK51),IF(AK7:AK51&gt;0,IF(AN7:AN51&lt;&gt;"",ROW(AK7:AK51)-MIN(ROW(AK7:AK51))+1))),ROW()-ROW(A$54)+1)),",",";"),"
",";"),",",SUBSTITUTE(SUBSTITUTE(INDEX(IF(PURCHASE_DESCRIPTION&lt;&gt;"",PURCHASE_DESCRIPTION&amp;":","")&amp;C7:C51,SMALL(IF(ISNUMBER(AK7:AK51),IF(AK7:AK51&gt;0,IF(AN7:AN51&lt;&gt;"",ROW(AK7:AK51)-MIN(ROW(AK7:AK51))+1))),ROW()-ROW(A$54)+1)),",",";"),"
",";"),",",SUBSTITUTE(SUBSTITUTE(INDEX(IF(PURCHASE_DESCRIPTION&lt;&gt;"",PURCHASE_DESCRIPTION&amp;":","")&amp;F7:F51,SMALL(IF(ISNUMBER(AK7:AK51),IF(AK7:AK51&gt;0,IF(AN7:AN51&lt;&gt;"",ROW(AK7:AK51)-MIN(ROW(AK7:AK51))+1))),ROW()-ROW(A$54)+1)),",",";"),"
",";"),",",SUBSTITUTE(SUBSTITUTE(INDEX(IF(PURCHASE_DESCRIPTION&lt;&gt;"",PURCHASE_DESCRIPTION&amp;":","")&amp;D7:D51,SMALL(IF(ISNUMBER(AK7:AK51),IF(AK7:AK51&gt;0,IF(AN7:AN51&lt;&gt;"",ROW(AK7:AK51)-MIN(ROW(AK7:AK51))+1))),ROW()-ROW(A$54)+1)),",",";"),"
",";")),"")</f>
        <v>0</v>
      </c>
      <c r="AP64">
        <f t="array" ref="AP64">IFERROR(CONCATENATE(INDEX(AS7:AS51,SMALL(IF(ISNUMBER(AP7:AP51),IF(AP7:AP51&gt;0,IF(AS7:AS51&lt;&gt;"",ROW(AP7:AP51)-MIN(ROW(AP7:AP51))+1))),ROW()-ROW(A$54)+1)),",",TEXT(INDEX(AP7:AP51,SMALL(IF(ISNUMBER(AP7:AP51),IF(AP7:AP51&gt;0,IF(AS7:AS51&lt;&gt;"",ROW(AP7:AP51)-MIN(ROW(AP7:AP51))+1))),ROW()-ROW(A$54)+1)),"##0"),",",,",",,",",,",",INDEX(G7:G51,SMALL(IF(ISNUMBER(AP7:AP51),IF(AP7:AP51&gt;0,IF(AS7:AS51&lt;&gt;"",ROW(AP7:AP51)-MIN(ROW(AP7:AP51))+1))),ROW()-ROW(A$54)+1)),",",SUBSTITUTE(INDEX(IF(PURCHASE_DESCRIPTION&lt;&gt;"",PURCHASE_DESCRIPTION&amp;":","")&amp;A7:A51,SMALL(IF(ISNUMBER(AP7:AP51),IF(AP7:AP51&gt;0,IF(AS7:AS51&lt;&gt;"",ROW(AP7:AP51)-MIN(ROW(AP7:AP51))+1))),ROW()-ROW(A$54)+1)),",",";")),"")</f>
        <v>0</v>
      </c>
      <c r="AU64">
        <f t="array" ref="AU64">IFERROR(CONCATENATE(INDEX(AX7:AX51,SMALL(IF(ISNUMBER(AU7:AU51),IF(AU7:AU51&gt;0,IF(AX7:AX51&lt;&gt;"",ROW(AU7:AU51)-MIN(ROW(AU7:AU51))+1))),ROW()-ROW(A$54)+1))," ",TEXT(INDEX(AU7:AU51,SMALL(IF(ISNUMBER(AU7:AU51),IF(AU7:AU51&gt;0,IF(AX7:AX51&lt;&gt;"",ROW(AU7:AU51)-MIN(ROW(AU7:AU51))+1))),ROW()-ROW(A$54)+1)),"##0")," ",SUBSTITUTE(INDEX(IF(PURCHASE_DESCRIPTION&lt;&gt;"",PURCHASE_DESCRIPTION&amp;":","")&amp;A7:A51,SMALL(IF(ISNUMBER(AU7:AU51),IF(AU7:AU51&gt;0,IF(AX7:AX51&lt;&gt;"",ROW(AU7:AU51)-MIN(ROW(AU7:AU51))+1))),ROW()-ROW(A$54)+1))," ",";")),"")</f>
        <v>0</v>
      </c>
    </row>
    <row r="65" spans="12:47">
      <c r="L65">
        <f t="array" ref="L65">IFERROR(CONCATENATE(INDEX(O7:O51,SMALL(IF(ISNUMBER(L7:L51),IF(L7:L51&gt;0,IF(O7:O51&lt;&gt;"",ROW(L7:L51)-MIN(ROW(L7:L51))+1))),ROW()-ROW(A$54)+1)),",",TEXT(INDEX(L7:L51,SMALL(IF(ISNUMBER(L7:L51),IF(L7:L51&gt;0,IF(O7:O51&lt;&gt;"",ROW(L7:L51)-MIN(ROW(L7:L51))+1))),ROW()-ROW(A$54)+1)),"##0"),",",SUBSTITUTE(INDEX(IF(PURCHASE_DESCRIPTION&lt;&gt;"",PURCHASE_DESCRIPTION&amp;":","")&amp;A7:A51,SMALL(IF(ISNUMBER(L7:L51),IF(L7:L51&gt;0,IF(O7:O51&lt;&gt;"",ROW(L7:L51)-MIN(ROW(L7:L51))+1))),ROW()-ROW(A$54)+1)),",",";")),"")</f>
        <v>0</v>
      </c>
      <c r="Q65">
        <f t="array" ref="Q65">IFERROR(CONCATENATE(TEXT(INDEX(Q7:Q51,SMALL(IF(ISNUMBER(Q7:Q51),IF(Q7:Q51&gt;0,IF(T7:T51&lt;&gt;"",ROW(Q7:Q51)-MIN(ROW(Q7:Q51))+1))),ROW()-ROW(A$54)+1)),"##0"),",",INDEX(T7:T51,SMALL(IF(ISNUMBER(Q7:Q51),IF(Q7:Q51&gt;0,IF(T7:T51&lt;&gt;"",ROW(Q7:Q51)-MIN(ROW(Q7:Q51))+1))),ROW()-ROW(A$54)+1)),",",SUBSTITUTE(INDEX(IF(PURCHASE_DESCRIPTION&lt;&gt;"",PURCHASE_DESCRIPTION&amp;":","")&amp;A7:A51,SMALL(IF(ISNUMBER(Q7:Q51),IF(Q7:Q51&gt;0,IF(T7:T51&lt;&gt;"",ROW(Q7:Q51)-MIN(ROW(Q7:Q51))+1))),ROW()-ROW(A$54)+1)),",",";")),"")</f>
        <v>0</v>
      </c>
      <c r="V65">
        <f t="array" ref="V65">IFERROR(CONCATENATE(INDEX(Y7:Y51,SMALL(IF(ISNUMBER(V7:V51),IF(V7:V51&gt;0,IF(Y7:Y51&lt;&gt;"",ROW(V7:V51)-MIN(ROW(V7:V51))+1))),ROW()-ROW(A$54)+1)),",",TEXT(INDEX(V7:V51,SMALL(IF(ISNUMBER(V7:V51),IF(V7:V51&gt;0,IF(Y7:Y51&lt;&gt;"",ROW(V7:V51)-MIN(ROW(V7:V51))+1))),ROW()-ROW(A$54)+1)),"##0"),",",SUBSTITUTE(SUBSTITUTE(INDEX(IF(PURCHASE_DESCRIPTION&lt;&gt;"",PURCHASE_DESCRIPTION&amp;":","")&amp;A7:A51,SMALL(IF(ISNUMBER(V7:V51),IF(V7:V51&gt;0,IF(Y7:Y51&lt;&gt;"",ROW(V7:V51)-MIN(ROW(V7:V51))+1))),ROW()-ROW(A$54)+1)),",",";"),"
",";"),",",SUBSTITUTE(SUBSTITUTE(INDEX(IF(PURCHASE_DESCRIPTION&lt;&gt;"",PURCHASE_DESCRIPTION&amp;":","")&amp;C7:C51,SMALL(IF(ISNUMBER(V7:V51),IF(V7:V51&gt;0,IF(Y7:Y51&lt;&gt;"",ROW(V7:V51)-MIN(ROW(V7:V51))+1))),ROW()-ROW(A$54)+1)),",",";"),"
",";"),",",SUBSTITUTE(SUBSTITUTE(INDEX(IF(PURCHASE_DESCRIPTION&lt;&gt;"",PURCHASE_DESCRIPTION&amp;":","")&amp;F7:F51,SMALL(IF(ISNUMBER(V7:V51),IF(V7:V51&gt;0,IF(Y7:Y51&lt;&gt;"",ROW(V7:V51)-MIN(ROW(V7:V51))+1))),ROW()-ROW(A$54)+1)),",",";"),"
",";"),",",SUBSTITUTE(SUBSTITUTE(INDEX(IF(PURCHASE_DESCRIPTION&lt;&gt;"",PURCHASE_DESCRIPTION&amp;":","")&amp;D7:D51,SMALL(IF(ISNUMBER(V7:V51),IF(V7:V51&gt;0,IF(Y7:Y51&lt;&gt;"",ROW(V7:V51)-MIN(ROW(V7:V51))+1))),ROW()-ROW(A$54)+1)),",",";"),"
",";")),"")</f>
        <v>0</v>
      </c>
      <c r="AA65">
        <f t="array" ref="AA65">IFERROR(CONCATENATE(TEXT(INDEX(AA7:AA51,SMALL(IF(ISNUMBER(AA7:AA51),IF(AA7:AA51&gt;0,IF(AD7:AD51&lt;&gt;"",ROW(AA7:AA51)-MIN(ROW(AA7:AA51))+1))),ROW()-ROW(A$55)+1)),"##0"),",",SUBSTITUTE(INDEX(IF(PURCHASE_DESCRIPTION&lt;&gt;"",PURCHASE_DESCRIPTION&amp;":","")&amp;A7:A51,SMALL(IF(ISNUMBER(AA7:AA51),IF(AA7:AA51&gt;0,IF(AD7:AD51&lt;&gt;"",ROW(AA7:AA51)-MIN(ROW(AA7:AA51))+1))),ROW()-ROW(A$55)+1)),",",";"),",",SUBSTITUTE(INDEX(IF(PURCHASE_DESCRIPTION&lt;&gt;"",PURCHASE_DESCRIPTION&amp;":","")&amp;E7:E51,SMALL(IF(ISNUMBER(AA7:AA51),IF(AA7:AA51&gt;0,IF(AD7:AD51&lt;&gt;"",ROW(AA7:AA51)-MIN(ROW(AA7:AA51))+1))),ROW()-ROW(A$55)+1)),",",";"),",",INDEX(AD7:AD51,SMALL(IF(ISNUMBER(AA7:AA51),IF(AA7:AA51&gt;0,IF(AD7:AD51&lt;&gt;"",ROW(AA7:AA51)-MIN(ROW(AA7:AA51))+1))),ROW()-ROW(A$55)+1))),"")</f>
        <v>0</v>
      </c>
      <c r="AF65">
        <f t="array" ref="AF65">IFERROR(CONCATENATE(INDEX(AI7:AI51,SMALL(IF(ISNUMBER(AF7:AF51),IF(AF7:AF51&gt;0,IF(AI7:AI51&lt;&gt;"",ROW(AF7:AF51)-MIN(ROW(AF7:AF51))+1))),ROW()-ROW(A$54)+1)),"|",TEXT(INDEX(AF7:AF51,SMALL(IF(ISNUMBER(AF7:AF51),IF(AF7:AF51&gt;0,IF(AI7:AI51&lt;&gt;"",ROW(AF7:AF51)-MIN(ROW(AF7:AF51))+1))),ROW()-ROW(A$54)+1)),"##0"),"|",SUBSTITUTE(SUBSTITUTE(INDEX(IF(PURCHASE_DESCRIPTION&lt;&gt;"",PURCHASE_DESCRIPTION&amp;":","")&amp;A7:A51,SMALL(IF(ISNUMBER(AF7:AF51),IF(AF7:AF51&gt;0,IF(AI7:AI51&lt;&gt;"",ROW(AF7:AF51)-MIN(ROW(AF7:AF51))+1))),ROW()-ROW(A$54)+1)),"|",";")," ","_")),"")</f>
        <v>0</v>
      </c>
      <c r="AK65">
        <f t="array" ref="AK65">IFERROR(CONCATENATE(INDEX(AN7:AN51,SMALL(IF(ISNUMBER(AK7:AK51),IF(AK7:AK51&gt;0,IF(AN7:AN51&lt;&gt;"",ROW(AK7:AK51)-MIN(ROW(AK7:AK51))+1))),ROW()-ROW(A$54)+1)),",",TEXT(INDEX(AK7:AK51,SMALL(IF(ISNUMBER(AK7:AK51),IF(AK7:AK51&gt;0,IF(AN7:AN51&lt;&gt;"",ROW(AK7:AK51)-MIN(ROW(AK7:AK51))+1))),ROW()-ROW(A$54)+1)),"##0"),",",SUBSTITUTE(SUBSTITUTE(INDEX(IF(PURCHASE_DESCRIPTION&lt;&gt;"",PURCHASE_DESCRIPTION&amp;":","")&amp;A7:A51,SMALL(IF(ISNUMBER(AK7:AK51),IF(AK7:AK51&gt;0,IF(AN7:AN51&lt;&gt;"",ROW(AK7:AK51)-MIN(ROW(AK7:AK51))+1))),ROW()-ROW(A$54)+1)),",",";"),"
",";"),",",SUBSTITUTE(SUBSTITUTE(INDEX(IF(PURCHASE_DESCRIPTION&lt;&gt;"",PURCHASE_DESCRIPTION&amp;":","")&amp;C7:C51,SMALL(IF(ISNUMBER(AK7:AK51),IF(AK7:AK51&gt;0,IF(AN7:AN51&lt;&gt;"",ROW(AK7:AK51)-MIN(ROW(AK7:AK51))+1))),ROW()-ROW(A$54)+1)),",",";"),"
",";"),",",SUBSTITUTE(SUBSTITUTE(INDEX(IF(PURCHASE_DESCRIPTION&lt;&gt;"",PURCHASE_DESCRIPTION&amp;":","")&amp;F7:F51,SMALL(IF(ISNUMBER(AK7:AK51),IF(AK7:AK51&gt;0,IF(AN7:AN51&lt;&gt;"",ROW(AK7:AK51)-MIN(ROW(AK7:AK51))+1))),ROW()-ROW(A$54)+1)),",",";"),"
",";"),",",SUBSTITUTE(SUBSTITUTE(INDEX(IF(PURCHASE_DESCRIPTION&lt;&gt;"",PURCHASE_DESCRIPTION&amp;":","")&amp;D7:D51,SMALL(IF(ISNUMBER(AK7:AK51),IF(AK7:AK51&gt;0,IF(AN7:AN51&lt;&gt;"",ROW(AK7:AK51)-MIN(ROW(AK7:AK51))+1))),ROW()-ROW(A$54)+1)),",",";"),"
",";")),"")</f>
        <v>0</v>
      </c>
      <c r="AP65">
        <f t="array" ref="AP65">IFERROR(CONCATENATE(INDEX(AS7:AS51,SMALL(IF(ISNUMBER(AP7:AP51),IF(AP7:AP51&gt;0,IF(AS7:AS51&lt;&gt;"",ROW(AP7:AP51)-MIN(ROW(AP7:AP51))+1))),ROW()-ROW(A$54)+1)),",",TEXT(INDEX(AP7:AP51,SMALL(IF(ISNUMBER(AP7:AP51),IF(AP7:AP51&gt;0,IF(AS7:AS51&lt;&gt;"",ROW(AP7:AP51)-MIN(ROW(AP7:AP51))+1))),ROW()-ROW(A$54)+1)),"##0"),",",,",",,",",,",",INDEX(G7:G51,SMALL(IF(ISNUMBER(AP7:AP51),IF(AP7:AP51&gt;0,IF(AS7:AS51&lt;&gt;"",ROW(AP7:AP51)-MIN(ROW(AP7:AP51))+1))),ROW()-ROW(A$54)+1)),",",SUBSTITUTE(INDEX(IF(PURCHASE_DESCRIPTION&lt;&gt;"",PURCHASE_DESCRIPTION&amp;":","")&amp;A7:A51,SMALL(IF(ISNUMBER(AP7:AP51),IF(AP7:AP51&gt;0,IF(AS7:AS51&lt;&gt;"",ROW(AP7:AP51)-MIN(ROW(AP7:AP51))+1))),ROW()-ROW(A$54)+1)),",",";")),"")</f>
        <v>0</v>
      </c>
      <c r="AU65">
        <f t="array" ref="AU65">IFERROR(CONCATENATE(INDEX(AX7:AX51,SMALL(IF(ISNUMBER(AU7:AU51),IF(AU7:AU51&gt;0,IF(AX7:AX51&lt;&gt;"",ROW(AU7:AU51)-MIN(ROW(AU7:AU51))+1))),ROW()-ROW(A$54)+1))," ",TEXT(INDEX(AU7:AU51,SMALL(IF(ISNUMBER(AU7:AU51),IF(AU7:AU51&gt;0,IF(AX7:AX51&lt;&gt;"",ROW(AU7:AU51)-MIN(ROW(AU7:AU51))+1))),ROW()-ROW(A$54)+1)),"##0")," ",SUBSTITUTE(INDEX(IF(PURCHASE_DESCRIPTION&lt;&gt;"",PURCHASE_DESCRIPTION&amp;":","")&amp;A7:A51,SMALL(IF(ISNUMBER(AU7:AU51),IF(AU7:AU51&gt;0,IF(AX7:AX51&lt;&gt;"",ROW(AU7:AU51)-MIN(ROW(AU7:AU51))+1))),ROW()-ROW(A$54)+1))," ",";")),"")</f>
        <v>0</v>
      </c>
    </row>
    <row r="66" spans="12:47">
      <c r="L66">
        <f t="array" ref="L66">IFERROR(CONCATENATE(INDEX(O7:O51,SMALL(IF(ISNUMBER(L7:L51),IF(L7:L51&gt;0,IF(O7:O51&lt;&gt;"",ROW(L7:L51)-MIN(ROW(L7:L51))+1))),ROW()-ROW(A$54)+1)),",",TEXT(INDEX(L7:L51,SMALL(IF(ISNUMBER(L7:L51),IF(L7:L51&gt;0,IF(O7:O51&lt;&gt;"",ROW(L7:L51)-MIN(ROW(L7:L51))+1))),ROW()-ROW(A$54)+1)),"##0"),",",SUBSTITUTE(INDEX(IF(PURCHASE_DESCRIPTION&lt;&gt;"",PURCHASE_DESCRIPTION&amp;":","")&amp;A7:A51,SMALL(IF(ISNUMBER(L7:L51),IF(L7:L51&gt;0,IF(O7:O51&lt;&gt;"",ROW(L7:L51)-MIN(ROW(L7:L51))+1))),ROW()-ROW(A$54)+1)),",",";")),"")</f>
        <v>0</v>
      </c>
      <c r="Q66">
        <f t="array" ref="Q66">IFERROR(CONCATENATE(TEXT(INDEX(Q7:Q51,SMALL(IF(ISNUMBER(Q7:Q51),IF(Q7:Q51&gt;0,IF(T7:T51&lt;&gt;"",ROW(Q7:Q51)-MIN(ROW(Q7:Q51))+1))),ROW()-ROW(A$54)+1)),"##0"),",",INDEX(T7:T51,SMALL(IF(ISNUMBER(Q7:Q51),IF(Q7:Q51&gt;0,IF(T7:T51&lt;&gt;"",ROW(Q7:Q51)-MIN(ROW(Q7:Q51))+1))),ROW()-ROW(A$54)+1)),",",SUBSTITUTE(INDEX(IF(PURCHASE_DESCRIPTION&lt;&gt;"",PURCHASE_DESCRIPTION&amp;":","")&amp;A7:A51,SMALL(IF(ISNUMBER(Q7:Q51),IF(Q7:Q51&gt;0,IF(T7:T51&lt;&gt;"",ROW(Q7:Q51)-MIN(ROW(Q7:Q51))+1))),ROW()-ROW(A$54)+1)),",",";")),"")</f>
        <v>0</v>
      </c>
      <c r="V66">
        <f t="array" ref="V66">IFERROR(CONCATENATE(INDEX(Y7:Y51,SMALL(IF(ISNUMBER(V7:V51),IF(V7:V51&gt;0,IF(Y7:Y51&lt;&gt;"",ROW(V7:V51)-MIN(ROW(V7:V51))+1))),ROW()-ROW(A$54)+1)),",",TEXT(INDEX(V7:V51,SMALL(IF(ISNUMBER(V7:V51),IF(V7:V51&gt;0,IF(Y7:Y51&lt;&gt;"",ROW(V7:V51)-MIN(ROW(V7:V51))+1))),ROW()-ROW(A$54)+1)),"##0"),",",SUBSTITUTE(SUBSTITUTE(INDEX(IF(PURCHASE_DESCRIPTION&lt;&gt;"",PURCHASE_DESCRIPTION&amp;":","")&amp;A7:A51,SMALL(IF(ISNUMBER(V7:V51),IF(V7:V51&gt;0,IF(Y7:Y51&lt;&gt;"",ROW(V7:V51)-MIN(ROW(V7:V51))+1))),ROW()-ROW(A$54)+1)),",",";"),"
",";"),",",SUBSTITUTE(SUBSTITUTE(INDEX(IF(PURCHASE_DESCRIPTION&lt;&gt;"",PURCHASE_DESCRIPTION&amp;":","")&amp;C7:C51,SMALL(IF(ISNUMBER(V7:V51),IF(V7:V51&gt;0,IF(Y7:Y51&lt;&gt;"",ROW(V7:V51)-MIN(ROW(V7:V51))+1))),ROW()-ROW(A$54)+1)),",",";"),"
",";"),",",SUBSTITUTE(SUBSTITUTE(INDEX(IF(PURCHASE_DESCRIPTION&lt;&gt;"",PURCHASE_DESCRIPTION&amp;":","")&amp;F7:F51,SMALL(IF(ISNUMBER(V7:V51),IF(V7:V51&gt;0,IF(Y7:Y51&lt;&gt;"",ROW(V7:V51)-MIN(ROW(V7:V51))+1))),ROW()-ROW(A$54)+1)),",",";"),"
",";"),",",SUBSTITUTE(SUBSTITUTE(INDEX(IF(PURCHASE_DESCRIPTION&lt;&gt;"",PURCHASE_DESCRIPTION&amp;":","")&amp;D7:D51,SMALL(IF(ISNUMBER(V7:V51),IF(V7:V51&gt;0,IF(Y7:Y51&lt;&gt;"",ROW(V7:V51)-MIN(ROW(V7:V51))+1))),ROW()-ROW(A$54)+1)),",",";"),"
",";")),"")</f>
        <v>0</v>
      </c>
      <c r="AA66">
        <f t="array" ref="AA66">IFERROR(CONCATENATE(TEXT(INDEX(AA7:AA51,SMALL(IF(ISNUMBER(AA7:AA51),IF(AA7:AA51&gt;0,IF(AD7:AD51&lt;&gt;"",ROW(AA7:AA51)-MIN(ROW(AA7:AA51))+1))),ROW()-ROW(A$55)+1)),"##0"),",",SUBSTITUTE(INDEX(IF(PURCHASE_DESCRIPTION&lt;&gt;"",PURCHASE_DESCRIPTION&amp;":","")&amp;A7:A51,SMALL(IF(ISNUMBER(AA7:AA51),IF(AA7:AA51&gt;0,IF(AD7:AD51&lt;&gt;"",ROW(AA7:AA51)-MIN(ROW(AA7:AA51))+1))),ROW()-ROW(A$55)+1)),",",";"),",",SUBSTITUTE(INDEX(IF(PURCHASE_DESCRIPTION&lt;&gt;"",PURCHASE_DESCRIPTION&amp;":","")&amp;E7:E51,SMALL(IF(ISNUMBER(AA7:AA51),IF(AA7:AA51&gt;0,IF(AD7:AD51&lt;&gt;"",ROW(AA7:AA51)-MIN(ROW(AA7:AA51))+1))),ROW()-ROW(A$55)+1)),",",";"),",",INDEX(AD7:AD51,SMALL(IF(ISNUMBER(AA7:AA51),IF(AA7:AA51&gt;0,IF(AD7:AD51&lt;&gt;"",ROW(AA7:AA51)-MIN(ROW(AA7:AA51))+1))),ROW()-ROW(A$55)+1))),"")</f>
        <v>0</v>
      </c>
      <c r="AF66">
        <f t="array" ref="AF66">IFERROR(CONCATENATE(INDEX(AI7:AI51,SMALL(IF(ISNUMBER(AF7:AF51),IF(AF7:AF51&gt;0,IF(AI7:AI51&lt;&gt;"",ROW(AF7:AF51)-MIN(ROW(AF7:AF51))+1))),ROW()-ROW(A$54)+1)),"|",TEXT(INDEX(AF7:AF51,SMALL(IF(ISNUMBER(AF7:AF51),IF(AF7:AF51&gt;0,IF(AI7:AI51&lt;&gt;"",ROW(AF7:AF51)-MIN(ROW(AF7:AF51))+1))),ROW()-ROW(A$54)+1)),"##0"),"|",SUBSTITUTE(SUBSTITUTE(INDEX(IF(PURCHASE_DESCRIPTION&lt;&gt;"",PURCHASE_DESCRIPTION&amp;":","")&amp;A7:A51,SMALL(IF(ISNUMBER(AF7:AF51),IF(AF7:AF51&gt;0,IF(AI7:AI51&lt;&gt;"",ROW(AF7:AF51)-MIN(ROW(AF7:AF51))+1))),ROW()-ROW(A$54)+1)),"|",";")," ","_")),"")</f>
        <v>0</v>
      </c>
      <c r="AK66">
        <f t="array" ref="AK66">IFERROR(CONCATENATE(INDEX(AN7:AN51,SMALL(IF(ISNUMBER(AK7:AK51),IF(AK7:AK51&gt;0,IF(AN7:AN51&lt;&gt;"",ROW(AK7:AK51)-MIN(ROW(AK7:AK51))+1))),ROW()-ROW(A$54)+1)),",",TEXT(INDEX(AK7:AK51,SMALL(IF(ISNUMBER(AK7:AK51),IF(AK7:AK51&gt;0,IF(AN7:AN51&lt;&gt;"",ROW(AK7:AK51)-MIN(ROW(AK7:AK51))+1))),ROW()-ROW(A$54)+1)),"##0"),",",SUBSTITUTE(SUBSTITUTE(INDEX(IF(PURCHASE_DESCRIPTION&lt;&gt;"",PURCHASE_DESCRIPTION&amp;":","")&amp;A7:A51,SMALL(IF(ISNUMBER(AK7:AK51),IF(AK7:AK51&gt;0,IF(AN7:AN51&lt;&gt;"",ROW(AK7:AK51)-MIN(ROW(AK7:AK51))+1))),ROW()-ROW(A$54)+1)),",",";"),"
",";"),",",SUBSTITUTE(SUBSTITUTE(INDEX(IF(PURCHASE_DESCRIPTION&lt;&gt;"",PURCHASE_DESCRIPTION&amp;":","")&amp;C7:C51,SMALL(IF(ISNUMBER(AK7:AK51),IF(AK7:AK51&gt;0,IF(AN7:AN51&lt;&gt;"",ROW(AK7:AK51)-MIN(ROW(AK7:AK51))+1))),ROW()-ROW(A$54)+1)),",",";"),"
",";"),",",SUBSTITUTE(SUBSTITUTE(INDEX(IF(PURCHASE_DESCRIPTION&lt;&gt;"",PURCHASE_DESCRIPTION&amp;":","")&amp;F7:F51,SMALL(IF(ISNUMBER(AK7:AK51),IF(AK7:AK51&gt;0,IF(AN7:AN51&lt;&gt;"",ROW(AK7:AK51)-MIN(ROW(AK7:AK51))+1))),ROW()-ROW(A$54)+1)),",",";"),"
",";"),",",SUBSTITUTE(SUBSTITUTE(INDEX(IF(PURCHASE_DESCRIPTION&lt;&gt;"",PURCHASE_DESCRIPTION&amp;":","")&amp;D7:D51,SMALL(IF(ISNUMBER(AK7:AK51),IF(AK7:AK51&gt;0,IF(AN7:AN51&lt;&gt;"",ROW(AK7:AK51)-MIN(ROW(AK7:AK51))+1))),ROW()-ROW(A$54)+1)),",",";"),"
",";")),"")</f>
        <v>0</v>
      </c>
      <c r="AP66">
        <f t="array" ref="AP66">IFERROR(CONCATENATE(INDEX(AS7:AS51,SMALL(IF(ISNUMBER(AP7:AP51),IF(AP7:AP51&gt;0,IF(AS7:AS51&lt;&gt;"",ROW(AP7:AP51)-MIN(ROW(AP7:AP51))+1))),ROW()-ROW(A$54)+1)),",",TEXT(INDEX(AP7:AP51,SMALL(IF(ISNUMBER(AP7:AP51),IF(AP7:AP51&gt;0,IF(AS7:AS51&lt;&gt;"",ROW(AP7:AP51)-MIN(ROW(AP7:AP51))+1))),ROW()-ROW(A$54)+1)),"##0"),",",,",",,",",,",",INDEX(G7:G51,SMALL(IF(ISNUMBER(AP7:AP51),IF(AP7:AP51&gt;0,IF(AS7:AS51&lt;&gt;"",ROW(AP7:AP51)-MIN(ROW(AP7:AP51))+1))),ROW()-ROW(A$54)+1)),",",SUBSTITUTE(INDEX(IF(PURCHASE_DESCRIPTION&lt;&gt;"",PURCHASE_DESCRIPTION&amp;":","")&amp;A7:A51,SMALL(IF(ISNUMBER(AP7:AP51),IF(AP7:AP51&gt;0,IF(AS7:AS51&lt;&gt;"",ROW(AP7:AP51)-MIN(ROW(AP7:AP51))+1))),ROW()-ROW(A$54)+1)),",",";")),"")</f>
        <v>0</v>
      </c>
      <c r="AU66">
        <f t="array" ref="AU66">IFERROR(CONCATENATE(INDEX(AX7:AX51,SMALL(IF(ISNUMBER(AU7:AU51),IF(AU7:AU51&gt;0,IF(AX7:AX51&lt;&gt;"",ROW(AU7:AU51)-MIN(ROW(AU7:AU51))+1))),ROW()-ROW(A$54)+1))," ",TEXT(INDEX(AU7:AU51,SMALL(IF(ISNUMBER(AU7:AU51),IF(AU7:AU51&gt;0,IF(AX7:AX51&lt;&gt;"",ROW(AU7:AU51)-MIN(ROW(AU7:AU51))+1))),ROW()-ROW(A$54)+1)),"##0")," ",SUBSTITUTE(INDEX(IF(PURCHASE_DESCRIPTION&lt;&gt;"",PURCHASE_DESCRIPTION&amp;":","")&amp;A7:A51,SMALL(IF(ISNUMBER(AU7:AU51),IF(AU7:AU51&gt;0,IF(AX7:AX51&lt;&gt;"",ROW(AU7:AU51)-MIN(ROW(AU7:AU51))+1))),ROW()-ROW(A$54)+1))," ",";")),"")</f>
        <v>0</v>
      </c>
    </row>
    <row r="67" spans="12:47">
      <c r="L67">
        <f t="array" ref="L67">IFERROR(CONCATENATE(INDEX(O7:O51,SMALL(IF(ISNUMBER(L7:L51),IF(L7:L51&gt;0,IF(O7:O51&lt;&gt;"",ROW(L7:L51)-MIN(ROW(L7:L51))+1))),ROW()-ROW(A$54)+1)),",",TEXT(INDEX(L7:L51,SMALL(IF(ISNUMBER(L7:L51),IF(L7:L51&gt;0,IF(O7:O51&lt;&gt;"",ROW(L7:L51)-MIN(ROW(L7:L51))+1))),ROW()-ROW(A$54)+1)),"##0"),",",SUBSTITUTE(INDEX(IF(PURCHASE_DESCRIPTION&lt;&gt;"",PURCHASE_DESCRIPTION&amp;":","")&amp;A7:A51,SMALL(IF(ISNUMBER(L7:L51),IF(L7:L51&gt;0,IF(O7:O51&lt;&gt;"",ROW(L7:L51)-MIN(ROW(L7:L51))+1))),ROW()-ROW(A$54)+1)),",",";")),"")</f>
        <v>0</v>
      </c>
      <c r="Q67">
        <f t="array" ref="Q67">IFERROR(CONCATENATE(TEXT(INDEX(Q7:Q51,SMALL(IF(ISNUMBER(Q7:Q51),IF(Q7:Q51&gt;0,IF(T7:T51&lt;&gt;"",ROW(Q7:Q51)-MIN(ROW(Q7:Q51))+1))),ROW()-ROW(A$54)+1)),"##0"),",",INDEX(T7:T51,SMALL(IF(ISNUMBER(Q7:Q51),IF(Q7:Q51&gt;0,IF(T7:T51&lt;&gt;"",ROW(Q7:Q51)-MIN(ROW(Q7:Q51))+1))),ROW()-ROW(A$54)+1)),",",SUBSTITUTE(INDEX(IF(PURCHASE_DESCRIPTION&lt;&gt;"",PURCHASE_DESCRIPTION&amp;":","")&amp;A7:A51,SMALL(IF(ISNUMBER(Q7:Q51),IF(Q7:Q51&gt;0,IF(T7:T51&lt;&gt;"",ROW(Q7:Q51)-MIN(ROW(Q7:Q51))+1))),ROW()-ROW(A$54)+1)),",",";")),"")</f>
        <v>0</v>
      </c>
      <c r="V67">
        <f t="array" ref="V67">IFERROR(CONCATENATE(INDEX(Y7:Y51,SMALL(IF(ISNUMBER(V7:V51),IF(V7:V51&gt;0,IF(Y7:Y51&lt;&gt;"",ROW(V7:V51)-MIN(ROW(V7:V51))+1))),ROW()-ROW(A$54)+1)),",",TEXT(INDEX(V7:V51,SMALL(IF(ISNUMBER(V7:V51),IF(V7:V51&gt;0,IF(Y7:Y51&lt;&gt;"",ROW(V7:V51)-MIN(ROW(V7:V51))+1))),ROW()-ROW(A$54)+1)),"##0"),",",SUBSTITUTE(SUBSTITUTE(INDEX(IF(PURCHASE_DESCRIPTION&lt;&gt;"",PURCHASE_DESCRIPTION&amp;":","")&amp;A7:A51,SMALL(IF(ISNUMBER(V7:V51),IF(V7:V51&gt;0,IF(Y7:Y51&lt;&gt;"",ROW(V7:V51)-MIN(ROW(V7:V51))+1))),ROW()-ROW(A$54)+1)),",",";"),"
",";"),",",SUBSTITUTE(SUBSTITUTE(INDEX(IF(PURCHASE_DESCRIPTION&lt;&gt;"",PURCHASE_DESCRIPTION&amp;":","")&amp;C7:C51,SMALL(IF(ISNUMBER(V7:V51),IF(V7:V51&gt;0,IF(Y7:Y51&lt;&gt;"",ROW(V7:V51)-MIN(ROW(V7:V51))+1))),ROW()-ROW(A$54)+1)),",",";"),"
",";"),",",SUBSTITUTE(SUBSTITUTE(INDEX(IF(PURCHASE_DESCRIPTION&lt;&gt;"",PURCHASE_DESCRIPTION&amp;":","")&amp;F7:F51,SMALL(IF(ISNUMBER(V7:V51),IF(V7:V51&gt;0,IF(Y7:Y51&lt;&gt;"",ROW(V7:V51)-MIN(ROW(V7:V51))+1))),ROW()-ROW(A$54)+1)),",",";"),"
",";"),",",SUBSTITUTE(SUBSTITUTE(INDEX(IF(PURCHASE_DESCRIPTION&lt;&gt;"",PURCHASE_DESCRIPTION&amp;":","")&amp;D7:D51,SMALL(IF(ISNUMBER(V7:V51),IF(V7:V51&gt;0,IF(Y7:Y51&lt;&gt;"",ROW(V7:V51)-MIN(ROW(V7:V51))+1))),ROW()-ROW(A$54)+1)),",",";"),"
",";")),"")</f>
        <v>0</v>
      </c>
      <c r="AA67">
        <f t="array" ref="AA67">IFERROR(CONCATENATE(TEXT(INDEX(AA7:AA51,SMALL(IF(ISNUMBER(AA7:AA51),IF(AA7:AA51&gt;0,IF(AD7:AD51&lt;&gt;"",ROW(AA7:AA51)-MIN(ROW(AA7:AA51))+1))),ROW()-ROW(A$55)+1)),"##0"),",",SUBSTITUTE(INDEX(IF(PURCHASE_DESCRIPTION&lt;&gt;"",PURCHASE_DESCRIPTION&amp;":","")&amp;A7:A51,SMALL(IF(ISNUMBER(AA7:AA51),IF(AA7:AA51&gt;0,IF(AD7:AD51&lt;&gt;"",ROW(AA7:AA51)-MIN(ROW(AA7:AA51))+1))),ROW()-ROW(A$55)+1)),",",";"),",",SUBSTITUTE(INDEX(IF(PURCHASE_DESCRIPTION&lt;&gt;"",PURCHASE_DESCRIPTION&amp;":","")&amp;E7:E51,SMALL(IF(ISNUMBER(AA7:AA51),IF(AA7:AA51&gt;0,IF(AD7:AD51&lt;&gt;"",ROW(AA7:AA51)-MIN(ROW(AA7:AA51))+1))),ROW()-ROW(A$55)+1)),",",";"),",",INDEX(AD7:AD51,SMALL(IF(ISNUMBER(AA7:AA51),IF(AA7:AA51&gt;0,IF(AD7:AD51&lt;&gt;"",ROW(AA7:AA51)-MIN(ROW(AA7:AA51))+1))),ROW()-ROW(A$55)+1))),"")</f>
        <v>0</v>
      </c>
      <c r="AF67">
        <f t="array" ref="AF67">IFERROR(CONCATENATE(INDEX(AI7:AI51,SMALL(IF(ISNUMBER(AF7:AF51),IF(AF7:AF51&gt;0,IF(AI7:AI51&lt;&gt;"",ROW(AF7:AF51)-MIN(ROW(AF7:AF51))+1))),ROW()-ROW(A$54)+1)),"|",TEXT(INDEX(AF7:AF51,SMALL(IF(ISNUMBER(AF7:AF51),IF(AF7:AF51&gt;0,IF(AI7:AI51&lt;&gt;"",ROW(AF7:AF51)-MIN(ROW(AF7:AF51))+1))),ROW()-ROW(A$54)+1)),"##0"),"|",SUBSTITUTE(SUBSTITUTE(INDEX(IF(PURCHASE_DESCRIPTION&lt;&gt;"",PURCHASE_DESCRIPTION&amp;":","")&amp;A7:A51,SMALL(IF(ISNUMBER(AF7:AF51),IF(AF7:AF51&gt;0,IF(AI7:AI51&lt;&gt;"",ROW(AF7:AF51)-MIN(ROW(AF7:AF51))+1))),ROW()-ROW(A$54)+1)),"|",";")," ","_")),"")</f>
        <v>0</v>
      </c>
      <c r="AK67">
        <f t="array" ref="AK67">IFERROR(CONCATENATE(INDEX(AN7:AN51,SMALL(IF(ISNUMBER(AK7:AK51),IF(AK7:AK51&gt;0,IF(AN7:AN51&lt;&gt;"",ROW(AK7:AK51)-MIN(ROW(AK7:AK51))+1))),ROW()-ROW(A$54)+1)),",",TEXT(INDEX(AK7:AK51,SMALL(IF(ISNUMBER(AK7:AK51),IF(AK7:AK51&gt;0,IF(AN7:AN51&lt;&gt;"",ROW(AK7:AK51)-MIN(ROW(AK7:AK51))+1))),ROW()-ROW(A$54)+1)),"##0"),",",SUBSTITUTE(SUBSTITUTE(INDEX(IF(PURCHASE_DESCRIPTION&lt;&gt;"",PURCHASE_DESCRIPTION&amp;":","")&amp;A7:A51,SMALL(IF(ISNUMBER(AK7:AK51),IF(AK7:AK51&gt;0,IF(AN7:AN51&lt;&gt;"",ROW(AK7:AK51)-MIN(ROW(AK7:AK51))+1))),ROW()-ROW(A$54)+1)),",",";"),"
",";"),",",SUBSTITUTE(SUBSTITUTE(INDEX(IF(PURCHASE_DESCRIPTION&lt;&gt;"",PURCHASE_DESCRIPTION&amp;":","")&amp;C7:C51,SMALL(IF(ISNUMBER(AK7:AK51),IF(AK7:AK51&gt;0,IF(AN7:AN51&lt;&gt;"",ROW(AK7:AK51)-MIN(ROW(AK7:AK51))+1))),ROW()-ROW(A$54)+1)),",",";"),"
",";"),",",SUBSTITUTE(SUBSTITUTE(INDEX(IF(PURCHASE_DESCRIPTION&lt;&gt;"",PURCHASE_DESCRIPTION&amp;":","")&amp;F7:F51,SMALL(IF(ISNUMBER(AK7:AK51),IF(AK7:AK51&gt;0,IF(AN7:AN51&lt;&gt;"",ROW(AK7:AK51)-MIN(ROW(AK7:AK51))+1))),ROW()-ROW(A$54)+1)),",",";"),"
",";"),",",SUBSTITUTE(SUBSTITUTE(INDEX(IF(PURCHASE_DESCRIPTION&lt;&gt;"",PURCHASE_DESCRIPTION&amp;":","")&amp;D7:D51,SMALL(IF(ISNUMBER(AK7:AK51),IF(AK7:AK51&gt;0,IF(AN7:AN51&lt;&gt;"",ROW(AK7:AK51)-MIN(ROW(AK7:AK51))+1))),ROW()-ROW(A$54)+1)),",",";"),"
",";")),"")</f>
        <v>0</v>
      </c>
      <c r="AP67">
        <f t="array" ref="AP67">IFERROR(CONCATENATE(INDEX(AS7:AS51,SMALL(IF(ISNUMBER(AP7:AP51),IF(AP7:AP51&gt;0,IF(AS7:AS51&lt;&gt;"",ROW(AP7:AP51)-MIN(ROW(AP7:AP51))+1))),ROW()-ROW(A$54)+1)),",",TEXT(INDEX(AP7:AP51,SMALL(IF(ISNUMBER(AP7:AP51),IF(AP7:AP51&gt;0,IF(AS7:AS51&lt;&gt;"",ROW(AP7:AP51)-MIN(ROW(AP7:AP51))+1))),ROW()-ROW(A$54)+1)),"##0"),",",,",",,",",,",",INDEX(G7:G51,SMALL(IF(ISNUMBER(AP7:AP51),IF(AP7:AP51&gt;0,IF(AS7:AS51&lt;&gt;"",ROW(AP7:AP51)-MIN(ROW(AP7:AP51))+1))),ROW()-ROW(A$54)+1)),",",SUBSTITUTE(INDEX(IF(PURCHASE_DESCRIPTION&lt;&gt;"",PURCHASE_DESCRIPTION&amp;":","")&amp;A7:A51,SMALL(IF(ISNUMBER(AP7:AP51),IF(AP7:AP51&gt;0,IF(AS7:AS51&lt;&gt;"",ROW(AP7:AP51)-MIN(ROW(AP7:AP51))+1))),ROW()-ROW(A$54)+1)),",",";")),"")</f>
        <v>0</v>
      </c>
      <c r="AU67">
        <f t="array" ref="AU67">IFERROR(CONCATENATE(INDEX(AX7:AX51,SMALL(IF(ISNUMBER(AU7:AU51),IF(AU7:AU51&gt;0,IF(AX7:AX51&lt;&gt;"",ROW(AU7:AU51)-MIN(ROW(AU7:AU51))+1))),ROW()-ROW(A$54)+1))," ",TEXT(INDEX(AU7:AU51,SMALL(IF(ISNUMBER(AU7:AU51),IF(AU7:AU51&gt;0,IF(AX7:AX51&lt;&gt;"",ROW(AU7:AU51)-MIN(ROW(AU7:AU51))+1))),ROW()-ROW(A$54)+1)),"##0")," ",SUBSTITUTE(INDEX(IF(PURCHASE_DESCRIPTION&lt;&gt;"",PURCHASE_DESCRIPTION&amp;":","")&amp;A7:A51,SMALL(IF(ISNUMBER(AU7:AU51),IF(AU7:AU51&gt;0,IF(AX7:AX51&lt;&gt;"",ROW(AU7:AU51)-MIN(ROW(AU7:AU51))+1))),ROW()-ROW(A$54)+1))," ",";")),"")</f>
        <v>0</v>
      </c>
    </row>
    <row r="68" spans="12:47">
      <c r="L68">
        <f t="array" ref="L68">IFERROR(CONCATENATE(INDEX(O7:O51,SMALL(IF(ISNUMBER(L7:L51),IF(L7:L51&gt;0,IF(O7:O51&lt;&gt;"",ROW(L7:L51)-MIN(ROW(L7:L51))+1))),ROW()-ROW(A$54)+1)),",",TEXT(INDEX(L7:L51,SMALL(IF(ISNUMBER(L7:L51),IF(L7:L51&gt;0,IF(O7:O51&lt;&gt;"",ROW(L7:L51)-MIN(ROW(L7:L51))+1))),ROW()-ROW(A$54)+1)),"##0"),",",SUBSTITUTE(INDEX(IF(PURCHASE_DESCRIPTION&lt;&gt;"",PURCHASE_DESCRIPTION&amp;":","")&amp;A7:A51,SMALL(IF(ISNUMBER(L7:L51),IF(L7:L51&gt;0,IF(O7:O51&lt;&gt;"",ROW(L7:L51)-MIN(ROW(L7:L51))+1))),ROW()-ROW(A$54)+1)),",",";")),"")</f>
        <v>0</v>
      </c>
      <c r="Q68">
        <f t="array" ref="Q68">IFERROR(CONCATENATE(TEXT(INDEX(Q7:Q51,SMALL(IF(ISNUMBER(Q7:Q51),IF(Q7:Q51&gt;0,IF(T7:T51&lt;&gt;"",ROW(Q7:Q51)-MIN(ROW(Q7:Q51))+1))),ROW()-ROW(A$54)+1)),"##0"),",",INDEX(T7:T51,SMALL(IF(ISNUMBER(Q7:Q51),IF(Q7:Q51&gt;0,IF(T7:T51&lt;&gt;"",ROW(Q7:Q51)-MIN(ROW(Q7:Q51))+1))),ROW()-ROW(A$54)+1)),",",SUBSTITUTE(INDEX(IF(PURCHASE_DESCRIPTION&lt;&gt;"",PURCHASE_DESCRIPTION&amp;":","")&amp;A7:A51,SMALL(IF(ISNUMBER(Q7:Q51),IF(Q7:Q51&gt;0,IF(T7:T51&lt;&gt;"",ROW(Q7:Q51)-MIN(ROW(Q7:Q51))+1))),ROW()-ROW(A$54)+1)),",",";")),"")</f>
        <v>0</v>
      </c>
      <c r="V68">
        <f t="array" ref="V68">IFERROR(CONCATENATE(INDEX(Y7:Y51,SMALL(IF(ISNUMBER(V7:V51),IF(V7:V51&gt;0,IF(Y7:Y51&lt;&gt;"",ROW(V7:V51)-MIN(ROW(V7:V51))+1))),ROW()-ROW(A$54)+1)),",",TEXT(INDEX(V7:V51,SMALL(IF(ISNUMBER(V7:V51),IF(V7:V51&gt;0,IF(Y7:Y51&lt;&gt;"",ROW(V7:V51)-MIN(ROW(V7:V51))+1))),ROW()-ROW(A$54)+1)),"##0"),",",SUBSTITUTE(SUBSTITUTE(INDEX(IF(PURCHASE_DESCRIPTION&lt;&gt;"",PURCHASE_DESCRIPTION&amp;":","")&amp;A7:A51,SMALL(IF(ISNUMBER(V7:V51),IF(V7:V51&gt;0,IF(Y7:Y51&lt;&gt;"",ROW(V7:V51)-MIN(ROW(V7:V51))+1))),ROW()-ROW(A$54)+1)),",",";"),"
",";"),",",SUBSTITUTE(SUBSTITUTE(INDEX(IF(PURCHASE_DESCRIPTION&lt;&gt;"",PURCHASE_DESCRIPTION&amp;":","")&amp;C7:C51,SMALL(IF(ISNUMBER(V7:V51),IF(V7:V51&gt;0,IF(Y7:Y51&lt;&gt;"",ROW(V7:V51)-MIN(ROW(V7:V51))+1))),ROW()-ROW(A$54)+1)),",",";"),"
",";"),",",SUBSTITUTE(SUBSTITUTE(INDEX(IF(PURCHASE_DESCRIPTION&lt;&gt;"",PURCHASE_DESCRIPTION&amp;":","")&amp;F7:F51,SMALL(IF(ISNUMBER(V7:V51),IF(V7:V51&gt;0,IF(Y7:Y51&lt;&gt;"",ROW(V7:V51)-MIN(ROW(V7:V51))+1))),ROW()-ROW(A$54)+1)),",",";"),"
",";"),",",SUBSTITUTE(SUBSTITUTE(INDEX(IF(PURCHASE_DESCRIPTION&lt;&gt;"",PURCHASE_DESCRIPTION&amp;":","")&amp;D7:D51,SMALL(IF(ISNUMBER(V7:V51),IF(V7:V51&gt;0,IF(Y7:Y51&lt;&gt;"",ROW(V7:V51)-MIN(ROW(V7:V51))+1))),ROW()-ROW(A$54)+1)),",",";"),"
",";")),"")</f>
        <v>0</v>
      </c>
      <c r="AA68">
        <f t="array" ref="AA68">IFERROR(CONCATENATE(TEXT(INDEX(AA7:AA51,SMALL(IF(ISNUMBER(AA7:AA51),IF(AA7:AA51&gt;0,IF(AD7:AD51&lt;&gt;"",ROW(AA7:AA51)-MIN(ROW(AA7:AA51))+1))),ROW()-ROW(A$55)+1)),"##0"),",",SUBSTITUTE(INDEX(IF(PURCHASE_DESCRIPTION&lt;&gt;"",PURCHASE_DESCRIPTION&amp;":","")&amp;A7:A51,SMALL(IF(ISNUMBER(AA7:AA51),IF(AA7:AA51&gt;0,IF(AD7:AD51&lt;&gt;"",ROW(AA7:AA51)-MIN(ROW(AA7:AA51))+1))),ROW()-ROW(A$55)+1)),",",";"),",",SUBSTITUTE(INDEX(IF(PURCHASE_DESCRIPTION&lt;&gt;"",PURCHASE_DESCRIPTION&amp;":","")&amp;E7:E51,SMALL(IF(ISNUMBER(AA7:AA51),IF(AA7:AA51&gt;0,IF(AD7:AD51&lt;&gt;"",ROW(AA7:AA51)-MIN(ROW(AA7:AA51))+1))),ROW()-ROW(A$55)+1)),",",";"),",",INDEX(AD7:AD51,SMALL(IF(ISNUMBER(AA7:AA51),IF(AA7:AA51&gt;0,IF(AD7:AD51&lt;&gt;"",ROW(AA7:AA51)-MIN(ROW(AA7:AA51))+1))),ROW()-ROW(A$55)+1))),"")</f>
        <v>0</v>
      </c>
      <c r="AF68">
        <f t="array" ref="AF68">IFERROR(CONCATENATE(INDEX(AI7:AI51,SMALL(IF(ISNUMBER(AF7:AF51),IF(AF7:AF51&gt;0,IF(AI7:AI51&lt;&gt;"",ROW(AF7:AF51)-MIN(ROW(AF7:AF51))+1))),ROW()-ROW(A$54)+1)),"|",TEXT(INDEX(AF7:AF51,SMALL(IF(ISNUMBER(AF7:AF51),IF(AF7:AF51&gt;0,IF(AI7:AI51&lt;&gt;"",ROW(AF7:AF51)-MIN(ROW(AF7:AF51))+1))),ROW()-ROW(A$54)+1)),"##0"),"|",SUBSTITUTE(SUBSTITUTE(INDEX(IF(PURCHASE_DESCRIPTION&lt;&gt;"",PURCHASE_DESCRIPTION&amp;":","")&amp;A7:A51,SMALL(IF(ISNUMBER(AF7:AF51),IF(AF7:AF51&gt;0,IF(AI7:AI51&lt;&gt;"",ROW(AF7:AF51)-MIN(ROW(AF7:AF51))+1))),ROW()-ROW(A$54)+1)),"|",";")," ","_")),"")</f>
        <v>0</v>
      </c>
      <c r="AK68">
        <f t="array" ref="AK68">IFERROR(CONCATENATE(INDEX(AN7:AN51,SMALL(IF(ISNUMBER(AK7:AK51),IF(AK7:AK51&gt;0,IF(AN7:AN51&lt;&gt;"",ROW(AK7:AK51)-MIN(ROW(AK7:AK51))+1))),ROW()-ROW(A$54)+1)),",",TEXT(INDEX(AK7:AK51,SMALL(IF(ISNUMBER(AK7:AK51),IF(AK7:AK51&gt;0,IF(AN7:AN51&lt;&gt;"",ROW(AK7:AK51)-MIN(ROW(AK7:AK51))+1))),ROW()-ROW(A$54)+1)),"##0"),",",SUBSTITUTE(SUBSTITUTE(INDEX(IF(PURCHASE_DESCRIPTION&lt;&gt;"",PURCHASE_DESCRIPTION&amp;":","")&amp;A7:A51,SMALL(IF(ISNUMBER(AK7:AK51),IF(AK7:AK51&gt;0,IF(AN7:AN51&lt;&gt;"",ROW(AK7:AK51)-MIN(ROW(AK7:AK51))+1))),ROW()-ROW(A$54)+1)),",",";"),"
",";"),",",SUBSTITUTE(SUBSTITUTE(INDEX(IF(PURCHASE_DESCRIPTION&lt;&gt;"",PURCHASE_DESCRIPTION&amp;":","")&amp;C7:C51,SMALL(IF(ISNUMBER(AK7:AK51),IF(AK7:AK51&gt;0,IF(AN7:AN51&lt;&gt;"",ROW(AK7:AK51)-MIN(ROW(AK7:AK51))+1))),ROW()-ROW(A$54)+1)),",",";"),"
",";"),",",SUBSTITUTE(SUBSTITUTE(INDEX(IF(PURCHASE_DESCRIPTION&lt;&gt;"",PURCHASE_DESCRIPTION&amp;":","")&amp;F7:F51,SMALL(IF(ISNUMBER(AK7:AK51),IF(AK7:AK51&gt;0,IF(AN7:AN51&lt;&gt;"",ROW(AK7:AK51)-MIN(ROW(AK7:AK51))+1))),ROW()-ROW(A$54)+1)),",",";"),"
",";"),",",SUBSTITUTE(SUBSTITUTE(INDEX(IF(PURCHASE_DESCRIPTION&lt;&gt;"",PURCHASE_DESCRIPTION&amp;":","")&amp;D7:D51,SMALL(IF(ISNUMBER(AK7:AK51),IF(AK7:AK51&gt;0,IF(AN7:AN51&lt;&gt;"",ROW(AK7:AK51)-MIN(ROW(AK7:AK51))+1))),ROW()-ROW(A$54)+1)),",",";"),"
",";")),"")</f>
        <v>0</v>
      </c>
      <c r="AP68">
        <f t="array" ref="AP68">IFERROR(CONCATENATE(INDEX(AS7:AS51,SMALL(IF(ISNUMBER(AP7:AP51),IF(AP7:AP51&gt;0,IF(AS7:AS51&lt;&gt;"",ROW(AP7:AP51)-MIN(ROW(AP7:AP51))+1))),ROW()-ROW(A$54)+1)),",",TEXT(INDEX(AP7:AP51,SMALL(IF(ISNUMBER(AP7:AP51),IF(AP7:AP51&gt;0,IF(AS7:AS51&lt;&gt;"",ROW(AP7:AP51)-MIN(ROW(AP7:AP51))+1))),ROW()-ROW(A$54)+1)),"##0"),",",,",",,",",,",",INDEX(G7:G51,SMALL(IF(ISNUMBER(AP7:AP51),IF(AP7:AP51&gt;0,IF(AS7:AS51&lt;&gt;"",ROW(AP7:AP51)-MIN(ROW(AP7:AP51))+1))),ROW()-ROW(A$54)+1)),",",SUBSTITUTE(INDEX(IF(PURCHASE_DESCRIPTION&lt;&gt;"",PURCHASE_DESCRIPTION&amp;":","")&amp;A7:A51,SMALL(IF(ISNUMBER(AP7:AP51),IF(AP7:AP51&gt;0,IF(AS7:AS51&lt;&gt;"",ROW(AP7:AP51)-MIN(ROW(AP7:AP51))+1))),ROW()-ROW(A$54)+1)),",",";")),"")</f>
        <v>0</v>
      </c>
      <c r="AU68">
        <f t="array" ref="AU68">IFERROR(CONCATENATE(INDEX(AX7:AX51,SMALL(IF(ISNUMBER(AU7:AU51),IF(AU7:AU51&gt;0,IF(AX7:AX51&lt;&gt;"",ROW(AU7:AU51)-MIN(ROW(AU7:AU51))+1))),ROW()-ROW(A$54)+1))," ",TEXT(INDEX(AU7:AU51,SMALL(IF(ISNUMBER(AU7:AU51),IF(AU7:AU51&gt;0,IF(AX7:AX51&lt;&gt;"",ROW(AU7:AU51)-MIN(ROW(AU7:AU51))+1))),ROW()-ROW(A$54)+1)),"##0")," ",SUBSTITUTE(INDEX(IF(PURCHASE_DESCRIPTION&lt;&gt;"",PURCHASE_DESCRIPTION&amp;":","")&amp;A7:A51,SMALL(IF(ISNUMBER(AU7:AU51),IF(AU7:AU51&gt;0,IF(AX7:AX51&lt;&gt;"",ROW(AU7:AU51)-MIN(ROW(AU7:AU51))+1))),ROW()-ROW(A$54)+1))," ",";")),"")</f>
        <v>0</v>
      </c>
    </row>
    <row r="69" spans="12:47">
      <c r="L69">
        <f t="array" ref="L69">IFERROR(CONCATENATE(INDEX(O7:O51,SMALL(IF(ISNUMBER(L7:L51),IF(L7:L51&gt;0,IF(O7:O51&lt;&gt;"",ROW(L7:L51)-MIN(ROW(L7:L51))+1))),ROW()-ROW(A$54)+1)),",",TEXT(INDEX(L7:L51,SMALL(IF(ISNUMBER(L7:L51),IF(L7:L51&gt;0,IF(O7:O51&lt;&gt;"",ROW(L7:L51)-MIN(ROW(L7:L51))+1))),ROW()-ROW(A$54)+1)),"##0"),",",SUBSTITUTE(INDEX(IF(PURCHASE_DESCRIPTION&lt;&gt;"",PURCHASE_DESCRIPTION&amp;":","")&amp;A7:A51,SMALL(IF(ISNUMBER(L7:L51),IF(L7:L51&gt;0,IF(O7:O51&lt;&gt;"",ROW(L7:L51)-MIN(ROW(L7:L51))+1))),ROW()-ROW(A$54)+1)),",",";")),"")</f>
        <v>0</v>
      </c>
      <c r="Q69">
        <f t="array" ref="Q69">IFERROR(CONCATENATE(TEXT(INDEX(Q7:Q51,SMALL(IF(ISNUMBER(Q7:Q51),IF(Q7:Q51&gt;0,IF(T7:T51&lt;&gt;"",ROW(Q7:Q51)-MIN(ROW(Q7:Q51))+1))),ROW()-ROW(A$54)+1)),"##0"),",",INDEX(T7:T51,SMALL(IF(ISNUMBER(Q7:Q51),IF(Q7:Q51&gt;0,IF(T7:T51&lt;&gt;"",ROW(Q7:Q51)-MIN(ROW(Q7:Q51))+1))),ROW()-ROW(A$54)+1)),",",SUBSTITUTE(INDEX(IF(PURCHASE_DESCRIPTION&lt;&gt;"",PURCHASE_DESCRIPTION&amp;":","")&amp;A7:A51,SMALL(IF(ISNUMBER(Q7:Q51),IF(Q7:Q51&gt;0,IF(T7:T51&lt;&gt;"",ROW(Q7:Q51)-MIN(ROW(Q7:Q51))+1))),ROW()-ROW(A$54)+1)),",",";")),"")</f>
        <v>0</v>
      </c>
      <c r="V69">
        <f t="array" ref="V69">IFERROR(CONCATENATE(INDEX(Y7:Y51,SMALL(IF(ISNUMBER(V7:V51),IF(V7:V51&gt;0,IF(Y7:Y51&lt;&gt;"",ROW(V7:V51)-MIN(ROW(V7:V51))+1))),ROW()-ROW(A$54)+1)),",",TEXT(INDEX(V7:V51,SMALL(IF(ISNUMBER(V7:V51),IF(V7:V51&gt;0,IF(Y7:Y51&lt;&gt;"",ROW(V7:V51)-MIN(ROW(V7:V51))+1))),ROW()-ROW(A$54)+1)),"##0"),",",SUBSTITUTE(SUBSTITUTE(INDEX(IF(PURCHASE_DESCRIPTION&lt;&gt;"",PURCHASE_DESCRIPTION&amp;":","")&amp;A7:A51,SMALL(IF(ISNUMBER(V7:V51),IF(V7:V51&gt;0,IF(Y7:Y51&lt;&gt;"",ROW(V7:V51)-MIN(ROW(V7:V51))+1))),ROW()-ROW(A$54)+1)),",",";"),"
",";"),",",SUBSTITUTE(SUBSTITUTE(INDEX(IF(PURCHASE_DESCRIPTION&lt;&gt;"",PURCHASE_DESCRIPTION&amp;":","")&amp;C7:C51,SMALL(IF(ISNUMBER(V7:V51),IF(V7:V51&gt;0,IF(Y7:Y51&lt;&gt;"",ROW(V7:V51)-MIN(ROW(V7:V51))+1))),ROW()-ROW(A$54)+1)),",",";"),"
",";"),",",SUBSTITUTE(SUBSTITUTE(INDEX(IF(PURCHASE_DESCRIPTION&lt;&gt;"",PURCHASE_DESCRIPTION&amp;":","")&amp;F7:F51,SMALL(IF(ISNUMBER(V7:V51),IF(V7:V51&gt;0,IF(Y7:Y51&lt;&gt;"",ROW(V7:V51)-MIN(ROW(V7:V51))+1))),ROW()-ROW(A$54)+1)),",",";"),"
",";"),",",SUBSTITUTE(SUBSTITUTE(INDEX(IF(PURCHASE_DESCRIPTION&lt;&gt;"",PURCHASE_DESCRIPTION&amp;":","")&amp;D7:D51,SMALL(IF(ISNUMBER(V7:V51),IF(V7:V51&gt;0,IF(Y7:Y51&lt;&gt;"",ROW(V7:V51)-MIN(ROW(V7:V51))+1))),ROW()-ROW(A$54)+1)),",",";"),"
",";")),"")</f>
        <v>0</v>
      </c>
      <c r="AA69">
        <f t="array" ref="AA69">IFERROR(CONCATENATE(TEXT(INDEX(AA7:AA51,SMALL(IF(ISNUMBER(AA7:AA51),IF(AA7:AA51&gt;0,IF(AD7:AD51&lt;&gt;"",ROW(AA7:AA51)-MIN(ROW(AA7:AA51))+1))),ROW()-ROW(A$55)+1)),"##0"),",",SUBSTITUTE(INDEX(IF(PURCHASE_DESCRIPTION&lt;&gt;"",PURCHASE_DESCRIPTION&amp;":","")&amp;A7:A51,SMALL(IF(ISNUMBER(AA7:AA51),IF(AA7:AA51&gt;0,IF(AD7:AD51&lt;&gt;"",ROW(AA7:AA51)-MIN(ROW(AA7:AA51))+1))),ROW()-ROW(A$55)+1)),",",";"),",",SUBSTITUTE(INDEX(IF(PURCHASE_DESCRIPTION&lt;&gt;"",PURCHASE_DESCRIPTION&amp;":","")&amp;E7:E51,SMALL(IF(ISNUMBER(AA7:AA51),IF(AA7:AA51&gt;0,IF(AD7:AD51&lt;&gt;"",ROW(AA7:AA51)-MIN(ROW(AA7:AA51))+1))),ROW()-ROW(A$55)+1)),",",";"),",",INDEX(AD7:AD51,SMALL(IF(ISNUMBER(AA7:AA51),IF(AA7:AA51&gt;0,IF(AD7:AD51&lt;&gt;"",ROW(AA7:AA51)-MIN(ROW(AA7:AA51))+1))),ROW()-ROW(A$55)+1))),"")</f>
        <v>0</v>
      </c>
      <c r="AF69">
        <f t="array" ref="AF69">IFERROR(CONCATENATE(INDEX(AI7:AI51,SMALL(IF(ISNUMBER(AF7:AF51),IF(AF7:AF51&gt;0,IF(AI7:AI51&lt;&gt;"",ROW(AF7:AF51)-MIN(ROW(AF7:AF51))+1))),ROW()-ROW(A$54)+1)),"|",TEXT(INDEX(AF7:AF51,SMALL(IF(ISNUMBER(AF7:AF51),IF(AF7:AF51&gt;0,IF(AI7:AI51&lt;&gt;"",ROW(AF7:AF51)-MIN(ROW(AF7:AF51))+1))),ROW()-ROW(A$54)+1)),"##0"),"|",SUBSTITUTE(SUBSTITUTE(INDEX(IF(PURCHASE_DESCRIPTION&lt;&gt;"",PURCHASE_DESCRIPTION&amp;":","")&amp;A7:A51,SMALL(IF(ISNUMBER(AF7:AF51),IF(AF7:AF51&gt;0,IF(AI7:AI51&lt;&gt;"",ROW(AF7:AF51)-MIN(ROW(AF7:AF51))+1))),ROW()-ROW(A$54)+1)),"|",";")," ","_")),"")</f>
        <v>0</v>
      </c>
      <c r="AK69">
        <f t="array" ref="AK69">IFERROR(CONCATENATE(INDEX(AN7:AN51,SMALL(IF(ISNUMBER(AK7:AK51),IF(AK7:AK51&gt;0,IF(AN7:AN51&lt;&gt;"",ROW(AK7:AK51)-MIN(ROW(AK7:AK51))+1))),ROW()-ROW(A$54)+1)),",",TEXT(INDEX(AK7:AK51,SMALL(IF(ISNUMBER(AK7:AK51),IF(AK7:AK51&gt;0,IF(AN7:AN51&lt;&gt;"",ROW(AK7:AK51)-MIN(ROW(AK7:AK51))+1))),ROW()-ROW(A$54)+1)),"##0"),",",SUBSTITUTE(SUBSTITUTE(INDEX(IF(PURCHASE_DESCRIPTION&lt;&gt;"",PURCHASE_DESCRIPTION&amp;":","")&amp;A7:A51,SMALL(IF(ISNUMBER(AK7:AK51),IF(AK7:AK51&gt;0,IF(AN7:AN51&lt;&gt;"",ROW(AK7:AK51)-MIN(ROW(AK7:AK51))+1))),ROW()-ROW(A$54)+1)),",",";"),"
",";"),",",SUBSTITUTE(SUBSTITUTE(INDEX(IF(PURCHASE_DESCRIPTION&lt;&gt;"",PURCHASE_DESCRIPTION&amp;":","")&amp;C7:C51,SMALL(IF(ISNUMBER(AK7:AK51),IF(AK7:AK51&gt;0,IF(AN7:AN51&lt;&gt;"",ROW(AK7:AK51)-MIN(ROW(AK7:AK51))+1))),ROW()-ROW(A$54)+1)),",",";"),"
",";"),",",SUBSTITUTE(SUBSTITUTE(INDEX(IF(PURCHASE_DESCRIPTION&lt;&gt;"",PURCHASE_DESCRIPTION&amp;":","")&amp;F7:F51,SMALL(IF(ISNUMBER(AK7:AK51),IF(AK7:AK51&gt;0,IF(AN7:AN51&lt;&gt;"",ROW(AK7:AK51)-MIN(ROW(AK7:AK51))+1))),ROW()-ROW(A$54)+1)),",",";"),"
",";"),",",SUBSTITUTE(SUBSTITUTE(INDEX(IF(PURCHASE_DESCRIPTION&lt;&gt;"",PURCHASE_DESCRIPTION&amp;":","")&amp;D7:D51,SMALL(IF(ISNUMBER(AK7:AK51),IF(AK7:AK51&gt;0,IF(AN7:AN51&lt;&gt;"",ROW(AK7:AK51)-MIN(ROW(AK7:AK51))+1))),ROW()-ROW(A$54)+1)),",",";"),"
",";")),"")</f>
        <v>0</v>
      </c>
      <c r="AP69">
        <f t="array" ref="AP69">IFERROR(CONCATENATE(INDEX(AS7:AS51,SMALL(IF(ISNUMBER(AP7:AP51),IF(AP7:AP51&gt;0,IF(AS7:AS51&lt;&gt;"",ROW(AP7:AP51)-MIN(ROW(AP7:AP51))+1))),ROW()-ROW(A$54)+1)),",",TEXT(INDEX(AP7:AP51,SMALL(IF(ISNUMBER(AP7:AP51),IF(AP7:AP51&gt;0,IF(AS7:AS51&lt;&gt;"",ROW(AP7:AP51)-MIN(ROW(AP7:AP51))+1))),ROW()-ROW(A$54)+1)),"##0"),",",,",",,",",,",",INDEX(G7:G51,SMALL(IF(ISNUMBER(AP7:AP51),IF(AP7:AP51&gt;0,IF(AS7:AS51&lt;&gt;"",ROW(AP7:AP51)-MIN(ROW(AP7:AP51))+1))),ROW()-ROW(A$54)+1)),",",SUBSTITUTE(INDEX(IF(PURCHASE_DESCRIPTION&lt;&gt;"",PURCHASE_DESCRIPTION&amp;":","")&amp;A7:A51,SMALL(IF(ISNUMBER(AP7:AP51),IF(AP7:AP51&gt;0,IF(AS7:AS51&lt;&gt;"",ROW(AP7:AP51)-MIN(ROW(AP7:AP51))+1))),ROW()-ROW(A$54)+1)),",",";")),"")</f>
        <v>0</v>
      </c>
      <c r="AU69">
        <f t="array" ref="AU69">IFERROR(CONCATENATE(INDEX(AX7:AX51,SMALL(IF(ISNUMBER(AU7:AU51),IF(AU7:AU51&gt;0,IF(AX7:AX51&lt;&gt;"",ROW(AU7:AU51)-MIN(ROW(AU7:AU51))+1))),ROW()-ROW(A$54)+1))," ",TEXT(INDEX(AU7:AU51,SMALL(IF(ISNUMBER(AU7:AU51),IF(AU7:AU51&gt;0,IF(AX7:AX51&lt;&gt;"",ROW(AU7:AU51)-MIN(ROW(AU7:AU51))+1))),ROW()-ROW(A$54)+1)),"##0")," ",SUBSTITUTE(INDEX(IF(PURCHASE_DESCRIPTION&lt;&gt;"",PURCHASE_DESCRIPTION&amp;":","")&amp;A7:A51,SMALL(IF(ISNUMBER(AU7:AU51),IF(AU7:AU51&gt;0,IF(AX7:AX51&lt;&gt;"",ROW(AU7:AU51)-MIN(ROW(AU7:AU51))+1))),ROW()-ROW(A$54)+1))," ",";")),"")</f>
        <v>0</v>
      </c>
    </row>
    <row r="70" spans="12:47">
      <c r="L70">
        <f t="array" ref="L70">IFERROR(CONCATENATE(INDEX(O7:O51,SMALL(IF(ISNUMBER(L7:L51),IF(L7:L51&gt;0,IF(O7:O51&lt;&gt;"",ROW(L7:L51)-MIN(ROW(L7:L51))+1))),ROW()-ROW(A$54)+1)),",",TEXT(INDEX(L7:L51,SMALL(IF(ISNUMBER(L7:L51),IF(L7:L51&gt;0,IF(O7:O51&lt;&gt;"",ROW(L7:L51)-MIN(ROW(L7:L51))+1))),ROW()-ROW(A$54)+1)),"##0"),",",SUBSTITUTE(INDEX(IF(PURCHASE_DESCRIPTION&lt;&gt;"",PURCHASE_DESCRIPTION&amp;":","")&amp;A7:A51,SMALL(IF(ISNUMBER(L7:L51),IF(L7:L51&gt;0,IF(O7:O51&lt;&gt;"",ROW(L7:L51)-MIN(ROW(L7:L51))+1))),ROW()-ROW(A$54)+1)),",",";")),"")</f>
        <v>0</v>
      </c>
      <c r="Q70">
        <f t="array" ref="Q70">IFERROR(CONCATENATE(TEXT(INDEX(Q7:Q51,SMALL(IF(ISNUMBER(Q7:Q51),IF(Q7:Q51&gt;0,IF(T7:T51&lt;&gt;"",ROW(Q7:Q51)-MIN(ROW(Q7:Q51))+1))),ROW()-ROW(A$54)+1)),"##0"),",",INDEX(T7:T51,SMALL(IF(ISNUMBER(Q7:Q51),IF(Q7:Q51&gt;0,IF(T7:T51&lt;&gt;"",ROW(Q7:Q51)-MIN(ROW(Q7:Q51))+1))),ROW()-ROW(A$54)+1)),",",SUBSTITUTE(INDEX(IF(PURCHASE_DESCRIPTION&lt;&gt;"",PURCHASE_DESCRIPTION&amp;":","")&amp;A7:A51,SMALL(IF(ISNUMBER(Q7:Q51),IF(Q7:Q51&gt;0,IF(T7:T51&lt;&gt;"",ROW(Q7:Q51)-MIN(ROW(Q7:Q51))+1))),ROW()-ROW(A$54)+1)),",",";")),"")</f>
        <v>0</v>
      </c>
      <c r="V70">
        <f t="array" ref="V70">IFERROR(CONCATENATE(INDEX(Y7:Y51,SMALL(IF(ISNUMBER(V7:V51),IF(V7:V51&gt;0,IF(Y7:Y51&lt;&gt;"",ROW(V7:V51)-MIN(ROW(V7:V51))+1))),ROW()-ROW(A$54)+1)),",",TEXT(INDEX(V7:V51,SMALL(IF(ISNUMBER(V7:V51),IF(V7:V51&gt;0,IF(Y7:Y51&lt;&gt;"",ROW(V7:V51)-MIN(ROW(V7:V51))+1))),ROW()-ROW(A$54)+1)),"##0"),",",SUBSTITUTE(SUBSTITUTE(INDEX(IF(PURCHASE_DESCRIPTION&lt;&gt;"",PURCHASE_DESCRIPTION&amp;":","")&amp;A7:A51,SMALL(IF(ISNUMBER(V7:V51),IF(V7:V51&gt;0,IF(Y7:Y51&lt;&gt;"",ROW(V7:V51)-MIN(ROW(V7:V51))+1))),ROW()-ROW(A$54)+1)),",",";"),"
",";"),",",SUBSTITUTE(SUBSTITUTE(INDEX(IF(PURCHASE_DESCRIPTION&lt;&gt;"",PURCHASE_DESCRIPTION&amp;":","")&amp;C7:C51,SMALL(IF(ISNUMBER(V7:V51),IF(V7:V51&gt;0,IF(Y7:Y51&lt;&gt;"",ROW(V7:V51)-MIN(ROW(V7:V51))+1))),ROW()-ROW(A$54)+1)),",",";"),"
",";"),",",SUBSTITUTE(SUBSTITUTE(INDEX(IF(PURCHASE_DESCRIPTION&lt;&gt;"",PURCHASE_DESCRIPTION&amp;":","")&amp;F7:F51,SMALL(IF(ISNUMBER(V7:V51),IF(V7:V51&gt;0,IF(Y7:Y51&lt;&gt;"",ROW(V7:V51)-MIN(ROW(V7:V51))+1))),ROW()-ROW(A$54)+1)),",",";"),"
",";"),",",SUBSTITUTE(SUBSTITUTE(INDEX(IF(PURCHASE_DESCRIPTION&lt;&gt;"",PURCHASE_DESCRIPTION&amp;":","")&amp;D7:D51,SMALL(IF(ISNUMBER(V7:V51),IF(V7:V51&gt;0,IF(Y7:Y51&lt;&gt;"",ROW(V7:V51)-MIN(ROW(V7:V51))+1))),ROW()-ROW(A$54)+1)),",",";"),"
",";")),"")</f>
        <v>0</v>
      </c>
      <c r="AA70">
        <f t="array" ref="AA70">IFERROR(CONCATENATE(TEXT(INDEX(AA7:AA51,SMALL(IF(ISNUMBER(AA7:AA51),IF(AA7:AA51&gt;0,IF(AD7:AD51&lt;&gt;"",ROW(AA7:AA51)-MIN(ROW(AA7:AA51))+1))),ROW()-ROW(A$55)+1)),"##0"),",",SUBSTITUTE(INDEX(IF(PURCHASE_DESCRIPTION&lt;&gt;"",PURCHASE_DESCRIPTION&amp;":","")&amp;A7:A51,SMALL(IF(ISNUMBER(AA7:AA51),IF(AA7:AA51&gt;0,IF(AD7:AD51&lt;&gt;"",ROW(AA7:AA51)-MIN(ROW(AA7:AA51))+1))),ROW()-ROW(A$55)+1)),",",";"),",",SUBSTITUTE(INDEX(IF(PURCHASE_DESCRIPTION&lt;&gt;"",PURCHASE_DESCRIPTION&amp;":","")&amp;E7:E51,SMALL(IF(ISNUMBER(AA7:AA51),IF(AA7:AA51&gt;0,IF(AD7:AD51&lt;&gt;"",ROW(AA7:AA51)-MIN(ROW(AA7:AA51))+1))),ROW()-ROW(A$55)+1)),",",";"),",",INDEX(AD7:AD51,SMALL(IF(ISNUMBER(AA7:AA51),IF(AA7:AA51&gt;0,IF(AD7:AD51&lt;&gt;"",ROW(AA7:AA51)-MIN(ROW(AA7:AA51))+1))),ROW()-ROW(A$55)+1))),"")</f>
        <v>0</v>
      </c>
      <c r="AF70">
        <f t="array" ref="AF70">IFERROR(CONCATENATE(INDEX(AI7:AI51,SMALL(IF(ISNUMBER(AF7:AF51),IF(AF7:AF51&gt;0,IF(AI7:AI51&lt;&gt;"",ROW(AF7:AF51)-MIN(ROW(AF7:AF51))+1))),ROW()-ROW(A$54)+1)),"|",TEXT(INDEX(AF7:AF51,SMALL(IF(ISNUMBER(AF7:AF51),IF(AF7:AF51&gt;0,IF(AI7:AI51&lt;&gt;"",ROW(AF7:AF51)-MIN(ROW(AF7:AF51))+1))),ROW()-ROW(A$54)+1)),"##0"),"|",SUBSTITUTE(SUBSTITUTE(INDEX(IF(PURCHASE_DESCRIPTION&lt;&gt;"",PURCHASE_DESCRIPTION&amp;":","")&amp;A7:A51,SMALL(IF(ISNUMBER(AF7:AF51),IF(AF7:AF51&gt;0,IF(AI7:AI51&lt;&gt;"",ROW(AF7:AF51)-MIN(ROW(AF7:AF51))+1))),ROW()-ROW(A$54)+1)),"|",";")," ","_")),"")</f>
        <v>0</v>
      </c>
      <c r="AK70">
        <f t="array" ref="AK70">IFERROR(CONCATENATE(INDEX(AN7:AN51,SMALL(IF(ISNUMBER(AK7:AK51),IF(AK7:AK51&gt;0,IF(AN7:AN51&lt;&gt;"",ROW(AK7:AK51)-MIN(ROW(AK7:AK51))+1))),ROW()-ROW(A$54)+1)),",",TEXT(INDEX(AK7:AK51,SMALL(IF(ISNUMBER(AK7:AK51),IF(AK7:AK51&gt;0,IF(AN7:AN51&lt;&gt;"",ROW(AK7:AK51)-MIN(ROW(AK7:AK51))+1))),ROW()-ROW(A$54)+1)),"##0"),",",SUBSTITUTE(SUBSTITUTE(INDEX(IF(PURCHASE_DESCRIPTION&lt;&gt;"",PURCHASE_DESCRIPTION&amp;":","")&amp;A7:A51,SMALL(IF(ISNUMBER(AK7:AK51),IF(AK7:AK51&gt;0,IF(AN7:AN51&lt;&gt;"",ROW(AK7:AK51)-MIN(ROW(AK7:AK51))+1))),ROW()-ROW(A$54)+1)),",",";"),"
",";"),",",SUBSTITUTE(SUBSTITUTE(INDEX(IF(PURCHASE_DESCRIPTION&lt;&gt;"",PURCHASE_DESCRIPTION&amp;":","")&amp;C7:C51,SMALL(IF(ISNUMBER(AK7:AK51),IF(AK7:AK51&gt;0,IF(AN7:AN51&lt;&gt;"",ROW(AK7:AK51)-MIN(ROW(AK7:AK51))+1))),ROW()-ROW(A$54)+1)),",",";"),"
",";"),",",SUBSTITUTE(SUBSTITUTE(INDEX(IF(PURCHASE_DESCRIPTION&lt;&gt;"",PURCHASE_DESCRIPTION&amp;":","")&amp;F7:F51,SMALL(IF(ISNUMBER(AK7:AK51),IF(AK7:AK51&gt;0,IF(AN7:AN51&lt;&gt;"",ROW(AK7:AK51)-MIN(ROW(AK7:AK51))+1))),ROW()-ROW(A$54)+1)),",",";"),"
",";"),",",SUBSTITUTE(SUBSTITUTE(INDEX(IF(PURCHASE_DESCRIPTION&lt;&gt;"",PURCHASE_DESCRIPTION&amp;":","")&amp;D7:D51,SMALL(IF(ISNUMBER(AK7:AK51),IF(AK7:AK51&gt;0,IF(AN7:AN51&lt;&gt;"",ROW(AK7:AK51)-MIN(ROW(AK7:AK51))+1))),ROW()-ROW(A$54)+1)),",",";"),"
",";")),"")</f>
        <v>0</v>
      </c>
      <c r="AP70">
        <f t="array" ref="AP70">IFERROR(CONCATENATE(INDEX(AS7:AS51,SMALL(IF(ISNUMBER(AP7:AP51),IF(AP7:AP51&gt;0,IF(AS7:AS51&lt;&gt;"",ROW(AP7:AP51)-MIN(ROW(AP7:AP51))+1))),ROW()-ROW(A$54)+1)),",",TEXT(INDEX(AP7:AP51,SMALL(IF(ISNUMBER(AP7:AP51),IF(AP7:AP51&gt;0,IF(AS7:AS51&lt;&gt;"",ROW(AP7:AP51)-MIN(ROW(AP7:AP51))+1))),ROW()-ROW(A$54)+1)),"##0"),",",,",",,",",,",",INDEX(G7:G51,SMALL(IF(ISNUMBER(AP7:AP51),IF(AP7:AP51&gt;0,IF(AS7:AS51&lt;&gt;"",ROW(AP7:AP51)-MIN(ROW(AP7:AP51))+1))),ROW()-ROW(A$54)+1)),",",SUBSTITUTE(INDEX(IF(PURCHASE_DESCRIPTION&lt;&gt;"",PURCHASE_DESCRIPTION&amp;":","")&amp;A7:A51,SMALL(IF(ISNUMBER(AP7:AP51),IF(AP7:AP51&gt;0,IF(AS7:AS51&lt;&gt;"",ROW(AP7:AP51)-MIN(ROW(AP7:AP51))+1))),ROW()-ROW(A$54)+1)),",",";")),"")</f>
        <v>0</v>
      </c>
      <c r="AU70">
        <f t="array" ref="AU70">IFERROR(CONCATENATE(INDEX(AX7:AX51,SMALL(IF(ISNUMBER(AU7:AU51),IF(AU7:AU51&gt;0,IF(AX7:AX51&lt;&gt;"",ROW(AU7:AU51)-MIN(ROW(AU7:AU51))+1))),ROW()-ROW(A$54)+1))," ",TEXT(INDEX(AU7:AU51,SMALL(IF(ISNUMBER(AU7:AU51),IF(AU7:AU51&gt;0,IF(AX7:AX51&lt;&gt;"",ROW(AU7:AU51)-MIN(ROW(AU7:AU51))+1))),ROW()-ROW(A$54)+1)),"##0")," ",SUBSTITUTE(INDEX(IF(PURCHASE_DESCRIPTION&lt;&gt;"",PURCHASE_DESCRIPTION&amp;":","")&amp;A7:A51,SMALL(IF(ISNUMBER(AU7:AU51),IF(AU7:AU51&gt;0,IF(AX7:AX51&lt;&gt;"",ROW(AU7:AU51)-MIN(ROW(AU7:AU51))+1))),ROW()-ROW(A$54)+1))," ",";")),"")</f>
        <v>0</v>
      </c>
    </row>
    <row r="71" spans="12:47">
      <c r="L71">
        <f t="array" ref="L71">IFERROR(CONCATENATE(INDEX(O7:O51,SMALL(IF(ISNUMBER(L7:L51),IF(L7:L51&gt;0,IF(O7:O51&lt;&gt;"",ROW(L7:L51)-MIN(ROW(L7:L51))+1))),ROW()-ROW(A$54)+1)),",",TEXT(INDEX(L7:L51,SMALL(IF(ISNUMBER(L7:L51),IF(L7:L51&gt;0,IF(O7:O51&lt;&gt;"",ROW(L7:L51)-MIN(ROW(L7:L51))+1))),ROW()-ROW(A$54)+1)),"##0"),",",SUBSTITUTE(INDEX(IF(PURCHASE_DESCRIPTION&lt;&gt;"",PURCHASE_DESCRIPTION&amp;":","")&amp;A7:A51,SMALL(IF(ISNUMBER(L7:L51),IF(L7:L51&gt;0,IF(O7:O51&lt;&gt;"",ROW(L7:L51)-MIN(ROW(L7:L51))+1))),ROW()-ROW(A$54)+1)),",",";")),"")</f>
        <v>0</v>
      </c>
      <c r="Q71">
        <f t="array" ref="Q71">IFERROR(CONCATENATE(TEXT(INDEX(Q7:Q51,SMALL(IF(ISNUMBER(Q7:Q51),IF(Q7:Q51&gt;0,IF(T7:T51&lt;&gt;"",ROW(Q7:Q51)-MIN(ROW(Q7:Q51))+1))),ROW()-ROW(A$54)+1)),"##0"),",",INDEX(T7:T51,SMALL(IF(ISNUMBER(Q7:Q51),IF(Q7:Q51&gt;0,IF(T7:T51&lt;&gt;"",ROW(Q7:Q51)-MIN(ROW(Q7:Q51))+1))),ROW()-ROW(A$54)+1)),",",SUBSTITUTE(INDEX(IF(PURCHASE_DESCRIPTION&lt;&gt;"",PURCHASE_DESCRIPTION&amp;":","")&amp;A7:A51,SMALL(IF(ISNUMBER(Q7:Q51),IF(Q7:Q51&gt;0,IF(T7:T51&lt;&gt;"",ROW(Q7:Q51)-MIN(ROW(Q7:Q51))+1))),ROW()-ROW(A$54)+1)),",",";")),"")</f>
        <v>0</v>
      </c>
      <c r="V71">
        <f t="array" ref="V71">IFERROR(CONCATENATE(INDEX(Y7:Y51,SMALL(IF(ISNUMBER(V7:V51),IF(V7:V51&gt;0,IF(Y7:Y51&lt;&gt;"",ROW(V7:V51)-MIN(ROW(V7:V51))+1))),ROW()-ROW(A$54)+1)),",",TEXT(INDEX(V7:V51,SMALL(IF(ISNUMBER(V7:V51),IF(V7:V51&gt;0,IF(Y7:Y51&lt;&gt;"",ROW(V7:V51)-MIN(ROW(V7:V51))+1))),ROW()-ROW(A$54)+1)),"##0"),",",SUBSTITUTE(SUBSTITUTE(INDEX(IF(PURCHASE_DESCRIPTION&lt;&gt;"",PURCHASE_DESCRIPTION&amp;":","")&amp;A7:A51,SMALL(IF(ISNUMBER(V7:V51),IF(V7:V51&gt;0,IF(Y7:Y51&lt;&gt;"",ROW(V7:V51)-MIN(ROW(V7:V51))+1))),ROW()-ROW(A$54)+1)),",",";"),"
",";"),",",SUBSTITUTE(SUBSTITUTE(INDEX(IF(PURCHASE_DESCRIPTION&lt;&gt;"",PURCHASE_DESCRIPTION&amp;":","")&amp;C7:C51,SMALL(IF(ISNUMBER(V7:V51),IF(V7:V51&gt;0,IF(Y7:Y51&lt;&gt;"",ROW(V7:V51)-MIN(ROW(V7:V51))+1))),ROW()-ROW(A$54)+1)),",",";"),"
",";"),",",SUBSTITUTE(SUBSTITUTE(INDEX(IF(PURCHASE_DESCRIPTION&lt;&gt;"",PURCHASE_DESCRIPTION&amp;":","")&amp;F7:F51,SMALL(IF(ISNUMBER(V7:V51),IF(V7:V51&gt;0,IF(Y7:Y51&lt;&gt;"",ROW(V7:V51)-MIN(ROW(V7:V51))+1))),ROW()-ROW(A$54)+1)),",",";"),"
",";"),",",SUBSTITUTE(SUBSTITUTE(INDEX(IF(PURCHASE_DESCRIPTION&lt;&gt;"",PURCHASE_DESCRIPTION&amp;":","")&amp;D7:D51,SMALL(IF(ISNUMBER(V7:V51),IF(V7:V51&gt;0,IF(Y7:Y51&lt;&gt;"",ROW(V7:V51)-MIN(ROW(V7:V51))+1))),ROW()-ROW(A$54)+1)),",",";"),"
",";")),"")</f>
        <v>0</v>
      </c>
      <c r="AA71">
        <f t="array" ref="AA71">IFERROR(CONCATENATE(TEXT(INDEX(AA7:AA51,SMALL(IF(ISNUMBER(AA7:AA51),IF(AA7:AA51&gt;0,IF(AD7:AD51&lt;&gt;"",ROW(AA7:AA51)-MIN(ROW(AA7:AA51))+1))),ROW()-ROW(A$55)+1)),"##0"),",",SUBSTITUTE(INDEX(IF(PURCHASE_DESCRIPTION&lt;&gt;"",PURCHASE_DESCRIPTION&amp;":","")&amp;A7:A51,SMALL(IF(ISNUMBER(AA7:AA51),IF(AA7:AA51&gt;0,IF(AD7:AD51&lt;&gt;"",ROW(AA7:AA51)-MIN(ROW(AA7:AA51))+1))),ROW()-ROW(A$55)+1)),",",";"),",",SUBSTITUTE(INDEX(IF(PURCHASE_DESCRIPTION&lt;&gt;"",PURCHASE_DESCRIPTION&amp;":","")&amp;E7:E51,SMALL(IF(ISNUMBER(AA7:AA51),IF(AA7:AA51&gt;0,IF(AD7:AD51&lt;&gt;"",ROW(AA7:AA51)-MIN(ROW(AA7:AA51))+1))),ROW()-ROW(A$55)+1)),",",";"),",",INDEX(AD7:AD51,SMALL(IF(ISNUMBER(AA7:AA51),IF(AA7:AA51&gt;0,IF(AD7:AD51&lt;&gt;"",ROW(AA7:AA51)-MIN(ROW(AA7:AA51))+1))),ROW()-ROW(A$55)+1))),"")</f>
        <v>0</v>
      </c>
      <c r="AF71">
        <f t="array" ref="AF71">IFERROR(CONCATENATE(INDEX(AI7:AI51,SMALL(IF(ISNUMBER(AF7:AF51),IF(AF7:AF51&gt;0,IF(AI7:AI51&lt;&gt;"",ROW(AF7:AF51)-MIN(ROW(AF7:AF51))+1))),ROW()-ROW(A$54)+1)),"|",TEXT(INDEX(AF7:AF51,SMALL(IF(ISNUMBER(AF7:AF51),IF(AF7:AF51&gt;0,IF(AI7:AI51&lt;&gt;"",ROW(AF7:AF51)-MIN(ROW(AF7:AF51))+1))),ROW()-ROW(A$54)+1)),"##0"),"|",SUBSTITUTE(SUBSTITUTE(INDEX(IF(PURCHASE_DESCRIPTION&lt;&gt;"",PURCHASE_DESCRIPTION&amp;":","")&amp;A7:A51,SMALL(IF(ISNUMBER(AF7:AF51),IF(AF7:AF51&gt;0,IF(AI7:AI51&lt;&gt;"",ROW(AF7:AF51)-MIN(ROW(AF7:AF51))+1))),ROW()-ROW(A$54)+1)),"|",";")," ","_")),"")</f>
        <v>0</v>
      </c>
      <c r="AK71">
        <f t="array" ref="AK71">IFERROR(CONCATENATE(INDEX(AN7:AN51,SMALL(IF(ISNUMBER(AK7:AK51),IF(AK7:AK51&gt;0,IF(AN7:AN51&lt;&gt;"",ROW(AK7:AK51)-MIN(ROW(AK7:AK51))+1))),ROW()-ROW(A$54)+1)),",",TEXT(INDEX(AK7:AK51,SMALL(IF(ISNUMBER(AK7:AK51),IF(AK7:AK51&gt;0,IF(AN7:AN51&lt;&gt;"",ROW(AK7:AK51)-MIN(ROW(AK7:AK51))+1))),ROW()-ROW(A$54)+1)),"##0"),",",SUBSTITUTE(SUBSTITUTE(INDEX(IF(PURCHASE_DESCRIPTION&lt;&gt;"",PURCHASE_DESCRIPTION&amp;":","")&amp;A7:A51,SMALL(IF(ISNUMBER(AK7:AK51),IF(AK7:AK51&gt;0,IF(AN7:AN51&lt;&gt;"",ROW(AK7:AK51)-MIN(ROW(AK7:AK51))+1))),ROW()-ROW(A$54)+1)),",",";"),"
",";"),",",SUBSTITUTE(SUBSTITUTE(INDEX(IF(PURCHASE_DESCRIPTION&lt;&gt;"",PURCHASE_DESCRIPTION&amp;":","")&amp;C7:C51,SMALL(IF(ISNUMBER(AK7:AK51),IF(AK7:AK51&gt;0,IF(AN7:AN51&lt;&gt;"",ROW(AK7:AK51)-MIN(ROW(AK7:AK51))+1))),ROW()-ROW(A$54)+1)),",",";"),"
",";"),",",SUBSTITUTE(SUBSTITUTE(INDEX(IF(PURCHASE_DESCRIPTION&lt;&gt;"",PURCHASE_DESCRIPTION&amp;":","")&amp;F7:F51,SMALL(IF(ISNUMBER(AK7:AK51),IF(AK7:AK51&gt;0,IF(AN7:AN51&lt;&gt;"",ROW(AK7:AK51)-MIN(ROW(AK7:AK51))+1))),ROW()-ROW(A$54)+1)),",",";"),"
",";"),",",SUBSTITUTE(SUBSTITUTE(INDEX(IF(PURCHASE_DESCRIPTION&lt;&gt;"",PURCHASE_DESCRIPTION&amp;":","")&amp;D7:D51,SMALL(IF(ISNUMBER(AK7:AK51),IF(AK7:AK51&gt;0,IF(AN7:AN51&lt;&gt;"",ROW(AK7:AK51)-MIN(ROW(AK7:AK51))+1))),ROW()-ROW(A$54)+1)),",",";"),"
",";")),"")</f>
        <v>0</v>
      </c>
      <c r="AP71">
        <f t="array" ref="AP71">IFERROR(CONCATENATE(INDEX(AS7:AS51,SMALL(IF(ISNUMBER(AP7:AP51),IF(AP7:AP51&gt;0,IF(AS7:AS51&lt;&gt;"",ROW(AP7:AP51)-MIN(ROW(AP7:AP51))+1))),ROW()-ROW(A$54)+1)),",",TEXT(INDEX(AP7:AP51,SMALL(IF(ISNUMBER(AP7:AP51),IF(AP7:AP51&gt;0,IF(AS7:AS51&lt;&gt;"",ROW(AP7:AP51)-MIN(ROW(AP7:AP51))+1))),ROW()-ROW(A$54)+1)),"##0"),",",,",",,",",,",",INDEX(G7:G51,SMALL(IF(ISNUMBER(AP7:AP51),IF(AP7:AP51&gt;0,IF(AS7:AS51&lt;&gt;"",ROW(AP7:AP51)-MIN(ROW(AP7:AP51))+1))),ROW()-ROW(A$54)+1)),",",SUBSTITUTE(INDEX(IF(PURCHASE_DESCRIPTION&lt;&gt;"",PURCHASE_DESCRIPTION&amp;":","")&amp;A7:A51,SMALL(IF(ISNUMBER(AP7:AP51),IF(AP7:AP51&gt;0,IF(AS7:AS51&lt;&gt;"",ROW(AP7:AP51)-MIN(ROW(AP7:AP51))+1))),ROW()-ROW(A$54)+1)),",",";")),"")</f>
        <v>0</v>
      </c>
      <c r="AU71">
        <f t="array" ref="AU71">IFERROR(CONCATENATE(INDEX(AX7:AX51,SMALL(IF(ISNUMBER(AU7:AU51),IF(AU7:AU51&gt;0,IF(AX7:AX51&lt;&gt;"",ROW(AU7:AU51)-MIN(ROW(AU7:AU51))+1))),ROW()-ROW(A$54)+1))," ",TEXT(INDEX(AU7:AU51,SMALL(IF(ISNUMBER(AU7:AU51),IF(AU7:AU51&gt;0,IF(AX7:AX51&lt;&gt;"",ROW(AU7:AU51)-MIN(ROW(AU7:AU51))+1))),ROW()-ROW(A$54)+1)),"##0")," ",SUBSTITUTE(INDEX(IF(PURCHASE_DESCRIPTION&lt;&gt;"",PURCHASE_DESCRIPTION&amp;":","")&amp;A7:A51,SMALL(IF(ISNUMBER(AU7:AU51),IF(AU7:AU51&gt;0,IF(AX7:AX51&lt;&gt;"",ROW(AU7:AU51)-MIN(ROW(AU7:AU51))+1))),ROW()-ROW(A$54)+1))," ",";")),"")</f>
        <v>0</v>
      </c>
    </row>
    <row r="72" spans="12:47">
      <c r="L72">
        <f t="array" ref="L72">IFERROR(CONCATENATE(INDEX(O7:O51,SMALL(IF(ISNUMBER(L7:L51),IF(L7:L51&gt;0,IF(O7:O51&lt;&gt;"",ROW(L7:L51)-MIN(ROW(L7:L51))+1))),ROW()-ROW(A$54)+1)),",",TEXT(INDEX(L7:L51,SMALL(IF(ISNUMBER(L7:L51),IF(L7:L51&gt;0,IF(O7:O51&lt;&gt;"",ROW(L7:L51)-MIN(ROW(L7:L51))+1))),ROW()-ROW(A$54)+1)),"##0"),",",SUBSTITUTE(INDEX(IF(PURCHASE_DESCRIPTION&lt;&gt;"",PURCHASE_DESCRIPTION&amp;":","")&amp;A7:A51,SMALL(IF(ISNUMBER(L7:L51),IF(L7:L51&gt;0,IF(O7:O51&lt;&gt;"",ROW(L7:L51)-MIN(ROW(L7:L51))+1))),ROW()-ROW(A$54)+1)),",",";")),"")</f>
        <v>0</v>
      </c>
      <c r="Q72">
        <f t="array" ref="Q72">IFERROR(CONCATENATE(TEXT(INDEX(Q7:Q51,SMALL(IF(ISNUMBER(Q7:Q51),IF(Q7:Q51&gt;0,IF(T7:T51&lt;&gt;"",ROW(Q7:Q51)-MIN(ROW(Q7:Q51))+1))),ROW()-ROW(A$54)+1)),"##0"),",",INDEX(T7:T51,SMALL(IF(ISNUMBER(Q7:Q51),IF(Q7:Q51&gt;0,IF(T7:T51&lt;&gt;"",ROW(Q7:Q51)-MIN(ROW(Q7:Q51))+1))),ROW()-ROW(A$54)+1)),",",SUBSTITUTE(INDEX(IF(PURCHASE_DESCRIPTION&lt;&gt;"",PURCHASE_DESCRIPTION&amp;":","")&amp;A7:A51,SMALL(IF(ISNUMBER(Q7:Q51),IF(Q7:Q51&gt;0,IF(T7:T51&lt;&gt;"",ROW(Q7:Q51)-MIN(ROW(Q7:Q51))+1))),ROW()-ROW(A$54)+1)),",",";")),"")</f>
        <v>0</v>
      </c>
      <c r="V72">
        <f t="array" ref="V72">IFERROR(CONCATENATE(INDEX(Y7:Y51,SMALL(IF(ISNUMBER(V7:V51),IF(V7:V51&gt;0,IF(Y7:Y51&lt;&gt;"",ROW(V7:V51)-MIN(ROW(V7:V51))+1))),ROW()-ROW(A$54)+1)),",",TEXT(INDEX(V7:V51,SMALL(IF(ISNUMBER(V7:V51),IF(V7:V51&gt;0,IF(Y7:Y51&lt;&gt;"",ROW(V7:V51)-MIN(ROW(V7:V51))+1))),ROW()-ROW(A$54)+1)),"##0"),",",SUBSTITUTE(SUBSTITUTE(INDEX(IF(PURCHASE_DESCRIPTION&lt;&gt;"",PURCHASE_DESCRIPTION&amp;":","")&amp;A7:A51,SMALL(IF(ISNUMBER(V7:V51),IF(V7:V51&gt;0,IF(Y7:Y51&lt;&gt;"",ROW(V7:V51)-MIN(ROW(V7:V51))+1))),ROW()-ROW(A$54)+1)),",",";"),"
",";"),",",SUBSTITUTE(SUBSTITUTE(INDEX(IF(PURCHASE_DESCRIPTION&lt;&gt;"",PURCHASE_DESCRIPTION&amp;":","")&amp;C7:C51,SMALL(IF(ISNUMBER(V7:V51),IF(V7:V51&gt;0,IF(Y7:Y51&lt;&gt;"",ROW(V7:V51)-MIN(ROW(V7:V51))+1))),ROW()-ROW(A$54)+1)),",",";"),"
",";"),",",SUBSTITUTE(SUBSTITUTE(INDEX(IF(PURCHASE_DESCRIPTION&lt;&gt;"",PURCHASE_DESCRIPTION&amp;":","")&amp;F7:F51,SMALL(IF(ISNUMBER(V7:V51),IF(V7:V51&gt;0,IF(Y7:Y51&lt;&gt;"",ROW(V7:V51)-MIN(ROW(V7:V51))+1))),ROW()-ROW(A$54)+1)),",",";"),"
",";"),",",SUBSTITUTE(SUBSTITUTE(INDEX(IF(PURCHASE_DESCRIPTION&lt;&gt;"",PURCHASE_DESCRIPTION&amp;":","")&amp;D7:D51,SMALL(IF(ISNUMBER(V7:V51),IF(V7:V51&gt;0,IF(Y7:Y51&lt;&gt;"",ROW(V7:V51)-MIN(ROW(V7:V51))+1))),ROW()-ROW(A$54)+1)),",",";"),"
",";")),"")</f>
        <v>0</v>
      </c>
      <c r="AA72">
        <f t="array" ref="AA72">IFERROR(CONCATENATE(TEXT(INDEX(AA7:AA51,SMALL(IF(ISNUMBER(AA7:AA51),IF(AA7:AA51&gt;0,IF(AD7:AD51&lt;&gt;"",ROW(AA7:AA51)-MIN(ROW(AA7:AA51))+1))),ROW()-ROW(A$55)+1)),"##0"),",",SUBSTITUTE(INDEX(IF(PURCHASE_DESCRIPTION&lt;&gt;"",PURCHASE_DESCRIPTION&amp;":","")&amp;A7:A51,SMALL(IF(ISNUMBER(AA7:AA51),IF(AA7:AA51&gt;0,IF(AD7:AD51&lt;&gt;"",ROW(AA7:AA51)-MIN(ROW(AA7:AA51))+1))),ROW()-ROW(A$55)+1)),",",";"),",",SUBSTITUTE(INDEX(IF(PURCHASE_DESCRIPTION&lt;&gt;"",PURCHASE_DESCRIPTION&amp;":","")&amp;E7:E51,SMALL(IF(ISNUMBER(AA7:AA51),IF(AA7:AA51&gt;0,IF(AD7:AD51&lt;&gt;"",ROW(AA7:AA51)-MIN(ROW(AA7:AA51))+1))),ROW()-ROW(A$55)+1)),",",";"),",",INDEX(AD7:AD51,SMALL(IF(ISNUMBER(AA7:AA51),IF(AA7:AA51&gt;0,IF(AD7:AD51&lt;&gt;"",ROW(AA7:AA51)-MIN(ROW(AA7:AA51))+1))),ROW()-ROW(A$55)+1))),"")</f>
        <v>0</v>
      </c>
      <c r="AF72">
        <f t="array" ref="AF72">IFERROR(CONCATENATE(INDEX(AI7:AI51,SMALL(IF(ISNUMBER(AF7:AF51),IF(AF7:AF51&gt;0,IF(AI7:AI51&lt;&gt;"",ROW(AF7:AF51)-MIN(ROW(AF7:AF51))+1))),ROW()-ROW(A$54)+1)),"|",TEXT(INDEX(AF7:AF51,SMALL(IF(ISNUMBER(AF7:AF51),IF(AF7:AF51&gt;0,IF(AI7:AI51&lt;&gt;"",ROW(AF7:AF51)-MIN(ROW(AF7:AF51))+1))),ROW()-ROW(A$54)+1)),"##0"),"|",SUBSTITUTE(SUBSTITUTE(INDEX(IF(PURCHASE_DESCRIPTION&lt;&gt;"",PURCHASE_DESCRIPTION&amp;":","")&amp;A7:A51,SMALL(IF(ISNUMBER(AF7:AF51),IF(AF7:AF51&gt;0,IF(AI7:AI51&lt;&gt;"",ROW(AF7:AF51)-MIN(ROW(AF7:AF51))+1))),ROW()-ROW(A$54)+1)),"|",";")," ","_")),"")</f>
        <v>0</v>
      </c>
      <c r="AK72">
        <f t="array" ref="AK72">IFERROR(CONCATENATE(INDEX(AN7:AN51,SMALL(IF(ISNUMBER(AK7:AK51),IF(AK7:AK51&gt;0,IF(AN7:AN51&lt;&gt;"",ROW(AK7:AK51)-MIN(ROW(AK7:AK51))+1))),ROW()-ROW(A$54)+1)),",",TEXT(INDEX(AK7:AK51,SMALL(IF(ISNUMBER(AK7:AK51),IF(AK7:AK51&gt;0,IF(AN7:AN51&lt;&gt;"",ROW(AK7:AK51)-MIN(ROW(AK7:AK51))+1))),ROW()-ROW(A$54)+1)),"##0"),",",SUBSTITUTE(SUBSTITUTE(INDEX(IF(PURCHASE_DESCRIPTION&lt;&gt;"",PURCHASE_DESCRIPTION&amp;":","")&amp;A7:A51,SMALL(IF(ISNUMBER(AK7:AK51),IF(AK7:AK51&gt;0,IF(AN7:AN51&lt;&gt;"",ROW(AK7:AK51)-MIN(ROW(AK7:AK51))+1))),ROW()-ROW(A$54)+1)),",",";"),"
",";"),",",SUBSTITUTE(SUBSTITUTE(INDEX(IF(PURCHASE_DESCRIPTION&lt;&gt;"",PURCHASE_DESCRIPTION&amp;":","")&amp;C7:C51,SMALL(IF(ISNUMBER(AK7:AK51),IF(AK7:AK51&gt;0,IF(AN7:AN51&lt;&gt;"",ROW(AK7:AK51)-MIN(ROW(AK7:AK51))+1))),ROW()-ROW(A$54)+1)),",",";"),"
",";"),",",SUBSTITUTE(SUBSTITUTE(INDEX(IF(PURCHASE_DESCRIPTION&lt;&gt;"",PURCHASE_DESCRIPTION&amp;":","")&amp;F7:F51,SMALL(IF(ISNUMBER(AK7:AK51),IF(AK7:AK51&gt;0,IF(AN7:AN51&lt;&gt;"",ROW(AK7:AK51)-MIN(ROW(AK7:AK51))+1))),ROW()-ROW(A$54)+1)),",",";"),"
",";"),",",SUBSTITUTE(SUBSTITUTE(INDEX(IF(PURCHASE_DESCRIPTION&lt;&gt;"",PURCHASE_DESCRIPTION&amp;":","")&amp;D7:D51,SMALL(IF(ISNUMBER(AK7:AK51),IF(AK7:AK51&gt;0,IF(AN7:AN51&lt;&gt;"",ROW(AK7:AK51)-MIN(ROW(AK7:AK51))+1))),ROW()-ROW(A$54)+1)),",",";"),"
",";")),"")</f>
        <v>0</v>
      </c>
      <c r="AP72">
        <f t="array" ref="AP72">IFERROR(CONCATENATE(INDEX(AS7:AS51,SMALL(IF(ISNUMBER(AP7:AP51),IF(AP7:AP51&gt;0,IF(AS7:AS51&lt;&gt;"",ROW(AP7:AP51)-MIN(ROW(AP7:AP51))+1))),ROW()-ROW(A$54)+1)),",",TEXT(INDEX(AP7:AP51,SMALL(IF(ISNUMBER(AP7:AP51),IF(AP7:AP51&gt;0,IF(AS7:AS51&lt;&gt;"",ROW(AP7:AP51)-MIN(ROW(AP7:AP51))+1))),ROW()-ROW(A$54)+1)),"##0"),",",,",",,",",,",",INDEX(G7:G51,SMALL(IF(ISNUMBER(AP7:AP51),IF(AP7:AP51&gt;0,IF(AS7:AS51&lt;&gt;"",ROW(AP7:AP51)-MIN(ROW(AP7:AP51))+1))),ROW()-ROW(A$54)+1)),",",SUBSTITUTE(INDEX(IF(PURCHASE_DESCRIPTION&lt;&gt;"",PURCHASE_DESCRIPTION&amp;":","")&amp;A7:A51,SMALL(IF(ISNUMBER(AP7:AP51),IF(AP7:AP51&gt;0,IF(AS7:AS51&lt;&gt;"",ROW(AP7:AP51)-MIN(ROW(AP7:AP51))+1))),ROW()-ROW(A$54)+1)),",",";")),"")</f>
        <v>0</v>
      </c>
      <c r="AU72">
        <f t="array" ref="AU72">IFERROR(CONCATENATE(INDEX(AX7:AX51,SMALL(IF(ISNUMBER(AU7:AU51),IF(AU7:AU51&gt;0,IF(AX7:AX51&lt;&gt;"",ROW(AU7:AU51)-MIN(ROW(AU7:AU51))+1))),ROW()-ROW(A$54)+1))," ",TEXT(INDEX(AU7:AU51,SMALL(IF(ISNUMBER(AU7:AU51),IF(AU7:AU51&gt;0,IF(AX7:AX51&lt;&gt;"",ROW(AU7:AU51)-MIN(ROW(AU7:AU51))+1))),ROW()-ROW(A$54)+1)),"##0")," ",SUBSTITUTE(INDEX(IF(PURCHASE_DESCRIPTION&lt;&gt;"",PURCHASE_DESCRIPTION&amp;":","")&amp;A7:A51,SMALL(IF(ISNUMBER(AU7:AU51),IF(AU7:AU51&gt;0,IF(AX7:AX51&lt;&gt;"",ROW(AU7:AU51)-MIN(ROW(AU7:AU51))+1))),ROW()-ROW(A$54)+1))," ",";")),"")</f>
        <v>0</v>
      </c>
    </row>
    <row r="73" spans="12:47">
      <c r="L73">
        <f t="array" ref="L73">IFERROR(CONCATENATE(INDEX(O7:O51,SMALL(IF(ISNUMBER(L7:L51),IF(L7:L51&gt;0,IF(O7:O51&lt;&gt;"",ROW(L7:L51)-MIN(ROW(L7:L51))+1))),ROW()-ROW(A$54)+1)),",",TEXT(INDEX(L7:L51,SMALL(IF(ISNUMBER(L7:L51),IF(L7:L51&gt;0,IF(O7:O51&lt;&gt;"",ROW(L7:L51)-MIN(ROW(L7:L51))+1))),ROW()-ROW(A$54)+1)),"##0"),",",SUBSTITUTE(INDEX(IF(PURCHASE_DESCRIPTION&lt;&gt;"",PURCHASE_DESCRIPTION&amp;":","")&amp;A7:A51,SMALL(IF(ISNUMBER(L7:L51),IF(L7:L51&gt;0,IF(O7:O51&lt;&gt;"",ROW(L7:L51)-MIN(ROW(L7:L51))+1))),ROW()-ROW(A$54)+1)),",",";")),"")</f>
        <v>0</v>
      </c>
      <c r="Q73">
        <f t="array" ref="Q73">IFERROR(CONCATENATE(TEXT(INDEX(Q7:Q51,SMALL(IF(ISNUMBER(Q7:Q51),IF(Q7:Q51&gt;0,IF(T7:T51&lt;&gt;"",ROW(Q7:Q51)-MIN(ROW(Q7:Q51))+1))),ROW()-ROW(A$54)+1)),"##0"),",",INDEX(T7:T51,SMALL(IF(ISNUMBER(Q7:Q51),IF(Q7:Q51&gt;0,IF(T7:T51&lt;&gt;"",ROW(Q7:Q51)-MIN(ROW(Q7:Q51))+1))),ROW()-ROW(A$54)+1)),",",SUBSTITUTE(INDEX(IF(PURCHASE_DESCRIPTION&lt;&gt;"",PURCHASE_DESCRIPTION&amp;":","")&amp;A7:A51,SMALL(IF(ISNUMBER(Q7:Q51),IF(Q7:Q51&gt;0,IF(T7:T51&lt;&gt;"",ROW(Q7:Q51)-MIN(ROW(Q7:Q51))+1))),ROW()-ROW(A$54)+1)),",",";")),"")</f>
        <v>0</v>
      </c>
      <c r="V73">
        <f t="array" ref="V73">IFERROR(CONCATENATE(INDEX(Y7:Y51,SMALL(IF(ISNUMBER(V7:V51),IF(V7:V51&gt;0,IF(Y7:Y51&lt;&gt;"",ROW(V7:V51)-MIN(ROW(V7:V51))+1))),ROW()-ROW(A$54)+1)),",",TEXT(INDEX(V7:V51,SMALL(IF(ISNUMBER(V7:V51),IF(V7:V51&gt;0,IF(Y7:Y51&lt;&gt;"",ROW(V7:V51)-MIN(ROW(V7:V51))+1))),ROW()-ROW(A$54)+1)),"##0"),",",SUBSTITUTE(SUBSTITUTE(INDEX(IF(PURCHASE_DESCRIPTION&lt;&gt;"",PURCHASE_DESCRIPTION&amp;":","")&amp;A7:A51,SMALL(IF(ISNUMBER(V7:V51),IF(V7:V51&gt;0,IF(Y7:Y51&lt;&gt;"",ROW(V7:V51)-MIN(ROW(V7:V51))+1))),ROW()-ROW(A$54)+1)),",",";"),"
",";"),",",SUBSTITUTE(SUBSTITUTE(INDEX(IF(PURCHASE_DESCRIPTION&lt;&gt;"",PURCHASE_DESCRIPTION&amp;":","")&amp;C7:C51,SMALL(IF(ISNUMBER(V7:V51),IF(V7:V51&gt;0,IF(Y7:Y51&lt;&gt;"",ROW(V7:V51)-MIN(ROW(V7:V51))+1))),ROW()-ROW(A$54)+1)),",",";"),"
",";"),",",SUBSTITUTE(SUBSTITUTE(INDEX(IF(PURCHASE_DESCRIPTION&lt;&gt;"",PURCHASE_DESCRIPTION&amp;":","")&amp;F7:F51,SMALL(IF(ISNUMBER(V7:V51),IF(V7:V51&gt;0,IF(Y7:Y51&lt;&gt;"",ROW(V7:V51)-MIN(ROW(V7:V51))+1))),ROW()-ROW(A$54)+1)),",",";"),"
",";"),",",SUBSTITUTE(SUBSTITUTE(INDEX(IF(PURCHASE_DESCRIPTION&lt;&gt;"",PURCHASE_DESCRIPTION&amp;":","")&amp;D7:D51,SMALL(IF(ISNUMBER(V7:V51),IF(V7:V51&gt;0,IF(Y7:Y51&lt;&gt;"",ROW(V7:V51)-MIN(ROW(V7:V51))+1))),ROW()-ROW(A$54)+1)),",",";"),"
",";")),"")</f>
        <v>0</v>
      </c>
      <c r="AA73">
        <f t="array" ref="AA73">IFERROR(CONCATENATE(TEXT(INDEX(AA7:AA51,SMALL(IF(ISNUMBER(AA7:AA51),IF(AA7:AA51&gt;0,IF(AD7:AD51&lt;&gt;"",ROW(AA7:AA51)-MIN(ROW(AA7:AA51))+1))),ROW()-ROW(A$55)+1)),"##0"),",",SUBSTITUTE(INDEX(IF(PURCHASE_DESCRIPTION&lt;&gt;"",PURCHASE_DESCRIPTION&amp;":","")&amp;A7:A51,SMALL(IF(ISNUMBER(AA7:AA51),IF(AA7:AA51&gt;0,IF(AD7:AD51&lt;&gt;"",ROW(AA7:AA51)-MIN(ROW(AA7:AA51))+1))),ROW()-ROW(A$55)+1)),",",";"),",",SUBSTITUTE(INDEX(IF(PURCHASE_DESCRIPTION&lt;&gt;"",PURCHASE_DESCRIPTION&amp;":","")&amp;E7:E51,SMALL(IF(ISNUMBER(AA7:AA51),IF(AA7:AA51&gt;0,IF(AD7:AD51&lt;&gt;"",ROW(AA7:AA51)-MIN(ROW(AA7:AA51))+1))),ROW()-ROW(A$55)+1)),",",";"),",",INDEX(AD7:AD51,SMALL(IF(ISNUMBER(AA7:AA51),IF(AA7:AA51&gt;0,IF(AD7:AD51&lt;&gt;"",ROW(AA7:AA51)-MIN(ROW(AA7:AA51))+1))),ROW()-ROW(A$55)+1))),"")</f>
        <v>0</v>
      </c>
      <c r="AF73">
        <f t="array" ref="AF73">IFERROR(CONCATENATE(INDEX(AI7:AI51,SMALL(IF(ISNUMBER(AF7:AF51),IF(AF7:AF51&gt;0,IF(AI7:AI51&lt;&gt;"",ROW(AF7:AF51)-MIN(ROW(AF7:AF51))+1))),ROW()-ROW(A$54)+1)),"|",TEXT(INDEX(AF7:AF51,SMALL(IF(ISNUMBER(AF7:AF51),IF(AF7:AF51&gt;0,IF(AI7:AI51&lt;&gt;"",ROW(AF7:AF51)-MIN(ROW(AF7:AF51))+1))),ROW()-ROW(A$54)+1)),"##0"),"|",SUBSTITUTE(SUBSTITUTE(INDEX(IF(PURCHASE_DESCRIPTION&lt;&gt;"",PURCHASE_DESCRIPTION&amp;":","")&amp;A7:A51,SMALL(IF(ISNUMBER(AF7:AF51),IF(AF7:AF51&gt;0,IF(AI7:AI51&lt;&gt;"",ROW(AF7:AF51)-MIN(ROW(AF7:AF51))+1))),ROW()-ROW(A$54)+1)),"|",";")," ","_")),"")</f>
        <v>0</v>
      </c>
      <c r="AK73">
        <f t="array" ref="AK73">IFERROR(CONCATENATE(INDEX(AN7:AN51,SMALL(IF(ISNUMBER(AK7:AK51),IF(AK7:AK51&gt;0,IF(AN7:AN51&lt;&gt;"",ROW(AK7:AK51)-MIN(ROW(AK7:AK51))+1))),ROW()-ROW(A$54)+1)),",",TEXT(INDEX(AK7:AK51,SMALL(IF(ISNUMBER(AK7:AK51),IF(AK7:AK51&gt;0,IF(AN7:AN51&lt;&gt;"",ROW(AK7:AK51)-MIN(ROW(AK7:AK51))+1))),ROW()-ROW(A$54)+1)),"##0"),",",SUBSTITUTE(SUBSTITUTE(INDEX(IF(PURCHASE_DESCRIPTION&lt;&gt;"",PURCHASE_DESCRIPTION&amp;":","")&amp;A7:A51,SMALL(IF(ISNUMBER(AK7:AK51),IF(AK7:AK51&gt;0,IF(AN7:AN51&lt;&gt;"",ROW(AK7:AK51)-MIN(ROW(AK7:AK51))+1))),ROW()-ROW(A$54)+1)),",",";"),"
",";"),",",SUBSTITUTE(SUBSTITUTE(INDEX(IF(PURCHASE_DESCRIPTION&lt;&gt;"",PURCHASE_DESCRIPTION&amp;":","")&amp;C7:C51,SMALL(IF(ISNUMBER(AK7:AK51),IF(AK7:AK51&gt;0,IF(AN7:AN51&lt;&gt;"",ROW(AK7:AK51)-MIN(ROW(AK7:AK51))+1))),ROW()-ROW(A$54)+1)),",",";"),"
",";"),",",SUBSTITUTE(SUBSTITUTE(INDEX(IF(PURCHASE_DESCRIPTION&lt;&gt;"",PURCHASE_DESCRIPTION&amp;":","")&amp;F7:F51,SMALL(IF(ISNUMBER(AK7:AK51),IF(AK7:AK51&gt;0,IF(AN7:AN51&lt;&gt;"",ROW(AK7:AK51)-MIN(ROW(AK7:AK51))+1))),ROW()-ROW(A$54)+1)),",",";"),"
",";"),",",SUBSTITUTE(SUBSTITUTE(INDEX(IF(PURCHASE_DESCRIPTION&lt;&gt;"",PURCHASE_DESCRIPTION&amp;":","")&amp;D7:D51,SMALL(IF(ISNUMBER(AK7:AK51),IF(AK7:AK51&gt;0,IF(AN7:AN51&lt;&gt;"",ROW(AK7:AK51)-MIN(ROW(AK7:AK51))+1))),ROW()-ROW(A$54)+1)),",",";"),"
",";")),"")</f>
        <v>0</v>
      </c>
      <c r="AP73">
        <f t="array" ref="AP73">IFERROR(CONCATENATE(INDEX(AS7:AS51,SMALL(IF(ISNUMBER(AP7:AP51),IF(AP7:AP51&gt;0,IF(AS7:AS51&lt;&gt;"",ROW(AP7:AP51)-MIN(ROW(AP7:AP51))+1))),ROW()-ROW(A$54)+1)),",",TEXT(INDEX(AP7:AP51,SMALL(IF(ISNUMBER(AP7:AP51),IF(AP7:AP51&gt;0,IF(AS7:AS51&lt;&gt;"",ROW(AP7:AP51)-MIN(ROW(AP7:AP51))+1))),ROW()-ROW(A$54)+1)),"##0"),",",,",",,",",,",",INDEX(G7:G51,SMALL(IF(ISNUMBER(AP7:AP51),IF(AP7:AP51&gt;0,IF(AS7:AS51&lt;&gt;"",ROW(AP7:AP51)-MIN(ROW(AP7:AP51))+1))),ROW()-ROW(A$54)+1)),",",SUBSTITUTE(INDEX(IF(PURCHASE_DESCRIPTION&lt;&gt;"",PURCHASE_DESCRIPTION&amp;":","")&amp;A7:A51,SMALL(IF(ISNUMBER(AP7:AP51),IF(AP7:AP51&gt;0,IF(AS7:AS51&lt;&gt;"",ROW(AP7:AP51)-MIN(ROW(AP7:AP51))+1))),ROW()-ROW(A$54)+1)),",",";")),"")</f>
        <v>0</v>
      </c>
      <c r="AU73">
        <f t="array" ref="AU73">IFERROR(CONCATENATE(INDEX(AX7:AX51,SMALL(IF(ISNUMBER(AU7:AU51),IF(AU7:AU51&gt;0,IF(AX7:AX51&lt;&gt;"",ROW(AU7:AU51)-MIN(ROW(AU7:AU51))+1))),ROW()-ROW(A$54)+1))," ",TEXT(INDEX(AU7:AU51,SMALL(IF(ISNUMBER(AU7:AU51),IF(AU7:AU51&gt;0,IF(AX7:AX51&lt;&gt;"",ROW(AU7:AU51)-MIN(ROW(AU7:AU51))+1))),ROW()-ROW(A$54)+1)),"##0")," ",SUBSTITUTE(INDEX(IF(PURCHASE_DESCRIPTION&lt;&gt;"",PURCHASE_DESCRIPTION&amp;":","")&amp;A7:A51,SMALL(IF(ISNUMBER(AU7:AU51),IF(AU7:AU51&gt;0,IF(AX7:AX51&lt;&gt;"",ROW(AU7:AU51)-MIN(ROW(AU7:AU51))+1))),ROW()-ROW(A$54)+1))," ",";")),"")</f>
        <v>0</v>
      </c>
    </row>
    <row r="74" spans="12:47">
      <c r="L74">
        <f t="array" ref="L74">IFERROR(CONCATENATE(INDEX(O7:O51,SMALL(IF(ISNUMBER(L7:L51),IF(L7:L51&gt;0,IF(O7:O51&lt;&gt;"",ROW(L7:L51)-MIN(ROW(L7:L51))+1))),ROW()-ROW(A$54)+1)),",",TEXT(INDEX(L7:L51,SMALL(IF(ISNUMBER(L7:L51),IF(L7:L51&gt;0,IF(O7:O51&lt;&gt;"",ROW(L7:L51)-MIN(ROW(L7:L51))+1))),ROW()-ROW(A$54)+1)),"##0"),",",SUBSTITUTE(INDEX(IF(PURCHASE_DESCRIPTION&lt;&gt;"",PURCHASE_DESCRIPTION&amp;":","")&amp;A7:A51,SMALL(IF(ISNUMBER(L7:L51),IF(L7:L51&gt;0,IF(O7:O51&lt;&gt;"",ROW(L7:L51)-MIN(ROW(L7:L51))+1))),ROW()-ROW(A$54)+1)),",",";")),"")</f>
        <v>0</v>
      </c>
      <c r="Q74">
        <f t="array" ref="Q74">IFERROR(CONCATENATE(TEXT(INDEX(Q7:Q51,SMALL(IF(ISNUMBER(Q7:Q51),IF(Q7:Q51&gt;0,IF(T7:T51&lt;&gt;"",ROW(Q7:Q51)-MIN(ROW(Q7:Q51))+1))),ROW()-ROW(A$54)+1)),"##0"),",",INDEX(T7:T51,SMALL(IF(ISNUMBER(Q7:Q51),IF(Q7:Q51&gt;0,IF(T7:T51&lt;&gt;"",ROW(Q7:Q51)-MIN(ROW(Q7:Q51))+1))),ROW()-ROW(A$54)+1)),",",SUBSTITUTE(INDEX(IF(PURCHASE_DESCRIPTION&lt;&gt;"",PURCHASE_DESCRIPTION&amp;":","")&amp;A7:A51,SMALL(IF(ISNUMBER(Q7:Q51),IF(Q7:Q51&gt;0,IF(T7:T51&lt;&gt;"",ROW(Q7:Q51)-MIN(ROW(Q7:Q51))+1))),ROW()-ROW(A$54)+1)),",",";")),"")</f>
        <v>0</v>
      </c>
      <c r="V74">
        <f t="array" ref="V74">IFERROR(CONCATENATE(INDEX(Y7:Y51,SMALL(IF(ISNUMBER(V7:V51),IF(V7:V51&gt;0,IF(Y7:Y51&lt;&gt;"",ROW(V7:V51)-MIN(ROW(V7:V51))+1))),ROW()-ROW(A$54)+1)),",",TEXT(INDEX(V7:V51,SMALL(IF(ISNUMBER(V7:V51),IF(V7:V51&gt;0,IF(Y7:Y51&lt;&gt;"",ROW(V7:V51)-MIN(ROW(V7:V51))+1))),ROW()-ROW(A$54)+1)),"##0"),",",SUBSTITUTE(SUBSTITUTE(INDEX(IF(PURCHASE_DESCRIPTION&lt;&gt;"",PURCHASE_DESCRIPTION&amp;":","")&amp;A7:A51,SMALL(IF(ISNUMBER(V7:V51),IF(V7:V51&gt;0,IF(Y7:Y51&lt;&gt;"",ROW(V7:V51)-MIN(ROW(V7:V51))+1))),ROW()-ROW(A$54)+1)),",",";"),"
",";"),",",SUBSTITUTE(SUBSTITUTE(INDEX(IF(PURCHASE_DESCRIPTION&lt;&gt;"",PURCHASE_DESCRIPTION&amp;":","")&amp;C7:C51,SMALL(IF(ISNUMBER(V7:V51),IF(V7:V51&gt;0,IF(Y7:Y51&lt;&gt;"",ROW(V7:V51)-MIN(ROW(V7:V51))+1))),ROW()-ROW(A$54)+1)),",",";"),"
",";"),",",SUBSTITUTE(SUBSTITUTE(INDEX(IF(PURCHASE_DESCRIPTION&lt;&gt;"",PURCHASE_DESCRIPTION&amp;":","")&amp;F7:F51,SMALL(IF(ISNUMBER(V7:V51),IF(V7:V51&gt;0,IF(Y7:Y51&lt;&gt;"",ROW(V7:V51)-MIN(ROW(V7:V51))+1))),ROW()-ROW(A$54)+1)),",",";"),"
",";"),",",SUBSTITUTE(SUBSTITUTE(INDEX(IF(PURCHASE_DESCRIPTION&lt;&gt;"",PURCHASE_DESCRIPTION&amp;":","")&amp;D7:D51,SMALL(IF(ISNUMBER(V7:V51),IF(V7:V51&gt;0,IF(Y7:Y51&lt;&gt;"",ROW(V7:V51)-MIN(ROW(V7:V51))+1))),ROW()-ROW(A$54)+1)),",",";"),"
",";")),"")</f>
        <v>0</v>
      </c>
      <c r="AA74">
        <f t="array" ref="AA74">IFERROR(CONCATENATE(TEXT(INDEX(AA7:AA51,SMALL(IF(ISNUMBER(AA7:AA51),IF(AA7:AA51&gt;0,IF(AD7:AD51&lt;&gt;"",ROW(AA7:AA51)-MIN(ROW(AA7:AA51))+1))),ROW()-ROW(A$55)+1)),"##0"),",",SUBSTITUTE(INDEX(IF(PURCHASE_DESCRIPTION&lt;&gt;"",PURCHASE_DESCRIPTION&amp;":","")&amp;A7:A51,SMALL(IF(ISNUMBER(AA7:AA51),IF(AA7:AA51&gt;0,IF(AD7:AD51&lt;&gt;"",ROW(AA7:AA51)-MIN(ROW(AA7:AA51))+1))),ROW()-ROW(A$55)+1)),",",";"),",",SUBSTITUTE(INDEX(IF(PURCHASE_DESCRIPTION&lt;&gt;"",PURCHASE_DESCRIPTION&amp;":","")&amp;E7:E51,SMALL(IF(ISNUMBER(AA7:AA51),IF(AA7:AA51&gt;0,IF(AD7:AD51&lt;&gt;"",ROW(AA7:AA51)-MIN(ROW(AA7:AA51))+1))),ROW()-ROW(A$55)+1)),",",";"),",",INDEX(AD7:AD51,SMALL(IF(ISNUMBER(AA7:AA51),IF(AA7:AA51&gt;0,IF(AD7:AD51&lt;&gt;"",ROW(AA7:AA51)-MIN(ROW(AA7:AA51))+1))),ROW()-ROW(A$55)+1))),"")</f>
        <v>0</v>
      </c>
      <c r="AF74">
        <f t="array" ref="AF74">IFERROR(CONCATENATE(INDEX(AI7:AI51,SMALL(IF(ISNUMBER(AF7:AF51),IF(AF7:AF51&gt;0,IF(AI7:AI51&lt;&gt;"",ROW(AF7:AF51)-MIN(ROW(AF7:AF51))+1))),ROW()-ROW(A$54)+1)),"|",TEXT(INDEX(AF7:AF51,SMALL(IF(ISNUMBER(AF7:AF51),IF(AF7:AF51&gt;0,IF(AI7:AI51&lt;&gt;"",ROW(AF7:AF51)-MIN(ROW(AF7:AF51))+1))),ROW()-ROW(A$54)+1)),"##0"),"|",SUBSTITUTE(SUBSTITUTE(INDEX(IF(PURCHASE_DESCRIPTION&lt;&gt;"",PURCHASE_DESCRIPTION&amp;":","")&amp;A7:A51,SMALL(IF(ISNUMBER(AF7:AF51),IF(AF7:AF51&gt;0,IF(AI7:AI51&lt;&gt;"",ROW(AF7:AF51)-MIN(ROW(AF7:AF51))+1))),ROW()-ROW(A$54)+1)),"|",";")," ","_")),"")</f>
        <v>0</v>
      </c>
      <c r="AK74">
        <f t="array" ref="AK74">IFERROR(CONCATENATE(INDEX(AN7:AN51,SMALL(IF(ISNUMBER(AK7:AK51),IF(AK7:AK51&gt;0,IF(AN7:AN51&lt;&gt;"",ROW(AK7:AK51)-MIN(ROW(AK7:AK51))+1))),ROW()-ROW(A$54)+1)),",",TEXT(INDEX(AK7:AK51,SMALL(IF(ISNUMBER(AK7:AK51),IF(AK7:AK51&gt;0,IF(AN7:AN51&lt;&gt;"",ROW(AK7:AK51)-MIN(ROW(AK7:AK51))+1))),ROW()-ROW(A$54)+1)),"##0"),",",SUBSTITUTE(SUBSTITUTE(INDEX(IF(PURCHASE_DESCRIPTION&lt;&gt;"",PURCHASE_DESCRIPTION&amp;":","")&amp;A7:A51,SMALL(IF(ISNUMBER(AK7:AK51),IF(AK7:AK51&gt;0,IF(AN7:AN51&lt;&gt;"",ROW(AK7:AK51)-MIN(ROW(AK7:AK51))+1))),ROW()-ROW(A$54)+1)),",",";"),"
",";"),",",SUBSTITUTE(SUBSTITUTE(INDEX(IF(PURCHASE_DESCRIPTION&lt;&gt;"",PURCHASE_DESCRIPTION&amp;":","")&amp;C7:C51,SMALL(IF(ISNUMBER(AK7:AK51),IF(AK7:AK51&gt;0,IF(AN7:AN51&lt;&gt;"",ROW(AK7:AK51)-MIN(ROW(AK7:AK51))+1))),ROW()-ROW(A$54)+1)),",",";"),"
",";"),",",SUBSTITUTE(SUBSTITUTE(INDEX(IF(PURCHASE_DESCRIPTION&lt;&gt;"",PURCHASE_DESCRIPTION&amp;":","")&amp;F7:F51,SMALL(IF(ISNUMBER(AK7:AK51),IF(AK7:AK51&gt;0,IF(AN7:AN51&lt;&gt;"",ROW(AK7:AK51)-MIN(ROW(AK7:AK51))+1))),ROW()-ROW(A$54)+1)),",",";"),"
",";"),",",SUBSTITUTE(SUBSTITUTE(INDEX(IF(PURCHASE_DESCRIPTION&lt;&gt;"",PURCHASE_DESCRIPTION&amp;":","")&amp;D7:D51,SMALL(IF(ISNUMBER(AK7:AK51),IF(AK7:AK51&gt;0,IF(AN7:AN51&lt;&gt;"",ROW(AK7:AK51)-MIN(ROW(AK7:AK51))+1))),ROW()-ROW(A$54)+1)),",",";"),"
",";")),"")</f>
        <v>0</v>
      </c>
      <c r="AP74">
        <f t="array" ref="AP74">IFERROR(CONCATENATE(INDEX(AS7:AS51,SMALL(IF(ISNUMBER(AP7:AP51),IF(AP7:AP51&gt;0,IF(AS7:AS51&lt;&gt;"",ROW(AP7:AP51)-MIN(ROW(AP7:AP51))+1))),ROW()-ROW(A$54)+1)),",",TEXT(INDEX(AP7:AP51,SMALL(IF(ISNUMBER(AP7:AP51),IF(AP7:AP51&gt;0,IF(AS7:AS51&lt;&gt;"",ROW(AP7:AP51)-MIN(ROW(AP7:AP51))+1))),ROW()-ROW(A$54)+1)),"##0"),",",,",",,",",,",",INDEX(G7:G51,SMALL(IF(ISNUMBER(AP7:AP51),IF(AP7:AP51&gt;0,IF(AS7:AS51&lt;&gt;"",ROW(AP7:AP51)-MIN(ROW(AP7:AP51))+1))),ROW()-ROW(A$54)+1)),",",SUBSTITUTE(INDEX(IF(PURCHASE_DESCRIPTION&lt;&gt;"",PURCHASE_DESCRIPTION&amp;":","")&amp;A7:A51,SMALL(IF(ISNUMBER(AP7:AP51),IF(AP7:AP51&gt;0,IF(AS7:AS51&lt;&gt;"",ROW(AP7:AP51)-MIN(ROW(AP7:AP51))+1))),ROW()-ROW(A$54)+1)),",",";")),"")</f>
        <v>0</v>
      </c>
      <c r="AU74">
        <f t="array" ref="AU74">IFERROR(CONCATENATE(INDEX(AX7:AX51,SMALL(IF(ISNUMBER(AU7:AU51),IF(AU7:AU51&gt;0,IF(AX7:AX51&lt;&gt;"",ROW(AU7:AU51)-MIN(ROW(AU7:AU51))+1))),ROW()-ROW(A$54)+1))," ",TEXT(INDEX(AU7:AU51,SMALL(IF(ISNUMBER(AU7:AU51),IF(AU7:AU51&gt;0,IF(AX7:AX51&lt;&gt;"",ROW(AU7:AU51)-MIN(ROW(AU7:AU51))+1))),ROW()-ROW(A$54)+1)),"##0")," ",SUBSTITUTE(INDEX(IF(PURCHASE_DESCRIPTION&lt;&gt;"",PURCHASE_DESCRIPTION&amp;":","")&amp;A7:A51,SMALL(IF(ISNUMBER(AU7:AU51),IF(AU7:AU51&gt;0,IF(AX7:AX51&lt;&gt;"",ROW(AU7:AU51)-MIN(ROW(AU7:AU51))+1))),ROW()-ROW(A$54)+1))," ",";")),"")</f>
        <v>0</v>
      </c>
    </row>
    <row r="75" spans="12:47">
      <c r="L75">
        <f t="array" ref="L75">IFERROR(CONCATENATE(INDEX(O7:O51,SMALL(IF(ISNUMBER(L7:L51),IF(L7:L51&gt;0,IF(O7:O51&lt;&gt;"",ROW(L7:L51)-MIN(ROW(L7:L51))+1))),ROW()-ROW(A$54)+1)),",",TEXT(INDEX(L7:L51,SMALL(IF(ISNUMBER(L7:L51),IF(L7:L51&gt;0,IF(O7:O51&lt;&gt;"",ROW(L7:L51)-MIN(ROW(L7:L51))+1))),ROW()-ROW(A$54)+1)),"##0"),",",SUBSTITUTE(INDEX(IF(PURCHASE_DESCRIPTION&lt;&gt;"",PURCHASE_DESCRIPTION&amp;":","")&amp;A7:A51,SMALL(IF(ISNUMBER(L7:L51),IF(L7:L51&gt;0,IF(O7:O51&lt;&gt;"",ROW(L7:L51)-MIN(ROW(L7:L51))+1))),ROW()-ROW(A$54)+1)),",",";")),"")</f>
        <v>0</v>
      </c>
      <c r="Q75">
        <f t="array" ref="Q75">IFERROR(CONCATENATE(TEXT(INDEX(Q7:Q51,SMALL(IF(ISNUMBER(Q7:Q51),IF(Q7:Q51&gt;0,IF(T7:T51&lt;&gt;"",ROW(Q7:Q51)-MIN(ROW(Q7:Q51))+1))),ROW()-ROW(A$54)+1)),"##0"),",",INDEX(T7:T51,SMALL(IF(ISNUMBER(Q7:Q51),IF(Q7:Q51&gt;0,IF(T7:T51&lt;&gt;"",ROW(Q7:Q51)-MIN(ROW(Q7:Q51))+1))),ROW()-ROW(A$54)+1)),",",SUBSTITUTE(INDEX(IF(PURCHASE_DESCRIPTION&lt;&gt;"",PURCHASE_DESCRIPTION&amp;":","")&amp;A7:A51,SMALL(IF(ISNUMBER(Q7:Q51),IF(Q7:Q51&gt;0,IF(T7:T51&lt;&gt;"",ROW(Q7:Q51)-MIN(ROW(Q7:Q51))+1))),ROW()-ROW(A$54)+1)),",",";")),"")</f>
        <v>0</v>
      </c>
      <c r="V75">
        <f t="array" ref="V75">IFERROR(CONCATENATE(INDEX(Y7:Y51,SMALL(IF(ISNUMBER(V7:V51),IF(V7:V51&gt;0,IF(Y7:Y51&lt;&gt;"",ROW(V7:V51)-MIN(ROW(V7:V51))+1))),ROW()-ROW(A$54)+1)),",",TEXT(INDEX(V7:V51,SMALL(IF(ISNUMBER(V7:V51),IF(V7:V51&gt;0,IF(Y7:Y51&lt;&gt;"",ROW(V7:V51)-MIN(ROW(V7:V51))+1))),ROW()-ROW(A$54)+1)),"##0"),",",SUBSTITUTE(SUBSTITUTE(INDEX(IF(PURCHASE_DESCRIPTION&lt;&gt;"",PURCHASE_DESCRIPTION&amp;":","")&amp;A7:A51,SMALL(IF(ISNUMBER(V7:V51),IF(V7:V51&gt;0,IF(Y7:Y51&lt;&gt;"",ROW(V7:V51)-MIN(ROW(V7:V51))+1))),ROW()-ROW(A$54)+1)),",",";"),"
",";"),",",SUBSTITUTE(SUBSTITUTE(INDEX(IF(PURCHASE_DESCRIPTION&lt;&gt;"",PURCHASE_DESCRIPTION&amp;":","")&amp;C7:C51,SMALL(IF(ISNUMBER(V7:V51),IF(V7:V51&gt;0,IF(Y7:Y51&lt;&gt;"",ROW(V7:V51)-MIN(ROW(V7:V51))+1))),ROW()-ROW(A$54)+1)),",",";"),"
",";"),",",SUBSTITUTE(SUBSTITUTE(INDEX(IF(PURCHASE_DESCRIPTION&lt;&gt;"",PURCHASE_DESCRIPTION&amp;":","")&amp;F7:F51,SMALL(IF(ISNUMBER(V7:V51),IF(V7:V51&gt;0,IF(Y7:Y51&lt;&gt;"",ROW(V7:V51)-MIN(ROW(V7:V51))+1))),ROW()-ROW(A$54)+1)),",",";"),"
",";"),",",SUBSTITUTE(SUBSTITUTE(INDEX(IF(PURCHASE_DESCRIPTION&lt;&gt;"",PURCHASE_DESCRIPTION&amp;":","")&amp;D7:D51,SMALL(IF(ISNUMBER(V7:V51),IF(V7:V51&gt;0,IF(Y7:Y51&lt;&gt;"",ROW(V7:V51)-MIN(ROW(V7:V51))+1))),ROW()-ROW(A$54)+1)),",",";"),"
",";")),"")</f>
        <v>0</v>
      </c>
      <c r="AA75">
        <f t="array" ref="AA75">IFERROR(CONCATENATE(TEXT(INDEX(AA7:AA51,SMALL(IF(ISNUMBER(AA7:AA51),IF(AA7:AA51&gt;0,IF(AD7:AD51&lt;&gt;"",ROW(AA7:AA51)-MIN(ROW(AA7:AA51))+1))),ROW()-ROW(A$55)+1)),"##0"),",",SUBSTITUTE(INDEX(IF(PURCHASE_DESCRIPTION&lt;&gt;"",PURCHASE_DESCRIPTION&amp;":","")&amp;A7:A51,SMALL(IF(ISNUMBER(AA7:AA51),IF(AA7:AA51&gt;0,IF(AD7:AD51&lt;&gt;"",ROW(AA7:AA51)-MIN(ROW(AA7:AA51))+1))),ROW()-ROW(A$55)+1)),",",";"),",",SUBSTITUTE(INDEX(IF(PURCHASE_DESCRIPTION&lt;&gt;"",PURCHASE_DESCRIPTION&amp;":","")&amp;E7:E51,SMALL(IF(ISNUMBER(AA7:AA51),IF(AA7:AA51&gt;0,IF(AD7:AD51&lt;&gt;"",ROW(AA7:AA51)-MIN(ROW(AA7:AA51))+1))),ROW()-ROW(A$55)+1)),",",";"),",",INDEX(AD7:AD51,SMALL(IF(ISNUMBER(AA7:AA51),IF(AA7:AA51&gt;0,IF(AD7:AD51&lt;&gt;"",ROW(AA7:AA51)-MIN(ROW(AA7:AA51))+1))),ROW()-ROW(A$55)+1))),"")</f>
        <v>0</v>
      </c>
      <c r="AF75">
        <f t="array" ref="AF75">IFERROR(CONCATENATE(INDEX(AI7:AI51,SMALL(IF(ISNUMBER(AF7:AF51),IF(AF7:AF51&gt;0,IF(AI7:AI51&lt;&gt;"",ROW(AF7:AF51)-MIN(ROW(AF7:AF51))+1))),ROW()-ROW(A$54)+1)),"|",TEXT(INDEX(AF7:AF51,SMALL(IF(ISNUMBER(AF7:AF51),IF(AF7:AF51&gt;0,IF(AI7:AI51&lt;&gt;"",ROW(AF7:AF51)-MIN(ROW(AF7:AF51))+1))),ROW()-ROW(A$54)+1)),"##0"),"|",SUBSTITUTE(SUBSTITUTE(INDEX(IF(PURCHASE_DESCRIPTION&lt;&gt;"",PURCHASE_DESCRIPTION&amp;":","")&amp;A7:A51,SMALL(IF(ISNUMBER(AF7:AF51),IF(AF7:AF51&gt;0,IF(AI7:AI51&lt;&gt;"",ROW(AF7:AF51)-MIN(ROW(AF7:AF51))+1))),ROW()-ROW(A$54)+1)),"|",";")," ","_")),"")</f>
        <v>0</v>
      </c>
      <c r="AK75">
        <f t="array" ref="AK75">IFERROR(CONCATENATE(INDEX(AN7:AN51,SMALL(IF(ISNUMBER(AK7:AK51),IF(AK7:AK51&gt;0,IF(AN7:AN51&lt;&gt;"",ROW(AK7:AK51)-MIN(ROW(AK7:AK51))+1))),ROW()-ROW(A$54)+1)),",",TEXT(INDEX(AK7:AK51,SMALL(IF(ISNUMBER(AK7:AK51),IF(AK7:AK51&gt;0,IF(AN7:AN51&lt;&gt;"",ROW(AK7:AK51)-MIN(ROW(AK7:AK51))+1))),ROW()-ROW(A$54)+1)),"##0"),",",SUBSTITUTE(SUBSTITUTE(INDEX(IF(PURCHASE_DESCRIPTION&lt;&gt;"",PURCHASE_DESCRIPTION&amp;":","")&amp;A7:A51,SMALL(IF(ISNUMBER(AK7:AK51),IF(AK7:AK51&gt;0,IF(AN7:AN51&lt;&gt;"",ROW(AK7:AK51)-MIN(ROW(AK7:AK51))+1))),ROW()-ROW(A$54)+1)),",",";"),"
",";"),",",SUBSTITUTE(SUBSTITUTE(INDEX(IF(PURCHASE_DESCRIPTION&lt;&gt;"",PURCHASE_DESCRIPTION&amp;":","")&amp;C7:C51,SMALL(IF(ISNUMBER(AK7:AK51),IF(AK7:AK51&gt;0,IF(AN7:AN51&lt;&gt;"",ROW(AK7:AK51)-MIN(ROW(AK7:AK51))+1))),ROW()-ROW(A$54)+1)),",",";"),"
",";"),",",SUBSTITUTE(SUBSTITUTE(INDEX(IF(PURCHASE_DESCRIPTION&lt;&gt;"",PURCHASE_DESCRIPTION&amp;":","")&amp;F7:F51,SMALL(IF(ISNUMBER(AK7:AK51),IF(AK7:AK51&gt;0,IF(AN7:AN51&lt;&gt;"",ROW(AK7:AK51)-MIN(ROW(AK7:AK51))+1))),ROW()-ROW(A$54)+1)),",",";"),"
",";"),",",SUBSTITUTE(SUBSTITUTE(INDEX(IF(PURCHASE_DESCRIPTION&lt;&gt;"",PURCHASE_DESCRIPTION&amp;":","")&amp;D7:D51,SMALL(IF(ISNUMBER(AK7:AK51),IF(AK7:AK51&gt;0,IF(AN7:AN51&lt;&gt;"",ROW(AK7:AK51)-MIN(ROW(AK7:AK51))+1))),ROW()-ROW(A$54)+1)),",",";"),"
",";")),"")</f>
        <v>0</v>
      </c>
      <c r="AP75">
        <f t="array" ref="AP75">IFERROR(CONCATENATE(INDEX(AS7:AS51,SMALL(IF(ISNUMBER(AP7:AP51),IF(AP7:AP51&gt;0,IF(AS7:AS51&lt;&gt;"",ROW(AP7:AP51)-MIN(ROW(AP7:AP51))+1))),ROW()-ROW(A$54)+1)),",",TEXT(INDEX(AP7:AP51,SMALL(IF(ISNUMBER(AP7:AP51),IF(AP7:AP51&gt;0,IF(AS7:AS51&lt;&gt;"",ROW(AP7:AP51)-MIN(ROW(AP7:AP51))+1))),ROW()-ROW(A$54)+1)),"##0"),",",,",",,",",,",",INDEX(G7:G51,SMALL(IF(ISNUMBER(AP7:AP51),IF(AP7:AP51&gt;0,IF(AS7:AS51&lt;&gt;"",ROW(AP7:AP51)-MIN(ROW(AP7:AP51))+1))),ROW()-ROW(A$54)+1)),",",SUBSTITUTE(INDEX(IF(PURCHASE_DESCRIPTION&lt;&gt;"",PURCHASE_DESCRIPTION&amp;":","")&amp;A7:A51,SMALL(IF(ISNUMBER(AP7:AP51),IF(AP7:AP51&gt;0,IF(AS7:AS51&lt;&gt;"",ROW(AP7:AP51)-MIN(ROW(AP7:AP51))+1))),ROW()-ROW(A$54)+1)),",",";")),"")</f>
        <v>0</v>
      </c>
      <c r="AU75">
        <f t="array" ref="AU75">IFERROR(CONCATENATE(INDEX(AX7:AX51,SMALL(IF(ISNUMBER(AU7:AU51),IF(AU7:AU51&gt;0,IF(AX7:AX51&lt;&gt;"",ROW(AU7:AU51)-MIN(ROW(AU7:AU51))+1))),ROW()-ROW(A$54)+1))," ",TEXT(INDEX(AU7:AU51,SMALL(IF(ISNUMBER(AU7:AU51),IF(AU7:AU51&gt;0,IF(AX7:AX51&lt;&gt;"",ROW(AU7:AU51)-MIN(ROW(AU7:AU51))+1))),ROW()-ROW(A$54)+1)),"##0")," ",SUBSTITUTE(INDEX(IF(PURCHASE_DESCRIPTION&lt;&gt;"",PURCHASE_DESCRIPTION&amp;":","")&amp;A7:A51,SMALL(IF(ISNUMBER(AU7:AU51),IF(AU7:AU51&gt;0,IF(AX7:AX51&lt;&gt;"",ROW(AU7:AU51)-MIN(ROW(AU7:AU51))+1))),ROW()-ROW(A$54)+1))," ",";")),"")</f>
        <v>0</v>
      </c>
    </row>
    <row r="76" spans="12:47">
      <c r="L76">
        <f t="array" ref="L76">IFERROR(CONCATENATE(INDEX(O7:O51,SMALL(IF(ISNUMBER(L7:L51),IF(L7:L51&gt;0,IF(O7:O51&lt;&gt;"",ROW(L7:L51)-MIN(ROW(L7:L51))+1))),ROW()-ROW(A$54)+1)),",",TEXT(INDEX(L7:L51,SMALL(IF(ISNUMBER(L7:L51),IF(L7:L51&gt;0,IF(O7:O51&lt;&gt;"",ROW(L7:L51)-MIN(ROW(L7:L51))+1))),ROW()-ROW(A$54)+1)),"##0"),",",SUBSTITUTE(INDEX(IF(PURCHASE_DESCRIPTION&lt;&gt;"",PURCHASE_DESCRIPTION&amp;":","")&amp;A7:A51,SMALL(IF(ISNUMBER(L7:L51),IF(L7:L51&gt;0,IF(O7:O51&lt;&gt;"",ROW(L7:L51)-MIN(ROW(L7:L51))+1))),ROW()-ROW(A$54)+1)),",",";")),"")</f>
        <v>0</v>
      </c>
      <c r="Q76">
        <f t="array" ref="Q76">IFERROR(CONCATENATE(TEXT(INDEX(Q7:Q51,SMALL(IF(ISNUMBER(Q7:Q51),IF(Q7:Q51&gt;0,IF(T7:T51&lt;&gt;"",ROW(Q7:Q51)-MIN(ROW(Q7:Q51))+1))),ROW()-ROW(A$54)+1)),"##0"),",",INDEX(T7:T51,SMALL(IF(ISNUMBER(Q7:Q51),IF(Q7:Q51&gt;0,IF(T7:T51&lt;&gt;"",ROW(Q7:Q51)-MIN(ROW(Q7:Q51))+1))),ROW()-ROW(A$54)+1)),",",SUBSTITUTE(INDEX(IF(PURCHASE_DESCRIPTION&lt;&gt;"",PURCHASE_DESCRIPTION&amp;":","")&amp;A7:A51,SMALL(IF(ISNUMBER(Q7:Q51),IF(Q7:Q51&gt;0,IF(T7:T51&lt;&gt;"",ROW(Q7:Q51)-MIN(ROW(Q7:Q51))+1))),ROW()-ROW(A$54)+1)),",",";")),"")</f>
        <v>0</v>
      </c>
      <c r="V76">
        <f t="array" ref="V76">IFERROR(CONCATENATE(INDEX(Y7:Y51,SMALL(IF(ISNUMBER(V7:V51),IF(V7:V51&gt;0,IF(Y7:Y51&lt;&gt;"",ROW(V7:V51)-MIN(ROW(V7:V51))+1))),ROW()-ROW(A$54)+1)),",",TEXT(INDEX(V7:V51,SMALL(IF(ISNUMBER(V7:V51),IF(V7:V51&gt;0,IF(Y7:Y51&lt;&gt;"",ROW(V7:V51)-MIN(ROW(V7:V51))+1))),ROW()-ROW(A$54)+1)),"##0"),",",SUBSTITUTE(SUBSTITUTE(INDEX(IF(PURCHASE_DESCRIPTION&lt;&gt;"",PURCHASE_DESCRIPTION&amp;":","")&amp;A7:A51,SMALL(IF(ISNUMBER(V7:V51),IF(V7:V51&gt;0,IF(Y7:Y51&lt;&gt;"",ROW(V7:V51)-MIN(ROW(V7:V51))+1))),ROW()-ROW(A$54)+1)),",",";"),"
",";"),",",SUBSTITUTE(SUBSTITUTE(INDEX(IF(PURCHASE_DESCRIPTION&lt;&gt;"",PURCHASE_DESCRIPTION&amp;":","")&amp;C7:C51,SMALL(IF(ISNUMBER(V7:V51),IF(V7:V51&gt;0,IF(Y7:Y51&lt;&gt;"",ROW(V7:V51)-MIN(ROW(V7:V51))+1))),ROW()-ROW(A$54)+1)),",",";"),"
",";"),",",SUBSTITUTE(SUBSTITUTE(INDEX(IF(PURCHASE_DESCRIPTION&lt;&gt;"",PURCHASE_DESCRIPTION&amp;":","")&amp;F7:F51,SMALL(IF(ISNUMBER(V7:V51),IF(V7:V51&gt;0,IF(Y7:Y51&lt;&gt;"",ROW(V7:V51)-MIN(ROW(V7:V51))+1))),ROW()-ROW(A$54)+1)),",",";"),"
",";"),",",SUBSTITUTE(SUBSTITUTE(INDEX(IF(PURCHASE_DESCRIPTION&lt;&gt;"",PURCHASE_DESCRIPTION&amp;":","")&amp;D7:D51,SMALL(IF(ISNUMBER(V7:V51),IF(V7:V51&gt;0,IF(Y7:Y51&lt;&gt;"",ROW(V7:V51)-MIN(ROW(V7:V51))+1))),ROW()-ROW(A$54)+1)),",",";"),"
",";")),"")</f>
        <v>0</v>
      </c>
      <c r="AA76">
        <f t="array" ref="AA76">IFERROR(CONCATENATE(TEXT(INDEX(AA7:AA51,SMALL(IF(ISNUMBER(AA7:AA51),IF(AA7:AA51&gt;0,IF(AD7:AD51&lt;&gt;"",ROW(AA7:AA51)-MIN(ROW(AA7:AA51))+1))),ROW()-ROW(A$55)+1)),"##0"),",",SUBSTITUTE(INDEX(IF(PURCHASE_DESCRIPTION&lt;&gt;"",PURCHASE_DESCRIPTION&amp;":","")&amp;A7:A51,SMALL(IF(ISNUMBER(AA7:AA51),IF(AA7:AA51&gt;0,IF(AD7:AD51&lt;&gt;"",ROW(AA7:AA51)-MIN(ROW(AA7:AA51))+1))),ROW()-ROW(A$55)+1)),",",";"),",",SUBSTITUTE(INDEX(IF(PURCHASE_DESCRIPTION&lt;&gt;"",PURCHASE_DESCRIPTION&amp;":","")&amp;E7:E51,SMALL(IF(ISNUMBER(AA7:AA51),IF(AA7:AA51&gt;0,IF(AD7:AD51&lt;&gt;"",ROW(AA7:AA51)-MIN(ROW(AA7:AA51))+1))),ROW()-ROW(A$55)+1)),",",";"),",",INDEX(AD7:AD51,SMALL(IF(ISNUMBER(AA7:AA51),IF(AA7:AA51&gt;0,IF(AD7:AD51&lt;&gt;"",ROW(AA7:AA51)-MIN(ROW(AA7:AA51))+1))),ROW()-ROW(A$55)+1))),"")</f>
        <v>0</v>
      </c>
      <c r="AF76">
        <f t="array" ref="AF76">IFERROR(CONCATENATE(INDEX(AI7:AI51,SMALL(IF(ISNUMBER(AF7:AF51),IF(AF7:AF51&gt;0,IF(AI7:AI51&lt;&gt;"",ROW(AF7:AF51)-MIN(ROW(AF7:AF51))+1))),ROW()-ROW(A$54)+1)),"|",TEXT(INDEX(AF7:AF51,SMALL(IF(ISNUMBER(AF7:AF51),IF(AF7:AF51&gt;0,IF(AI7:AI51&lt;&gt;"",ROW(AF7:AF51)-MIN(ROW(AF7:AF51))+1))),ROW()-ROW(A$54)+1)),"##0"),"|",SUBSTITUTE(SUBSTITUTE(INDEX(IF(PURCHASE_DESCRIPTION&lt;&gt;"",PURCHASE_DESCRIPTION&amp;":","")&amp;A7:A51,SMALL(IF(ISNUMBER(AF7:AF51),IF(AF7:AF51&gt;0,IF(AI7:AI51&lt;&gt;"",ROW(AF7:AF51)-MIN(ROW(AF7:AF51))+1))),ROW()-ROW(A$54)+1)),"|",";")," ","_")),"")</f>
        <v>0</v>
      </c>
      <c r="AK76">
        <f t="array" ref="AK76">IFERROR(CONCATENATE(INDEX(AN7:AN51,SMALL(IF(ISNUMBER(AK7:AK51),IF(AK7:AK51&gt;0,IF(AN7:AN51&lt;&gt;"",ROW(AK7:AK51)-MIN(ROW(AK7:AK51))+1))),ROW()-ROW(A$54)+1)),",",TEXT(INDEX(AK7:AK51,SMALL(IF(ISNUMBER(AK7:AK51),IF(AK7:AK51&gt;0,IF(AN7:AN51&lt;&gt;"",ROW(AK7:AK51)-MIN(ROW(AK7:AK51))+1))),ROW()-ROW(A$54)+1)),"##0"),",",SUBSTITUTE(SUBSTITUTE(INDEX(IF(PURCHASE_DESCRIPTION&lt;&gt;"",PURCHASE_DESCRIPTION&amp;":","")&amp;A7:A51,SMALL(IF(ISNUMBER(AK7:AK51),IF(AK7:AK51&gt;0,IF(AN7:AN51&lt;&gt;"",ROW(AK7:AK51)-MIN(ROW(AK7:AK51))+1))),ROW()-ROW(A$54)+1)),",",";"),"
",";"),",",SUBSTITUTE(SUBSTITUTE(INDEX(IF(PURCHASE_DESCRIPTION&lt;&gt;"",PURCHASE_DESCRIPTION&amp;":","")&amp;C7:C51,SMALL(IF(ISNUMBER(AK7:AK51),IF(AK7:AK51&gt;0,IF(AN7:AN51&lt;&gt;"",ROW(AK7:AK51)-MIN(ROW(AK7:AK51))+1))),ROW()-ROW(A$54)+1)),",",";"),"
",";"),",",SUBSTITUTE(SUBSTITUTE(INDEX(IF(PURCHASE_DESCRIPTION&lt;&gt;"",PURCHASE_DESCRIPTION&amp;":","")&amp;F7:F51,SMALL(IF(ISNUMBER(AK7:AK51),IF(AK7:AK51&gt;0,IF(AN7:AN51&lt;&gt;"",ROW(AK7:AK51)-MIN(ROW(AK7:AK51))+1))),ROW()-ROW(A$54)+1)),",",";"),"
",";"),",",SUBSTITUTE(SUBSTITUTE(INDEX(IF(PURCHASE_DESCRIPTION&lt;&gt;"",PURCHASE_DESCRIPTION&amp;":","")&amp;D7:D51,SMALL(IF(ISNUMBER(AK7:AK51),IF(AK7:AK51&gt;0,IF(AN7:AN51&lt;&gt;"",ROW(AK7:AK51)-MIN(ROW(AK7:AK51))+1))),ROW()-ROW(A$54)+1)),",",";"),"
",";")),"")</f>
        <v>0</v>
      </c>
      <c r="AP76">
        <f t="array" ref="AP76">IFERROR(CONCATENATE(INDEX(AS7:AS51,SMALL(IF(ISNUMBER(AP7:AP51),IF(AP7:AP51&gt;0,IF(AS7:AS51&lt;&gt;"",ROW(AP7:AP51)-MIN(ROW(AP7:AP51))+1))),ROW()-ROW(A$54)+1)),",",TEXT(INDEX(AP7:AP51,SMALL(IF(ISNUMBER(AP7:AP51),IF(AP7:AP51&gt;0,IF(AS7:AS51&lt;&gt;"",ROW(AP7:AP51)-MIN(ROW(AP7:AP51))+1))),ROW()-ROW(A$54)+1)),"##0"),",",,",",,",",,",",INDEX(G7:G51,SMALL(IF(ISNUMBER(AP7:AP51),IF(AP7:AP51&gt;0,IF(AS7:AS51&lt;&gt;"",ROW(AP7:AP51)-MIN(ROW(AP7:AP51))+1))),ROW()-ROW(A$54)+1)),",",SUBSTITUTE(INDEX(IF(PURCHASE_DESCRIPTION&lt;&gt;"",PURCHASE_DESCRIPTION&amp;":","")&amp;A7:A51,SMALL(IF(ISNUMBER(AP7:AP51),IF(AP7:AP51&gt;0,IF(AS7:AS51&lt;&gt;"",ROW(AP7:AP51)-MIN(ROW(AP7:AP51))+1))),ROW()-ROW(A$54)+1)),",",";")),"")</f>
        <v>0</v>
      </c>
      <c r="AU76">
        <f t="array" ref="AU76">IFERROR(CONCATENATE(INDEX(AX7:AX51,SMALL(IF(ISNUMBER(AU7:AU51),IF(AU7:AU51&gt;0,IF(AX7:AX51&lt;&gt;"",ROW(AU7:AU51)-MIN(ROW(AU7:AU51))+1))),ROW()-ROW(A$54)+1))," ",TEXT(INDEX(AU7:AU51,SMALL(IF(ISNUMBER(AU7:AU51),IF(AU7:AU51&gt;0,IF(AX7:AX51&lt;&gt;"",ROW(AU7:AU51)-MIN(ROW(AU7:AU51))+1))),ROW()-ROW(A$54)+1)),"##0")," ",SUBSTITUTE(INDEX(IF(PURCHASE_DESCRIPTION&lt;&gt;"",PURCHASE_DESCRIPTION&amp;":","")&amp;A7:A51,SMALL(IF(ISNUMBER(AU7:AU51),IF(AU7:AU51&gt;0,IF(AX7:AX51&lt;&gt;"",ROW(AU7:AU51)-MIN(ROW(AU7:AU51))+1))),ROW()-ROW(A$54)+1))," ",";")),"")</f>
        <v>0</v>
      </c>
    </row>
    <row r="77" spans="12:47">
      <c r="L77">
        <f t="array" ref="L77">IFERROR(CONCATENATE(INDEX(O7:O51,SMALL(IF(ISNUMBER(L7:L51),IF(L7:L51&gt;0,IF(O7:O51&lt;&gt;"",ROW(L7:L51)-MIN(ROW(L7:L51))+1))),ROW()-ROW(A$54)+1)),",",TEXT(INDEX(L7:L51,SMALL(IF(ISNUMBER(L7:L51),IF(L7:L51&gt;0,IF(O7:O51&lt;&gt;"",ROW(L7:L51)-MIN(ROW(L7:L51))+1))),ROW()-ROW(A$54)+1)),"##0"),",",SUBSTITUTE(INDEX(IF(PURCHASE_DESCRIPTION&lt;&gt;"",PURCHASE_DESCRIPTION&amp;":","")&amp;A7:A51,SMALL(IF(ISNUMBER(L7:L51),IF(L7:L51&gt;0,IF(O7:O51&lt;&gt;"",ROW(L7:L51)-MIN(ROW(L7:L51))+1))),ROW()-ROW(A$54)+1)),",",";")),"")</f>
        <v>0</v>
      </c>
      <c r="Q77">
        <f t="array" ref="Q77">IFERROR(CONCATENATE(TEXT(INDEX(Q7:Q51,SMALL(IF(ISNUMBER(Q7:Q51),IF(Q7:Q51&gt;0,IF(T7:T51&lt;&gt;"",ROW(Q7:Q51)-MIN(ROW(Q7:Q51))+1))),ROW()-ROW(A$54)+1)),"##0"),",",INDEX(T7:T51,SMALL(IF(ISNUMBER(Q7:Q51),IF(Q7:Q51&gt;0,IF(T7:T51&lt;&gt;"",ROW(Q7:Q51)-MIN(ROW(Q7:Q51))+1))),ROW()-ROW(A$54)+1)),",",SUBSTITUTE(INDEX(IF(PURCHASE_DESCRIPTION&lt;&gt;"",PURCHASE_DESCRIPTION&amp;":","")&amp;A7:A51,SMALL(IF(ISNUMBER(Q7:Q51),IF(Q7:Q51&gt;0,IF(T7:T51&lt;&gt;"",ROW(Q7:Q51)-MIN(ROW(Q7:Q51))+1))),ROW()-ROW(A$54)+1)),",",";")),"")</f>
        <v>0</v>
      </c>
      <c r="V77">
        <f t="array" ref="V77">IFERROR(CONCATENATE(INDEX(Y7:Y51,SMALL(IF(ISNUMBER(V7:V51),IF(V7:V51&gt;0,IF(Y7:Y51&lt;&gt;"",ROW(V7:V51)-MIN(ROW(V7:V51))+1))),ROW()-ROW(A$54)+1)),",",TEXT(INDEX(V7:V51,SMALL(IF(ISNUMBER(V7:V51),IF(V7:V51&gt;0,IF(Y7:Y51&lt;&gt;"",ROW(V7:V51)-MIN(ROW(V7:V51))+1))),ROW()-ROW(A$54)+1)),"##0"),",",SUBSTITUTE(SUBSTITUTE(INDEX(IF(PURCHASE_DESCRIPTION&lt;&gt;"",PURCHASE_DESCRIPTION&amp;":","")&amp;A7:A51,SMALL(IF(ISNUMBER(V7:V51),IF(V7:V51&gt;0,IF(Y7:Y51&lt;&gt;"",ROW(V7:V51)-MIN(ROW(V7:V51))+1))),ROW()-ROW(A$54)+1)),",",";"),"
",";"),",",SUBSTITUTE(SUBSTITUTE(INDEX(IF(PURCHASE_DESCRIPTION&lt;&gt;"",PURCHASE_DESCRIPTION&amp;":","")&amp;C7:C51,SMALL(IF(ISNUMBER(V7:V51),IF(V7:V51&gt;0,IF(Y7:Y51&lt;&gt;"",ROW(V7:V51)-MIN(ROW(V7:V51))+1))),ROW()-ROW(A$54)+1)),",",";"),"
",";"),",",SUBSTITUTE(SUBSTITUTE(INDEX(IF(PURCHASE_DESCRIPTION&lt;&gt;"",PURCHASE_DESCRIPTION&amp;":","")&amp;F7:F51,SMALL(IF(ISNUMBER(V7:V51),IF(V7:V51&gt;0,IF(Y7:Y51&lt;&gt;"",ROW(V7:V51)-MIN(ROW(V7:V51))+1))),ROW()-ROW(A$54)+1)),",",";"),"
",";"),",",SUBSTITUTE(SUBSTITUTE(INDEX(IF(PURCHASE_DESCRIPTION&lt;&gt;"",PURCHASE_DESCRIPTION&amp;":","")&amp;D7:D51,SMALL(IF(ISNUMBER(V7:V51),IF(V7:V51&gt;0,IF(Y7:Y51&lt;&gt;"",ROW(V7:V51)-MIN(ROW(V7:V51))+1))),ROW()-ROW(A$54)+1)),",",";"),"
",";")),"")</f>
        <v>0</v>
      </c>
      <c r="AA77">
        <f t="array" ref="AA77">IFERROR(CONCATENATE(TEXT(INDEX(AA7:AA51,SMALL(IF(ISNUMBER(AA7:AA51),IF(AA7:AA51&gt;0,IF(AD7:AD51&lt;&gt;"",ROW(AA7:AA51)-MIN(ROW(AA7:AA51))+1))),ROW()-ROW(A$55)+1)),"##0"),",",SUBSTITUTE(INDEX(IF(PURCHASE_DESCRIPTION&lt;&gt;"",PURCHASE_DESCRIPTION&amp;":","")&amp;A7:A51,SMALL(IF(ISNUMBER(AA7:AA51),IF(AA7:AA51&gt;0,IF(AD7:AD51&lt;&gt;"",ROW(AA7:AA51)-MIN(ROW(AA7:AA51))+1))),ROW()-ROW(A$55)+1)),",",";"),",",SUBSTITUTE(INDEX(IF(PURCHASE_DESCRIPTION&lt;&gt;"",PURCHASE_DESCRIPTION&amp;":","")&amp;E7:E51,SMALL(IF(ISNUMBER(AA7:AA51),IF(AA7:AA51&gt;0,IF(AD7:AD51&lt;&gt;"",ROW(AA7:AA51)-MIN(ROW(AA7:AA51))+1))),ROW()-ROW(A$55)+1)),",",";"),",",INDEX(AD7:AD51,SMALL(IF(ISNUMBER(AA7:AA51),IF(AA7:AA51&gt;0,IF(AD7:AD51&lt;&gt;"",ROW(AA7:AA51)-MIN(ROW(AA7:AA51))+1))),ROW()-ROW(A$55)+1))),"")</f>
        <v>0</v>
      </c>
      <c r="AF77">
        <f t="array" ref="AF77">IFERROR(CONCATENATE(INDEX(AI7:AI51,SMALL(IF(ISNUMBER(AF7:AF51),IF(AF7:AF51&gt;0,IF(AI7:AI51&lt;&gt;"",ROW(AF7:AF51)-MIN(ROW(AF7:AF51))+1))),ROW()-ROW(A$54)+1)),"|",TEXT(INDEX(AF7:AF51,SMALL(IF(ISNUMBER(AF7:AF51),IF(AF7:AF51&gt;0,IF(AI7:AI51&lt;&gt;"",ROW(AF7:AF51)-MIN(ROW(AF7:AF51))+1))),ROW()-ROW(A$54)+1)),"##0"),"|",SUBSTITUTE(SUBSTITUTE(INDEX(IF(PURCHASE_DESCRIPTION&lt;&gt;"",PURCHASE_DESCRIPTION&amp;":","")&amp;A7:A51,SMALL(IF(ISNUMBER(AF7:AF51),IF(AF7:AF51&gt;0,IF(AI7:AI51&lt;&gt;"",ROW(AF7:AF51)-MIN(ROW(AF7:AF51))+1))),ROW()-ROW(A$54)+1)),"|",";")," ","_")),"")</f>
        <v>0</v>
      </c>
      <c r="AK77">
        <f t="array" ref="AK77">IFERROR(CONCATENATE(INDEX(AN7:AN51,SMALL(IF(ISNUMBER(AK7:AK51),IF(AK7:AK51&gt;0,IF(AN7:AN51&lt;&gt;"",ROW(AK7:AK51)-MIN(ROW(AK7:AK51))+1))),ROW()-ROW(A$54)+1)),",",TEXT(INDEX(AK7:AK51,SMALL(IF(ISNUMBER(AK7:AK51),IF(AK7:AK51&gt;0,IF(AN7:AN51&lt;&gt;"",ROW(AK7:AK51)-MIN(ROW(AK7:AK51))+1))),ROW()-ROW(A$54)+1)),"##0"),",",SUBSTITUTE(SUBSTITUTE(INDEX(IF(PURCHASE_DESCRIPTION&lt;&gt;"",PURCHASE_DESCRIPTION&amp;":","")&amp;A7:A51,SMALL(IF(ISNUMBER(AK7:AK51),IF(AK7:AK51&gt;0,IF(AN7:AN51&lt;&gt;"",ROW(AK7:AK51)-MIN(ROW(AK7:AK51))+1))),ROW()-ROW(A$54)+1)),",",";"),"
",";"),",",SUBSTITUTE(SUBSTITUTE(INDEX(IF(PURCHASE_DESCRIPTION&lt;&gt;"",PURCHASE_DESCRIPTION&amp;":","")&amp;C7:C51,SMALL(IF(ISNUMBER(AK7:AK51),IF(AK7:AK51&gt;0,IF(AN7:AN51&lt;&gt;"",ROW(AK7:AK51)-MIN(ROW(AK7:AK51))+1))),ROW()-ROW(A$54)+1)),",",";"),"
",";"),",",SUBSTITUTE(SUBSTITUTE(INDEX(IF(PURCHASE_DESCRIPTION&lt;&gt;"",PURCHASE_DESCRIPTION&amp;":","")&amp;F7:F51,SMALL(IF(ISNUMBER(AK7:AK51),IF(AK7:AK51&gt;0,IF(AN7:AN51&lt;&gt;"",ROW(AK7:AK51)-MIN(ROW(AK7:AK51))+1))),ROW()-ROW(A$54)+1)),",",";"),"
",";"),",",SUBSTITUTE(SUBSTITUTE(INDEX(IF(PURCHASE_DESCRIPTION&lt;&gt;"",PURCHASE_DESCRIPTION&amp;":","")&amp;D7:D51,SMALL(IF(ISNUMBER(AK7:AK51),IF(AK7:AK51&gt;0,IF(AN7:AN51&lt;&gt;"",ROW(AK7:AK51)-MIN(ROW(AK7:AK51))+1))),ROW()-ROW(A$54)+1)),",",";"),"
",";")),"")</f>
        <v>0</v>
      </c>
      <c r="AP77">
        <f t="array" ref="AP77">IFERROR(CONCATENATE(INDEX(AS7:AS51,SMALL(IF(ISNUMBER(AP7:AP51),IF(AP7:AP51&gt;0,IF(AS7:AS51&lt;&gt;"",ROW(AP7:AP51)-MIN(ROW(AP7:AP51))+1))),ROW()-ROW(A$54)+1)),",",TEXT(INDEX(AP7:AP51,SMALL(IF(ISNUMBER(AP7:AP51),IF(AP7:AP51&gt;0,IF(AS7:AS51&lt;&gt;"",ROW(AP7:AP51)-MIN(ROW(AP7:AP51))+1))),ROW()-ROW(A$54)+1)),"##0"),",",,",",,",",,",",INDEX(G7:G51,SMALL(IF(ISNUMBER(AP7:AP51),IF(AP7:AP51&gt;0,IF(AS7:AS51&lt;&gt;"",ROW(AP7:AP51)-MIN(ROW(AP7:AP51))+1))),ROW()-ROW(A$54)+1)),",",SUBSTITUTE(INDEX(IF(PURCHASE_DESCRIPTION&lt;&gt;"",PURCHASE_DESCRIPTION&amp;":","")&amp;A7:A51,SMALL(IF(ISNUMBER(AP7:AP51),IF(AP7:AP51&gt;0,IF(AS7:AS51&lt;&gt;"",ROW(AP7:AP51)-MIN(ROW(AP7:AP51))+1))),ROW()-ROW(A$54)+1)),",",";")),"")</f>
        <v>0</v>
      </c>
      <c r="AU77">
        <f t="array" ref="AU77">IFERROR(CONCATENATE(INDEX(AX7:AX51,SMALL(IF(ISNUMBER(AU7:AU51),IF(AU7:AU51&gt;0,IF(AX7:AX51&lt;&gt;"",ROW(AU7:AU51)-MIN(ROW(AU7:AU51))+1))),ROW()-ROW(A$54)+1))," ",TEXT(INDEX(AU7:AU51,SMALL(IF(ISNUMBER(AU7:AU51),IF(AU7:AU51&gt;0,IF(AX7:AX51&lt;&gt;"",ROW(AU7:AU51)-MIN(ROW(AU7:AU51))+1))),ROW()-ROW(A$54)+1)),"##0")," ",SUBSTITUTE(INDEX(IF(PURCHASE_DESCRIPTION&lt;&gt;"",PURCHASE_DESCRIPTION&amp;":","")&amp;A7:A51,SMALL(IF(ISNUMBER(AU7:AU51),IF(AU7:AU51&gt;0,IF(AX7:AX51&lt;&gt;"",ROW(AU7:AU51)-MIN(ROW(AU7:AU51))+1))),ROW()-ROW(A$54)+1))," ",";")),"")</f>
        <v>0</v>
      </c>
    </row>
    <row r="78" spans="12:47">
      <c r="L78">
        <f t="array" ref="L78">IFERROR(CONCATENATE(INDEX(O7:O51,SMALL(IF(ISNUMBER(L7:L51),IF(L7:L51&gt;0,IF(O7:O51&lt;&gt;"",ROW(L7:L51)-MIN(ROW(L7:L51))+1))),ROW()-ROW(A$54)+1)),",",TEXT(INDEX(L7:L51,SMALL(IF(ISNUMBER(L7:L51),IF(L7:L51&gt;0,IF(O7:O51&lt;&gt;"",ROW(L7:L51)-MIN(ROW(L7:L51))+1))),ROW()-ROW(A$54)+1)),"##0"),",",SUBSTITUTE(INDEX(IF(PURCHASE_DESCRIPTION&lt;&gt;"",PURCHASE_DESCRIPTION&amp;":","")&amp;A7:A51,SMALL(IF(ISNUMBER(L7:L51),IF(L7:L51&gt;0,IF(O7:O51&lt;&gt;"",ROW(L7:L51)-MIN(ROW(L7:L51))+1))),ROW()-ROW(A$54)+1)),",",";")),"")</f>
        <v>0</v>
      </c>
      <c r="Q78">
        <f t="array" ref="Q78">IFERROR(CONCATENATE(TEXT(INDEX(Q7:Q51,SMALL(IF(ISNUMBER(Q7:Q51),IF(Q7:Q51&gt;0,IF(T7:T51&lt;&gt;"",ROW(Q7:Q51)-MIN(ROW(Q7:Q51))+1))),ROW()-ROW(A$54)+1)),"##0"),",",INDEX(T7:T51,SMALL(IF(ISNUMBER(Q7:Q51),IF(Q7:Q51&gt;0,IF(T7:T51&lt;&gt;"",ROW(Q7:Q51)-MIN(ROW(Q7:Q51))+1))),ROW()-ROW(A$54)+1)),",",SUBSTITUTE(INDEX(IF(PURCHASE_DESCRIPTION&lt;&gt;"",PURCHASE_DESCRIPTION&amp;":","")&amp;A7:A51,SMALL(IF(ISNUMBER(Q7:Q51),IF(Q7:Q51&gt;0,IF(T7:T51&lt;&gt;"",ROW(Q7:Q51)-MIN(ROW(Q7:Q51))+1))),ROW()-ROW(A$54)+1)),",",";")),"")</f>
        <v>0</v>
      </c>
      <c r="V78">
        <f t="array" ref="V78">IFERROR(CONCATENATE(INDEX(Y7:Y51,SMALL(IF(ISNUMBER(V7:V51),IF(V7:V51&gt;0,IF(Y7:Y51&lt;&gt;"",ROW(V7:V51)-MIN(ROW(V7:V51))+1))),ROW()-ROW(A$54)+1)),",",TEXT(INDEX(V7:V51,SMALL(IF(ISNUMBER(V7:V51),IF(V7:V51&gt;0,IF(Y7:Y51&lt;&gt;"",ROW(V7:V51)-MIN(ROW(V7:V51))+1))),ROW()-ROW(A$54)+1)),"##0"),",",SUBSTITUTE(SUBSTITUTE(INDEX(IF(PURCHASE_DESCRIPTION&lt;&gt;"",PURCHASE_DESCRIPTION&amp;":","")&amp;A7:A51,SMALL(IF(ISNUMBER(V7:V51),IF(V7:V51&gt;0,IF(Y7:Y51&lt;&gt;"",ROW(V7:V51)-MIN(ROW(V7:V51))+1))),ROW()-ROW(A$54)+1)),",",";"),"
",";"),",",SUBSTITUTE(SUBSTITUTE(INDEX(IF(PURCHASE_DESCRIPTION&lt;&gt;"",PURCHASE_DESCRIPTION&amp;":","")&amp;C7:C51,SMALL(IF(ISNUMBER(V7:V51),IF(V7:V51&gt;0,IF(Y7:Y51&lt;&gt;"",ROW(V7:V51)-MIN(ROW(V7:V51))+1))),ROW()-ROW(A$54)+1)),",",";"),"
",";"),",",SUBSTITUTE(SUBSTITUTE(INDEX(IF(PURCHASE_DESCRIPTION&lt;&gt;"",PURCHASE_DESCRIPTION&amp;":","")&amp;F7:F51,SMALL(IF(ISNUMBER(V7:V51),IF(V7:V51&gt;0,IF(Y7:Y51&lt;&gt;"",ROW(V7:V51)-MIN(ROW(V7:V51))+1))),ROW()-ROW(A$54)+1)),",",";"),"
",";"),",",SUBSTITUTE(SUBSTITUTE(INDEX(IF(PURCHASE_DESCRIPTION&lt;&gt;"",PURCHASE_DESCRIPTION&amp;":","")&amp;D7:D51,SMALL(IF(ISNUMBER(V7:V51),IF(V7:V51&gt;0,IF(Y7:Y51&lt;&gt;"",ROW(V7:V51)-MIN(ROW(V7:V51))+1))),ROW()-ROW(A$54)+1)),",",";"),"
",";")),"")</f>
        <v>0</v>
      </c>
      <c r="AA78">
        <f t="array" ref="AA78">IFERROR(CONCATENATE(TEXT(INDEX(AA7:AA51,SMALL(IF(ISNUMBER(AA7:AA51),IF(AA7:AA51&gt;0,IF(AD7:AD51&lt;&gt;"",ROW(AA7:AA51)-MIN(ROW(AA7:AA51))+1))),ROW()-ROW(A$55)+1)),"##0"),",",SUBSTITUTE(INDEX(IF(PURCHASE_DESCRIPTION&lt;&gt;"",PURCHASE_DESCRIPTION&amp;":","")&amp;A7:A51,SMALL(IF(ISNUMBER(AA7:AA51),IF(AA7:AA51&gt;0,IF(AD7:AD51&lt;&gt;"",ROW(AA7:AA51)-MIN(ROW(AA7:AA51))+1))),ROW()-ROW(A$55)+1)),",",";"),",",SUBSTITUTE(INDEX(IF(PURCHASE_DESCRIPTION&lt;&gt;"",PURCHASE_DESCRIPTION&amp;":","")&amp;E7:E51,SMALL(IF(ISNUMBER(AA7:AA51),IF(AA7:AA51&gt;0,IF(AD7:AD51&lt;&gt;"",ROW(AA7:AA51)-MIN(ROW(AA7:AA51))+1))),ROW()-ROW(A$55)+1)),",",";"),",",INDEX(AD7:AD51,SMALL(IF(ISNUMBER(AA7:AA51),IF(AA7:AA51&gt;0,IF(AD7:AD51&lt;&gt;"",ROW(AA7:AA51)-MIN(ROW(AA7:AA51))+1))),ROW()-ROW(A$55)+1))),"")</f>
        <v>0</v>
      </c>
      <c r="AF78">
        <f t="array" ref="AF78">IFERROR(CONCATENATE(INDEX(AI7:AI51,SMALL(IF(ISNUMBER(AF7:AF51),IF(AF7:AF51&gt;0,IF(AI7:AI51&lt;&gt;"",ROW(AF7:AF51)-MIN(ROW(AF7:AF51))+1))),ROW()-ROW(A$54)+1)),"|",TEXT(INDEX(AF7:AF51,SMALL(IF(ISNUMBER(AF7:AF51),IF(AF7:AF51&gt;0,IF(AI7:AI51&lt;&gt;"",ROW(AF7:AF51)-MIN(ROW(AF7:AF51))+1))),ROW()-ROW(A$54)+1)),"##0"),"|",SUBSTITUTE(SUBSTITUTE(INDEX(IF(PURCHASE_DESCRIPTION&lt;&gt;"",PURCHASE_DESCRIPTION&amp;":","")&amp;A7:A51,SMALL(IF(ISNUMBER(AF7:AF51),IF(AF7:AF51&gt;0,IF(AI7:AI51&lt;&gt;"",ROW(AF7:AF51)-MIN(ROW(AF7:AF51))+1))),ROW()-ROW(A$54)+1)),"|",";")," ","_")),"")</f>
        <v>0</v>
      </c>
      <c r="AK78">
        <f t="array" ref="AK78">IFERROR(CONCATENATE(INDEX(AN7:AN51,SMALL(IF(ISNUMBER(AK7:AK51),IF(AK7:AK51&gt;0,IF(AN7:AN51&lt;&gt;"",ROW(AK7:AK51)-MIN(ROW(AK7:AK51))+1))),ROW()-ROW(A$54)+1)),",",TEXT(INDEX(AK7:AK51,SMALL(IF(ISNUMBER(AK7:AK51),IF(AK7:AK51&gt;0,IF(AN7:AN51&lt;&gt;"",ROW(AK7:AK51)-MIN(ROW(AK7:AK51))+1))),ROW()-ROW(A$54)+1)),"##0"),",",SUBSTITUTE(SUBSTITUTE(INDEX(IF(PURCHASE_DESCRIPTION&lt;&gt;"",PURCHASE_DESCRIPTION&amp;":","")&amp;A7:A51,SMALL(IF(ISNUMBER(AK7:AK51),IF(AK7:AK51&gt;0,IF(AN7:AN51&lt;&gt;"",ROW(AK7:AK51)-MIN(ROW(AK7:AK51))+1))),ROW()-ROW(A$54)+1)),",",";"),"
",";"),",",SUBSTITUTE(SUBSTITUTE(INDEX(IF(PURCHASE_DESCRIPTION&lt;&gt;"",PURCHASE_DESCRIPTION&amp;":","")&amp;C7:C51,SMALL(IF(ISNUMBER(AK7:AK51),IF(AK7:AK51&gt;0,IF(AN7:AN51&lt;&gt;"",ROW(AK7:AK51)-MIN(ROW(AK7:AK51))+1))),ROW()-ROW(A$54)+1)),",",";"),"
",";"),",",SUBSTITUTE(SUBSTITUTE(INDEX(IF(PURCHASE_DESCRIPTION&lt;&gt;"",PURCHASE_DESCRIPTION&amp;":","")&amp;F7:F51,SMALL(IF(ISNUMBER(AK7:AK51),IF(AK7:AK51&gt;0,IF(AN7:AN51&lt;&gt;"",ROW(AK7:AK51)-MIN(ROW(AK7:AK51))+1))),ROW()-ROW(A$54)+1)),",",";"),"
",";"),",",SUBSTITUTE(SUBSTITUTE(INDEX(IF(PURCHASE_DESCRIPTION&lt;&gt;"",PURCHASE_DESCRIPTION&amp;":","")&amp;D7:D51,SMALL(IF(ISNUMBER(AK7:AK51),IF(AK7:AK51&gt;0,IF(AN7:AN51&lt;&gt;"",ROW(AK7:AK51)-MIN(ROW(AK7:AK51))+1))),ROW()-ROW(A$54)+1)),",",";"),"
",";")),"")</f>
        <v>0</v>
      </c>
      <c r="AP78">
        <f t="array" ref="AP78">IFERROR(CONCATENATE(INDEX(AS7:AS51,SMALL(IF(ISNUMBER(AP7:AP51),IF(AP7:AP51&gt;0,IF(AS7:AS51&lt;&gt;"",ROW(AP7:AP51)-MIN(ROW(AP7:AP51))+1))),ROW()-ROW(A$54)+1)),",",TEXT(INDEX(AP7:AP51,SMALL(IF(ISNUMBER(AP7:AP51),IF(AP7:AP51&gt;0,IF(AS7:AS51&lt;&gt;"",ROW(AP7:AP51)-MIN(ROW(AP7:AP51))+1))),ROW()-ROW(A$54)+1)),"##0"),",",,",",,",",,",",INDEX(G7:G51,SMALL(IF(ISNUMBER(AP7:AP51),IF(AP7:AP51&gt;0,IF(AS7:AS51&lt;&gt;"",ROW(AP7:AP51)-MIN(ROW(AP7:AP51))+1))),ROW()-ROW(A$54)+1)),",",SUBSTITUTE(INDEX(IF(PURCHASE_DESCRIPTION&lt;&gt;"",PURCHASE_DESCRIPTION&amp;":","")&amp;A7:A51,SMALL(IF(ISNUMBER(AP7:AP51),IF(AP7:AP51&gt;0,IF(AS7:AS51&lt;&gt;"",ROW(AP7:AP51)-MIN(ROW(AP7:AP51))+1))),ROW()-ROW(A$54)+1)),",",";")),"")</f>
        <v>0</v>
      </c>
      <c r="AU78">
        <f t="array" ref="AU78">IFERROR(CONCATENATE(INDEX(AX7:AX51,SMALL(IF(ISNUMBER(AU7:AU51),IF(AU7:AU51&gt;0,IF(AX7:AX51&lt;&gt;"",ROW(AU7:AU51)-MIN(ROW(AU7:AU51))+1))),ROW()-ROW(A$54)+1))," ",TEXT(INDEX(AU7:AU51,SMALL(IF(ISNUMBER(AU7:AU51),IF(AU7:AU51&gt;0,IF(AX7:AX51&lt;&gt;"",ROW(AU7:AU51)-MIN(ROW(AU7:AU51))+1))),ROW()-ROW(A$54)+1)),"##0")," ",SUBSTITUTE(INDEX(IF(PURCHASE_DESCRIPTION&lt;&gt;"",PURCHASE_DESCRIPTION&amp;":","")&amp;A7:A51,SMALL(IF(ISNUMBER(AU7:AU51),IF(AU7:AU51&gt;0,IF(AX7:AX51&lt;&gt;"",ROW(AU7:AU51)-MIN(ROW(AU7:AU51))+1))),ROW()-ROW(A$54)+1))," ",";")),"")</f>
        <v>0</v>
      </c>
    </row>
    <row r="79" spans="12:47">
      <c r="L79">
        <f t="array" ref="L79">IFERROR(CONCATENATE(INDEX(O7:O51,SMALL(IF(ISNUMBER(L7:L51),IF(L7:L51&gt;0,IF(O7:O51&lt;&gt;"",ROW(L7:L51)-MIN(ROW(L7:L51))+1))),ROW()-ROW(A$54)+1)),",",TEXT(INDEX(L7:L51,SMALL(IF(ISNUMBER(L7:L51),IF(L7:L51&gt;0,IF(O7:O51&lt;&gt;"",ROW(L7:L51)-MIN(ROW(L7:L51))+1))),ROW()-ROW(A$54)+1)),"##0"),",",SUBSTITUTE(INDEX(IF(PURCHASE_DESCRIPTION&lt;&gt;"",PURCHASE_DESCRIPTION&amp;":","")&amp;A7:A51,SMALL(IF(ISNUMBER(L7:L51),IF(L7:L51&gt;0,IF(O7:O51&lt;&gt;"",ROW(L7:L51)-MIN(ROW(L7:L51))+1))),ROW()-ROW(A$54)+1)),",",";")),"")</f>
        <v>0</v>
      </c>
      <c r="Q79">
        <f t="array" ref="Q79">IFERROR(CONCATENATE(TEXT(INDEX(Q7:Q51,SMALL(IF(ISNUMBER(Q7:Q51),IF(Q7:Q51&gt;0,IF(T7:T51&lt;&gt;"",ROW(Q7:Q51)-MIN(ROW(Q7:Q51))+1))),ROW()-ROW(A$54)+1)),"##0"),",",INDEX(T7:T51,SMALL(IF(ISNUMBER(Q7:Q51),IF(Q7:Q51&gt;0,IF(T7:T51&lt;&gt;"",ROW(Q7:Q51)-MIN(ROW(Q7:Q51))+1))),ROW()-ROW(A$54)+1)),",",SUBSTITUTE(INDEX(IF(PURCHASE_DESCRIPTION&lt;&gt;"",PURCHASE_DESCRIPTION&amp;":","")&amp;A7:A51,SMALL(IF(ISNUMBER(Q7:Q51),IF(Q7:Q51&gt;0,IF(T7:T51&lt;&gt;"",ROW(Q7:Q51)-MIN(ROW(Q7:Q51))+1))),ROW()-ROW(A$54)+1)),",",";")),"")</f>
        <v>0</v>
      </c>
      <c r="V79">
        <f t="array" ref="V79">IFERROR(CONCATENATE(INDEX(Y7:Y51,SMALL(IF(ISNUMBER(V7:V51),IF(V7:V51&gt;0,IF(Y7:Y51&lt;&gt;"",ROW(V7:V51)-MIN(ROW(V7:V51))+1))),ROW()-ROW(A$54)+1)),",",TEXT(INDEX(V7:V51,SMALL(IF(ISNUMBER(V7:V51),IF(V7:V51&gt;0,IF(Y7:Y51&lt;&gt;"",ROW(V7:V51)-MIN(ROW(V7:V51))+1))),ROW()-ROW(A$54)+1)),"##0"),",",SUBSTITUTE(SUBSTITUTE(INDEX(IF(PURCHASE_DESCRIPTION&lt;&gt;"",PURCHASE_DESCRIPTION&amp;":","")&amp;A7:A51,SMALL(IF(ISNUMBER(V7:V51),IF(V7:V51&gt;0,IF(Y7:Y51&lt;&gt;"",ROW(V7:V51)-MIN(ROW(V7:V51))+1))),ROW()-ROW(A$54)+1)),",",";"),"
",";"),",",SUBSTITUTE(SUBSTITUTE(INDEX(IF(PURCHASE_DESCRIPTION&lt;&gt;"",PURCHASE_DESCRIPTION&amp;":","")&amp;C7:C51,SMALL(IF(ISNUMBER(V7:V51),IF(V7:V51&gt;0,IF(Y7:Y51&lt;&gt;"",ROW(V7:V51)-MIN(ROW(V7:V51))+1))),ROW()-ROW(A$54)+1)),",",";"),"
",";"),",",SUBSTITUTE(SUBSTITUTE(INDEX(IF(PURCHASE_DESCRIPTION&lt;&gt;"",PURCHASE_DESCRIPTION&amp;":","")&amp;F7:F51,SMALL(IF(ISNUMBER(V7:V51),IF(V7:V51&gt;0,IF(Y7:Y51&lt;&gt;"",ROW(V7:V51)-MIN(ROW(V7:V51))+1))),ROW()-ROW(A$54)+1)),",",";"),"
",";"),",",SUBSTITUTE(SUBSTITUTE(INDEX(IF(PURCHASE_DESCRIPTION&lt;&gt;"",PURCHASE_DESCRIPTION&amp;":","")&amp;D7:D51,SMALL(IF(ISNUMBER(V7:V51),IF(V7:V51&gt;0,IF(Y7:Y51&lt;&gt;"",ROW(V7:V51)-MIN(ROW(V7:V51))+1))),ROW()-ROW(A$54)+1)),",",";"),"
",";")),"")</f>
        <v>0</v>
      </c>
      <c r="AA79">
        <f t="array" ref="AA79">IFERROR(CONCATENATE(TEXT(INDEX(AA7:AA51,SMALL(IF(ISNUMBER(AA7:AA51),IF(AA7:AA51&gt;0,IF(AD7:AD51&lt;&gt;"",ROW(AA7:AA51)-MIN(ROW(AA7:AA51))+1))),ROW()-ROW(A$55)+1)),"##0"),",",SUBSTITUTE(INDEX(IF(PURCHASE_DESCRIPTION&lt;&gt;"",PURCHASE_DESCRIPTION&amp;":","")&amp;A7:A51,SMALL(IF(ISNUMBER(AA7:AA51),IF(AA7:AA51&gt;0,IF(AD7:AD51&lt;&gt;"",ROW(AA7:AA51)-MIN(ROW(AA7:AA51))+1))),ROW()-ROW(A$55)+1)),",",";"),",",SUBSTITUTE(INDEX(IF(PURCHASE_DESCRIPTION&lt;&gt;"",PURCHASE_DESCRIPTION&amp;":","")&amp;E7:E51,SMALL(IF(ISNUMBER(AA7:AA51),IF(AA7:AA51&gt;0,IF(AD7:AD51&lt;&gt;"",ROW(AA7:AA51)-MIN(ROW(AA7:AA51))+1))),ROW()-ROW(A$55)+1)),",",";"),",",INDEX(AD7:AD51,SMALL(IF(ISNUMBER(AA7:AA51),IF(AA7:AA51&gt;0,IF(AD7:AD51&lt;&gt;"",ROW(AA7:AA51)-MIN(ROW(AA7:AA51))+1))),ROW()-ROW(A$55)+1))),"")</f>
        <v>0</v>
      </c>
      <c r="AF79">
        <f t="array" ref="AF79">IFERROR(CONCATENATE(INDEX(AI7:AI51,SMALL(IF(ISNUMBER(AF7:AF51),IF(AF7:AF51&gt;0,IF(AI7:AI51&lt;&gt;"",ROW(AF7:AF51)-MIN(ROW(AF7:AF51))+1))),ROW()-ROW(A$54)+1)),"|",TEXT(INDEX(AF7:AF51,SMALL(IF(ISNUMBER(AF7:AF51),IF(AF7:AF51&gt;0,IF(AI7:AI51&lt;&gt;"",ROW(AF7:AF51)-MIN(ROW(AF7:AF51))+1))),ROW()-ROW(A$54)+1)),"##0"),"|",SUBSTITUTE(SUBSTITUTE(INDEX(IF(PURCHASE_DESCRIPTION&lt;&gt;"",PURCHASE_DESCRIPTION&amp;":","")&amp;A7:A51,SMALL(IF(ISNUMBER(AF7:AF51),IF(AF7:AF51&gt;0,IF(AI7:AI51&lt;&gt;"",ROW(AF7:AF51)-MIN(ROW(AF7:AF51))+1))),ROW()-ROW(A$54)+1)),"|",";")," ","_")),"")</f>
        <v>0</v>
      </c>
      <c r="AK79">
        <f t="array" ref="AK79">IFERROR(CONCATENATE(INDEX(AN7:AN51,SMALL(IF(ISNUMBER(AK7:AK51),IF(AK7:AK51&gt;0,IF(AN7:AN51&lt;&gt;"",ROW(AK7:AK51)-MIN(ROW(AK7:AK51))+1))),ROW()-ROW(A$54)+1)),",",TEXT(INDEX(AK7:AK51,SMALL(IF(ISNUMBER(AK7:AK51),IF(AK7:AK51&gt;0,IF(AN7:AN51&lt;&gt;"",ROW(AK7:AK51)-MIN(ROW(AK7:AK51))+1))),ROW()-ROW(A$54)+1)),"##0"),",",SUBSTITUTE(SUBSTITUTE(INDEX(IF(PURCHASE_DESCRIPTION&lt;&gt;"",PURCHASE_DESCRIPTION&amp;":","")&amp;A7:A51,SMALL(IF(ISNUMBER(AK7:AK51),IF(AK7:AK51&gt;0,IF(AN7:AN51&lt;&gt;"",ROW(AK7:AK51)-MIN(ROW(AK7:AK51))+1))),ROW()-ROW(A$54)+1)),",",";"),"
",";"),",",SUBSTITUTE(SUBSTITUTE(INDEX(IF(PURCHASE_DESCRIPTION&lt;&gt;"",PURCHASE_DESCRIPTION&amp;":","")&amp;C7:C51,SMALL(IF(ISNUMBER(AK7:AK51),IF(AK7:AK51&gt;0,IF(AN7:AN51&lt;&gt;"",ROW(AK7:AK51)-MIN(ROW(AK7:AK51))+1))),ROW()-ROW(A$54)+1)),",",";"),"
",";"),",",SUBSTITUTE(SUBSTITUTE(INDEX(IF(PURCHASE_DESCRIPTION&lt;&gt;"",PURCHASE_DESCRIPTION&amp;":","")&amp;F7:F51,SMALL(IF(ISNUMBER(AK7:AK51),IF(AK7:AK51&gt;0,IF(AN7:AN51&lt;&gt;"",ROW(AK7:AK51)-MIN(ROW(AK7:AK51))+1))),ROW()-ROW(A$54)+1)),",",";"),"
",";"),",",SUBSTITUTE(SUBSTITUTE(INDEX(IF(PURCHASE_DESCRIPTION&lt;&gt;"",PURCHASE_DESCRIPTION&amp;":","")&amp;D7:D51,SMALL(IF(ISNUMBER(AK7:AK51),IF(AK7:AK51&gt;0,IF(AN7:AN51&lt;&gt;"",ROW(AK7:AK51)-MIN(ROW(AK7:AK51))+1))),ROW()-ROW(A$54)+1)),",",";"),"
",";")),"")</f>
        <v>0</v>
      </c>
      <c r="AP79">
        <f t="array" ref="AP79">IFERROR(CONCATENATE(INDEX(AS7:AS51,SMALL(IF(ISNUMBER(AP7:AP51),IF(AP7:AP51&gt;0,IF(AS7:AS51&lt;&gt;"",ROW(AP7:AP51)-MIN(ROW(AP7:AP51))+1))),ROW()-ROW(A$54)+1)),",",TEXT(INDEX(AP7:AP51,SMALL(IF(ISNUMBER(AP7:AP51),IF(AP7:AP51&gt;0,IF(AS7:AS51&lt;&gt;"",ROW(AP7:AP51)-MIN(ROW(AP7:AP51))+1))),ROW()-ROW(A$54)+1)),"##0"),",",,",",,",",,",",INDEX(G7:G51,SMALL(IF(ISNUMBER(AP7:AP51),IF(AP7:AP51&gt;0,IF(AS7:AS51&lt;&gt;"",ROW(AP7:AP51)-MIN(ROW(AP7:AP51))+1))),ROW()-ROW(A$54)+1)),",",SUBSTITUTE(INDEX(IF(PURCHASE_DESCRIPTION&lt;&gt;"",PURCHASE_DESCRIPTION&amp;":","")&amp;A7:A51,SMALL(IF(ISNUMBER(AP7:AP51),IF(AP7:AP51&gt;0,IF(AS7:AS51&lt;&gt;"",ROW(AP7:AP51)-MIN(ROW(AP7:AP51))+1))),ROW()-ROW(A$54)+1)),",",";")),"")</f>
        <v>0</v>
      </c>
      <c r="AU79">
        <f t="array" ref="AU79">IFERROR(CONCATENATE(INDEX(AX7:AX51,SMALL(IF(ISNUMBER(AU7:AU51),IF(AU7:AU51&gt;0,IF(AX7:AX51&lt;&gt;"",ROW(AU7:AU51)-MIN(ROW(AU7:AU51))+1))),ROW()-ROW(A$54)+1))," ",TEXT(INDEX(AU7:AU51,SMALL(IF(ISNUMBER(AU7:AU51),IF(AU7:AU51&gt;0,IF(AX7:AX51&lt;&gt;"",ROW(AU7:AU51)-MIN(ROW(AU7:AU51))+1))),ROW()-ROW(A$54)+1)),"##0")," ",SUBSTITUTE(INDEX(IF(PURCHASE_DESCRIPTION&lt;&gt;"",PURCHASE_DESCRIPTION&amp;":","")&amp;A7:A51,SMALL(IF(ISNUMBER(AU7:AU51),IF(AU7:AU51&gt;0,IF(AX7:AX51&lt;&gt;"",ROW(AU7:AU51)-MIN(ROW(AU7:AU51))+1))),ROW()-ROW(A$54)+1))," ",";")),"")</f>
        <v>0</v>
      </c>
    </row>
    <row r="80" spans="12:47">
      <c r="L80">
        <f t="array" ref="L80">IFERROR(CONCATENATE(INDEX(O7:O51,SMALL(IF(ISNUMBER(L7:L51),IF(L7:L51&gt;0,IF(O7:O51&lt;&gt;"",ROW(L7:L51)-MIN(ROW(L7:L51))+1))),ROW()-ROW(A$54)+1)),",",TEXT(INDEX(L7:L51,SMALL(IF(ISNUMBER(L7:L51),IF(L7:L51&gt;0,IF(O7:O51&lt;&gt;"",ROW(L7:L51)-MIN(ROW(L7:L51))+1))),ROW()-ROW(A$54)+1)),"##0"),",",SUBSTITUTE(INDEX(IF(PURCHASE_DESCRIPTION&lt;&gt;"",PURCHASE_DESCRIPTION&amp;":","")&amp;A7:A51,SMALL(IF(ISNUMBER(L7:L51),IF(L7:L51&gt;0,IF(O7:O51&lt;&gt;"",ROW(L7:L51)-MIN(ROW(L7:L51))+1))),ROW()-ROW(A$54)+1)),",",";")),"")</f>
        <v>0</v>
      </c>
      <c r="Q80">
        <f t="array" ref="Q80">IFERROR(CONCATENATE(TEXT(INDEX(Q7:Q51,SMALL(IF(ISNUMBER(Q7:Q51),IF(Q7:Q51&gt;0,IF(T7:T51&lt;&gt;"",ROW(Q7:Q51)-MIN(ROW(Q7:Q51))+1))),ROW()-ROW(A$54)+1)),"##0"),",",INDEX(T7:T51,SMALL(IF(ISNUMBER(Q7:Q51),IF(Q7:Q51&gt;0,IF(T7:T51&lt;&gt;"",ROW(Q7:Q51)-MIN(ROW(Q7:Q51))+1))),ROW()-ROW(A$54)+1)),",",SUBSTITUTE(INDEX(IF(PURCHASE_DESCRIPTION&lt;&gt;"",PURCHASE_DESCRIPTION&amp;":","")&amp;A7:A51,SMALL(IF(ISNUMBER(Q7:Q51),IF(Q7:Q51&gt;0,IF(T7:T51&lt;&gt;"",ROW(Q7:Q51)-MIN(ROW(Q7:Q51))+1))),ROW()-ROW(A$54)+1)),",",";")),"")</f>
        <v>0</v>
      </c>
      <c r="V80">
        <f t="array" ref="V80">IFERROR(CONCATENATE(INDEX(Y7:Y51,SMALL(IF(ISNUMBER(V7:V51),IF(V7:V51&gt;0,IF(Y7:Y51&lt;&gt;"",ROW(V7:V51)-MIN(ROW(V7:V51))+1))),ROW()-ROW(A$54)+1)),",",TEXT(INDEX(V7:V51,SMALL(IF(ISNUMBER(V7:V51),IF(V7:V51&gt;0,IF(Y7:Y51&lt;&gt;"",ROW(V7:V51)-MIN(ROW(V7:V51))+1))),ROW()-ROW(A$54)+1)),"##0"),",",SUBSTITUTE(SUBSTITUTE(INDEX(IF(PURCHASE_DESCRIPTION&lt;&gt;"",PURCHASE_DESCRIPTION&amp;":","")&amp;A7:A51,SMALL(IF(ISNUMBER(V7:V51),IF(V7:V51&gt;0,IF(Y7:Y51&lt;&gt;"",ROW(V7:V51)-MIN(ROW(V7:V51))+1))),ROW()-ROW(A$54)+1)),",",";"),"
",";"),",",SUBSTITUTE(SUBSTITUTE(INDEX(IF(PURCHASE_DESCRIPTION&lt;&gt;"",PURCHASE_DESCRIPTION&amp;":","")&amp;C7:C51,SMALL(IF(ISNUMBER(V7:V51),IF(V7:V51&gt;0,IF(Y7:Y51&lt;&gt;"",ROW(V7:V51)-MIN(ROW(V7:V51))+1))),ROW()-ROW(A$54)+1)),",",";"),"
",";"),",",SUBSTITUTE(SUBSTITUTE(INDEX(IF(PURCHASE_DESCRIPTION&lt;&gt;"",PURCHASE_DESCRIPTION&amp;":","")&amp;F7:F51,SMALL(IF(ISNUMBER(V7:V51),IF(V7:V51&gt;0,IF(Y7:Y51&lt;&gt;"",ROW(V7:V51)-MIN(ROW(V7:V51))+1))),ROW()-ROW(A$54)+1)),",",";"),"
",";"),",",SUBSTITUTE(SUBSTITUTE(INDEX(IF(PURCHASE_DESCRIPTION&lt;&gt;"",PURCHASE_DESCRIPTION&amp;":","")&amp;D7:D51,SMALL(IF(ISNUMBER(V7:V51),IF(V7:V51&gt;0,IF(Y7:Y51&lt;&gt;"",ROW(V7:V51)-MIN(ROW(V7:V51))+1))),ROW()-ROW(A$54)+1)),",",";"),"
",";")),"")</f>
        <v>0</v>
      </c>
      <c r="AA80">
        <f t="array" ref="AA80">IFERROR(CONCATENATE(TEXT(INDEX(AA7:AA51,SMALL(IF(ISNUMBER(AA7:AA51),IF(AA7:AA51&gt;0,IF(AD7:AD51&lt;&gt;"",ROW(AA7:AA51)-MIN(ROW(AA7:AA51))+1))),ROW()-ROW(A$55)+1)),"##0"),",",SUBSTITUTE(INDEX(IF(PURCHASE_DESCRIPTION&lt;&gt;"",PURCHASE_DESCRIPTION&amp;":","")&amp;A7:A51,SMALL(IF(ISNUMBER(AA7:AA51),IF(AA7:AA51&gt;0,IF(AD7:AD51&lt;&gt;"",ROW(AA7:AA51)-MIN(ROW(AA7:AA51))+1))),ROW()-ROW(A$55)+1)),",",";"),",",SUBSTITUTE(INDEX(IF(PURCHASE_DESCRIPTION&lt;&gt;"",PURCHASE_DESCRIPTION&amp;":","")&amp;E7:E51,SMALL(IF(ISNUMBER(AA7:AA51),IF(AA7:AA51&gt;0,IF(AD7:AD51&lt;&gt;"",ROW(AA7:AA51)-MIN(ROW(AA7:AA51))+1))),ROW()-ROW(A$55)+1)),",",";"),",",INDEX(AD7:AD51,SMALL(IF(ISNUMBER(AA7:AA51),IF(AA7:AA51&gt;0,IF(AD7:AD51&lt;&gt;"",ROW(AA7:AA51)-MIN(ROW(AA7:AA51))+1))),ROW()-ROW(A$55)+1))),"")</f>
        <v>0</v>
      </c>
      <c r="AF80">
        <f t="array" ref="AF80">IFERROR(CONCATENATE(INDEX(AI7:AI51,SMALL(IF(ISNUMBER(AF7:AF51),IF(AF7:AF51&gt;0,IF(AI7:AI51&lt;&gt;"",ROW(AF7:AF51)-MIN(ROW(AF7:AF51))+1))),ROW()-ROW(A$54)+1)),"|",TEXT(INDEX(AF7:AF51,SMALL(IF(ISNUMBER(AF7:AF51),IF(AF7:AF51&gt;0,IF(AI7:AI51&lt;&gt;"",ROW(AF7:AF51)-MIN(ROW(AF7:AF51))+1))),ROW()-ROW(A$54)+1)),"##0"),"|",SUBSTITUTE(SUBSTITUTE(INDEX(IF(PURCHASE_DESCRIPTION&lt;&gt;"",PURCHASE_DESCRIPTION&amp;":","")&amp;A7:A51,SMALL(IF(ISNUMBER(AF7:AF51),IF(AF7:AF51&gt;0,IF(AI7:AI51&lt;&gt;"",ROW(AF7:AF51)-MIN(ROW(AF7:AF51))+1))),ROW()-ROW(A$54)+1)),"|",";")," ","_")),"")</f>
        <v>0</v>
      </c>
      <c r="AK80">
        <f t="array" ref="AK80">IFERROR(CONCATENATE(INDEX(AN7:AN51,SMALL(IF(ISNUMBER(AK7:AK51),IF(AK7:AK51&gt;0,IF(AN7:AN51&lt;&gt;"",ROW(AK7:AK51)-MIN(ROW(AK7:AK51))+1))),ROW()-ROW(A$54)+1)),",",TEXT(INDEX(AK7:AK51,SMALL(IF(ISNUMBER(AK7:AK51),IF(AK7:AK51&gt;0,IF(AN7:AN51&lt;&gt;"",ROW(AK7:AK51)-MIN(ROW(AK7:AK51))+1))),ROW()-ROW(A$54)+1)),"##0"),",",SUBSTITUTE(SUBSTITUTE(INDEX(IF(PURCHASE_DESCRIPTION&lt;&gt;"",PURCHASE_DESCRIPTION&amp;":","")&amp;A7:A51,SMALL(IF(ISNUMBER(AK7:AK51),IF(AK7:AK51&gt;0,IF(AN7:AN51&lt;&gt;"",ROW(AK7:AK51)-MIN(ROW(AK7:AK51))+1))),ROW()-ROW(A$54)+1)),",",";"),"
",";"),",",SUBSTITUTE(SUBSTITUTE(INDEX(IF(PURCHASE_DESCRIPTION&lt;&gt;"",PURCHASE_DESCRIPTION&amp;":","")&amp;C7:C51,SMALL(IF(ISNUMBER(AK7:AK51),IF(AK7:AK51&gt;0,IF(AN7:AN51&lt;&gt;"",ROW(AK7:AK51)-MIN(ROW(AK7:AK51))+1))),ROW()-ROW(A$54)+1)),",",";"),"
",";"),",",SUBSTITUTE(SUBSTITUTE(INDEX(IF(PURCHASE_DESCRIPTION&lt;&gt;"",PURCHASE_DESCRIPTION&amp;":","")&amp;F7:F51,SMALL(IF(ISNUMBER(AK7:AK51),IF(AK7:AK51&gt;0,IF(AN7:AN51&lt;&gt;"",ROW(AK7:AK51)-MIN(ROW(AK7:AK51))+1))),ROW()-ROW(A$54)+1)),",",";"),"
",";"),",",SUBSTITUTE(SUBSTITUTE(INDEX(IF(PURCHASE_DESCRIPTION&lt;&gt;"",PURCHASE_DESCRIPTION&amp;":","")&amp;D7:D51,SMALL(IF(ISNUMBER(AK7:AK51),IF(AK7:AK51&gt;0,IF(AN7:AN51&lt;&gt;"",ROW(AK7:AK51)-MIN(ROW(AK7:AK51))+1))),ROW()-ROW(A$54)+1)),",",";"),"
",";")),"")</f>
        <v>0</v>
      </c>
      <c r="AP80">
        <f t="array" ref="AP80">IFERROR(CONCATENATE(INDEX(AS7:AS51,SMALL(IF(ISNUMBER(AP7:AP51),IF(AP7:AP51&gt;0,IF(AS7:AS51&lt;&gt;"",ROW(AP7:AP51)-MIN(ROW(AP7:AP51))+1))),ROW()-ROW(A$54)+1)),",",TEXT(INDEX(AP7:AP51,SMALL(IF(ISNUMBER(AP7:AP51),IF(AP7:AP51&gt;0,IF(AS7:AS51&lt;&gt;"",ROW(AP7:AP51)-MIN(ROW(AP7:AP51))+1))),ROW()-ROW(A$54)+1)),"##0"),",",,",",,",",,",",INDEX(G7:G51,SMALL(IF(ISNUMBER(AP7:AP51),IF(AP7:AP51&gt;0,IF(AS7:AS51&lt;&gt;"",ROW(AP7:AP51)-MIN(ROW(AP7:AP51))+1))),ROW()-ROW(A$54)+1)),",",SUBSTITUTE(INDEX(IF(PURCHASE_DESCRIPTION&lt;&gt;"",PURCHASE_DESCRIPTION&amp;":","")&amp;A7:A51,SMALL(IF(ISNUMBER(AP7:AP51),IF(AP7:AP51&gt;0,IF(AS7:AS51&lt;&gt;"",ROW(AP7:AP51)-MIN(ROW(AP7:AP51))+1))),ROW()-ROW(A$54)+1)),",",";")),"")</f>
        <v>0</v>
      </c>
      <c r="AU80">
        <f t="array" ref="AU80">IFERROR(CONCATENATE(INDEX(AX7:AX51,SMALL(IF(ISNUMBER(AU7:AU51),IF(AU7:AU51&gt;0,IF(AX7:AX51&lt;&gt;"",ROW(AU7:AU51)-MIN(ROW(AU7:AU51))+1))),ROW()-ROW(A$54)+1))," ",TEXT(INDEX(AU7:AU51,SMALL(IF(ISNUMBER(AU7:AU51),IF(AU7:AU51&gt;0,IF(AX7:AX51&lt;&gt;"",ROW(AU7:AU51)-MIN(ROW(AU7:AU51))+1))),ROW()-ROW(A$54)+1)),"##0")," ",SUBSTITUTE(INDEX(IF(PURCHASE_DESCRIPTION&lt;&gt;"",PURCHASE_DESCRIPTION&amp;":","")&amp;A7:A51,SMALL(IF(ISNUMBER(AU7:AU51),IF(AU7:AU51&gt;0,IF(AX7:AX51&lt;&gt;"",ROW(AU7:AU51)-MIN(ROW(AU7:AU51))+1))),ROW()-ROW(A$54)+1))," ",";")),"")</f>
        <v>0</v>
      </c>
    </row>
    <row r="81" spans="12:47">
      <c r="L81">
        <f t="array" ref="L81">IFERROR(CONCATENATE(INDEX(O7:O51,SMALL(IF(ISNUMBER(L7:L51),IF(L7:L51&gt;0,IF(O7:O51&lt;&gt;"",ROW(L7:L51)-MIN(ROW(L7:L51))+1))),ROW()-ROW(A$54)+1)),",",TEXT(INDEX(L7:L51,SMALL(IF(ISNUMBER(L7:L51),IF(L7:L51&gt;0,IF(O7:O51&lt;&gt;"",ROW(L7:L51)-MIN(ROW(L7:L51))+1))),ROW()-ROW(A$54)+1)),"##0"),",",SUBSTITUTE(INDEX(IF(PURCHASE_DESCRIPTION&lt;&gt;"",PURCHASE_DESCRIPTION&amp;":","")&amp;A7:A51,SMALL(IF(ISNUMBER(L7:L51),IF(L7:L51&gt;0,IF(O7:O51&lt;&gt;"",ROW(L7:L51)-MIN(ROW(L7:L51))+1))),ROW()-ROW(A$54)+1)),",",";")),"")</f>
        <v>0</v>
      </c>
      <c r="Q81">
        <f t="array" ref="Q81">IFERROR(CONCATENATE(TEXT(INDEX(Q7:Q51,SMALL(IF(ISNUMBER(Q7:Q51),IF(Q7:Q51&gt;0,IF(T7:T51&lt;&gt;"",ROW(Q7:Q51)-MIN(ROW(Q7:Q51))+1))),ROW()-ROW(A$54)+1)),"##0"),",",INDEX(T7:T51,SMALL(IF(ISNUMBER(Q7:Q51),IF(Q7:Q51&gt;0,IF(T7:T51&lt;&gt;"",ROW(Q7:Q51)-MIN(ROW(Q7:Q51))+1))),ROW()-ROW(A$54)+1)),",",SUBSTITUTE(INDEX(IF(PURCHASE_DESCRIPTION&lt;&gt;"",PURCHASE_DESCRIPTION&amp;":","")&amp;A7:A51,SMALL(IF(ISNUMBER(Q7:Q51),IF(Q7:Q51&gt;0,IF(T7:T51&lt;&gt;"",ROW(Q7:Q51)-MIN(ROW(Q7:Q51))+1))),ROW()-ROW(A$54)+1)),",",";")),"")</f>
        <v>0</v>
      </c>
      <c r="V81">
        <f t="array" ref="V81">IFERROR(CONCATENATE(INDEX(Y7:Y51,SMALL(IF(ISNUMBER(V7:V51),IF(V7:V51&gt;0,IF(Y7:Y51&lt;&gt;"",ROW(V7:V51)-MIN(ROW(V7:V51))+1))),ROW()-ROW(A$54)+1)),",",TEXT(INDEX(V7:V51,SMALL(IF(ISNUMBER(V7:V51),IF(V7:V51&gt;0,IF(Y7:Y51&lt;&gt;"",ROW(V7:V51)-MIN(ROW(V7:V51))+1))),ROW()-ROW(A$54)+1)),"##0"),",",SUBSTITUTE(SUBSTITUTE(INDEX(IF(PURCHASE_DESCRIPTION&lt;&gt;"",PURCHASE_DESCRIPTION&amp;":","")&amp;A7:A51,SMALL(IF(ISNUMBER(V7:V51),IF(V7:V51&gt;0,IF(Y7:Y51&lt;&gt;"",ROW(V7:V51)-MIN(ROW(V7:V51))+1))),ROW()-ROW(A$54)+1)),",",";"),"
",";"),",",SUBSTITUTE(SUBSTITUTE(INDEX(IF(PURCHASE_DESCRIPTION&lt;&gt;"",PURCHASE_DESCRIPTION&amp;":","")&amp;C7:C51,SMALL(IF(ISNUMBER(V7:V51),IF(V7:V51&gt;0,IF(Y7:Y51&lt;&gt;"",ROW(V7:V51)-MIN(ROW(V7:V51))+1))),ROW()-ROW(A$54)+1)),",",";"),"
",";"),",",SUBSTITUTE(SUBSTITUTE(INDEX(IF(PURCHASE_DESCRIPTION&lt;&gt;"",PURCHASE_DESCRIPTION&amp;":","")&amp;F7:F51,SMALL(IF(ISNUMBER(V7:V51),IF(V7:V51&gt;0,IF(Y7:Y51&lt;&gt;"",ROW(V7:V51)-MIN(ROW(V7:V51))+1))),ROW()-ROW(A$54)+1)),",",";"),"
",";"),",",SUBSTITUTE(SUBSTITUTE(INDEX(IF(PURCHASE_DESCRIPTION&lt;&gt;"",PURCHASE_DESCRIPTION&amp;":","")&amp;D7:D51,SMALL(IF(ISNUMBER(V7:V51),IF(V7:V51&gt;0,IF(Y7:Y51&lt;&gt;"",ROW(V7:V51)-MIN(ROW(V7:V51))+1))),ROW()-ROW(A$54)+1)),",",";"),"
",";")),"")</f>
        <v>0</v>
      </c>
      <c r="AA81">
        <f t="array" ref="AA81">IFERROR(CONCATENATE(TEXT(INDEX(AA7:AA51,SMALL(IF(ISNUMBER(AA7:AA51),IF(AA7:AA51&gt;0,IF(AD7:AD51&lt;&gt;"",ROW(AA7:AA51)-MIN(ROW(AA7:AA51))+1))),ROW()-ROW(A$55)+1)),"##0"),",",SUBSTITUTE(INDEX(IF(PURCHASE_DESCRIPTION&lt;&gt;"",PURCHASE_DESCRIPTION&amp;":","")&amp;A7:A51,SMALL(IF(ISNUMBER(AA7:AA51),IF(AA7:AA51&gt;0,IF(AD7:AD51&lt;&gt;"",ROW(AA7:AA51)-MIN(ROW(AA7:AA51))+1))),ROW()-ROW(A$55)+1)),",",";"),",",SUBSTITUTE(INDEX(IF(PURCHASE_DESCRIPTION&lt;&gt;"",PURCHASE_DESCRIPTION&amp;":","")&amp;E7:E51,SMALL(IF(ISNUMBER(AA7:AA51),IF(AA7:AA51&gt;0,IF(AD7:AD51&lt;&gt;"",ROW(AA7:AA51)-MIN(ROW(AA7:AA51))+1))),ROW()-ROW(A$55)+1)),",",";"),",",INDEX(AD7:AD51,SMALL(IF(ISNUMBER(AA7:AA51),IF(AA7:AA51&gt;0,IF(AD7:AD51&lt;&gt;"",ROW(AA7:AA51)-MIN(ROW(AA7:AA51))+1))),ROW()-ROW(A$55)+1))),"")</f>
        <v>0</v>
      </c>
      <c r="AF81">
        <f t="array" ref="AF81">IFERROR(CONCATENATE(INDEX(AI7:AI51,SMALL(IF(ISNUMBER(AF7:AF51),IF(AF7:AF51&gt;0,IF(AI7:AI51&lt;&gt;"",ROW(AF7:AF51)-MIN(ROW(AF7:AF51))+1))),ROW()-ROW(A$54)+1)),"|",TEXT(INDEX(AF7:AF51,SMALL(IF(ISNUMBER(AF7:AF51),IF(AF7:AF51&gt;0,IF(AI7:AI51&lt;&gt;"",ROW(AF7:AF51)-MIN(ROW(AF7:AF51))+1))),ROW()-ROW(A$54)+1)),"##0"),"|",SUBSTITUTE(SUBSTITUTE(INDEX(IF(PURCHASE_DESCRIPTION&lt;&gt;"",PURCHASE_DESCRIPTION&amp;":","")&amp;A7:A51,SMALL(IF(ISNUMBER(AF7:AF51),IF(AF7:AF51&gt;0,IF(AI7:AI51&lt;&gt;"",ROW(AF7:AF51)-MIN(ROW(AF7:AF51))+1))),ROW()-ROW(A$54)+1)),"|",";")," ","_")),"")</f>
        <v>0</v>
      </c>
      <c r="AK81">
        <f t="array" ref="AK81">IFERROR(CONCATENATE(INDEX(AN7:AN51,SMALL(IF(ISNUMBER(AK7:AK51),IF(AK7:AK51&gt;0,IF(AN7:AN51&lt;&gt;"",ROW(AK7:AK51)-MIN(ROW(AK7:AK51))+1))),ROW()-ROW(A$54)+1)),",",TEXT(INDEX(AK7:AK51,SMALL(IF(ISNUMBER(AK7:AK51),IF(AK7:AK51&gt;0,IF(AN7:AN51&lt;&gt;"",ROW(AK7:AK51)-MIN(ROW(AK7:AK51))+1))),ROW()-ROW(A$54)+1)),"##0"),",",SUBSTITUTE(SUBSTITUTE(INDEX(IF(PURCHASE_DESCRIPTION&lt;&gt;"",PURCHASE_DESCRIPTION&amp;":","")&amp;A7:A51,SMALL(IF(ISNUMBER(AK7:AK51),IF(AK7:AK51&gt;0,IF(AN7:AN51&lt;&gt;"",ROW(AK7:AK51)-MIN(ROW(AK7:AK51))+1))),ROW()-ROW(A$54)+1)),",",";"),"
",";"),",",SUBSTITUTE(SUBSTITUTE(INDEX(IF(PURCHASE_DESCRIPTION&lt;&gt;"",PURCHASE_DESCRIPTION&amp;":","")&amp;C7:C51,SMALL(IF(ISNUMBER(AK7:AK51),IF(AK7:AK51&gt;0,IF(AN7:AN51&lt;&gt;"",ROW(AK7:AK51)-MIN(ROW(AK7:AK51))+1))),ROW()-ROW(A$54)+1)),",",";"),"
",";"),",",SUBSTITUTE(SUBSTITUTE(INDEX(IF(PURCHASE_DESCRIPTION&lt;&gt;"",PURCHASE_DESCRIPTION&amp;":","")&amp;F7:F51,SMALL(IF(ISNUMBER(AK7:AK51),IF(AK7:AK51&gt;0,IF(AN7:AN51&lt;&gt;"",ROW(AK7:AK51)-MIN(ROW(AK7:AK51))+1))),ROW()-ROW(A$54)+1)),",",";"),"
",";"),",",SUBSTITUTE(SUBSTITUTE(INDEX(IF(PURCHASE_DESCRIPTION&lt;&gt;"",PURCHASE_DESCRIPTION&amp;":","")&amp;D7:D51,SMALL(IF(ISNUMBER(AK7:AK51),IF(AK7:AK51&gt;0,IF(AN7:AN51&lt;&gt;"",ROW(AK7:AK51)-MIN(ROW(AK7:AK51))+1))),ROW()-ROW(A$54)+1)),",",";"),"
",";")),"")</f>
        <v>0</v>
      </c>
      <c r="AP81">
        <f t="array" ref="AP81">IFERROR(CONCATENATE(INDEX(AS7:AS51,SMALL(IF(ISNUMBER(AP7:AP51),IF(AP7:AP51&gt;0,IF(AS7:AS51&lt;&gt;"",ROW(AP7:AP51)-MIN(ROW(AP7:AP51))+1))),ROW()-ROW(A$54)+1)),",",TEXT(INDEX(AP7:AP51,SMALL(IF(ISNUMBER(AP7:AP51),IF(AP7:AP51&gt;0,IF(AS7:AS51&lt;&gt;"",ROW(AP7:AP51)-MIN(ROW(AP7:AP51))+1))),ROW()-ROW(A$54)+1)),"##0"),",",,",",,",",,",",INDEX(G7:G51,SMALL(IF(ISNUMBER(AP7:AP51),IF(AP7:AP51&gt;0,IF(AS7:AS51&lt;&gt;"",ROW(AP7:AP51)-MIN(ROW(AP7:AP51))+1))),ROW()-ROW(A$54)+1)),",",SUBSTITUTE(INDEX(IF(PURCHASE_DESCRIPTION&lt;&gt;"",PURCHASE_DESCRIPTION&amp;":","")&amp;A7:A51,SMALL(IF(ISNUMBER(AP7:AP51),IF(AP7:AP51&gt;0,IF(AS7:AS51&lt;&gt;"",ROW(AP7:AP51)-MIN(ROW(AP7:AP51))+1))),ROW()-ROW(A$54)+1)),",",";")),"")</f>
        <v>0</v>
      </c>
      <c r="AU81">
        <f t="array" ref="AU81">IFERROR(CONCATENATE(INDEX(AX7:AX51,SMALL(IF(ISNUMBER(AU7:AU51),IF(AU7:AU51&gt;0,IF(AX7:AX51&lt;&gt;"",ROW(AU7:AU51)-MIN(ROW(AU7:AU51))+1))),ROW()-ROW(A$54)+1))," ",TEXT(INDEX(AU7:AU51,SMALL(IF(ISNUMBER(AU7:AU51),IF(AU7:AU51&gt;0,IF(AX7:AX51&lt;&gt;"",ROW(AU7:AU51)-MIN(ROW(AU7:AU51))+1))),ROW()-ROW(A$54)+1)),"##0")," ",SUBSTITUTE(INDEX(IF(PURCHASE_DESCRIPTION&lt;&gt;"",PURCHASE_DESCRIPTION&amp;":","")&amp;A7:A51,SMALL(IF(ISNUMBER(AU7:AU51),IF(AU7:AU51&gt;0,IF(AX7:AX51&lt;&gt;"",ROW(AU7:AU51)-MIN(ROW(AU7:AU51))+1))),ROW()-ROW(A$54)+1))," ",";")),"")</f>
        <v>0</v>
      </c>
    </row>
    <row r="82" spans="12:47">
      <c r="L82">
        <f t="array" ref="L82">IFERROR(CONCATENATE(INDEX(O7:O51,SMALL(IF(ISNUMBER(L7:L51),IF(L7:L51&gt;0,IF(O7:O51&lt;&gt;"",ROW(L7:L51)-MIN(ROW(L7:L51))+1))),ROW()-ROW(A$54)+1)),",",TEXT(INDEX(L7:L51,SMALL(IF(ISNUMBER(L7:L51),IF(L7:L51&gt;0,IF(O7:O51&lt;&gt;"",ROW(L7:L51)-MIN(ROW(L7:L51))+1))),ROW()-ROW(A$54)+1)),"##0"),",",SUBSTITUTE(INDEX(IF(PURCHASE_DESCRIPTION&lt;&gt;"",PURCHASE_DESCRIPTION&amp;":","")&amp;A7:A51,SMALL(IF(ISNUMBER(L7:L51),IF(L7:L51&gt;0,IF(O7:O51&lt;&gt;"",ROW(L7:L51)-MIN(ROW(L7:L51))+1))),ROW()-ROW(A$54)+1)),",",";")),"")</f>
        <v>0</v>
      </c>
      <c r="Q82">
        <f t="array" ref="Q82">IFERROR(CONCATENATE(TEXT(INDEX(Q7:Q51,SMALL(IF(ISNUMBER(Q7:Q51),IF(Q7:Q51&gt;0,IF(T7:T51&lt;&gt;"",ROW(Q7:Q51)-MIN(ROW(Q7:Q51))+1))),ROW()-ROW(A$54)+1)),"##0"),",",INDEX(T7:T51,SMALL(IF(ISNUMBER(Q7:Q51),IF(Q7:Q51&gt;0,IF(T7:T51&lt;&gt;"",ROW(Q7:Q51)-MIN(ROW(Q7:Q51))+1))),ROW()-ROW(A$54)+1)),",",SUBSTITUTE(INDEX(IF(PURCHASE_DESCRIPTION&lt;&gt;"",PURCHASE_DESCRIPTION&amp;":","")&amp;A7:A51,SMALL(IF(ISNUMBER(Q7:Q51),IF(Q7:Q51&gt;0,IF(T7:T51&lt;&gt;"",ROW(Q7:Q51)-MIN(ROW(Q7:Q51))+1))),ROW()-ROW(A$54)+1)),",",";")),"")</f>
        <v>0</v>
      </c>
      <c r="V82">
        <f t="array" ref="V82">IFERROR(CONCATENATE(INDEX(Y7:Y51,SMALL(IF(ISNUMBER(V7:V51),IF(V7:V51&gt;0,IF(Y7:Y51&lt;&gt;"",ROW(V7:V51)-MIN(ROW(V7:V51))+1))),ROW()-ROW(A$54)+1)),",",TEXT(INDEX(V7:V51,SMALL(IF(ISNUMBER(V7:V51),IF(V7:V51&gt;0,IF(Y7:Y51&lt;&gt;"",ROW(V7:V51)-MIN(ROW(V7:V51))+1))),ROW()-ROW(A$54)+1)),"##0"),",",SUBSTITUTE(SUBSTITUTE(INDEX(IF(PURCHASE_DESCRIPTION&lt;&gt;"",PURCHASE_DESCRIPTION&amp;":","")&amp;A7:A51,SMALL(IF(ISNUMBER(V7:V51),IF(V7:V51&gt;0,IF(Y7:Y51&lt;&gt;"",ROW(V7:V51)-MIN(ROW(V7:V51))+1))),ROW()-ROW(A$54)+1)),",",";"),"
",";"),",",SUBSTITUTE(SUBSTITUTE(INDEX(IF(PURCHASE_DESCRIPTION&lt;&gt;"",PURCHASE_DESCRIPTION&amp;":","")&amp;C7:C51,SMALL(IF(ISNUMBER(V7:V51),IF(V7:V51&gt;0,IF(Y7:Y51&lt;&gt;"",ROW(V7:V51)-MIN(ROW(V7:V51))+1))),ROW()-ROW(A$54)+1)),",",";"),"
",";"),",",SUBSTITUTE(SUBSTITUTE(INDEX(IF(PURCHASE_DESCRIPTION&lt;&gt;"",PURCHASE_DESCRIPTION&amp;":","")&amp;F7:F51,SMALL(IF(ISNUMBER(V7:V51),IF(V7:V51&gt;0,IF(Y7:Y51&lt;&gt;"",ROW(V7:V51)-MIN(ROW(V7:V51))+1))),ROW()-ROW(A$54)+1)),",",";"),"
",";"),",",SUBSTITUTE(SUBSTITUTE(INDEX(IF(PURCHASE_DESCRIPTION&lt;&gt;"",PURCHASE_DESCRIPTION&amp;":","")&amp;D7:D51,SMALL(IF(ISNUMBER(V7:V51),IF(V7:V51&gt;0,IF(Y7:Y51&lt;&gt;"",ROW(V7:V51)-MIN(ROW(V7:V51))+1))),ROW()-ROW(A$54)+1)),",",";"),"
",";")),"")</f>
        <v>0</v>
      </c>
      <c r="AA82">
        <f t="array" ref="AA82">IFERROR(CONCATENATE(TEXT(INDEX(AA7:AA51,SMALL(IF(ISNUMBER(AA7:AA51),IF(AA7:AA51&gt;0,IF(AD7:AD51&lt;&gt;"",ROW(AA7:AA51)-MIN(ROW(AA7:AA51))+1))),ROW()-ROW(A$55)+1)),"##0"),",",SUBSTITUTE(INDEX(IF(PURCHASE_DESCRIPTION&lt;&gt;"",PURCHASE_DESCRIPTION&amp;":","")&amp;A7:A51,SMALL(IF(ISNUMBER(AA7:AA51),IF(AA7:AA51&gt;0,IF(AD7:AD51&lt;&gt;"",ROW(AA7:AA51)-MIN(ROW(AA7:AA51))+1))),ROW()-ROW(A$55)+1)),",",";"),",",SUBSTITUTE(INDEX(IF(PURCHASE_DESCRIPTION&lt;&gt;"",PURCHASE_DESCRIPTION&amp;":","")&amp;E7:E51,SMALL(IF(ISNUMBER(AA7:AA51),IF(AA7:AA51&gt;0,IF(AD7:AD51&lt;&gt;"",ROW(AA7:AA51)-MIN(ROW(AA7:AA51))+1))),ROW()-ROW(A$55)+1)),",",";"),",",INDEX(AD7:AD51,SMALL(IF(ISNUMBER(AA7:AA51),IF(AA7:AA51&gt;0,IF(AD7:AD51&lt;&gt;"",ROW(AA7:AA51)-MIN(ROW(AA7:AA51))+1))),ROW()-ROW(A$55)+1))),"")</f>
        <v>0</v>
      </c>
      <c r="AF82">
        <f t="array" ref="AF82">IFERROR(CONCATENATE(INDEX(AI7:AI51,SMALL(IF(ISNUMBER(AF7:AF51),IF(AF7:AF51&gt;0,IF(AI7:AI51&lt;&gt;"",ROW(AF7:AF51)-MIN(ROW(AF7:AF51))+1))),ROW()-ROW(A$54)+1)),"|",TEXT(INDEX(AF7:AF51,SMALL(IF(ISNUMBER(AF7:AF51),IF(AF7:AF51&gt;0,IF(AI7:AI51&lt;&gt;"",ROW(AF7:AF51)-MIN(ROW(AF7:AF51))+1))),ROW()-ROW(A$54)+1)),"##0"),"|",SUBSTITUTE(SUBSTITUTE(INDEX(IF(PURCHASE_DESCRIPTION&lt;&gt;"",PURCHASE_DESCRIPTION&amp;":","")&amp;A7:A51,SMALL(IF(ISNUMBER(AF7:AF51),IF(AF7:AF51&gt;0,IF(AI7:AI51&lt;&gt;"",ROW(AF7:AF51)-MIN(ROW(AF7:AF51))+1))),ROW()-ROW(A$54)+1)),"|",";")," ","_")),"")</f>
        <v>0</v>
      </c>
      <c r="AK82">
        <f t="array" ref="AK82">IFERROR(CONCATENATE(INDEX(AN7:AN51,SMALL(IF(ISNUMBER(AK7:AK51),IF(AK7:AK51&gt;0,IF(AN7:AN51&lt;&gt;"",ROW(AK7:AK51)-MIN(ROW(AK7:AK51))+1))),ROW()-ROW(A$54)+1)),",",TEXT(INDEX(AK7:AK51,SMALL(IF(ISNUMBER(AK7:AK51),IF(AK7:AK51&gt;0,IF(AN7:AN51&lt;&gt;"",ROW(AK7:AK51)-MIN(ROW(AK7:AK51))+1))),ROW()-ROW(A$54)+1)),"##0"),",",SUBSTITUTE(SUBSTITUTE(INDEX(IF(PURCHASE_DESCRIPTION&lt;&gt;"",PURCHASE_DESCRIPTION&amp;":","")&amp;A7:A51,SMALL(IF(ISNUMBER(AK7:AK51),IF(AK7:AK51&gt;0,IF(AN7:AN51&lt;&gt;"",ROW(AK7:AK51)-MIN(ROW(AK7:AK51))+1))),ROW()-ROW(A$54)+1)),",",";"),"
",";"),",",SUBSTITUTE(SUBSTITUTE(INDEX(IF(PURCHASE_DESCRIPTION&lt;&gt;"",PURCHASE_DESCRIPTION&amp;":","")&amp;C7:C51,SMALL(IF(ISNUMBER(AK7:AK51),IF(AK7:AK51&gt;0,IF(AN7:AN51&lt;&gt;"",ROW(AK7:AK51)-MIN(ROW(AK7:AK51))+1))),ROW()-ROW(A$54)+1)),",",";"),"
",";"),",",SUBSTITUTE(SUBSTITUTE(INDEX(IF(PURCHASE_DESCRIPTION&lt;&gt;"",PURCHASE_DESCRIPTION&amp;":","")&amp;F7:F51,SMALL(IF(ISNUMBER(AK7:AK51),IF(AK7:AK51&gt;0,IF(AN7:AN51&lt;&gt;"",ROW(AK7:AK51)-MIN(ROW(AK7:AK51))+1))),ROW()-ROW(A$54)+1)),",",";"),"
",";"),",",SUBSTITUTE(SUBSTITUTE(INDEX(IF(PURCHASE_DESCRIPTION&lt;&gt;"",PURCHASE_DESCRIPTION&amp;":","")&amp;D7:D51,SMALL(IF(ISNUMBER(AK7:AK51),IF(AK7:AK51&gt;0,IF(AN7:AN51&lt;&gt;"",ROW(AK7:AK51)-MIN(ROW(AK7:AK51))+1))),ROW()-ROW(A$54)+1)),",",";"),"
",";")),"")</f>
        <v>0</v>
      </c>
      <c r="AP82">
        <f t="array" ref="AP82">IFERROR(CONCATENATE(INDEX(AS7:AS51,SMALL(IF(ISNUMBER(AP7:AP51),IF(AP7:AP51&gt;0,IF(AS7:AS51&lt;&gt;"",ROW(AP7:AP51)-MIN(ROW(AP7:AP51))+1))),ROW()-ROW(A$54)+1)),",",TEXT(INDEX(AP7:AP51,SMALL(IF(ISNUMBER(AP7:AP51),IF(AP7:AP51&gt;0,IF(AS7:AS51&lt;&gt;"",ROW(AP7:AP51)-MIN(ROW(AP7:AP51))+1))),ROW()-ROW(A$54)+1)),"##0"),",",,",",,",",,",",INDEX(G7:G51,SMALL(IF(ISNUMBER(AP7:AP51),IF(AP7:AP51&gt;0,IF(AS7:AS51&lt;&gt;"",ROW(AP7:AP51)-MIN(ROW(AP7:AP51))+1))),ROW()-ROW(A$54)+1)),",",SUBSTITUTE(INDEX(IF(PURCHASE_DESCRIPTION&lt;&gt;"",PURCHASE_DESCRIPTION&amp;":","")&amp;A7:A51,SMALL(IF(ISNUMBER(AP7:AP51),IF(AP7:AP51&gt;0,IF(AS7:AS51&lt;&gt;"",ROW(AP7:AP51)-MIN(ROW(AP7:AP51))+1))),ROW()-ROW(A$54)+1)),",",";")),"")</f>
        <v>0</v>
      </c>
      <c r="AU82">
        <f t="array" ref="AU82">IFERROR(CONCATENATE(INDEX(AX7:AX51,SMALL(IF(ISNUMBER(AU7:AU51),IF(AU7:AU51&gt;0,IF(AX7:AX51&lt;&gt;"",ROW(AU7:AU51)-MIN(ROW(AU7:AU51))+1))),ROW()-ROW(A$54)+1))," ",TEXT(INDEX(AU7:AU51,SMALL(IF(ISNUMBER(AU7:AU51),IF(AU7:AU51&gt;0,IF(AX7:AX51&lt;&gt;"",ROW(AU7:AU51)-MIN(ROW(AU7:AU51))+1))),ROW()-ROW(A$54)+1)),"##0")," ",SUBSTITUTE(INDEX(IF(PURCHASE_DESCRIPTION&lt;&gt;"",PURCHASE_DESCRIPTION&amp;":","")&amp;A7:A51,SMALL(IF(ISNUMBER(AU7:AU51),IF(AU7:AU51&gt;0,IF(AX7:AX51&lt;&gt;"",ROW(AU7:AU51)-MIN(ROW(AU7:AU51))+1))),ROW()-ROW(A$54)+1))," ",";")),"")</f>
        <v>0</v>
      </c>
    </row>
    <row r="83" spans="12:47">
      <c r="L83">
        <f t="array" ref="L83">IFERROR(CONCATENATE(INDEX(O7:O51,SMALL(IF(ISNUMBER(L7:L51),IF(L7:L51&gt;0,IF(O7:O51&lt;&gt;"",ROW(L7:L51)-MIN(ROW(L7:L51))+1))),ROW()-ROW(A$54)+1)),",",TEXT(INDEX(L7:L51,SMALL(IF(ISNUMBER(L7:L51),IF(L7:L51&gt;0,IF(O7:O51&lt;&gt;"",ROW(L7:L51)-MIN(ROW(L7:L51))+1))),ROW()-ROW(A$54)+1)),"##0"),",",SUBSTITUTE(INDEX(IF(PURCHASE_DESCRIPTION&lt;&gt;"",PURCHASE_DESCRIPTION&amp;":","")&amp;A7:A51,SMALL(IF(ISNUMBER(L7:L51),IF(L7:L51&gt;0,IF(O7:O51&lt;&gt;"",ROW(L7:L51)-MIN(ROW(L7:L51))+1))),ROW()-ROW(A$54)+1)),",",";")),"")</f>
        <v>0</v>
      </c>
      <c r="Q83">
        <f t="array" ref="Q83">IFERROR(CONCATENATE(TEXT(INDEX(Q7:Q51,SMALL(IF(ISNUMBER(Q7:Q51),IF(Q7:Q51&gt;0,IF(T7:T51&lt;&gt;"",ROW(Q7:Q51)-MIN(ROW(Q7:Q51))+1))),ROW()-ROW(A$54)+1)),"##0"),",",INDEX(T7:T51,SMALL(IF(ISNUMBER(Q7:Q51),IF(Q7:Q51&gt;0,IF(T7:T51&lt;&gt;"",ROW(Q7:Q51)-MIN(ROW(Q7:Q51))+1))),ROW()-ROW(A$54)+1)),",",SUBSTITUTE(INDEX(IF(PURCHASE_DESCRIPTION&lt;&gt;"",PURCHASE_DESCRIPTION&amp;":","")&amp;A7:A51,SMALL(IF(ISNUMBER(Q7:Q51),IF(Q7:Q51&gt;0,IF(T7:T51&lt;&gt;"",ROW(Q7:Q51)-MIN(ROW(Q7:Q51))+1))),ROW()-ROW(A$54)+1)),",",";")),"")</f>
        <v>0</v>
      </c>
      <c r="V83">
        <f t="array" ref="V83">IFERROR(CONCATENATE(INDEX(Y7:Y51,SMALL(IF(ISNUMBER(V7:V51),IF(V7:V51&gt;0,IF(Y7:Y51&lt;&gt;"",ROW(V7:V51)-MIN(ROW(V7:V51))+1))),ROW()-ROW(A$54)+1)),",",TEXT(INDEX(V7:V51,SMALL(IF(ISNUMBER(V7:V51),IF(V7:V51&gt;0,IF(Y7:Y51&lt;&gt;"",ROW(V7:V51)-MIN(ROW(V7:V51))+1))),ROW()-ROW(A$54)+1)),"##0"),",",SUBSTITUTE(SUBSTITUTE(INDEX(IF(PURCHASE_DESCRIPTION&lt;&gt;"",PURCHASE_DESCRIPTION&amp;":","")&amp;A7:A51,SMALL(IF(ISNUMBER(V7:V51),IF(V7:V51&gt;0,IF(Y7:Y51&lt;&gt;"",ROW(V7:V51)-MIN(ROW(V7:V51))+1))),ROW()-ROW(A$54)+1)),",",";"),"
",";"),",",SUBSTITUTE(SUBSTITUTE(INDEX(IF(PURCHASE_DESCRIPTION&lt;&gt;"",PURCHASE_DESCRIPTION&amp;":","")&amp;C7:C51,SMALL(IF(ISNUMBER(V7:V51),IF(V7:V51&gt;0,IF(Y7:Y51&lt;&gt;"",ROW(V7:V51)-MIN(ROW(V7:V51))+1))),ROW()-ROW(A$54)+1)),",",";"),"
",";"),",",SUBSTITUTE(SUBSTITUTE(INDEX(IF(PURCHASE_DESCRIPTION&lt;&gt;"",PURCHASE_DESCRIPTION&amp;":","")&amp;F7:F51,SMALL(IF(ISNUMBER(V7:V51),IF(V7:V51&gt;0,IF(Y7:Y51&lt;&gt;"",ROW(V7:V51)-MIN(ROW(V7:V51))+1))),ROW()-ROW(A$54)+1)),",",";"),"
",";"),",",SUBSTITUTE(SUBSTITUTE(INDEX(IF(PURCHASE_DESCRIPTION&lt;&gt;"",PURCHASE_DESCRIPTION&amp;":","")&amp;D7:D51,SMALL(IF(ISNUMBER(V7:V51),IF(V7:V51&gt;0,IF(Y7:Y51&lt;&gt;"",ROW(V7:V51)-MIN(ROW(V7:V51))+1))),ROW()-ROW(A$54)+1)),",",";"),"
",";")),"")</f>
        <v>0</v>
      </c>
      <c r="AA83">
        <f t="array" ref="AA83">IFERROR(CONCATENATE(TEXT(INDEX(AA7:AA51,SMALL(IF(ISNUMBER(AA7:AA51),IF(AA7:AA51&gt;0,IF(AD7:AD51&lt;&gt;"",ROW(AA7:AA51)-MIN(ROW(AA7:AA51))+1))),ROW()-ROW(A$55)+1)),"##0"),",",SUBSTITUTE(INDEX(IF(PURCHASE_DESCRIPTION&lt;&gt;"",PURCHASE_DESCRIPTION&amp;":","")&amp;A7:A51,SMALL(IF(ISNUMBER(AA7:AA51),IF(AA7:AA51&gt;0,IF(AD7:AD51&lt;&gt;"",ROW(AA7:AA51)-MIN(ROW(AA7:AA51))+1))),ROW()-ROW(A$55)+1)),",",";"),",",SUBSTITUTE(INDEX(IF(PURCHASE_DESCRIPTION&lt;&gt;"",PURCHASE_DESCRIPTION&amp;":","")&amp;E7:E51,SMALL(IF(ISNUMBER(AA7:AA51),IF(AA7:AA51&gt;0,IF(AD7:AD51&lt;&gt;"",ROW(AA7:AA51)-MIN(ROW(AA7:AA51))+1))),ROW()-ROW(A$55)+1)),",",";"),",",INDEX(AD7:AD51,SMALL(IF(ISNUMBER(AA7:AA51),IF(AA7:AA51&gt;0,IF(AD7:AD51&lt;&gt;"",ROW(AA7:AA51)-MIN(ROW(AA7:AA51))+1))),ROW()-ROW(A$55)+1))),"")</f>
        <v>0</v>
      </c>
      <c r="AF83">
        <f t="array" ref="AF83">IFERROR(CONCATENATE(INDEX(AI7:AI51,SMALL(IF(ISNUMBER(AF7:AF51),IF(AF7:AF51&gt;0,IF(AI7:AI51&lt;&gt;"",ROW(AF7:AF51)-MIN(ROW(AF7:AF51))+1))),ROW()-ROW(A$54)+1)),"|",TEXT(INDEX(AF7:AF51,SMALL(IF(ISNUMBER(AF7:AF51),IF(AF7:AF51&gt;0,IF(AI7:AI51&lt;&gt;"",ROW(AF7:AF51)-MIN(ROW(AF7:AF51))+1))),ROW()-ROW(A$54)+1)),"##0"),"|",SUBSTITUTE(SUBSTITUTE(INDEX(IF(PURCHASE_DESCRIPTION&lt;&gt;"",PURCHASE_DESCRIPTION&amp;":","")&amp;A7:A51,SMALL(IF(ISNUMBER(AF7:AF51),IF(AF7:AF51&gt;0,IF(AI7:AI51&lt;&gt;"",ROW(AF7:AF51)-MIN(ROW(AF7:AF51))+1))),ROW()-ROW(A$54)+1)),"|",";")," ","_")),"")</f>
        <v>0</v>
      </c>
      <c r="AK83">
        <f t="array" ref="AK83">IFERROR(CONCATENATE(INDEX(AN7:AN51,SMALL(IF(ISNUMBER(AK7:AK51),IF(AK7:AK51&gt;0,IF(AN7:AN51&lt;&gt;"",ROW(AK7:AK51)-MIN(ROW(AK7:AK51))+1))),ROW()-ROW(A$54)+1)),",",TEXT(INDEX(AK7:AK51,SMALL(IF(ISNUMBER(AK7:AK51),IF(AK7:AK51&gt;0,IF(AN7:AN51&lt;&gt;"",ROW(AK7:AK51)-MIN(ROW(AK7:AK51))+1))),ROW()-ROW(A$54)+1)),"##0"),",",SUBSTITUTE(SUBSTITUTE(INDEX(IF(PURCHASE_DESCRIPTION&lt;&gt;"",PURCHASE_DESCRIPTION&amp;":","")&amp;A7:A51,SMALL(IF(ISNUMBER(AK7:AK51),IF(AK7:AK51&gt;0,IF(AN7:AN51&lt;&gt;"",ROW(AK7:AK51)-MIN(ROW(AK7:AK51))+1))),ROW()-ROW(A$54)+1)),",",";"),"
",";"),",",SUBSTITUTE(SUBSTITUTE(INDEX(IF(PURCHASE_DESCRIPTION&lt;&gt;"",PURCHASE_DESCRIPTION&amp;":","")&amp;C7:C51,SMALL(IF(ISNUMBER(AK7:AK51),IF(AK7:AK51&gt;0,IF(AN7:AN51&lt;&gt;"",ROW(AK7:AK51)-MIN(ROW(AK7:AK51))+1))),ROW()-ROW(A$54)+1)),",",";"),"
",";"),",",SUBSTITUTE(SUBSTITUTE(INDEX(IF(PURCHASE_DESCRIPTION&lt;&gt;"",PURCHASE_DESCRIPTION&amp;":","")&amp;F7:F51,SMALL(IF(ISNUMBER(AK7:AK51),IF(AK7:AK51&gt;0,IF(AN7:AN51&lt;&gt;"",ROW(AK7:AK51)-MIN(ROW(AK7:AK51))+1))),ROW()-ROW(A$54)+1)),",",";"),"
",";"),",",SUBSTITUTE(SUBSTITUTE(INDEX(IF(PURCHASE_DESCRIPTION&lt;&gt;"",PURCHASE_DESCRIPTION&amp;":","")&amp;D7:D51,SMALL(IF(ISNUMBER(AK7:AK51),IF(AK7:AK51&gt;0,IF(AN7:AN51&lt;&gt;"",ROW(AK7:AK51)-MIN(ROW(AK7:AK51))+1))),ROW()-ROW(A$54)+1)),",",";"),"
",";")),"")</f>
        <v>0</v>
      </c>
      <c r="AP83">
        <f t="array" ref="AP83">IFERROR(CONCATENATE(INDEX(AS7:AS51,SMALL(IF(ISNUMBER(AP7:AP51),IF(AP7:AP51&gt;0,IF(AS7:AS51&lt;&gt;"",ROW(AP7:AP51)-MIN(ROW(AP7:AP51))+1))),ROW()-ROW(A$54)+1)),",",TEXT(INDEX(AP7:AP51,SMALL(IF(ISNUMBER(AP7:AP51),IF(AP7:AP51&gt;0,IF(AS7:AS51&lt;&gt;"",ROW(AP7:AP51)-MIN(ROW(AP7:AP51))+1))),ROW()-ROW(A$54)+1)),"##0"),",",,",",,",",,",",INDEX(G7:G51,SMALL(IF(ISNUMBER(AP7:AP51),IF(AP7:AP51&gt;0,IF(AS7:AS51&lt;&gt;"",ROW(AP7:AP51)-MIN(ROW(AP7:AP51))+1))),ROW()-ROW(A$54)+1)),",",SUBSTITUTE(INDEX(IF(PURCHASE_DESCRIPTION&lt;&gt;"",PURCHASE_DESCRIPTION&amp;":","")&amp;A7:A51,SMALL(IF(ISNUMBER(AP7:AP51),IF(AP7:AP51&gt;0,IF(AS7:AS51&lt;&gt;"",ROW(AP7:AP51)-MIN(ROW(AP7:AP51))+1))),ROW()-ROW(A$54)+1)),",",";")),"")</f>
        <v>0</v>
      </c>
      <c r="AU83">
        <f t="array" ref="AU83">IFERROR(CONCATENATE(INDEX(AX7:AX51,SMALL(IF(ISNUMBER(AU7:AU51),IF(AU7:AU51&gt;0,IF(AX7:AX51&lt;&gt;"",ROW(AU7:AU51)-MIN(ROW(AU7:AU51))+1))),ROW()-ROW(A$54)+1))," ",TEXT(INDEX(AU7:AU51,SMALL(IF(ISNUMBER(AU7:AU51),IF(AU7:AU51&gt;0,IF(AX7:AX51&lt;&gt;"",ROW(AU7:AU51)-MIN(ROW(AU7:AU51))+1))),ROW()-ROW(A$54)+1)),"##0")," ",SUBSTITUTE(INDEX(IF(PURCHASE_DESCRIPTION&lt;&gt;"",PURCHASE_DESCRIPTION&amp;":","")&amp;A7:A51,SMALL(IF(ISNUMBER(AU7:AU51),IF(AU7:AU51&gt;0,IF(AX7:AX51&lt;&gt;"",ROW(AU7:AU51)-MIN(ROW(AU7:AU51))+1))),ROW()-ROW(A$54)+1))," ",";")),"")</f>
        <v>0</v>
      </c>
    </row>
    <row r="84" spans="12:47">
      <c r="L84">
        <f t="array" ref="L84">IFERROR(CONCATENATE(INDEX(O7:O51,SMALL(IF(ISNUMBER(L7:L51),IF(L7:L51&gt;0,IF(O7:O51&lt;&gt;"",ROW(L7:L51)-MIN(ROW(L7:L51))+1))),ROW()-ROW(A$54)+1)),",",TEXT(INDEX(L7:L51,SMALL(IF(ISNUMBER(L7:L51),IF(L7:L51&gt;0,IF(O7:O51&lt;&gt;"",ROW(L7:L51)-MIN(ROW(L7:L51))+1))),ROW()-ROW(A$54)+1)),"##0"),",",SUBSTITUTE(INDEX(IF(PURCHASE_DESCRIPTION&lt;&gt;"",PURCHASE_DESCRIPTION&amp;":","")&amp;A7:A51,SMALL(IF(ISNUMBER(L7:L51),IF(L7:L51&gt;0,IF(O7:O51&lt;&gt;"",ROW(L7:L51)-MIN(ROW(L7:L51))+1))),ROW()-ROW(A$54)+1)),",",";")),"")</f>
        <v>0</v>
      </c>
      <c r="Q84">
        <f t="array" ref="Q84">IFERROR(CONCATENATE(TEXT(INDEX(Q7:Q51,SMALL(IF(ISNUMBER(Q7:Q51),IF(Q7:Q51&gt;0,IF(T7:T51&lt;&gt;"",ROW(Q7:Q51)-MIN(ROW(Q7:Q51))+1))),ROW()-ROW(A$54)+1)),"##0"),",",INDEX(T7:T51,SMALL(IF(ISNUMBER(Q7:Q51),IF(Q7:Q51&gt;0,IF(T7:T51&lt;&gt;"",ROW(Q7:Q51)-MIN(ROW(Q7:Q51))+1))),ROW()-ROW(A$54)+1)),",",SUBSTITUTE(INDEX(IF(PURCHASE_DESCRIPTION&lt;&gt;"",PURCHASE_DESCRIPTION&amp;":","")&amp;A7:A51,SMALL(IF(ISNUMBER(Q7:Q51),IF(Q7:Q51&gt;0,IF(T7:T51&lt;&gt;"",ROW(Q7:Q51)-MIN(ROW(Q7:Q51))+1))),ROW()-ROW(A$54)+1)),",",";")),"")</f>
        <v>0</v>
      </c>
      <c r="V84">
        <f t="array" ref="V84">IFERROR(CONCATENATE(INDEX(Y7:Y51,SMALL(IF(ISNUMBER(V7:V51),IF(V7:V51&gt;0,IF(Y7:Y51&lt;&gt;"",ROW(V7:V51)-MIN(ROW(V7:V51))+1))),ROW()-ROW(A$54)+1)),",",TEXT(INDEX(V7:V51,SMALL(IF(ISNUMBER(V7:V51),IF(V7:V51&gt;0,IF(Y7:Y51&lt;&gt;"",ROW(V7:V51)-MIN(ROW(V7:V51))+1))),ROW()-ROW(A$54)+1)),"##0"),",",SUBSTITUTE(SUBSTITUTE(INDEX(IF(PURCHASE_DESCRIPTION&lt;&gt;"",PURCHASE_DESCRIPTION&amp;":","")&amp;A7:A51,SMALL(IF(ISNUMBER(V7:V51),IF(V7:V51&gt;0,IF(Y7:Y51&lt;&gt;"",ROW(V7:V51)-MIN(ROW(V7:V51))+1))),ROW()-ROW(A$54)+1)),",",";"),"
",";"),",",SUBSTITUTE(SUBSTITUTE(INDEX(IF(PURCHASE_DESCRIPTION&lt;&gt;"",PURCHASE_DESCRIPTION&amp;":","")&amp;C7:C51,SMALL(IF(ISNUMBER(V7:V51),IF(V7:V51&gt;0,IF(Y7:Y51&lt;&gt;"",ROW(V7:V51)-MIN(ROW(V7:V51))+1))),ROW()-ROW(A$54)+1)),",",";"),"
",";"),",",SUBSTITUTE(SUBSTITUTE(INDEX(IF(PURCHASE_DESCRIPTION&lt;&gt;"",PURCHASE_DESCRIPTION&amp;":","")&amp;F7:F51,SMALL(IF(ISNUMBER(V7:V51),IF(V7:V51&gt;0,IF(Y7:Y51&lt;&gt;"",ROW(V7:V51)-MIN(ROW(V7:V51))+1))),ROW()-ROW(A$54)+1)),",",";"),"
",";"),",",SUBSTITUTE(SUBSTITUTE(INDEX(IF(PURCHASE_DESCRIPTION&lt;&gt;"",PURCHASE_DESCRIPTION&amp;":","")&amp;D7:D51,SMALL(IF(ISNUMBER(V7:V51),IF(V7:V51&gt;0,IF(Y7:Y51&lt;&gt;"",ROW(V7:V51)-MIN(ROW(V7:V51))+1))),ROW()-ROW(A$54)+1)),",",";"),"
",";")),"")</f>
        <v>0</v>
      </c>
      <c r="AA84">
        <f t="array" ref="AA84">IFERROR(CONCATENATE(TEXT(INDEX(AA7:AA51,SMALL(IF(ISNUMBER(AA7:AA51),IF(AA7:AA51&gt;0,IF(AD7:AD51&lt;&gt;"",ROW(AA7:AA51)-MIN(ROW(AA7:AA51))+1))),ROW()-ROW(A$55)+1)),"##0"),",",SUBSTITUTE(INDEX(IF(PURCHASE_DESCRIPTION&lt;&gt;"",PURCHASE_DESCRIPTION&amp;":","")&amp;A7:A51,SMALL(IF(ISNUMBER(AA7:AA51),IF(AA7:AA51&gt;0,IF(AD7:AD51&lt;&gt;"",ROW(AA7:AA51)-MIN(ROW(AA7:AA51))+1))),ROW()-ROW(A$55)+1)),",",";"),",",SUBSTITUTE(INDEX(IF(PURCHASE_DESCRIPTION&lt;&gt;"",PURCHASE_DESCRIPTION&amp;":","")&amp;E7:E51,SMALL(IF(ISNUMBER(AA7:AA51),IF(AA7:AA51&gt;0,IF(AD7:AD51&lt;&gt;"",ROW(AA7:AA51)-MIN(ROW(AA7:AA51))+1))),ROW()-ROW(A$55)+1)),",",";"),",",INDEX(AD7:AD51,SMALL(IF(ISNUMBER(AA7:AA51),IF(AA7:AA51&gt;0,IF(AD7:AD51&lt;&gt;"",ROW(AA7:AA51)-MIN(ROW(AA7:AA51))+1))),ROW()-ROW(A$55)+1))),"")</f>
        <v>0</v>
      </c>
      <c r="AF84">
        <f t="array" ref="AF84">IFERROR(CONCATENATE(INDEX(AI7:AI51,SMALL(IF(ISNUMBER(AF7:AF51),IF(AF7:AF51&gt;0,IF(AI7:AI51&lt;&gt;"",ROW(AF7:AF51)-MIN(ROW(AF7:AF51))+1))),ROW()-ROW(A$54)+1)),"|",TEXT(INDEX(AF7:AF51,SMALL(IF(ISNUMBER(AF7:AF51),IF(AF7:AF51&gt;0,IF(AI7:AI51&lt;&gt;"",ROW(AF7:AF51)-MIN(ROW(AF7:AF51))+1))),ROW()-ROW(A$54)+1)),"##0"),"|",SUBSTITUTE(SUBSTITUTE(INDEX(IF(PURCHASE_DESCRIPTION&lt;&gt;"",PURCHASE_DESCRIPTION&amp;":","")&amp;A7:A51,SMALL(IF(ISNUMBER(AF7:AF51),IF(AF7:AF51&gt;0,IF(AI7:AI51&lt;&gt;"",ROW(AF7:AF51)-MIN(ROW(AF7:AF51))+1))),ROW()-ROW(A$54)+1)),"|",";")," ","_")),"")</f>
        <v>0</v>
      </c>
      <c r="AK84">
        <f t="array" ref="AK84">IFERROR(CONCATENATE(INDEX(AN7:AN51,SMALL(IF(ISNUMBER(AK7:AK51),IF(AK7:AK51&gt;0,IF(AN7:AN51&lt;&gt;"",ROW(AK7:AK51)-MIN(ROW(AK7:AK51))+1))),ROW()-ROW(A$54)+1)),",",TEXT(INDEX(AK7:AK51,SMALL(IF(ISNUMBER(AK7:AK51),IF(AK7:AK51&gt;0,IF(AN7:AN51&lt;&gt;"",ROW(AK7:AK51)-MIN(ROW(AK7:AK51))+1))),ROW()-ROW(A$54)+1)),"##0"),",",SUBSTITUTE(SUBSTITUTE(INDEX(IF(PURCHASE_DESCRIPTION&lt;&gt;"",PURCHASE_DESCRIPTION&amp;":","")&amp;A7:A51,SMALL(IF(ISNUMBER(AK7:AK51),IF(AK7:AK51&gt;0,IF(AN7:AN51&lt;&gt;"",ROW(AK7:AK51)-MIN(ROW(AK7:AK51))+1))),ROW()-ROW(A$54)+1)),",",";"),"
",";"),",",SUBSTITUTE(SUBSTITUTE(INDEX(IF(PURCHASE_DESCRIPTION&lt;&gt;"",PURCHASE_DESCRIPTION&amp;":","")&amp;C7:C51,SMALL(IF(ISNUMBER(AK7:AK51),IF(AK7:AK51&gt;0,IF(AN7:AN51&lt;&gt;"",ROW(AK7:AK51)-MIN(ROW(AK7:AK51))+1))),ROW()-ROW(A$54)+1)),",",";"),"
",";"),",",SUBSTITUTE(SUBSTITUTE(INDEX(IF(PURCHASE_DESCRIPTION&lt;&gt;"",PURCHASE_DESCRIPTION&amp;":","")&amp;F7:F51,SMALL(IF(ISNUMBER(AK7:AK51),IF(AK7:AK51&gt;0,IF(AN7:AN51&lt;&gt;"",ROW(AK7:AK51)-MIN(ROW(AK7:AK51))+1))),ROW()-ROW(A$54)+1)),",",";"),"
",";"),",",SUBSTITUTE(SUBSTITUTE(INDEX(IF(PURCHASE_DESCRIPTION&lt;&gt;"",PURCHASE_DESCRIPTION&amp;":","")&amp;D7:D51,SMALL(IF(ISNUMBER(AK7:AK51),IF(AK7:AK51&gt;0,IF(AN7:AN51&lt;&gt;"",ROW(AK7:AK51)-MIN(ROW(AK7:AK51))+1))),ROW()-ROW(A$54)+1)),",",";"),"
",";")),"")</f>
        <v>0</v>
      </c>
      <c r="AP84">
        <f t="array" ref="AP84">IFERROR(CONCATENATE(INDEX(AS7:AS51,SMALL(IF(ISNUMBER(AP7:AP51),IF(AP7:AP51&gt;0,IF(AS7:AS51&lt;&gt;"",ROW(AP7:AP51)-MIN(ROW(AP7:AP51))+1))),ROW()-ROW(A$54)+1)),",",TEXT(INDEX(AP7:AP51,SMALL(IF(ISNUMBER(AP7:AP51),IF(AP7:AP51&gt;0,IF(AS7:AS51&lt;&gt;"",ROW(AP7:AP51)-MIN(ROW(AP7:AP51))+1))),ROW()-ROW(A$54)+1)),"##0"),",",,",",,",",,",",INDEX(G7:G51,SMALL(IF(ISNUMBER(AP7:AP51),IF(AP7:AP51&gt;0,IF(AS7:AS51&lt;&gt;"",ROW(AP7:AP51)-MIN(ROW(AP7:AP51))+1))),ROW()-ROW(A$54)+1)),",",SUBSTITUTE(INDEX(IF(PURCHASE_DESCRIPTION&lt;&gt;"",PURCHASE_DESCRIPTION&amp;":","")&amp;A7:A51,SMALL(IF(ISNUMBER(AP7:AP51),IF(AP7:AP51&gt;0,IF(AS7:AS51&lt;&gt;"",ROW(AP7:AP51)-MIN(ROW(AP7:AP51))+1))),ROW()-ROW(A$54)+1)),",",";")),"")</f>
        <v>0</v>
      </c>
      <c r="AU84">
        <f t="array" ref="AU84">IFERROR(CONCATENATE(INDEX(AX7:AX51,SMALL(IF(ISNUMBER(AU7:AU51),IF(AU7:AU51&gt;0,IF(AX7:AX51&lt;&gt;"",ROW(AU7:AU51)-MIN(ROW(AU7:AU51))+1))),ROW()-ROW(A$54)+1))," ",TEXT(INDEX(AU7:AU51,SMALL(IF(ISNUMBER(AU7:AU51),IF(AU7:AU51&gt;0,IF(AX7:AX51&lt;&gt;"",ROW(AU7:AU51)-MIN(ROW(AU7:AU51))+1))),ROW()-ROW(A$54)+1)),"##0")," ",SUBSTITUTE(INDEX(IF(PURCHASE_DESCRIPTION&lt;&gt;"",PURCHASE_DESCRIPTION&amp;":","")&amp;A7:A51,SMALL(IF(ISNUMBER(AU7:AU51),IF(AU7:AU51&gt;0,IF(AX7:AX51&lt;&gt;"",ROW(AU7:AU51)-MIN(ROW(AU7:AU51))+1))),ROW()-ROW(A$54)+1))," ",";")),"")</f>
        <v>0</v>
      </c>
    </row>
    <row r="85" spans="12:47">
      <c r="L85">
        <f t="array" ref="L85">IFERROR(CONCATENATE(INDEX(O7:O51,SMALL(IF(ISNUMBER(L7:L51),IF(L7:L51&gt;0,IF(O7:O51&lt;&gt;"",ROW(L7:L51)-MIN(ROW(L7:L51))+1))),ROW()-ROW(A$54)+1)),",",TEXT(INDEX(L7:L51,SMALL(IF(ISNUMBER(L7:L51),IF(L7:L51&gt;0,IF(O7:O51&lt;&gt;"",ROW(L7:L51)-MIN(ROW(L7:L51))+1))),ROW()-ROW(A$54)+1)),"##0"),",",SUBSTITUTE(INDEX(IF(PURCHASE_DESCRIPTION&lt;&gt;"",PURCHASE_DESCRIPTION&amp;":","")&amp;A7:A51,SMALL(IF(ISNUMBER(L7:L51),IF(L7:L51&gt;0,IF(O7:O51&lt;&gt;"",ROW(L7:L51)-MIN(ROW(L7:L51))+1))),ROW()-ROW(A$54)+1)),",",";")),"")</f>
        <v>0</v>
      </c>
      <c r="Q85">
        <f t="array" ref="Q85">IFERROR(CONCATENATE(TEXT(INDEX(Q7:Q51,SMALL(IF(ISNUMBER(Q7:Q51),IF(Q7:Q51&gt;0,IF(T7:T51&lt;&gt;"",ROW(Q7:Q51)-MIN(ROW(Q7:Q51))+1))),ROW()-ROW(A$54)+1)),"##0"),",",INDEX(T7:T51,SMALL(IF(ISNUMBER(Q7:Q51),IF(Q7:Q51&gt;0,IF(T7:T51&lt;&gt;"",ROW(Q7:Q51)-MIN(ROW(Q7:Q51))+1))),ROW()-ROW(A$54)+1)),",",SUBSTITUTE(INDEX(IF(PURCHASE_DESCRIPTION&lt;&gt;"",PURCHASE_DESCRIPTION&amp;":","")&amp;A7:A51,SMALL(IF(ISNUMBER(Q7:Q51),IF(Q7:Q51&gt;0,IF(T7:T51&lt;&gt;"",ROW(Q7:Q51)-MIN(ROW(Q7:Q51))+1))),ROW()-ROW(A$54)+1)),",",";")),"")</f>
        <v>0</v>
      </c>
      <c r="V85">
        <f t="array" ref="V85">IFERROR(CONCATENATE(INDEX(Y7:Y51,SMALL(IF(ISNUMBER(V7:V51),IF(V7:V51&gt;0,IF(Y7:Y51&lt;&gt;"",ROW(V7:V51)-MIN(ROW(V7:V51))+1))),ROW()-ROW(A$54)+1)),",",TEXT(INDEX(V7:V51,SMALL(IF(ISNUMBER(V7:V51),IF(V7:V51&gt;0,IF(Y7:Y51&lt;&gt;"",ROW(V7:V51)-MIN(ROW(V7:V51))+1))),ROW()-ROW(A$54)+1)),"##0"),",",SUBSTITUTE(SUBSTITUTE(INDEX(IF(PURCHASE_DESCRIPTION&lt;&gt;"",PURCHASE_DESCRIPTION&amp;":","")&amp;A7:A51,SMALL(IF(ISNUMBER(V7:V51),IF(V7:V51&gt;0,IF(Y7:Y51&lt;&gt;"",ROW(V7:V51)-MIN(ROW(V7:V51))+1))),ROW()-ROW(A$54)+1)),",",";"),"
",";"),",",SUBSTITUTE(SUBSTITUTE(INDEX(IF(PURCHASE_DESCRIPTION&lt;&gt;"",PURCHASE_DESCRIPTION&amp;":","")&amp;C7:C51,SMALL(IF(ISNUMBER(V7:V51),IF(V7:V51&gt;0,IF(Y7:Y51&lt;&gt;"",ROW(V7:V51)-MIN(ROW(V7:V51))+1))),ROW()-ROW(A$54)+1)),",",";"),"
",";"),",",SUBSTITUTE(SUBSTITUTE(INDEX(IF(PURCHASE_DESCRIPTION&lt;&gt;"",PURCHASE_DESCRIPTION&amp;":","")&amp;F7:F51,SMALL(IF(ISNUMBER(V7:V51),IF(V7:V51&gt;0,IF(Y7:Y51&lt;&gt;"",ROW(V7:V51)-MIN(ROW(V7:V51))+1))),ROW()-ROW(A$54)+1)),",",";"),"
",";"),",",SUBSTITUTE(SUBSTITUTE(INDEX(IF(PURCHASE_DESCRIPTION&lt;&gt;"",PURCHASE_DESCRIPTION&amp;":","")&amp;D7:D51,SMALL(IF(ISNUMBER(V7:V51),IF(V7:V51&gt;0,IF(Y7:Y51&lt;&gt;"",ROW(V7:V51)-MIN(ROW(V7:V51))+1))),ROW()-ROW(A$54)+1)),",",";"),"
",";")),"")</f>
        <v>0</v>
      </c>
      <c r="AA85">
        <f t="array" ref="AA85">IFERROR(CONCATENATE(TEXT(INDEX(AA7:AA51,SMALL(IF(ISNUMBER(AA7:AA51),IF(AA7:AA51&gt;0,IF(AD7:AD51&lt;&gt;"",ROW(AA7:AA51)-MIN(ROW(AA7:AA51))+1))),ROW()-ROW(A$55)+1)),"##0"),",",SUBSTITUTE(INDEX(IF(PURCHASE_DESCRIPTION&lt;&gt;"",PURCHASE_DESCRIPTION&amp;":","")&amp;A7:A51,SMALL(IF(ISNUMBER(AA7:AA51),IF(AA7:AA51&gt;0,IF(AD7:AD51&lt;&gt;"",ROW(AA7:AA51)-MIN(ROW(AA7:AA51))+1))),ROW()-ROW(A$55)+1)),",",";"),",",SUBSTITUTE(INDEX(IF(PURCHASE_DESCRIPTION&lt;&gt;"",PURCHASE_DESCRIPTION&amp;":","")&amp;E7:E51,SMALL(IF(ISNUMBER(AA7:AA51),IF(AA7:AA51&gt;0,IF(AD7:AD51&lt;&gt;"",ROW(AA7:AA51)-MIN(ROW(AA7:AA51))+1))),ROW()-ROW(A$55)+1)),",",";"),",",INDEX(AD7:AD51,SMALL(IF(ISNUMBER(AA7:AA51),IF(AA7:AA51&gt;0,IF(AD7:AD51&lt;&gt;"",ROW(AA7:AA51)-MIN(ROW(AA7:AA51))+1))),ROW()-ROW(A$55)+1))),"")</f>
        <v>0</v>
      </c>
      <c r="AF85">
        <f t="array" ref="AF85">IFERROR(CONCATENATE(INDEX(AI7:AI51,SMALL(IF(ISNUMBER(AF7:AF51),IF(AF7:AF51&gt;0,IF(AI7:AI51&lt;&gt;"",ROW(AF7:AF51)-MIN(ROW(AF7:AF51))+1))),ROW()-ROW(A$54)+1)),"|",TEXT(INDEX(AF7:AF51,SMALL(IF(ISNUMBER(AF7:AF51),IF(AF7:AF51&gt;0,IF(AI7:AI51&lt;&gt;"",ROW(AF7:AF51)-MIN(ROW(AF7:AF51))+1))),ROW()-ROW(A$54)+1)),"##0"),"|",SUBSTITUTE(SUBSTITUTE(INDEX(IF(PURCHASE_DESCRIPTION&lt;&gt;"",PURCHASE_DESCRIPTION&amp;":","")&amp;A7:A51,SMALL(IF(ISNUMBER(AF7:AF51),IF(AF7:AF51&gt;0,IF(AI7:AI51&lt;&gt;"",ROW(AF7:AF51)-MIN(ROW(AF7:AF51))+1))),ROW()-ROW(A$54)+1)),"|",";")," ","_")),"")</f>
        <v>0</v>
      </c>
      <c r="AK85">
        <f t="array" ref="AK85">IFERROR(CONCATENATE(INDEX(AN7:AN51,SMALL(IF(ISNUMBER(AK7:AK51),IF(AK7:AK51&gt;0,IF(AN7:AN51&lt;&gt;"",ROW(AK7:AK51)-MIN(ROW(AK7:AK51))+1))),ROW()-ROW(A$54)+1)),",",TEXT(INDEX(AK7:AK51,SMALL(IF(ISNUMBER(AK7:AK51),IF(AK7:AK51&gt;0,IF(AN7:AN51&lt;&gt;"",ROW(AK7:AK51)-MIN(ROW(AK7:AK51))+1))),ROW()-ROW(A$54)+1)),"##0"),",",SUBSTITUTE(SUBSTITUTE(INDEX(IF(PURCHASE_DESCRIPTION&lt;&gt;"",PURCHASE_DESCRIPTION&amp;":","")&amp;A7:A51,SMALL(IF(ISNUMBER(AK7:AK51),IF(AK7:AK51&gt;0,IF(AN7:AN51&lt;&gt;"",ROW(AK7:AK51)-MIN(ROW(AK7:AK51))+1))),ROW()-ROW(A$54)+1)),",",";"),"
",";"),",",SUBSTITUTE(SUBSTITUTE(INDEX(IF(PURCHASE_DESCRIPTION&lt;&gt;"",PURCHASE_DESCRIPTION&amp;":","")&amp;C7:C51,SMALL(IF(ISNUMBER(AK7:AK51),IF(AK7:AK51&gt;0,IF(AN7:AN51&lt;&gt;"",ROW(AK7:AK51)-MIN(ROW(AK7:AK51))+1))),ROW()-ROW(A$54)+1)),",",";"),"
",";"),",",SUBSTITUTE(SUBSTITUTE(INDEX(IF(PURCHASE_DESCRIPTION&lt;&gt;"",PURCHASE_DESCRIPTION&amp;":","")&amp;F7:F51,SMALL(IF(ISNUMBER(AK7:AK51),IF(AK7:AK51&gt;0,IF(AN7:AN51&lt;&gt;"",ROW(AK7:AK51)-MIN(ROW(AK7:AK51))+1))),ROW()-ROW(A$54)+1)),",",";"),"
",";"),",",SUBSTITUTE(SUBSTITUTE(INDEX(IF(PURCHASE_DESCRIPTION&lt;&gt;"",PURCHASE_DESCRIPTION&amp;":","")&amp;D7:D51,SMALL(IF(ISNUMBER(AK7:AK51),IF(AK7:AK51&gt;0,IF(AN7:AN51&lt;&gt;"",ROW(AK7:AK51)-MIN(ROW(AK7:AK51))+1))),ROW()-ROW(A$54)+1)),",",";"),"
",";")),"")</f>
        <v>0</v>
      </c>
      <c r="AP85">
        <f t="array" ref="AP85">IFERROR(CONCATENATE(INDEX(AS7:AS51,SMALL(IF(ISNUMBER(AP7:AP51),IF(AP7:AP51&gt;0,IF(AS7:AS51&lt;&gt;"",ROW(AP7:AP51)-MIN(ROW(AP7:AP51))+1))),ROW()-ROW(A$54)+1)),",",TEXT(INDEX(AP7:AP51,SMALL(IF(ISNUMBER(AP7:AP51),IF(AP7:AP51&gt;0,IF(AS7:AS51&lt;&gt;"",ROW(AP7:AP51)-MIN(ROW(AP7:AP51))+1))),ROW()-ROW(A$54)+1)),"##0"),",",,",",,",",,",",INDEX(G7:G51,SMALL(IF(ISNUMBER(AP7:AP51),IF(AP7:AP51&gt;0,IF(AS7:AS51&lt;&gt;"",ROW(AP7:AP51)-MIN(ROW(AP7:AP51))+1))),ROW()-ROW(A$54)+1)),",",SUBSTITUTE(INDEX(IF(PURCHASE_DESCRIPTION&lt;&gt;"",PURCHASE_DESCRIPTION&amp;":","")&amp;A7:A51,SMALL(IF(ISNUMBER(AP7:AP51),IF(AP7:AP51&gt;0,IF(AS7:AS51&lt;&gt;"",ROW(AP7:AP51)-MIN(ROW(AP7:AP51))+1))),ROW()-ROW(A$54)+1)),",",";")),"")</f>
        <v>0</v>
      </c>
      <c r="AU85">
        <f t="array" ref="AU85">IFERROR(CONCATENATE(INDEX(AX7:AX51,SMALL(IF(ISNUMBER(AU7:AU51),IF(AU7:AU51&gt;0,IF(AX7:AX51&lt;&gt;"",ROW(AU7:AU51)-MIN(ROW(AU7:AU51))+1))),ROW()-ROW(A$54)+1))," ",TEXT(INDEX(AU7:AU51,SMALL(IF(ISNUMBER(AU7:AU51),IF(AU7:AU51&gt;0,IF(AX7:AX51&lt;&gt;"",ROW(AU7:AU51)-MIN(ROW(AU7:AU51))+1))),ROW()-ROW(A$54)+1)),"##0")," ",SUBSTITUTE(INDEX(IF(PURCHASE_DESCRIPTION&lt;&gt;"",PURCHASE_DESCRIPTION&amp;":","")&amp;A7:A51,SMALL(IF(ISNUMBER(AU7:AU51),IF(AU7:AU51&gt;0,IF(AX7:AX51&lt;&gt;"",ROW(AU7:AU51)-MIN(ROW(AU7:AU51))+1))),ROW()-ROW(A$54)+1))," ",";")),"")</f>
        <v>0</v>
      </c>
    </row>
    <row r="86" spans="12:47">
      <c r="L86">
        <f t="array" ref="L86">IFERROR(CONCATENATE(INDEX(O7:O51,SMALL(IF(ISNUMBER(L7:L51),IF(L7:L51&gt;0,IF(O7:O51&lt;&gt;"",ROW(L7:L51)-MIN(ROW(L7:L51))+1))),ROW()-ROW(A$54)+1)),",",TEXT(INDEX(L7:L51,SMALL(IF(ISNUMBER(L7:L51),IF(L7:L51&gt;0,IF(O7:O51&lt;&gt;"",ROW(L7:L51)-MIN(ROW(L7:L51))+1))),ROW()-ROW(A$54)+1)),"##0"),",",SUBSTITUTE(INDEX(IF(PURCHASE_DESCRIPTION&lt;&gt;"",PURCHASE_DESCRIPTION&amp;":","")&amp;A7:A51,SMALL(IF(ISNUMBER(L7:L51),IF(L7:L51&gt;0,IF(O7:O51&lt;&gt;"",ROW(L7:L51)-MIN(ROW(L7:L51))+1))),ROW()-ROW(A$54)+1)),",",";")),"")</f>
        <v>0</v>
      </c>
      <c r="Q86">
        <f t="array" ref="Q86">IFERROR(CONCATENATE(TEXT(INDEX(Q7:Q51,SMALL(IF(ISNUMBER(Q7:Q51),IF(Q7:Q51&gt;0,IF(T7:T51&lt;&gt;"",ROW(Q7:Q51)-MIN(ROW(Q7:Q51))+1))),ROW()-ROW(A$54)+1)),"##0"),",",INDEX(T7:T51,SMALL(IF(ISNUMBER(Q7:Q51),IF(Q7:Q51&gt;0,IF(T7:T51&lt;&gt;"",ROW(Q7:Q51)-MIN(ROW(Q7:Q51))+1))),ROW()-ROW(A$54)+1)),",",SUBSTITUTE(INDEX(IF(PURCHASE_DESCRIPTION&lt;&gt;"",PURCHASE_DESCRIPTION&amp;":","")&amp;A7:A51,SMALL(IF(ISNUMBER(Q7:Q51),IF(Q7:Q51&gt;0,IF(T7:T51&lt;&gt;"",ROW(Q7:Q51)-MIN(ROW(Q7:Q51))+1))),ROW()-ROW(A$54)+1)),",",";")),"")</f>
        <v>0</v>
      </c>
      <c r="V86">
        <f t="array" ref="V86">IFERROR(CONCATENATE(INDEX(Y7:Y51,SMALL(IF(ISNUMBER(V7:V51),IF(V7:V51&gt;0,IF(Y7:Y51&lt;&gt;"",ROW(V7:V51)-MIN(ROW(V7:V51))+1))),ROW()-ROW(A$54)+1)),",",TEXT(INDEX(V7:V51,SMALL(IF(ISNUMBER(V7:V51),IF(V7:V51&gt;0,IF(Y7:Y51&lt;&gt;"",ROW(V7:V51)-MIN(ROW(V7:V51))+1))),ROW()-ROW(A$54)+1)),"##0"),",",SUBSTITUTE(SUBSTITUTE(INDEX(IF(PURCHASE_DESCRIPTION&lt;&gt;"",PURCHASE_DESCRIPTION&amp;":","")&amp;A7:A51,SMALL(IF(ISNUMBER(V7:V51),IF(V7:V51&gt;0,IF(Y7:Y51&lt;&gt;"",ROW(V7:V51)-MIN(ROW(V7:V51))+1))),ROW()-ROW(A$54)+1)),",",";"),"
",";"),",",SUBSTITUTE(SUBSTITUTE(INDEX(IF(PURCHASE_DESCRIPTION&lt;&gt;"",PURCHASE_DESCRIPTION&amp;":","")&amp;C7:C51,SMALL(IF(ISNUMBER(V7:V51),IF(V7:V51&gt;0,IF(Y7:Y51&lt;&gt;"",ROW(V7:V51)-MIN(ROW(V7:V51))+1))),ROW()-ROW(A$54)+1)),",",";"),"
",";"),",",SUBSTITUTE(SUBSTITUTE(INDEX(IF(PURCHASE_DESCRIPTION&lt;&gt;"",PURCHASE_DESCRIPTION&amp;":","")&amp;F7:F51,SMALL(IF(ISNUMBER(V7:V51),IF(V7:V51&gt;0,IF(Y7:Y51&lt;&gt;"",ROW(V7:V51)-MIN(ROW(V7:V51))+1))),ROW()-ROW(A$54)+1)),",",";"),"
",";"),",",SUBSTITUTE(SUBSTITUTE(INDEX(IF(PURCHASE_DESCRIPTION&lt;&gt;"",PURCHASE_DESCRIPTION&amp;":","")&amp;D7:D51,SMALL(IF(ISNUMBER(V7:V51),IF(V7:V51&gt;0,IF(Y7:Y51&lt;&gt;"",ROW(V7:V51)-MIN(ROW(V7:V51))+1))),ROW()-ROW(A$54)+1)),",",";"),"
",";")),"")</f>
        <v>0</v>
      </c>
      <c r="AA86">
        <f t="array" ref="AA86">IFERROR(CONCATENATE(TEXT(INDEX(AA7:AA51,SMALL(IF(ISNUMBER(AA7:AA51),IF(AA7:AA51&gt;0,IF(AD7:AD51&lt;&gt;"",ROW(AA7:AA51)-MIN(ROW(AA7:AA51))+1))),ROW()-ROW(A$55)+1)),"##0"),",",SUBSTITUTE(INDEX(IF(PURCHASE_DESCRIPTION&lt;&gt;"",PURCHASE_DESCRIPTION&amp;":","")&amp;A7:A51,SMALL(IF(ISNUMBER(AA7:AA51),IF(AA7:AA51&gt;0,IF(AD7:AD51&lt;&gt;"",ROW(AA7:AA51)-MIN(ROW(AA7:AA51))+1))),ROW()-ROW(A$55)+1)),",",";"),",",SUBSTITUTE(INDEX(IF(PURCHASE_DESCRIPTION&lt;&gt;"",PURCHASE_DESCRIPTION&amp;":","")&amp;E7:E51,SMALL(IF(ISNUMBER(AA7:AA51),IF(AA7:AA51&gt;0,IF(AD7:AD51&lt;&gt;"",ROW(AA7:AA51)-MIN(ROW(AA7:AA51))+1))),ROW()-ROW(A$55)+1)),",",";"),",",INDEX(AD7:AD51,SMALL(IF(ISNUMBER(AA7:AA51),IF(AA7:AA51&gt;0,IF(AD7:AD51&lt;&gt;"",ROW(AA7:AA51)-MIN(ROW(AA7:AA51))+1))),ROW()-ROW(A$55)+1))),"")</f>
        <v>0</v>
      </c>
      <c r="AF86">
        <f t="array" ref="AF86">IFERROR(CONCATENATE(INDEX(AI7:AI51,SMALL(IF(ISNUMBER(AF7:AF51),IF(AF7:AF51&gt;0,IF(AI7:AI51&lt;&gt;"",ROW(AF7:AF51)-MIN(ROW(AF7:AF51))+1))),ROW()-ROW(A$54)+1)),"|",TEXT(INDEX(AF7:AF51,SMALL(IF(ISNUMBER(AF7:AF51),IF(AF7:AF51&gt;0,IF(AI7:AI51&lt;&gt;"",ROW(AF7:AF51)-MIN(ROW(AF7:AF51))+1))),ROW()-ROW(A$54)+1)),"##0"),"|",SUBSTITUTE(SUBSTITUTE(INDEX(IF(PURCHASE_DESCRIPTION&lt;&gt;"",PURCHASE_DESCRIPTION&amp;":","")&amp;A7:A51,SMALL(IF(ISNUMBER(AF7:AF51),IF(AF7:AF51&gt;0,IF(AI7:AI51&lt;&gt;"",ROW(AF7:AF51)-MIN(ROW(AF7:AF51))+1))),ROW()-ROW(A$54)+1)),"|",";")," ","_")),"")</f>
        <v>0</v>
      </c>
      <c r="AK86">
        <f t="array" ref="AK86">IFERROR(CONCATENATE(INDEX(AN7:AN51,SMALL(IF(ISNUMBER(AK7:AK51),IF(AK7:AK51&gt;0,IF(AN7:AN51&lt;&gt;"",ROW(AK7:AK51)-MIN(ROW(AK7:AK51))+1))),ROW()-ROW(A$54)+1)),",",TEXT(INDEX(AK7:AK51,SMALL(IF(ISNUMBER(AK7:AK51),IF(AK7:AK51&gt;0,IF(AN7:AN51&lt;&gt;"",ROW(AK7:AK51)-MIN(ROW(AK7:AK51))+1))),ROW()-ROW(A$54)+1)),"##0"),",",SUBSTITUTE(SUBSTITUTE(INDEX(IF(PURCHASE_DESCRIPTION&lt;&gt;"",PURCHASE_DESCRIPTION&amp;":","")&amp;A7:A51,SMALL(IF(ISNUMBER(AK7:AK51),IF(AK7:AK51&gt;0,IF(AN7:AN51&lt;&gt;"",ROW(AK7:AK51)-MIN(ROW(AK7:AK51))+1))),ROW()-ROW(A$54)+1)),",",";"),"
",";"),",",SUBSTITUTE(SUBSTITUTE(INDEX(IF(PURCHASE_DESCRIPTION&lt;&gt;"",PURCHASE_DESCRIPTION&amp;":","")&amp;C7:C51,SMALL(IF(ISNUMBER(AK7:AK51),IF(AK7:AK51&gt;0,IF(AN7:AN51&lt;&gt;"",ROW(AK7:AK51)-MIN(ROW(AK7:AK51))+1))),ROW()-ROW(A$54)+1)),",",";"),"
",";"),",",SUBSTITUTE(SUBSTITUTE(INDEX(IF(PURCHASE_DESCRIPTION&lt;&gt;"",PURCHASE_DESCRIPTION&amp;":","")&amp;F7:F51,SMALL(IF(ISNUMBER(AK7:AK51),IF(AK7:AK51&gt;0,IF(AN7:AN51&lt;&gt;"",ROW(AK7:AK51)-MIN(ROW(AK7:AK51))+1))),ROW()-ROW(A$54)+1)),",",";"),"
",";"),",",SUBSTITUTE(SUBSTITUTE(INDEX(IF(PURCHASE_DESCRIPTION&lt;&gt;"",PURCHASE_DESCRIPTION&amp;":","")&amp;D7:D51,SMALL(IF(ISNUMBER(AK7:AK51),IF(AK7:AK51&gt;0,IF(AN7:AN51&lt;&gt;"",ROW(AK7:AK51)-MIN(ROW(AK7:AK51))+1))),ROW()-ROW(A$54)+1)),",",";"),"
",";")),"")</f>
        <v>0</v>
      </c>
      <c r="AP86">
        <f t="array" ref="AP86">IFERROR(CONCATENATE(INDEX(AS7:AS51,SMALL(IF(ISNUMBER(AP7:AP51),IF(AP7:AP51&gt;0,IF(AS7:AS51&lt;&gt;"",ROW(AP7:AP51)-MIN(ROW(AP7:AP51))+1))),ROW()-ROW(A$54)+1)),",",TEXT(INDEX(AP7:AP51,SMALL(IF(ISNUMBER(AP7:AP51),IF(AP7:AP51&gt;0,IF(AS7:AS51&lt;&gt;"",ROW(AP7:AP51)-MIN(ROW(AP7:AP51))+1))),ROW()-ROW(A$54)+1)),"##0"),",",,",",,",",,",",INDEX(G7:G51,SMALL(IF(ISNUMBER(AP7:AP51),IF(AP7:AP51&gt;0,IF(AS7:AS51&lt;&gt;"",ROW(AP7:AP51)-MIN(ROW(AP7:AP51))+1))),ROW()-ROW(A$54)+1)),",",SUBSTITUTE(INDEX(IF(PURCHASE_DESCRIPTION&lt;&gt;"",PURCHASE_DESCRIPTION&amp;":","")&amp;A7:A51,SMALL(IF(ISNUMBER(AP7:AP51),IF(AP7:AP51&gt;0,IF(AS7:AS51&lt;&gt;"",ROW(AP7:AP51)-MIN(ROW(AP7:AP51))+1))),ROW()-ROW(A$54)+1)),",",";")),"")</f>
        <v>0</v>
      </c>
      <c r="AU86">
        <f t="array" ref="AU86">IFERROR(CONCATENATE(INDEX(AX7:AX51,SMALL(IF(ISNUMBER(AU7:AU51),IF(AU7:AU51&gt;0,IF(AX7:AX51&lt;&gt;"",ROW(AU7:AU51)-MIN(ROW(AU7:AU51))+1))),ROW()-ROW(A$54)+1))," ",TEXT(INDEX(AU7:AU51,SMALL(IF(ISNUMBER(AU7:AU51),IF(AU7:AU51&gt;0,IF(AX7:AX51&lt;&gt;"",ROW(AU7:AU51)-MIN(ROW(AU7:AU51))+1))),ROW()-ROW(A$54)+1)),"##0")," ",SUBSTITUTE(INDEX(IF(PURCHASE_DESCRIPTION&lt;&gt;"",PURCHASE_DESCRIPTION&amp;":","")&amp;A7:A51,SMALL(IF(ISNUMBER(AU7:AU51),IF(AU7:AU51&gt;0,IF(AX7:AX51&lt;&gt;"",ROW(AU7:AU51)-MIN(ROW(AU7:AU51))+1))),ROW()-ROW(A$54)+1))," ",";")),"")</f>
        <v>0</v>
      </c>
    </row>
    <row r="87" spans="12:47">
      <c r="L87">
        <f t="array" ref="L87">IFERROR(CONCATENATE(INDEX(O7:O51,SMALL(IF(ISNUMBER(L7:L51),IF(L7:L51&gt;0,IF(O7:O51&lt;&gt;"",ROW(L7:L51)-MIN(ROW(L7:L51))+1))),ROW()-ROW(A$54)+1)),",",TEXT(INDEX(L7:L51,SMALL(IF(ISNUMBER(L7:L51),IF(L7:L51&gt;0,IF(O7:O51&lt;&gt;"",ROW(L7:L51)-MIN(ROW(L7:L51))+1))),ROW()-ROW(A$54)+1)),"##0"),",",SUBSTITUTE(INDEX(IF(PURCHASE_DESCRIPTION&lt;&gt;"",PURCHASE_DESCRIPTION&amp;":","")&amp;A7:A51,SMALL(IF(ISNUMBER(L7:L51),IF(L7:L51&gt;0,IF(O7:O51&lt;&gt;"",ROW(L7:L51)-MIN(ROW(L7:L51))+1))),ROW()-ROW(A$54)+1)),",",";")),"")</f>
        <v>0</v>
      </c>
      <c r="Q87">
        <f t="array" ref="Q87">IFERROR(CONCATENATE(TEXT(INDEX(Q7:Q51,SMALL(IF(ISNUMBER(Q7:Q51),IF(Q7:Q51&gt;0,IF(T7:T51&lt;&gt;"",ROW(Q7:Q51)-MIN(ROW(Q7:Q51))+1))),ROW()-ROW(A$54)+1)),"##0"),",",INDEX(T7:T51,SMALL(IF(ISNUMBER(Q7:Q51),IF(Q7:Q51&gt;0,IF(T7:T51&lt;&gt;"",ROW(Q7:Q51)-MIN(ROW(Q7:Q51))+1))),ROW()-ROW(A$54)+1)),",",SUBSTITUTE(INDEX(IF(PURCHASE_DESCRIPTION&lt;&gt;"",PURCHASE_DESCRIPTION&amp;":","")&amp;A7:A51,SMALL(IF(ISNUMBER(Q7:Q51),IF(Q7:Q51&gt;0,IF(T7:T51&lt;&gt;"",ROW(Q7:Q51)-MIN(ROW(Q7:Q51))+1))),ROW()-ROW(A$54)+1)),",",";")),"")</f>
        <v>0</v>
      </c>
      <c r="V87">
        <f t="array" ref="V87">IFERROR(CONCATENATE(INDEX(Y7:Y51,SMALL(IF(ISNUMBER(V7:V51),IF(V7:V51&gt;0,IF(Y7:Y51&lt;&gt;"",ROW(V7:V51)-MIN(ROW(V7:V51))+1))),ROW()-ROW(A$54)+1)),",",TEXT(INDEX(V7:V51,SMALL(IF(ISNUMBER(V7:V51),IF(V7:V51&gt;0,IF(Y7:Y51&lt;&gt;"",ROW(V7:V51)-MIN(ROW(V7:V51))+1))),ROW()-ROW(A$54)+1)),"##0"),",",SUBSTITUTE(SUBSTITUTE(INDEX(IF(PURCHASE_DESCRIPTION&lt;&gt;"",PURCHASE_DESCRIPTION&amp;":","")&amp;A7:A51,SMALL(IF(ISNUMBER(V7:V51),IF(V7:V51&gt;0,IF(Y7:Y51&lt;&gt;"",ROW(V7:V51)-MIN(ROW(V7:V51))+1))),ROW()-ROW(A$54)+1)),",",";"),"
",";"),",",SUBSTITUTE(SUBSTITUTE(INDEX(IF(PURCHASE_DESCRIPTION&lt;&gt;"",PURCHASE_DESCRIPTION&amp;":","")&amp;C7:C51,SMALL(IF(ISNUMBER(V7:V51),IF(V7:V51&gt;0,IF(Y7:Y51&lt;&gt;"",ROW(V7:V51)-MIN(ROW(V7:V51))+1))),ROW()-ROW(A$54)+1)),",",";"),"
",";"),",",SUBSTITUTE(SUBSTITUTE(INDEX(IF(PURCHASE_DESCRIPTION&lt;&gt;"",PURCHASE_DESCRIPTION&amp;":","")&amp;F7:F51,SMALL(IF(ISNUMBER(V7:V51),IF(V7:V51&gt;0,IF(Y7:Y51&lt;&gt;"",ROW(V7:V51)-MIN(ROW(V7:V51))+1))),ROW()-ROW(A$54)+1)),",",";"),"
",";"),",",SUBSTITUTE(SUBSTITUTE(INDEX(IF(PURCHASE_DESCRIPTION&lt;&gt;"",PURCHASE_DESCRIPTION&amp;":","")&amp;D7:D51,SMALL(IF(ISNUMBER(V7:V51),IF(V7:V51&gt;0,IF(Y7:Y51&lt;&gt;"",ROW(V7:V51)-MIN(ROW(V7:V51))+1))),ROW()-ROW(A$54)+1)),",",";"),"
",";")),"")</f>
        <v>0</v>
      </c>
      <c r="AA87">
        <f t="array" ref="AA87">IFERROR(CONCATENATE(TEXT(INDEX(AA7:AA51,SMALL(IF(ISNUMBER(AA7:AA51),IF(AA7:AA51&gt;0,IF(AD7:AD51&lt;&gt;"",ROW(AA7:AA51)-MIN(ROW(AA7:AA51))+1))),ROW()-ROW(A$55)+1)),"##0"),",",SUBSTITUTE(INDEX(IF(PURCHASE_DESCRIPTION&lt;&gt;"",PURCHASE_DESCRIPTION&amp;":","")&amp;A7:A51,SMALL(IF(ISNUMBER(AA7:AA51),IF(AA7:AA51&gt;0,IF(AD7:AD51&lt;&gt;"",ROW(AA7:AA51)-MIN(ROW(AA7:AA51))+1))),ROW()-ROW(A$55)+1)),",",";"),",",SUBSTITUTE(INDEX(IF(PURCHASE_DESCRIPTION&lt;&gt;"",PURCHASE_DESCRIPTION&amp;":","")&amp;E7:E51,SMALL(IF(ISNUMBER(AA7:AA51),IF(AA7:AA51&gt;0,IF(AD7:AD51&lt;&gt;"",ROW(AA7:AA51)-MIN(ROW(AA7:AA51))+1))),ROW()-ROW(A$55)+1)),",",";"),",",INDEX(AD7:AD51,SMALL(IF(ISNUMBER(AA7:AA51),IF(AA7:AA51&gt;0,IF(AD7:AD51&lt;&gt;"",ROW(AA7:AA51)-MIN(ROW(AA7:AA51))+1))),ROW()-ROW(A$55)+1))),"")</f>
        <v>0</v>
      </c>
      <c r="AF87">
        <f t="array" ref="AF87">IFERROR(CONCATENATE(INDEX(AI7:AI51,SMALL(IF(ISNUMBER(AF7:AF51),IF(AF7:AF51&gt;0,IF(AI7:AI51&lt;&gt;"",ROW(AF7:AF51)-MIN(ROW(AF7:AF51))+1))),ROW()-ROW(A$54)+1)),"|",TEXT(INDEX(AF7:AF51,SMALL(IF(ISNUMBER(AF7:AF51),IF(AF7:AF51&gt;0,IF(AI7:AI51&lt;&gt;"",ROW(AF7:AF51)-MIN(ROW(AF7:AF51))+1))),ROW()-ROW(A$54)+1)),"##0"),"|",SUBSTITUTE(SUBSTITUTE(INDEX(IF(PURCHASE_DESCRIPTION&lt;&gt;"",PURCHASE_DESCRIPTION&amp;":","")&amp;A7:A51,SMALL(IF(ISNUMBER(AF7:AF51),IF(AF7:AF51&gt;0,IF(AI7:AI51&lt;&gt;"",ROW(AF7:AF51)-MIN(ROW(AF7:AF51))+1))),ROW()-ROW(A$54)+1)),"|",";")," ","_")),"")</f>
        <v>0</v>
      </c>
      <c r="AK87">
        <f t="array" ref="AK87">IFERROR(CONCATENATE(INDEX(AN7:AN51,SMALL(IF(ISNUMBER(AK7:AK51),IF(AK7:AK51&gt;0,IF(AN7:AN51&lt;&gt;"",ROW(AK7:AK51)-MIN(ROW(AK7:AK51))+1))),ROW()-ROW(A$54)+1)),",",TEXT(INDEX(AK7:AK51,SMALL(IF(ISNUMBER(AK7:AK51),IF(AK7:AK51&gt;0,IF(AN7:AN51&lt;&gt;"",ROW(AK7:AK51)-MIN(ROW(AK7:AK51))+1))),ROW()-ROW(A$54)+1)),"##0"),",",SUBSTITUTE(SUBSTITUTE(INDEX(IF(PURCHASE_DESCRIPTION&lt;&gt;"",PURCHASE_DESCRIPTION&amp;":","")&amp;A7:A51,SMALL(IF(ISNUMBER(AK7:AK51),IF(AK7:AK51&gt;0,IF(AN7:AN51&lt;&gt;"",ROW(AK7:AK51)-MIN(ROW(AK7:AK51))+1))),ROW()-ROW(A$54)+1)),",",";"),"
",";"),",",SUBSTITUTE(SUBSTITUTE(INDEX(IF(PURCHASE_DESCRIPTION&lt;&gt;"",PURCHASE_DESCRIPTION&amp;":","")&amp;C7:C51,SMALL(IF(ISNUMBER(AK7:AK51),IF(AK7:AK51&gt;0,IF(AN7:AN51&lt;&gt;"",ROW(AK7:AK51)-MIN(ROW(AK7:AK51))+1))),ROW()-ROW(A$54)+1)),",",";"),"
",";"),",",SUBSTITUTE(SUBSTITUTE(INDEX(IF(PURCHASE_DESCRIPTION&lt;&gt;"",PURCHASE_DESCRIPTION&amp;":","")&amp;F7:F51,SMALL(IF(ISNUMBER(AK7:AK51),IF(AK7:AK51&gt;0,IF(AN7:AN51&lt;&gt;"",ROW(AK7:AK51)-MIN(ROW(AK7:AK51))+1))),ROW()-ROW(A$54)+1)),",",";"),"
",";"),",",SUBSTITUTE(SUBSTITUTE(INDEX(IF(PURCHASE_DESCRIPTION&lt;&gt;"",PURCHASE_DESCRIPTION&amp;":","")&amp;D7:D51,SMALL(IF(ISNUMBER(AK7:AK51),IF(AK7:AK51&gt;0,IF(AN7:AN51&lt;&gt;"",ROW(AK7:AK51)-MIN(ROW(AK7:AK51))+1))),ROW()-ROW(A$54)+1)),",",";"),"
",";")),"")</f>
        <v>0</v>
      </c>
      <c r="AP87">
        <f t="array" ref="AP87">IFERROR(CONCATENATE(INDEX(AS7:AS51,SMALL(IF(ISNUMBER(AP7:AP51),IF(AP7:AP51&gt;0,IF(AS7:AS51&lt;&gt;"",ROW(AP7:AP51)-MIN(ROW(AP7:AP51))+1))),ROW()-ROW(A$54)+1)),",",TEXT(INDEX(AP7:AP51,SMALL(IF(ISNUMBER(AP7:AP51),IF(AP7:AP51&gt;0,IF(AS7:AS51&lt;&gt;"",ROW(AP7:AP51)-MIN(ROW(AP7:AP51))+1))),ROW()-ROW(A$54)+1)),"##0"),",",,",",,",",,",",INDEX(G7:G51,SMALL(IF(ISNUMBER(AP7:AP51),IF(AP7:AP51&gt;0,IF(AS7:AS51&lt;&gt;"",ROW(AP7:AP51)-MIN(ROW(AP7:AP51))+1))),ROW()-ROW(A$54)+1)),",",SUBSTITUTE(INDEX(IF(PURCHASE_DESCRIPTION&lt;&gt;"",PURCHASE_DESCRIPTION&amp;":","")&amp;A7:A51,SMALL(IF(ISNUMBER(AP7:AP51),IF(AP7:AP51&gt;0,IF(AS7:AS51&lt;&gt;"",ROW(AP7:AP51)-MIN(ROW(AP7:AP51))+1))),ROW()-ROW(A$54)+1)),",",";")),"")</f>
        <v>0</v>
      </c>
      <c r="AU87">
        <f t="array" ref="AU87">IFERROR(CONCATENATE(INDEX(AX7:AX51,SMALL(IF(ISNUMBER(AU7:AU51),IF(AU7:AU51&gt;0,IF(AX7:AX51&lt;&gt;"",ROW(AU7:AU51)-MIN(ROW(AU7:AU51))+1))),ROW()-ROW(A$54)+1))," ",TEXT(INDEX(AU7:AU51,SMALL(IF(ISNUMBER(AU7:AU51),IF(AU7:AU51&gt;0,IF(AX7:AX51&lt;&gt;"",ROW(AU7:AU51)-MIN(ROW(AU7:AU51))+1))),ROW()-ROW(A$54)+1)),"##0")," ",SUBSTITUTE(INDEX(IF(PURCHASE_DESCRIPTION&lt;&gt;"",PURCHASE_DESCRIPTION&amp;":","")&amp;A7:A51,SMALL(IF(ISNUMBER(AU7:AU51),IF(AU7:AU51&gt;0,IF(AX7:AX51&lt;&gt;"",ROW(AU7:AU51)-MIN(ROW(AU7:AU51))+1))),ROW()-ROW(A$54)+1))," ",";")),"")</f>
        <v>0</v>
      </c>
    </row>
    <row r="88" spans="12:47">
      <c r="L88">
        <f t="array" ref="L88">IFERROR(CONCATENATE(INDEX(O7:O51,SMALL(IF(ISNUMBER(L7:L51),IF(L7:L51&gt;0,IF(O7:O51&lt;&gt;"",ROW(L7:L51)-MIN(ROW(L7:L51))+1))),ROW()-ROW(A$54)+1)),",",TEXT(INDEX(L7:L51,SMALL(IF(ISNUMBER(L7:L51),IF(L7:L51&gt;0,IF(O7:O51&lt;&gt;"",ROW(L7:L51)-MIN(ROW(L7:L51))+1))),ROW()-ROW(A$54)+1)),"##0"),",",SUBSTITUTE(INDEX(IF(PURCHASE_DESCRIPTION&lt;&gt;"",PURCHASE_DESCRIPTION&amp;":","")&amp;A7:A51,SMALL(IF(ISNUMBER(L7:L51),IF(L7:L51&gt;0,IF(O7:O51&lt;&gt;"",ROW(L7:L51)-MIN(ROW(L7:L51))+1))),ROW()-ROW(A$54)+1)),",",";")),"")</f>
        <v>0</v>
      </c>
      <c r="Q88">
        <f t="array" ref="Q88">IFERROR(CONCATENATE(TEXT(INDEX(Q7:Q51,SMALL(IF(ISNUMBER(Q7:Q51),IF(Q7:Q51&gt;0,IF(T7:T51&lt;&gt;"",ROW(Q7:Q51)-MIN(ROW(Q7:Q51))+1))),ROW()-ROW(A$54)+1)),"##0"),",",INDEX(T7:T51,SMALL(IF(ISNUMBER(Q7:Q51),IF(Q7:Q51&gt;0,IF(T7:T51&lt;&gt;"",ROW(Q7:Q51)-MIN(ROW(Q7:Q51))+1))),ROW()-ROW(A$54)+1)),",",SUBSTITUTE(INDEX(IF(PURCHASE_DESCRIPTION&lt;&gt;"",PURCHASE_DESCRIPTION&amp;":","")&amp;A7:A51,SMALL(IF(ISNUMBER(Q7:Q51),IF(Q7:Q51&gt;0,IF(T7:T51&lt;&gt;"",ROW(Q7:Q51)-MIN(ROW(Q7:Q51))+1))),ROW()-ROW(A$54)+1)),",",";")),"")</f>
        <v>0</v>
      </c>
      <c r="V88">
        <f t="array" ref="V88">IFERROR(CONCATENATE(INDEX(Y7:Y51,SMALL(IF(ISNUMBER(V7:V51),IF(V7:V51&gt;0,IF(Y7:Y51&lt;&gt;"",ROW(V7:V51)-MIN(ROW(V7:V51))+1))),ROW()-ROW(A$54)+1)),",",TEXT(INDEX(V7:V51,SMALL(IF(ISNUMBER(V7:V51),IF(V7:V51&gt;0,IF(Y7:Y51&lt;&gt;"",ROW(V7:V51)-MIN(ROW(V7:V51))+1))),ROW()-ROW(A$54)+1)),"##0"),",",SUBSTITUTE(SUBSTITUTE(INDEX(IF(PURCHASE_DESCRIPTION&lt;&gt;"",PURCHASE_DESCRIPTION&amp;":","")&amp;A7:A51,SMALL(IF(ISNUMBER(V7:V51),IF(V7:V51&gt;0,IF(Y7:Y51&lt;&gt;"",ROW(V7:V51)-MIN(ROW(V7:V51))+1))),ROW()-ROW(A$54)+1)),",",";"),"
",";"),",",SUBSTITUTE(SUBSTITUTE(INDEX(IF(PURCHASE_DESCRIPTION&lt;&gt;"",PURCHASE_DESCRIPTION&amp;":","")&amp;C7:C51,SMALL(IF(ISNUMBER(V7:V51),IF(V7:V51&gt;0,IF(Y7:Y51&lt;&gt;"",ROW(V7:V51)-MIN(ROW(V7:V51))+1))),ROW()-ROW(A$54)+1)),",",";"),"
",";"),",",SUBSTITUTE(SUBSTITUTE(INDEX(IF(PURCHASE_DESCRIPTION&lt;&gt;"",PURCHASE_DESCRIPTION&amp;":","")&amp;F7:F51,SMALL(IF(ISNUMBER(V7:V51),IF(V7:V51&gt;0,IF(Y7:Y51&lt;&gt;"",ROW(V7:V51)-MIN(ROW(V7:V51))+1))),ROW()-ROW(A$54)+1)),",",";"),"
",";"),",",SUBSTITUTE(SUBSTITUTE(INDEX(IF(PURCHASE_DESCRIPTION&lt;&gt;"",PURCHASE_DESCRIPTION&amp;":","")&amp;D7:D51,SMALL(IF(ISNUMBER(V7:V51),IF(V7:V51&gt;0,IF(Y7:Y51&lt;&gt;"",ROW(V7:V51)-MIN(ROW(V7:V51))+1))),ROW()-ROW(A$54)+1)),",",";"),"
",";")),"")</f>
        <v>0</v>
      </c>
      <c r="AA88">
        <f t="array" ref="AA88">IFERROR(CONCATENATE(TEXT(INDEX(AA7:AA51,SMALL(IF(ISNUMBER(AA7:AA51),IF(AA7:AA51&gt;0,IF(AD7:AD51&lt;&gt;"",ROW(AA7:AA51)-MIN(ROW(AA7:AA51))+1))),ROW()-ROW(A$55)+1)),"##0"),",",SUBSTITUTE(INDEX(IF(PURCHASE_DESCRIPTION&lt;&gt;"",PURCHASE_DESCRIPTION&amp;":","")&amp;A7:A51,SMALL(IF(ISNUMBER(AA7:AA51),IF(AA7:AA51&gt;0,IF(AD7:AD51&lt;&gt;"",ROW(AA7:AA51)-MIN(ROW(AA7:AA51))+1))),ROW()-ROW(A$55)+1)),",",";"),",",SUBSTITUTE(INDEX(IF(PURCHASE_DESCRIPTION&lt;&gt;"",PURCHASE_DESCRIPTION&amp;":","")&amp;E7:E51,SMALL(IF(ISNUMBER(AA7:AA51),IF(AA7:AA51&gt;0,IF(AD7:AD51&lt;&gt;"",ROW(AA7:AA51)-MIN(ROW(AA7:AA51))+1))),ROW()-ROW(A$55)+1)),",",";"),",",INDEX(AD7:AD51,SMALL(IF(ISNUMBER(AA7:AA51),IF(AA7:AA51&gt;0,IF(AD7:AD51&lt;&gt;"",ROW(AA7:AA51)-MIN(ROW(AA7:AA51))+1))),ROW()-ROW(A$55)+1))),"")</f>
        <v>0</v>
      </c>
      <c r="AF88">
        <f t="array" ref="AF88">IFERROR(CONCATENATE(INDEX(AI7:AI51,SMALL(IF(ISNUMBER(AF7:AF51),IF(AF7:AF51&gt;0,IF(AI7:AI51&lt;&gt;"",ROW(AF7:AF51)-MIN(ROW(AF7:AF51))+1))),ROW()-ROW(A$54)+1)),"|",TEXT(INDEX(AF7:AF51,SMALL(IF(ISNUMBER(AF7:AF51),IF(AF7:AF51&gt;0,IF(AI7:AI51&lt;&gt;"",ROW(AF7:AF51)-MIN(ROW(AF7:AF51))+1))),ROW()-ROW(A$54)+1)),"##0"),"|",SUBSTITUTE(SUBSTITUTE(INDEX(IF(PURCHASE_DESCRIPTION&lt;&gt;"",PURCHASE_DESCRIPTION&amp;":","")&amp;A7:A51,SMALL(IF(ISNUMBER(AF7:AF51),IF(AF7:AF51&gt;0,IF(AI7:AI51&lt;&gt;"",ROW(AF7:AF51)-MIN(ROW(AF7:AF51))+1))),ROW()-ROW(A$54)+1)),"|",";")," ","_")),"")</f>
        <v>0</v>
      </c>
      <c r="AK88">
        <f t="array" ref="AK88">IFERROR(CONCATENATE(INDEX(AN7:AN51,SMALL(IF(ISNUMBER(AK7:AK51),IF(AK7:AK51&gt;0,IF(AN7:AN51&lt;&gt;"",ROW(AK7:AK51)-MIN(ROW(AK7:AK51))+1))),ROW()-ROW(A$54)+1)),",",TEXT(INDEX(AK7:AK51,SMALL(IF(ISNUMBER(AK7:AK51),IF(AK7:AK51&gt;0,IF(AN7:AN51&lt;&gt;"",ROW(AK7:AK51)-MIN(ROW(AK7:AK51))+1))),ROW()-ROW(A$54)+1)),"##0"),",",SUBSTITUTE(SUBSTITUTE(INDEX(IF(PURCHASE_DESCRIPTION&lt;&gt;"",PURCHASE_DESCRIPTION&amp;":","")&amp;A7:A51,SMALL(IF(ISNUMBER(AK7:AK51),IF(AK7:AK51&gt;0,IF(AN7:AN51&lt;&gt;"",ROW(AK7:AK51)-MIN(ROW(AK7:AK51))+1))),ROW()-ROW(A$54)+1)),",",";"),"
",";"),",",SUBSTITUTE(SUBSTITUTE(INDEX(IF(PURCHASE_DESCRIPTION&lt;&gt;"",PURCHASE_DESCRIPTION&amp;":","")&amp;C7:C51,SMALL(IF(ISNUMBER(AK7:AK51),IF(AK7:AK51&gt;0,IF(AN7:AN51&lt;&gt;"",ROW(AK7:AK51)-MIN(ROW(AK7:AK51))+1))),ROW()-ROW(A$54)+1)),",",";"),"
",";"),",",SUBSTITUTE(SUBSTITUTE(INDEX(IF(PURCHASE_DESCRIPTION&lt;&gt;"",PURCHASE_DESCRIPTION&amp;":","")&amp;F7:F51,SMALL(IF(ISNUMBER(AK7:AK51),IF(AK7:AK51&gt;0,IF(AN7:AN51&lt;&gt;"",ROW(AK7:AK51)-MIN(ROW(AK7:AK51))+1))),ROW()-ROW(A$54)+1)),",",";"),"
",";"),",",SUBSTITUTE(SUBSTITUTE(INDEX(IF(PURCHASE_DESCRIPTION&lt;&gt;"",PURCHASE_DESCRIPTION&amp;":","")&amp;D7:D51,SMALL(IF(ISNUMBER(AK7:AK51),IF(AK7:AK51&gt;0,IF(AN7:AN51&lt;&gt;"",ROW(AK7:AK51)-MIN(ROW(AK7:AK51))+1))),ROW()-ROW(A$54)+1)),",",";"),"
",";")),"")</f>
        <v>0</v>
      </c>
      <c r="AP88">
        <f t="array" ref="AP88">IFERROR(CONCATENATE(INDEX(AS7:AS51,SMALL(IF(ISNUMBER(AP7:AP51),IF(AP7:AP51&gt;0,IF(AS7:AS51&lt;&gt;"",ROW(AP7:AP51)-MIN(ROW(AP7:AP51))+1))),ROW()-ROW(A$54)+1)),",",TEXT(INDEX(AP7:AP51,SMALL(IF(ISNUMBER(AP7:AP51),IF(AP7:AP51&gt;0,IF(AS7:AS51&lt;&gt;"",ROW(AP7:AP51)-MIN(ROW(AP7:AP51))+1))),ROW()-ROW(A$54)+1)),"##0"),",",,",",,",",,",",INDEX(G7:G51,SMALL(IF(ISNUMBER(AP7:AP51),IF(AP7:AP51&gt;0,IF(AS7:AS51&lt;&gt;"",ROW(AP7:AP51)-MIN(ROW(AP7:AP51))+1))),ROW()-ROW(A$54)+1)),",",SUBSTITUTE(INDEX(IF(PURCHASE_DESCRIPTION&lt;&gt;"",PURCHASE_DESCRIPTION&amp;":","")&amp;A7:A51,SMALL(IF(ISNUMBER(AP7:AP51),IF(AP7:AP51&gt;0,IF(AS7:AS51&lt;&gt;"",ROW(AP7:AP51)-MIN(ROW(AP7:AP51))+1))),ROW()-ROW(A$54)+1)),",",";")),"")</f>
        <v>0</v>
      </c>
      <c r="AU88">
        <f t="array" ref="AU88">IFERROR(CONCATENATE(INDEX(AX7:AX51,SMALL(IF(ISNUMBER(AU7:AU51),IF(AU7:AU51&gt;0,IF(AX7:AX51&lt;&gt;"",ROW(AU7:AU51)-MIN(ROW(AU7:AU51))+1))),ROW()-ROW(A$54)+1))," ",TEXT(INDEX(AU7:AU51,SMALL(IF(ISNUMBER(AU7:AU51),IF(AU7:AU51&gt;0,IF(AX7:AX51&lt;&gt;"",ROW(AU7:AU51)-MIN(ROW(AU7:AU51))+1))),ROW()-ROW(A$54)+1)),"##0")," ",SUBSTITUTE(INDEX(IF(PURCHASE_DESCRIPTION&lt;&gt;"",PURCHASE_DESCRIPTION&amp;":","")&amp;A7:A51,SMALL(IF(ISNUMBER(AU7:AU51),IF(AU7:AU51&gt;0,IF(AX7:AX51&lt;&gt;"",ROW(AU7:AU51)-MIN(ROW(AU7:AU51))+1))),ROW()-ROW(A$54)+1))," ",";")),"")</f>
        <v>0</v>
      </c>
    </row>
    <row r="89" spans="12:47">
      <c r="L89">
        <f t="array" ref="L89">IFERROR(CONCATENATE(INDEX(O7:O51,SMALL(IF(ISNUMBER(L7:L51),IF(L7:L51&gt;0,IF(O7:O51&lt;&gt;"",ROW(L7:L51)-MIN(ROW(L7:L51))+1))),ROW()-ROW(A$54)+1)),",",TEXT(INDEX(L7:L51,SMALL(IF(ISNUMBER(L7:L51),IF(L7:L51&gt;0,IF(O7:O51&lt;&gt;"",ROW(L7:L51)-MIN(ROW(L7:L51))+1))),ROW()-ROW(A$54)+1)),"##0"),",",SUBSTITUTE(INDEX(IF(PURCHASE_DESCRIPTION&lt;&gt;"",PURCHASE_DESCRIPTION&amp;":","")&amp;A7:A51,SMALL(IF(ISNUMBER(L7:L51),IF(L7:L51&gt;0,IF(O7:O51&lt;&gt;"",ROW(L7:L51)-MIN(ROW(L7:L51))+1))),ROW()-ROW(A$54)+1)),",",";")),"")</f>
        <v>0</v>
      </c>
      <c r="Q89">
        <f t="array" ref="Q89">IFERROR(CONCATENATE(TEXT(INDEX(Q7:Q51,SMALL(IF(ISNUMBER(Q7:Q51),IF(Q7:Q51&gt;0,IF(T7:T51&lt;&gt;"",ROW(Q7:Q51)-MIN(ROW(Q7:Q51))+1))),ROW()-ROW(A$54)+1)),"##0"),",",INDEX(T7:T51,SMALL(IF(ISNUMBER(Q7:Q51),IF(Q7:Q51&gt;0,IF(T7:T51&lt;&gt;"",ROW(Q7:Q51)-MIN(ROW(Q7:Q51))+1))),ROW()-ROW(A$54)+1)),",",SUBSTITUTE(INDEX(IF(PURCHASE_DESCRIPTION&lt;&gt;"",PURCHASE_DESCRIPTION&amp;":","")&amp;A7:A51,SMALL(IF(ISNUMBER(Q7:Q51),IF(Q7:Q51&gt;0,IF(T7:T51&lt;&gt;"",ROW(Q7:Q51)-MIN(ROW(Q7:Q51))+1))),ROW()-ROW(A$54)+1)),",",";")),"")</f>
        <v>0</v>
      </c>
      <c r="V89">
        <f t="array" ref="V89">IFERROR(CONCATENATE(INDEX(Y7:Y51,SMALL(IF(ISNUMBER(V7:V51),IF(V7:V51&gt;0,IF(Y7:Y51&lt;&gt;"",ROW(V7:V51)-MIN(ROW(V7:V51))+1))),ROW()-ROW(A$54)+1)),",",TEXT(INDEX(V7:V51,SMALL(IF(ISNUMBER(V7:V51),IF(V7:V51&gt;0,IF(Y7:Y51&lt;&gt;"",ROW(V7:V51)-MIN(ROW(V7:V51))+1))),ROW()-ROW(A$54)+1)),"##0"),",",SUBSTITUTE(SUBSTITUTE(INDEX(IF(PURCHASE_DESCRIPTION&lt;&gt;"",PURCHASE_DESCRIPTION&amp;":","")&amp;A7:A51,SMALL(IF(ISNUMBER(V7:V51),IF(V7:V51&gt;0,IF(Y7:Y51&lt;&gt;"",ROW(V7:V51)-MIN(ROW(V7:V51))+1))),ROW()-ROW(A$54)+1)),",",";"),"
",";"),",",SUBSTITUTE(SUBSTITUTE(INDEX(IF(PURCHASE_DESCRIPTION&lt;&gt;"",PURCHASE_DESCRIPTION&amp;":","")&amp;C7:C51,SMALL(IF(ISNUMBER(V7:V51),IF(V7:V51&gt;0,IF(Y7:Y51&lt;&gt;"",ROW(V7:V51)-MIN(ROW(V7:V51))+1))),ROW()-ROW(A$54)+1)),",",";"),"
",";"),",",SUBSTITUTE(SUBSTITUTE(INDEX(IF(PURCHASE_DESCRIPTION&lt;&gt;"",PURCHASE_DESCRIPTION&amp;":","")&amp;F7:F51,SMALL(IF(ISNUMBER(V7:V51),IF(V7:V51&gt;0,IF(Y7:Y51&lt;&gt;"",ROW(V7:V51)-MIN(ROW(V7:V51))+1))),ROW()-ROW(A$54)+1)),",",";"),"
",";"),",",SUBSTITUTE(SUBSTITUTE(INDEX(IF(PURCHASE_DESCRIPTION&lt;&gt;"",PURCHASE_DESCRIPTION&amp;":","")&amp;D7:D51,SMALL(IF(ISNUMBER(V7:V51),IF(V7:V51&gt;0,IF(Y7:Y51&lt;&gt;"",ROW(V7:V51)-MIN(ROW(V7:V51))+1))),ROW()-ROW(A$54)+1)),",",";"),"
",";")),"")</f>
        <v>0</v>
      </c>
      <c r="AA89">
        <f t="array" ref="AA89">IFERROR(CONCATENATE(TEXT(INDEX(AA7:AA51,SMALL(IF(ISNUMBER(AA7:AA51),IF(AA7:AA51&gt;0,IF(AD7:AD51&lt;&gt;"",ROW(AA7:AA51)-MIN(ROW(AA7:AA51))+1))),ROW()-ROW(A$55)+1)),"##0"),",",SUBSTITUTE(INDEX(IF(PURCHASE_DESCRIPTION&lt;&gt;"",PURCHASE_DESCRIPTION&amp;":","")&amp;A7:A51,SMALL(IF(ISNUMBER(AA7:AA51),IF(AA7:AA51&gt;0,IF(AD7:AD51&lt;&gt;"",ROW(AA7:AA51)-MIN(ROW(AA7:AA51))+1))),ROW()-ROW(A$55)+1)),",",";"),",",SUBSTITUTE(INDEX(IF(PURCHASE_DESCRIPTION&lt;&gt;"",PURCHASE_DESCRIPTION&amp;":","")&amp;E7:E51,SMALL(IF(ISNUMBER(AA7:AA51),IF(AA7:AA51&gt;0,IF(AD7:AD51&lt;&gt;"",ROW(AA7:AA51)-MIN(ROW(AA7:AA51))+1))),ROW()-ROW(A$55)+1)),",",";"),",",INDEX(AD7:AD51,SMALL(IF(ISNUMBER(AA7:AA51),IF(AA7:AA51&gt;0,IF(AD7:AD51&lt;&gt;"",ROW(AA7:AA51)-MIN(ROW(AA7:AA51))+1))),ROW()-ROW(A$55)+1))),"")</f>
        <v>0</v>
      </c>
      <c r="AF89">
        <f t="array" ref="AF89">IFERROR(CONCATENATE(INDEX(AI7:AI51,SMALL(IF(ISNUMBER(AF7:AF51),IF(AF7:AF51&gt;0,IF(AI7:AI51&lt;&gt;"",ROW(AF7:AF51)-MIN(ROW(AF7:AF51))+1))),ROW()-ROW(A$54)+1)),"|",TEXT(INDEX(AF7:AF51,SMALL(IF(ISNUMBER(AF7:AF51),IF(AF7:AF51&gt;0,IF(AI7:AI51&lt;&gt;"",ROW(AF7:AF51)-MIN(ROW(AF7:AF51))+1))),ROW()-ROW(A$54)+1)),"##0"),"|",SUBSTITUTE(SUBSTITUTE(INDEX(IF(PURCHASE_DESCRIPTION&lt;&gt;"",PURCHASE_DESCRIPTION&amp;":","")&amp;A7:A51,SMALL(IF(ISNUMBER(AF7:AF51),IF(AF7:AF51&gt;0,IF(AI7:AI51&lt;&gt;"",ROW(AF7:AF51)-MIN(ROW(AF7:AF51))+1))),ROW()-ROW(A$54)+1)),"|",";")," ","_")),"")</f>
        <v>0</v>
      </c>
      <c r="AK89">
        <f t="array" ref="AK89">IFERROR(CONCATENATE(INDEX(AN7:AN51,SMALL(IF(ISNUMBER(AK7:AK51),IF(AK7:AK51&gt;0,IF(AN7:AN51&lt;&gt;"",ROW(AK7:AK51)-MIN(ROW(AK7:AK51))+1))),ROW()-ROW(A$54)+1)),",",TEXT(INDEX(AK7:AK51,SMALL(IF(ISNUMBER(AK7:AK51),IF(AK7:AK51&gt;0,IF(AN7:AN51&lt;&gt;"",ROW(AK7:AK51)-MIN(ROW(AK7:AK51))+1))),ROW()-ROW(A$54)+1)),"##0"),",",SUBSTITUTE(SUBSTITUTE(INDEX(IF(PURCHASE_DESCRIPTION&lt;&gt;"",PURCHASE_DESCRIPTION&amp;":","")&amp;A7:A51,SMALL(IF(ISNUMBER(AK7:AK51),IF(AK7:AK51&gt;0,IF(AN7:AN51&lt;&gt;"",ROW(AK7:AK51)-MIN(ROW(AK7:AK51))+1))),ROW()-ROW(A$54)+1)),",",";"),"
",";"),",",SUBSTITUTE(SUBSTITUTE(INDEX(IF(PURCHASE_DESCRIPTION&lt;&gt;"",PURCHASE_DESCRIPTION&amp;":","")&amp;C7:C51,SMALL(IF(ISNUMBER(AK7:AK51),IF(AK7:AK51&gt;0,IF(AN7:AN51&lt;&gt;"",ROW(AK7:AK51)-MIN(ROW(AK7:AK51))+1))),ROW()-ROW(A$54)+1)),",",";"),"
",";"),",",SUBSTITUTE(SUBSTITUTE(INDEX(IF(PURCHASE_DESCRIPTION&lt;&gt;"",PURCHASE_DESCRIPTION&amp;":","")&amp;F7:F51,SMALL(IF(ISNUMBER(AK7:AK51),IF(AK7:AK51&gt;0,IF(AN7:AN51&lt;&gt;"",ROW(AK7:AK51)-MIN(ROW(AK7:AK51))+1))),ROW()-ROW(A$54)+1)),",",";"),"
",";"),",",SUBSTITUTE(SUBSTITUTE(INDEX(IF(PURCHASE_DESCRIPTION&lt;&gt;"",PURCHASE_DESCRIPTION&amp;":","")&amp;D7:D51,SMALL(IF(ISNUMBER(AK7:AK51),IF(AK7:AK51&gt;0,IF(AN7:AN51&lt;&gt;"",ROW(AK7:AK51)-MIN(ROW(AK7:AK51))+1))),ROW()-ROW(A$54)+1)),",",";"),"
",";")),"")</f>
        <v>0</v>
      </c>
      <c r="AP89">
        <f t="array" ref="AP89">IFERROR(CONCATENATE(INDEX(AS7:AS51,SMALL(IF(ISNUMBER(AP7:AP51),IF(AP7:AP51&gt;0,IF(AS7:AS51&lt;&gt;"",ROW(AP7:AP51)-MIN(ROW(AP7:AP51))+1))),ROW()-ROW(A$54)+1)),",",TEXT(INDEX(AP7:AP51,SMALL(IF(ISNUMBER(AP7:AP51),IF(AP7:AP51&gt;0,IF(AS7:AS51&lt;&gt;"",ROW(AP7:AP51)-MIN(ROW(AP7:AP51))+1))),ROW()-ROW(A$54)+1)),"##0"),",",,",",,",",,",",INDEX(G7:G51,SMALL(IF(ISNUMBER(AP7:AP51),IF(AP7:AP51&gt;0,IF(AS7:AS51&lt;&gt;"",ROW(AP7:AP51)-MIN(ROW(AP7:AP51))+1))),ROW()-ROW(A$54)+1)),",",SUBSTITUTE(INDEX(IF(PURCHASE_DESCRIPTION&lt;&gt;"",PURCHASE_DESCRIPTION&amp;":","")&amp;A7:A51,SMALL(IF(ISNUMBER(AP7:AP51),IF(AP7:AP51&gt;0,IF(AS7:AS51&lt;&gt;"",ROW(AP7:AP51)-MIN(ROW(AP7:AP51))+1))),ROW()-ROW(A$54)+1)),",",";")),"")</f>
        <v>0</v>
      </c>
      <c r="AU89">
        <f t="array" ref="AU89">IFERROR(CONCATENATE(INDEX(AX7:AX51,SMALL(IF(ISNUMBER(AU7:AU51),IF(AU7:AU51&gt;0,IF(AX7:AX51&lt;&gt;"",ROW(AU7:AU51)-MIN(ROW(AU7:AU51))+1))),ROW()-ROW(A$54)+1))," ",TEXT(INDEX(AU7:AU51,SMALL(IF(ISNUMBER(AU7:AU51),IF(AU7:AU51&gt;0,IF(AX7:AX51&lt;&gt;"",ROW(AU7:AU51)-MIN(ROW(AU7:AU51))+1))),ROW()-ROW(A$54)+1)),"##0")," ",SUBSTITUTE(INDEX(IF(PURCHASE_DESCRIPTION&lt;&gt;"",PURCHASE_DESCRIPTION&amp;":","")&amp;A7:A51,SMALL(IF(ISNUMBER(AU7:AU51),IF(AU7:AU51&gt;0,IF(AX7:AX51&lt;&gt;"",ROW(AU7:AU51)-MIN(ROW(AU7:AU51))+1))),ROW()-ROW(A$54)+1))," ",";")),"")</f>
        <v>0</v>
      </c>
    </row>
    <row r="90" spans="12:47">
      <c r="L90">
        <f t="array" ref="L90">IFERROR(CONCATENATE(INDEX(O7:O51,SMALL(IF(ISNUMBER(L7:L51),IF(L7:L51&gt;0,IF(O7:O51&lt;&gt;"",ROW(L7:L51)-MIN(ROW(L7:L51))+1))),ROW()-ROW(A$54)+1)),",",TEXT(INDEX(L7:L51,SMALL(IF(ISNUMBER(L7:L51),IF(L7:L51&gt;0,IF(O7:O51&lt;&gt;"",ROW(L7:L51)-MIN(ROW(L7:L51))+1))),ROW()-ROW(A$54)+1)),"##0"),",",SUBSTITUTE(INDEX(IF(PURCHASE_DESCRIPTION&lt;&gt;"",PURCHASE_DESCRIPTION&amp;":","")&amp;A7:A51,SMALL(IF(ISNUMBER(L7:L51),IF(L7:L51&gt;0,IF(O7:O51&lt;&gt;"",ROW(L7:L51)-MIN(ROW(L7:L51))+1))),ROW()-ROW(A$54)+1)),",",";")),"")</f>
        <v>0</v>
      </c>
      <c r="Q90">
        <f t="array" ref="Q90">IFERROR(CONCATENATE(TEXT(INDEX(Q7:Q51,SMALL(IF(ISNUMBER(Q7:Q51),IF(Q7:Q51&gt;0,IF(T7:T51&lt;&gt;"",ROW(Q7:Q51)-MIN(ROW(Q7:Q51))+1))),ROW()-ROW(A$54)+1)),"##0"),",",INDEX(T7:T51,SMALL(IF(ISNUMBER(Q7:Q51),IF(Q7:Q51&gt;0,IF(T7:T51&lt;&gt;"",ROW(Q7:Q51)-MIN(ROW(Q7:Q51))+1))),ROW()-ROW(A$54)+1)),",",SUBSTITUTE(INDEX(IF(PURCHASE_DESCRIPTION&lt;&gt;"",PURCHASE_DESCRIPTION&amp;":","")&amp;A7:A51,SMALL(IF(ISNUMBER(Q7:Q51),IF(Q7:Q51&gt;0,IF(T7:T51&lt;&gt;"",ROW(Q7:Q51)-MIN(ROW(Q7:Q51))+1))),ROW()-ROW(A$54)+1)),",",";")),"")</f>
        <v>0</v>
      </c>
      <c r="V90">
        <f t="array" ref="V90">IFERROR(CONCATENATE(INDEX(Y7:Y51,SMALL(IF(ISNUMBER(V7:V51),IF(V7:V51&gt;0,IF(Y7:Y51&lt;&gt;"",ROW(V7:V51)-MIN(ROW(V7:V51))+1))),ROW()-ROW(A$54)+1)),",",TEXT(INDEX(V7:V51,SMALL(IF(ISNUMBER(V7:V51),IF(V7:V51&gt;0,IF(Y7:Y51&lt;&gt;"",ROW(V7:V51)-MIN(ROW(V7:V51))+1))),ROW()-ROW(A$54)+1)),"##0"),",",SUBSTITUTE(SUBSTITUTE(INDEX(IF(PURCHASE_DESCRIPTION&lt;&gt;"",PURCHASE_DESCRIPTION&amp;":","")&amp;A7:A51,SMALL(IF(ISNUMBER(V7:V51),IF(V7:V51&gt;0,IF(Y7:Y51&lt;&gt;"",ROW(V7:V51)-MIN(ROW(V7:V51))+1))),ROW()-ROW(A$54)+1)),",",";"),"
",";"),",",SUBSTITUTE(SUBSTITUTE(INDEX(IF(PURCHASE_DESCRIPTION&lt;&gt;"",PURCHASE_DESCRIPTION&amp;":","")&amp;C7:C51,SMALL(IF(ISNUMBER(V7:V51),IF(V7:V51&gt;0,IF(Y7:Y51&lt;&gt;"",ROW(V7:V51)-MIN(ROW(V7:V51))+1))),ROW()-ROW(A$54)+1)),",",";"),"
",";"),",",SUBSTITUTE(SUBSTITUTE(INDEX(IF(PURCHASE_DESCRIPTION&lt;&gt;"",PURCHASE_DESCRIPTION&amp;":","")&amp;F7:F51,SMALL(IF(ISNUMBER(V7:V51),IF(V7:V51&gt;0,IF(Y7:Y51&lt;&gt;"",ROW(V7:V51)-MIN(ROW(V7:V51))+1))),ROW()-ROW(A$54)+1)),",",";"),"
",";"),",",SUBSTITUTE(SUBSTITUTE(INDEX(IF(PURCHASE_DESCRIPTION&lt;&gt;"",PURCHASE_DESCRIPTION&amp;":","")&amp;D7:D51,SMALL(IF(ISNUMBER(V7:V51),IF(V7:V51&gt;0,IF(Y7:Y51&lt;&gt;"",ROW(V7:V51)-MIN(ROW(V7:V51))+1))),ROW()-ROW(A$54)+1)),",",";"),"
",";")),"")</f>
        <v>0</v>
      </c>
      <c r="AA90">
        <f t="array" ref="AA90">IFERROR(CONCATENATE(TEXT(INDEX(AA7:AA51,SMALL(IF(ISNUMBER(AA7:AA51),IF(AA7:AA51&gt;0,IF(AD7:AD51&lt;&gt;"",ROW(AA7:AA51)-MIN(ROW(AA7:AA51))+1))),ROW()-ROW(A$55)+1)),"##0"),",",SUBSTITUTE(INDEX(IF(PURCHASE_DESCRIPTION&lt;&gt;"",PURCHASE_DESCRIPTION&amp;":","")&amp;A7:A51,SMALL(IF(ISNUMBER(AA7:AA51),IF(AA7:AA51&gt;0,IF(AD7:AD51&lt;&gt;"",ROW(AA7:AA51)-MIN(ROW(AA7:AA51))+1))),ROW()-ROW(A$55)+1)),",",";"),",",SUBSTITUTE(INDEX(IF(PURCHASE_DESCRIPTION&lt;&gt;"",PURCHASE_DESCRIPTION&amp;":","")&amp;E7:E51,SMALL(IF(ISNUMBER(AA7:AA51),IF(AA7:AA51&gt;0,IF(AD7:AD51&lt;&gt;"",ROW(AA7:AA51)-MIN(ROW(AA7:AA51))+1))),ROW()-ROW(A$55)+1)),",",";"),",",INDEX(AD7:AD51,SMALL(IF(ISNUMBER(AA7:AA51),IF(AA7:AA51&gt;0,IF(AD7:AD51&lt;&gt;"",ROW(AA7:AA51)-MIN(ROW(AA7:AA51))+1))),ROW()-ROW(A$55)+1))),"")</f>
        <v>0</v>
      </c>
      <c r="AF90">
        <f t="array" ref="AF90">IFERROR(CONCATENATE(INDEX(AI7:AI51,SMALL(IF(ISNUMBER(AF7:AF51),IF(AF7:AF51&gt;0,IF(AI7:AI51&lt;&gt;"",ROW(AF7:AF51)-MIN(ROW(AF7:AF51))+1))),ROW()-ROW(A$54)+1)),"|",TEXT(INDEX(AF7:AF51,SMALL(IF(ISNUMBER(AF7:AF51),IF(AF7:AF51&gt;0,IF(AI7:AI51&lt;&gt;"",ROW(AF7:AF51)-MIN(ROW(AF7:AF51))+1))),ROW()-ROW(A$54)+1)),"##0"),"|",SUBSTITUTE(SUBSTITUTE(INDEX(IF(PURCHASE_DESCRIPTION&lt;&gt;"",PURCHASE_DESCRIPTION&amp;":","")&amp;A7:A51,SMALL(IF(ISNUMBER(AF7:AF51),IF(AF7:AF51&gt;0,IF(AI7:AI51&lt;&gt;"",ROW(AF7:AF51)-MIN(ROW(AF7:AF51))+1))),ROW()-ROW(A$54)+1)),"|",";")," ","_")),"")</f>
        <v>0</v>
      </c>
      <c r="AK90">
        <f t="array" ref="AK90">IFERROR(CONCATENATE(INDEX(AN7:AN51,SMALL(IF(ISNUMBER(AK7:AK51),IF(AK7:AK51&gt;0,IF(AN7:AN51&lt;&gt;"",ROW(AK7:AK51)-MIN(ROW(AK7:AK51))+1))),ROW()-ROW(A$54)+1)),",",TEXT(INDEX(AK7:AK51,SMALL(IF(ISNUMBER(AK7:AK51),IF(AK7:AK51&gt;0,IF(AN7:AN51&lt;&gt;"",ROW(AK7:AK51)-MIN(ROW(AK7:AK51))+1))),ROW()-ROW(A$54)+1)),"##0"),",",SUBSTITUTE(SUBSTITUTE(INDEX(IF(PURCHASE_DESCRIPTION&lt;&gt;"",PURCHASE_DESCRIPTION&amp;":","")&amp;A7:A51,SMALL(IF(ISNUMBER(AK7:AK51),IF(AK7:AK51&gt;0,IF(AN7:AN51&lt;&gt;"",ROW(AK7:AK51)-MIN(ROW(AK7:AK51))+1))),ROW()-ROW(A$54)+1)),",",";"),"
",";"),",",SUBSTITUTE(SUBSTITUTE(INDEX(IF(PURCHASE_DESCRIPTION&lt;&gt;"",PURCHASE_DESCRIPTION&amp;":","")&amp;C7:C51,SMALL(IF(ISNUMBER(AK7:AK51),IF(AK7:AK51&gt;0,IF(AN7:AN51&lt;&gt;"",ROW(AK7:AK51)-MIN(ROW(AK7:AK51))+1))),ROW()-ROW(A$54)+1)),",",";"),"
",";"),",",SUBSTITUTE(SUBSTITUTE(INDEX(IF(PURCHASE_DESCRIPTION&lt;&gt;"",PURCHASE_DESCRIPTION&amp;":","")&amp;F7:F51,SMALL(IF(ISNUMBER(AK7:AK51),IF(AK7:AK51&gt;0,IF(AN7:AN51&lt;&gt;"",ROW(AK7:AK51)-MIN(ROW(AK7:AK51))+1))),ROW()-ROW(A$54)+1)),",",";"),"
",";"),",",SUBSTITUTE(SUBSTITUTE(INDEX(IF(PURCHASE_DESCRIPTION&lt;&gt;"",PURCHASE_DESCRIPTION&amp;":","")&amp;D7:D51,SMALL(IF(ISNUMBER(AK7:AK51),IF(AK7:AK51&gt;0,IF(AN7:AN51&lt;&gt;"",ROW(AK7:AK51)-MIN(ROW(AK7:AK51))+1))),ROW()-ROW(A$54)+1)),",",";"),"
",";")),"")</f>
        <v>0</v>
      </c>
      <c r="AP90">
        <f t="array" ref="AP90">IFERROR(CONCATENATE(INDEX(AS7:AS51,SMALL(IF(ISNUMBER(AP7:AP51),IF(AP7:AP51&gt;0,IF(AS7:AS51&lt;&gt;"",ROW(AP7:AP51)-MIN(ROW(AP7:AP51))+1))),ROW()-ROW(A$54)+1)),",",TEXT(INDEX(AP7:AP51,SMALL(IF(ISNUMBER(AP7:AP51),IF(AP7:AP51&gt;0,IF(AS7:AS51&lt;&gt;"",ROW(AP7:AP51)-MIN(ROW(AP7:AP51))+1))),ROW()-ROW(A$54)+1)),"##0"),",",,",",,",",,",",INDEX(G7:G51,SMALL(IF(ISNUMBER(AP7:AP51),IF(AP7:AP51&gt;0,IF(AS7:AS51&lt;&gt;"",ROW(AP7:AP51)-MIN(ROW(AP7:AP51))+1))),ROW()-ROW(A$54)+1)),",",SUBSTITUTE(INDEX(IF(PURCHASE_DESCRIPTION&lt;&gt;"",PURCHASE_DESCRIPTION&amp;":","")&amp;A7:A51,SMALL(IF(ISNUMBER(AP7:AP51),IF(AP7:AP51&gt;0,IF(AS7:AS51&lt;&gt;"",ROW(AP7:AP51)-MIN(ROW(AP7:AP51))+1))),ROW()-ROW(A$54)+1)),",",";")),"")</f>
        <v>0</v>
      </c>
      <c r="AU90">
        <f t="array" ref="AU90">IFERROR(CONCATENATE(INDEX(AX7:AX51,SMALL(IF(ISNUMBER(AU7:AU51),IF(AU7:AU51&gt;0,IF(AX7:AX51&lt;&gt;"",ROW(AU7:AU51)-MIN(ROW(AU7:AU51))+1))),ROW()-ROW(A$54)+1))," ",TEXT(INDEX(AU7:AU51,SMALL(IF(ISNUMBER(AU7:AU51),IF(AU7:AU51&gt;0,IF(AX7:AX51&lt;&gt;"",ROW(AU7:AU51)-MIN(ROW(AU7:AU51))+1))),ROW()-ROW(A$54)+1)),"##0")," ",SUBSTITUTE(INDEX(IF(PURCHASE_DESCRIPTION&lt;&gt;"",PURCHASE_DESCRIPTION&amp;":","")&amp;A7:A51,SMALL(IF(ISNUMBER(AU7:AU51),IF(AU7:AU51&gt;0,IF(AX7:AX51&lt;&gt;"",ROW(AU7:AU51)-MIN(ROW(AU7:AU51))+1))),ROW()-ROW(A$54)+1))," ",";")),"")</f>
        <v>0</v>
      </c>
    </row>
    <row r="91" spans="12:47">
      <c r="L91">
        <f t="array" ref="L91">IFERROR(CONCATENATE(INDEX(O7:O51,SMALL(IF(ISNUMBER(L7:L51),IF(L7:L51&gt;0,IF(O7:O51&lt;&gt;"",ROW(L7:L51)-MIN(ROW(L7:L51))+1))),ROW()-ROW(A$54)+1)),",",TEXT(INDEX(L7:L51,SMALL(IF(ISNUMBER(L7:L51),IF(L7:L51&gt;0,IF(O7:O51&lt;&gt;"",ROW(L7:L51)-MIN(ROW(L7:L51))+1))),ROW()-ROW(A$54)+1)),"##0"),",",SUBSTITUTE(INDEX(IF(PURCHASE_DESCRIPTION&lt;&gt;"",PURCHASE_DESCRIPTION&amp;":","")&amp;A7:A51,SMALL(IF(ISNUMBER(L7:L51),IF(L7:L51&gt;0,IF(O7:O51&lt;&gt;"",ROW(L7:L51)-MIN(ROW(L7:L51))+1))),ROW()-ROW(A$54)+1)),",",";")),"")</f>
        <v>0</v>
      </c>
      <c r="Q91">
        <f t="array" ref="Q91">IFERROR(CONCATENATE(TEXT(INDEX(Q7:Q51,SMALL(IF(ISNUMBER(Q7:Q51),IF(Q7:Q51&gt;0,IF(T7:T51&lt;&gt;"",ROW(Q7:Q51)-MIN(ROW(Q7:Q51))+1))),ROW()-ROW(A$54)+1)),"##0"),",",INDEX(T7:T51,SMALL(IF(ISNUMBER(Q7:Q51),IF(Q7:Q51&gt;0,IF(T7:T51&lt;&gt;"",ROW(Q7:Q51)-MIN(ROW(Q7:Q51))+1))),ROW()-ROW(A$54)+1)),",",SUBSTITUTE(INDEX(IF(PURCHASE_DESCRIPTION&lt;&gt;"",PURCHASE_DESCRIPTION&amp;":","")&amp;A7:A51,SMALL(IF(ISNUMBER(Q7:Q51),IF(Q7:Q51&gt;0,IF(T7:T51&lt;&gt;"",ROW(Q7:Q51)-MIN(ROW(Q7:Q51))+1))),ROW()-ROW(A$54)+1)),",",";")),"")</f>
        <v>0</v>
      </c>
      <c r="V91">
        <f t="array" ref="V91">IFERROR(CONCATENATE(INDEX(Y7:Y51,SMALL(IF(ISNUMBER(V7:V51),IF(V7:V51&gt;0,IF(Y7:Y51&lt;&gt;"",ROW(V7:V51)-MIN(ROW(V7:V51))+1))),ROW()-ROW(A$54)+1)),",",TEXT(INDEX(V7:V51,SMALL(IF(ISNUMBER(V7:V51),IF(V7:V51&gt;0,IF(Y7:Y51&lt;&gt;"",ROW(V7:V51)-MIN(ROW(V7:V51))+1))),ROW()-ROW(A$54)+1)),"##0"),",",SUBSTITUTE(SUBSTITUTE(INDEX(IF(PURCHASE_DESCRIPTION&lt;&gt;"",PURCHASE_DESCRIPTION&amp;":","")&amp;A7:A51,SMALL(IF(ISNUMBER(V7:V51),IF(V7:V51&gt;0,IF(Y7:Y51&lt;&gt;"",ROW(V7:V51)-MIN(ROW(V7:V51))+1))),ROW()-ROW(A$54)+1)),",",";"),"
",";"),",",SUBSTITUTE(SUBSTITUTE(INDEX(IF(PURCHASE_DESCRIPTION&lt;&gt;"",PURCHASE_DESCRIPTION&amp;":","")&amp;C7:C51,SMALL(IF(ISNUMBER(V7:V51),IF(V7:V51&gt;0,IF(Y7:Y51&lt;&gt;"",ROW(V7:V51)-MIN(ROW(V7:V51))+1))),ROW()-ROW(A$54)+1)),",",";"),"
",";"),",",SUBSTITUTE(SUBSTITUTE(INDEX(IF(PURCHASE_DESCRIPTION&lt;&gt;"",PURCHASE_DESCRIPTION&amp;":","")&amp;F7:F51,SMALL(IF(ISNUMBER(V7:V51),IF(V7:V51&gt;0,IF(Y7:Y51&lt;&gt;"",ROW(V7:V51)-MIN(ROW(V7:V51))+1))),ROW()-ROW(A$54)+1)),",",";"),"
",";"),",",SUBSTITUTE(SUBSTITUTE(INDEX(IF(PURCHASE_DESCRIPTION&lt;&gt;"",PURCHASE_DESCRIPTION&amp;":","")&amp;D7:D51,SMALL(IF(ISNUMBER(V7:V51),IF(V7:V51&gt;0,IF(Y7:Y51&lt;&gt;"",ROW(V7:V51)-MIN(ROW(V7:V51))+1))),ROW()-ROW(A$54)+1)),",",";"),"
",";")),"")</f>
        <v>0</v>
      </c>
      <c r="AA91">
        <f t="array" ref="AA91">IFERROR(CONCATENATE(TEXT(INDEX(AA7:AA51,SMALL(IF(ISNUMBER(AA7:AA51),IF(AA7:AA51&gt;0,IF(AD7:AD51&lt;&gt;"",ROW(AA7:AA51)-MIN(ROW(AA7:AA51))+1))),ROW()-ROW(A$55)+1)),"##0"),",",SUBSTITUTE(INDEX(IF(PURCHASE_DESCRIPTION&lt;&gt;"",PURCHASE_DESCRIPTION&amp;":","")&amp;A7:A51,SMALL(IF(ISNUMBER(AA7:AA51),IF(AA7:AA51&gt;0,IF(AD7:AD51&lt;&gt;"",ROW(AA7:AA51)-MIN(ROW(AA7:AA51))+1))),ROW()-ROW(A$55)+1)),",",";"),",",SUBSTITUTE(INDEX(IF(PURCHASE_DESCRIPTION&lt;&gt;"",PURCHASE_DESCRIPTION&amp;":","")&amp;E7:E51,SMALL(IF(ISNUMBER(AA7:AA51),IF(AA7:AA51&gt;0,IF(AD7:AD51&lt;&gt;"",ROW(AA7:AA51)-MIN(ROW(AA7:AA51))+1))),ROW()-ROW(A$55)+1)),",",";"),",",INDEX(AD7:AD51,SMALL(IF(ISNUMBER(AA7:AA51),IF(AA7:AA51&gt;0,IF(AD7:AD51&lt;&gt;"",ROW(AA7:AA51)-MIN(ROW(AA7:AA51))+1))),ROW()-ROW(A$55)+1))),"")</f>
        <v>0</v>
      </c>
      <c r="AF91">
        <f t="array" ref="AF91">IFERROR(CONCATENATE(INDEX(AI7:AI51,SMALL(IF(ISNUMBER(AF7:AF51),IF(AF7:AF51&gt;0,IF(AI7:AI51&lt;&gt;"",ROW(AF7:AF51)-MIN(ROW(AF7:AF51))+1))),ROW()-ROW(A$54)+1)),"|",TEXT(INDEX(AF7:AF51,SMALL(IF(ISNUMBER(AF7:AF51),IF(AF7:AF51&gt;0,IF(AI7:AI51&lt;&gt;"",ROW(AF7:AF51)-MIN(ROW(AF7:AF51))+1))),ROW()-ROW(A$54)+1)),"##0"),"|",SUBSTITUTE(SUBSTITUTE(INDEX(IF(PURCHASE_DESCRIPTION&lt;&gt;"",PURCHASE_DESCRIPTION&amp;":","")&amp;A7:A51,SMALL(IF(ISNUMBER(AF7:AF51),IF(AF7:AF51&gt;0,IF(AI7:AI51&lt;&gt;"",ROW(AF7:AF51)-MIN(ROW(AF7:AF51))+1))),ROW()-ROW(A$54)+1)),"|",";")," ","_")),"")</f>
        <v>0</v>
      </c>
      <c r="AK91">
        <f t="array" ref="AK91">IFERROR(CONCATENATE(INDEX(AN7:AN51,SMALL(IF(ISNUMBER(AK7:AK51),IF(AK7:AK51&gt;0,IF(AN7:AN51&lt;&gt;"",ROW(AK7:AK51)-MIN(ROW(AK7:AK51))+1))),ROW()-ROW(A$54)+1)),",",TEXT(INDEX(AK7:AK51,SMALL(IF(ISNUMBER(AK7:AK51),IF(AK7:AK51&gt;0,IF(AN7:AN51&lt;&gt;"",ROW(AK7:AK51)-MIN(ROW(AK7:AK51))+1))),ROW()-ROW(A$54)+1)),"##0"),",",SUBSTITUTE(SUBSTITUTE(INDEX(IF(PURCHASE_DESCRIPTION&lt;&gt;"",PURCHASE_DESCRIPTION&amp;":","")&amp;A7:A51,SMALL(IF(ISNUMBER(AK7:AK51),IF(AK7:AK51&gt;0,IF(AN7:AN51&lt;&gt;"",ROW(AK7:AK51)-MIN(ROW(AK7:AK51))+1))),ROW()-ROW(A$54)+1)),",",";"),"
",";"),",",SUBSTITUTE(SUBSTITUTE(INDEX(IF(PURCHASE_DESCRIPTION&lt;&gt;"",PURCHASE_DESCRIPTION&amp;":","")&amp;C7:C51,SMALL(IF(ISNUMBER(AK7:AK51),IF(AK7:AK51&gt;0,IF(AN7:AN51&lt;&gt;"",ROW(AK7:AK51)-MIN(ROW(AK7:AK51))+1))),ROW()-ROW(A$54)+1)),",",";"),"
",";"),",",SUBSTITUTE(SUBSTITUTE(INDEX(IF(PURCHASE_DESCRIPTION&lt;&gt;"",PURCHASE_DESCRIPTION&amp;":","")&amp;F7:F51,SMALL(IF(ISNUMBER(AK7:AK51),IF(AK7:AK51&gt;0,IF(AN7:AN51&lt;&gt;"",ROW(AK7:AK51)-MIN(ROW(AK7:AK51))+1))),ROW()-ROW(A$54)+1)),",",";"),"
",";"),",",SUBSTITUTE(SUBSTITUTE(INDEX(IF(PURCHASE_DESCRIPTION&lt;&gt;"",PURCHASE_DESCRIPTION&amp;":","")&amp;D7:D51,SMALL(IF(ISNUMBER(AK7:AK51),IF(AK7:AK51&gt;0,IF(AN7:AN51&lt;&gt;"",ROW(AK7:AK51)-MIN(ROW(AK7:AK51))+1))),ROW()-ROW(A$54)+1)),",",";"),"
",";")),"")</f>
        <v>0</v>
      </c>
      <c r="AP91">
        <f t="array" ref="AP91">IFERROR(CONCATENATE(INDEX(AS7:AS51,SMALL(IF(ISNUMBER(AP7:AP51),IF(AP7:AP51&gt;0,IF(AS7:AS51&lt;&gt;"",ROW(AP7:AP51)-MIN(ROW(AP7:AP51))+1))),ROW()-ROW(A$54)+1)),",",TEXT(INDEX(AP7:AP51,SMALL(IF(ISNUMBER(AP7:AP51),IF(AP7:AP51&gt;0,IF(AS7:AS51&lt;&gt;"",ROW(AP7:AP51)-MIN(ROW(AP7:AP51))+1))),ROW()-ROW(A$54)+1)),"##0"),",",,",",,",",,",",INDEX(G7:G51,SMALL(IF(ISNUMBER(AP7:AP51),IF(AP7:AP51&gt;0,IF(AS7:AS51&lt;&gt;"",ROW(AP7:AP51)-MIN(ROW(AP7:AP51))+1))),ROW()-ROW(A$54)+1)),",",SUBSTITUTE(INDEX(IF(PURCHASE_DESCRIPTION&lt;&gt;"",PURCHASE_DESCRIPTION&amp;":","")&amp;A7:A51,SMALL(IF(ISNUMBER(AP7:AP51),IF(AP7:AP51&gt;0,IF(AS7:AS51&lt;&gt;"",ROW(AP7:AP51)-MIN(ROW(AP7:AP51))+1))),ROW()-ROW(A$54)+1)),",",";")),"")</f>
        <v>0</v>
      </c>
      <c r="AU91">
        <f t="array" ref="AU91">IFERROR(CONCATENATE(INDEX(AX7:AX51,SMALL(IF(ISNUMBER(AU7:AU51),IF(AU7:AU51&gt;0,IF(AX7:AX51&lt;&gt;"",ROW(AU7:AU51)-MIN(ROW(AU7:AU51))+1))),ROW()-ROW(A$54)+1))," ",TEXT(INDEX(AU7:AU51,SMALL(IF(ISNUMBER(AU7:AU51),IF(AU7:AU51&gt;0,IF(AX7:AX51&lt;&gt;"",ROW(AU7:AU51)-MIN(ROW(AU7:AU51))+1))),ROW()-ROW(A$54)+1)),"##0")," ",SUBSTITUTE(INDEX(IF(PURCHASE_DESCRIPTION&lt;&gt;"",PURCHASE_DESCRIPTION&amp;":","")&amp;A7:A51,SMALL(IF(ISNUMBER(AU7:AU51),IF(AU7:AU51&gt;0,IF(AX7:AX51&lt;&gt;"",ROW(AU7:AU51)-MIN(ROW(AU7:AU51))+1))),ROW()-ROW(A$54)+1))," ",";")),"")</f>
        <v>0</v>
      </c>
    </row>
    <row r="92" spans="12:47">
      <c r="L92">
        <f t="array" ref="L92">IFERROR(CONCATENATE(INDEX(O7:O51,SMALL(IF(ISNUMBER(L7:L51),IF(L7:L51&gt;0,IF(O7:O51&lt;&gt;"",ROW(L7:L51)-MIN(ROW(L7:L51))+1))),ROW()-ROW(A$54)+1)),",",TEXT(INDEX(L7:L51,SMALL(IF(ISNUMBER(L7:L51),IF(L7:L51&gt;0,IF(O7:O51&lt;&gt;"",ROW(L7:L51)-MIN(ROW(L7:L51))+1))),ROW()-ROW(A$54)+1)),"##0"),",",SUBSTITUTE(INDEX(IF(PURCHASE_DESCRIPTION&lt;&gt;"",PURCHASE_DESCRIPTION&amp;":","")&amp;A7:A51,SMALL(IF(ISNUMBER(L7:L51),IF(L7:L51&gt;0,IF(O7:O51&lt;&gt;"",ROW(L7:L51)-MIN(ROW(L7:L51))+1))),ROW()-ROW(A$54)+1)),",",";")),"")</f>
        <v>0</v>
      </c>
      <c r="Q92">
        <f t="array" ref="Q92">IFERROR(CONCATENATE(TEXT(INDEX(Q7:Q51,SMALL(IF(ISNUMBER(Q7:Q51),IF(Q7:Q51&gt;0,IF(T7:T51&lt;&gt;"",ROW(Q7:Q51)-MIN(ROW(Q7:Q51))+1))),ROW()-ROW(A$54)+1)),"##0"),",",INDEX(T7:T51,SMALL(IF(ISNUMBER(Q7:Q51),IF(Q7:Q51&gt;0,IF(T7:T51&lt;&gt;"",ROW(Q7:Q51)-MIN(ROW(Q7:Q51))+1))),ROW()-ROW(A$54)+1)),",",SUBSTITUTE(INDEX(IF(PURCHASE_DESCRIPTION&lt;&gt;"",PURCHASE_DESCRIPTION&amp;":","")&amp;A7:A51,SMALL(IF(ISNUMBER(Q7:Q51),IF(Q7:Q51&gt;0,IF(T7:T51&lt;&gt;"",ROW(Q7:Q51)-MIN(ROW(Q7:Q51))+1))),ROW()-ROW(A$54)+1)),",",";")),"")</f>
        <v>0</v>
      </c>
      <c r="V92">
        <f t="array" ref="V92">IFERROR(CONCATENATE(INDEX(Y7:Y51,SMALL(IF(ISNUMBER(V7:V51),IF(V7:V51&gt;0,IF(Y7:Y51&lt;&gt;"",ROW(V7:V51)-MIN(ROW(V7:V51))+1))),ROW()-ROW(A$54)+1)),",",TEXT(INDEX(V7:V51,SMALL(IF(ISNUMBER(V7:V51),IF(V7:V51&gt;0,IF(Y7:Y51&lt;&gt;"",ROW(V7:V51)-MIN(ROW(V7:V51))+1))),ROW()-ROW(A$54)+1)),"##0"),",",SUBSTITUTE(SUBSTITUTE(INDEX(IF(PURCHASE_DESCRIPTION&lt;&gt;"",PURCHASE_DESCRIPTION&amp;":","")&amp;A7:A51,SMALL(IF(ISNUMBER(V7:V51),IF(V7:V51&gt;0,IF(Y7:Y51&lt;&gt;"",ROW(V7:V51)-MIN(ROW(V7:V51))+1))),ROW()-ROW(A$54)+1)),",",";"),"
",";"),",",SUBSTITUTE(SUBSTITUTE(INDEX(IF(PURCHASE_DESCRIPTION&lt;&gt;"",PURCHASE_DESCRIPTION&amp;":","")&amp;C7:C51,SMALL(IF(ISNUMBER(V7:V51),IF(V7:V51&gt;0,IF(Y7:Y51&lt;&gt;"",ROW(V7:V51)-MIN(ROW(V7:V51))+1))),ROW()-ROW(A$54)+1)),",",";"),"
",";"),",",SUBSTITUTE(SUBSTITUTE(INDEX(IF(PURCHASE_DESCRIPTION&lt;&gt;"",PURCHASE_DESCRIPTION&amp;":","")&amp;F7:F51,SMALL(IF(ISNUMBER(V7:V51),IF(V7:V51&gt;0,IF(Y7:Y51&lt;&gt;"",ROW(V7:V51)-MIN(ROW(V7:V51))+1))),ROW()-ROW(A$54)+1)),",",";"),"
",";"),",",SUBSTITUTE(SUBSTITUTE(INDEX(IF(PURCHASE_DESCRIPTION&lt;&gt;"",PURCHASE_DESCRIPTION&amp;":","")&amp;D7:D51,SMALL(IF(ISNUMBER(V7:V51),IF(V7:V51&gt;0,IF(Y7:Y51&lt;&gt;"",ROW(V7:V51)-MIN(ROW(V7:V51))+1))),ROW()-ROW(A$54)+1)),",",";"),"
",";")),"")</f>
        <v>0</v>
      </c>
      <c r="AA92">
        <f t="array" ref="AA92">IFERROR(CONCATENATE(TEXT(INDEX(AA7:AA51,SMALL(IF(ISNUMBER(AA7:AA51),IF(AA7:AA51&gt;0,IF(AD7:AD51&lt;&gt;"",ROW(AA7:AA51)-MIN(ROW(AA7:AA51))+1))),ROW()-ROW(A$55)+1)),"##0"),",",SUBSTITUTE(INDEX(IF(PURCHASE_DESCRIPTION&lt;&gt;"",PURCHASE_DESCRIPTION&amp;":","")&amp;A7:A51,SMALL(IF(ISNUMBER(AA7:AA51),IF(AA7:AA51&gt;0,IF(AD7:AD51&lt;&gt;"",ROW(AA7:AA51)-MIN(ROW(AA7:AA51))+1))),ROW()-ROW(A$55)+1)),",",";"),",",SUBSTITUTE(INDEX(IF(PURCHASE_DESCRIPTION&lt;&gt;"",PURCHASE_DESCRIPTION&amp;":","")&amp;E7:E51,SMALL(IF(ISNUMBER(AA7:AA51),IF(AA7:AA51&gt;0,IF(AD7:AD51&lt;&gt;"",ROW(AA7:AA51)-MIN(ROW(AA7:AA51))+1))),ROW()-ROW(A$55)+1)),",",";"),",",INDEX(AD7:AD51,SMALL(IF(ISNUMBER(AA7:AA51),IF(AA7:AA51&gt;0,IF(AD7:AD51&lt;&gt;"",ROW(AA7:AA51)-MIN(ROW(AA7:AA51))+1))),ROW()-ROW(A$55)+1))),"")</f>
        <v>0</v>
      </c>
      <c r="AF92">
        <f t="array" ref="AF92">IFERROR(CONCATENATE(INDEX(AI7:AI51,SMALL(IF(ISNUMBER(AF7:AF51),IF(AF7:AF51&gt;0,IF(AI7:AI51&lt;&gt;"",ROW(AF7:AF51)-MIN(ROW(AF7:AF51))+1))),ROW()-ROW(A$54)+1)),"|",TEXT(INDEX(AF7:AF51,SMALL(IF(ISNUMBER(AF7:AF51),IF(AF7:AF51&gt;0,IF(AI7:AI51&lt;&gt;"",ROW(AF7:AF51)-MIN(ROW(AF7:AF51))+1))),ROW()-ROW(A$54)+1)),"##0"),"|",SUBSTITUTE(SUBSTITUTE(INDEX(IF(PURCHASE_DESCRIPTION&lt;&gt;"",PURCHASE_DESCRIPTION&amp;":","")&amp;A7:A51,SMALL(IF(ISNUMBER(AF7:AF51),IF(AF7:AF51&gt;0,IF(AI7:AI51&lt;&gt;"",ROW(AF7:AF51)-MIN(ROW(AF7:AF51))+1))),ROW()-ROW(A$54)+1)),"|",";")," ","_")),"")</f>
        <v>0</v>
      </c>
      <c r="AK92">
        <f t="array" ref="AK92">IFERROR(CONCATENATE(INDEX(AN7:AN51,SMALL(IF(ISNUMBER(AK7:AK51),IF(AK7:AK51&gt;0,IF(AN7:AN51&lt;&gt;"",ROW(AK7:AK51)-MIN(ROW(AK7:AK51))+1))),ROW()-ROW(A$54)+1)),",",TEXT(INDEX(AK7:AK51,SMALL(IF(ISNUMBER(AK7:AK51),IF(AK7:AK51&gt;0,IF(AN7:AN51&lt;&gt;"",ROW(AK7:AK51)-MIN(ROW(AK7:AK51))+1))),ROW()-ROW(A$54)+1)),"##0"),",",SUBSTITUTE(SUBSTITUTE(INDEX(IF(PURCHASE_DESCRIPTION&lt;&gt;"",PURCHASE_DESCRIPTION&amp;":","")&amp;A7:A51,SMALL(IF(ISNUMBER(AK7:AK51),IF(AK7:AK51&gt;0,IF(AN7:AN51&lt;&gt;"",ROW(AK7:AK51)-MIN(ROW(AK7:AK51))+1))),ROW()-ROW(A$54)+1)),",",";"),"
",";"),",",SUBSTITUTE(SUBSTITUTE(INDEX(IF(PURCHASE_DESCRIPTION&lt;&gt;"",PURCHASE_DESCRIPTION&amp;":","")&amp;C7:C51,SMALL(IF(ISNUMBER(AK7:AK51),IF(AK7:AK51&gt;0,IF(AN7:AN51&lt;&gt;"",ROW(AK7:AK51)-MIN(ROW(AK7:AK51))+1))),ROW()-ROW(A$54)+1)),",",";"),"
",";"),",",SUBSTITUTE(SUBSTITUTE(INDEX(IF(PURCHASE_DESCRIPTION&lt;&gt;"",PURCHASE_DESCRIPTION&amp;":","")&amp;F7:F51,SMALL(IF(ISNUMBER(AK7:AK51),IF(AK7:AK51&gt;0,IF(AN7:AN51&lt;&gt;"",ROW(AK7:AK51)-MIN(ROW(AK7:AK51))+1))),ROW()-ROW(A$54)+1)),",",";"),"
",";"),",",SUBSTITUTE(SUBSTITUTE(INDEX(IF(PURCHASE_DESCRIPTION&lt;&gt;"",PURCHASE_DESCRIPTION&amp;":","")&amp;D7:D51,SMALL(IF(ISNUMBER(AK7:AK51),IF(AK7:AK51&gt;0,IF(AN7:AN51&lt;&gt;"",ROW(AK7:AK51)-MIN(ROW(AK7:AK51))+1))),ROW()-ROW(A$54)+1)),",",";"),"
",";")),"")</f>
        <v>0</v>
      </c>
      <c r="AP92">
        <f t="array" ref="AP92">IFERROR(CONCATENATE(INDEX(AS7:AS51,SMALL(IF(ISNUMBER(AP7:AP51),IF(AP7:AP51&gt;0,IF(AS7:AS51&lt;&gt;"",ROW(AP7:AP51)-MIN(ROW(AP7:AP51))+1))),ROW()-ROW(A$54)+1)),",",TEXT(INDEX(AP7:AP51,SMALL(IF(ISNUMBER(AP7:AP51),IF(AP7:AP51&gt;0,IF(AS7:AS51&lt;&gt;"",ROW(AP7:AP51)-MIN(ROW(AP7:AP51))+1))),ROW()-ROW(A$54)+1)),"##0"),",",,",",,",",,",",INDEX(G7:G51,SMALL(IF(ISNUMBER(AP7:AP51),IF(AP7:AP51&gt;0,IF(AS7:AS51&lt;&gt;"",ROW(AP7:AP51)-MIN(ROW(AP7:AP51))+1))),ROW()-ROW(A$54)+1)),",",SUBSTITUTE(INDEX(IF(PURCHASE_DESCRIPTION&lt;&gt;"",PURCHASE_DESCRIPTION&amp;":","")&amp;A7:A51,SMALL(IF(ISNUMBER(AP7:AP51),IF(AP7:AP51&gt;0,IF(AS7:AS51&lt;&gt;"",ROW(AP7:AP51)-MIN(ROW(AP7:AP51))+1))),ROW()-ROW(A$54)+1)),",",";")),"")</f>
        <v>0</v>
      </c>
      <c r="AU92">
        <f t="array" ref="AU92">IFERROR(CONCATENATE(INDEX(AX7:AX51,SMALL(IF(ISNUMBER(AU7:AU51),IF(AU7:AU51&gt;0,IF(AX7:AX51&lt;&gt;"",ROW(AU7:AU51)-MIN(ROW(AU7:AU51))+1))),ROW()-ROW(A$54)+1))," ",TEXT(INDEX(AU7:AU51,SMALL(IF(ISNUMBER(AU7:AU51),IF(AU7:AU51&gt;0,IF(AX7:AX51&lt;&gt;"",ROW(AU7:AU51)-MIN(ROW(AU7:AU51))+1))),ROW()-ROW(A$54)+1)),"##0")," ",SUBSTITUTE(INDEX(IF(PURCHASE_DESCRIPTION&lt;&gt;"",PURCHASE_DESCRIPTION&amp;":","")&amp;A7:A51,SMALL(IF(ISNUMBER(AU7:AU51),IF(AU7:AU51&gt;0,IF(AX7:AX51&lt;&gt;"",ROW(AU7:AU51)-MIN(ROW(AU7:AU51))+1))),ROW()-ROW(A$54)+1))," ",";")),"")</f>
        <v>0</v>
      </c>
    </row>
    <row r="93" spans="12:47">
      <c r="L93">
        <f t="array" ref="L93">IFERROR(CONCATENATE(INDEX(O7:O51,SMALL(IF(ISNUMBER(L7:L51),IF(L7:L51&gt;0,IF(O7:O51&lt;&gt;"",ROW(L7:L51)-MIN(ROW(L7:L51))+1))),ROW()-ROW(A$54)+1)),",",TEXT(INDEX(L7:L51,SMALL(IF(ISNUMBER(L7:L51),IF(L7:L51&gt;0,IF(O7:O51&lt;&gt;"",ROW(L7:L51)-MIN(ROW(L7:L51))+1))),ROW()-ROW(A$54)+1)),"##0"),",",SUBSTITUTE(INDEX(IF(PURCHASE_DESCRIPTION&lt;&gt;"",PURCHASE_DESCRIPTION&amp;":","")&amp;A7:A51,SMALL(IF(ISNUMBER(L7:L51),IF(L7:L51&gt;0,IF(O7:O51&lt;&gt;"",ROW(L7:L51)-MIN(ROW(L7:L51))+1))),ROW()-ROW(A$54)+1)),",",";")),"")</f>
        <v>0</v>
      </c>
      <c r="Q93">
        <f t="array" ref="Q93">IFERROR(CONCATENATE(TEXT(INDEX(Q7:Q51,SMALL(IF(ISNUMBER(Q7:Q51),IF(Q7:Q51&gt;0,IF(T7:T51&lt;&gt;"",ROW(Q7:Q51)-MIN(ROW(Q7:Q51))+1))),ROW()-ROW(A$54)+1)),"##0"),",",INDEX(T7:T51,SMALL(IF(ISNUMBER(Q7:Q51),IF(Q7:Q51&gt;0,IF(T7:T51&lt;&gt;"",ROW(Q7:Q51)-MIN(ROW(Q7:Q51))+1))),ROW()-ROW(A$54)+1)),",",SUBSTITUTE(INDEX(IF(PURCHASE_DESCRIPTION&lt;&gt;"",PURCHASE_DESCRIPTION&amp;":","")&amp;A7:A51,SMALL(IF(ISNUMBER(Q7:Q51),IF(Q7:Q51&gt;0,IF(T7:T51&lt;&gt;"",ROW(Q7:Q51)-MIN(ROW(Q7:Q51))+1))),ROW()-ROW(A$54)+1)),",",";")),"")</f>
        <v>0</v>
      </c>
      <c r="V93">
        <f t="array" ref="V93">IFERROR(CONCATENATE(INDEX(Y7:Y51,SMALL(IF(ISNUMBER(V7:V51),IF(V7:V51&gt;0,IF(Y7:Y51&lt;&gt;"",ROW(V7:V51)-MIN(ROW(V7:V51))+1))),ROW()-ROW(A$54)+1)),",",TEXT(INDEX(V7:V51,SMALL(IF(ISNUMBER(V7:V51),IF(V7:V51&gt;0,IF(Y7:Y51&lt;&gt;"",ROW(V7:V51)-MIN(ROW(V7:V51))+1))),ROW()-ROW(A$54)+1)),"##0"),",",SUBSTITUTE(SUBSTITUTE(INDEX(IF(PURCHASE_DESCRIPTION&lt;&gt;"",PURCHASE_DESCRIPTION&amp;":","")&amp;A7:A51,SMALL(IF(ISNUMBER(V7:V51),IF(V7:V51&gt;0,IF(Y7:Y51&lt;&gt;"",ROW(V7:V51)-MIN(ROW(V7:V51))+1))),ROW()-ROW(A$54)+1)),",",";"),"
",";"),",",SUBSTITUTE(SUBSTITUTE(INDEX(IF(PURCHASE_DESCRIPTION&lt;&gt;"",PURCHASE_DESCRIPTION&amp;":","")&amp;C7:C51,SMALL(IF(ISNUMBER(V7:V51),IF(V7:V51&gt;0,IF(Y7:Y51&lt;&gt;"",ROW(V7:V51)-MIN(ROW(V7:V51))+1))),ROW()-ROW(A$54)+1)),",",";"),"
",";"),",",SUBSTITUTE(SUBSTITUTE(INDEX(IF(PURCHASE_DESCRIPTION&lt;&gt;"",PURCHASE_DESCRIPTION&amp;":","")&amp;F7:F51,SMALL(IF(ISNUMBER(V7:V51),IF(V7:V51&gt;0,IF(Y7:Y51&lt;&gt;"",ROW(V7:V51)-MIN(ROW(V7:V51))+1))),ROW()-ROW(A$54)+1)),",",";"),"
",";"),",",SUBSTITUTE(SUBSTITUTE(INDEX(IF(PURCHASE_DESCRIPTION&lt;&gt;"",PURCHASE_DESCRIPTION&amp;":","")&amp;D7:D51,SMALL(IF(ISNUMBER(V7:V51),IF(V7:V51&gt;0,IF(Y7:Y51&lt;&gt;"",ROW(V7:V51)-MIN(ROW(V7:V51))+1))),ROW()-ROW(A$54)+1)),",",";"),"
",";")),"")</f>
        <v>0</v>
      </c>
      <c r="AA93">
        <f t="array" ref="AA93">IFERROR(CONCATENATE(TEXT(INDEX(AA7:AA51,SMALL(IF(ISNUMBER(AA7:AA51),IF(AA7:AA51&gt;0,IF(AD7:AD51&lt;&gt;"",ROW(AA7:AA51)-MIN(ROW(AA7:AA51))+1))),ROW()-ROW(A$55)+1)),"##0"),",",SUBSTITUTE(INDEX(IF(PURCHASE_DESCRIPTION&lt;&gt;"",PURCHASE_DESCRIPTION&amp;":","")&amp;A7:A51,SMALL(IF(ISNUMBER(AA7:AA51),IF(AA7:AA51&gt;0,IF(AD7:AD51&lt;&gt;"",ROW(AA7:AA51)-MIN(ROW(AA7:AA51))+1))),ROW()-ROW(A$55)+1)),",",";"),",",SUBSTITUTE(INDEX(IF(PURCHASE_DESCRIPTION&lt;&gt;"",PURCHASE_DESCRIPTION&amp;":","")&amp;E7:E51,SMALL(IF(ISNUMBER(AA7:AA51),IF(AA7:AA51&gt;0,IF(AD7:AD51&lt;&gt;"",ROW(AA7:AA51)-MIN(ROW(AA7:AA51))+1))),ROW()-ROW(A$55)+1)),",",";"),",",INDEX(AD7:AD51,SMALL(IF(ISNUMBER(AA7:AA51),IF(AA7:AA51&gt;0,IF(AD7:AD51&lt;&gt;"",ROW(AA7:AA51)-MIN(ROW(AA7:AA51))+1))),ROW()-ROW(A$55)+1))),"")</f>
        <v>0</v>
      </c>
      <c r="AF93">
        <f t="array" ref="AF93">IFERROR(CONCATENATE(INDEX(AI7:AI51,SMALL(IF(ISNUMBER(AF7:AF51),IF(AF7:AF51&gt;0,IF(AI7:AI51&lt;&gt;"",ROW(AF7:AF51)-MIN(ROW(AF7:AF51))+1))),ROW()-ROW(A$54)+1)),"|",TEXT(INDEX(AF7:AF51,SMALL(IF(ISNUMBER(AF7:AF51),IF(AF7:AF51&gt;0,IF(AI7:AI51&lt;&gt;"",ROW(AF7:AF51)-MIN(ROW(AF7:AF51))+1))),ROW()-ROW(A$54)+1)),"##0"),"|",SUBSTITUTE(SUBSTITUTE(INDEX(IF(PURCHASE_DESCRIPTION&lt;&gt;"",PURCHASE_DESCRIPTION&amp;":","")&amp;A7:A51,SMALL(IF(ISNUMBER(AF7:AF51),IF(AF7:AF51&gt;0,IF(AI7:AI51&lt;&gt;"",ROW(AF7:AF51)-MIN(ROW(AF7:AF51))+1))),ROW()-ROW(A$54)+1)),"|",";")," ","_")),"")</f>
        <v>0</v>
      </c>
      <c r="AK93">
        <f t="array" ref="AK93">IFERROR(CONCATENATE(INDEX(AN7:AN51,SMALL(IF(ISNUMBER(AK7:AK51),IF(AK7:AK51&gt;0,IF(AN7:AN51&lt;&gt;"",ROW(AK7:AK51)-MIN(ROW(AK7:AK51))+1))),ROW()-ROW(A$54)+1)),",",TEXT(INDEX(AK7:AK51,SMALL(IF(ISNUMBER(AK7:AK51),IF(AK7:AK51&gt;0,IF(AN7:AN51&lt;&gt;"",ROW(AK7:AK51)-MIN(ROW(AK7:AK51))+1))),ROW()-ROW(A$54)+1)),"##0"),",",SUBSTITUTE(SUBSTITUTE(INDEX(IF(PURCHASE_DESCRIPTION&lt;&gt;"",PURCHASE_DESCRIPTION&amp;":","")&amp;A7:A51,SMALL(IF(ISNUMBER(AK7:AK51),IF(AK7:AK51&gt;0,IF(AN7:AN51&lt;&gt;"",ROW(AK7:AK51)-MIN(ROW(AK7:AK51))+1))),ROW()-ROW(A$54)+1)),",",";"),"
",";"),",",SUBSTITUTE(SUBSTITUTE(INDEX(IF(PURCHASE_DESCRIPTION&lt;&gt;"",PURCHASE_DESCRIPTION&amp;":","")&amp;C7:C51,SMALL(IF(ISNUMBER(AK7:AK51),IF(AK7:AK51&gt;0,IF(AN7:AN51&lt;&gt;"",ROW(AK7:AK51)-MIN(ROW(AK7:AK51))+1))),ROW()-ROW(A$54)+1)),",",";"),"
",";"),",",SUBSTITUTE(SUBSTITUTE(INDEX(IF(PURCHASE_DESCRIPTION&lt;&gt;"",PURCHASE_DESCRIPTION&amp;":","")&amp;F7:F51,SMALL(IF(ISNUMBER(AK7:AK51),IF(AK7:AK51&gt;0,IF(AN7:AN51&lt;&gt;"",ROW(AK7:AK51)-MIN(ROW(AK7:AK51))+1))),ROW()-ROW(A$54)+1)),",",";"),"
",";"),",",SUBSTITUTE(SUBSTITUTE(INDEX(IF(PURCHASE_DESCRIPTION&lt;&gt;"",PURCHASE_DESCRIPTION&amp;":","")&amp;D7:D51,SMALL(IF(ISNUMBER(AK7:AK51),IF(AK7:AK51&gt;0,IF(AN7:AN51&lt;&gt;"",ROW(AK7:AK51)-MIN(ROW(AK7:AK51))+1))),ROW()-ROW(A$54)+1)),",",";"),"
",";")),"")</f>
        <v>0</v>
      </c>
      <c r="AP93">
        <f t="array" ref="AP93">IFERROR(CONCATENATE(INDEX(AS7:AS51,SMALL(IF(ISNUMBER(AP7:AP51),IF(AP7:AP51&gt;0,IF(AS7:AS51&lt;&gt;"",ROW(AP7:AP51)-MIN(ROW(AP7:AP51))+1))),ROW()-ROW(A$54)+1)),",",TEXT(INDEX(AP7:AP51,SMALL(IF(ISNUMBER(AP7:AP51),IF(AP7:AP51&gt;0,IF(AS7:AS51&lt;&gt;"",ROW(AP7:AP51)-MIN(ROW(AP7:AP51))+1))),ROW()-ROW(A$54)+1)),"##0"),",",,",",,",",,",",INDEX(G7:G51,SMALL(IF(ISNUMBER(AP7:AP51),IF(AP7:AP51&gt;0,IF(AS7:AS51&lt;&gt;"",ROW(AP7:AP51)-MIN(ROW(AP7:AP51))+1))),ROW()-ROW(A$54)+1)),",",SUBSTITUTE(INDEX(IF(PURCHASE_DESCRIPTION&lt;&gt;"",PURCHASE_DESCRIPTION&amp;":","")&amp;A7:A51,SMALL(IF(ISNUMBER(AP7:AP51),IF(AP7:AP51&gt;0,IF(AS7:AS51&lt;&gt;"",ROW(AP7:AP51)-MIN(ROW(AP7:AP51))+1))),ROW()-ROW(A$54)+1)),",",";")),"")</f>
        <v>0</v>
      </c>
      <c r="AU93">
        <f t="array" ref="AU93">IFERROR(CONCATENATE(INDEX(AX7:AX51,SMALL(IF(ISNUMBER(AU7:AU51),IF(AU7:AU51&gt;0,IF(AX7:AX51&lt;&gt;"",ROW(AU7:AU51)-MIN(ROW(AU7:AU51))+1))),ROW()-ROW(A$54)+1))," ",TEXT(INDEX(AU7:AU51,SMALL(IF(ISNUMBER(AU7:AU51),IF(AU7:AU51&gt;0,IF(AX7:AX51&lt;&gt;"",ROW(AU7:AU51)-MIN(ROW(AU7:AU51))+1))),ROW()-ROW(A$54)+1)),"##0")," ",SUBSTITUTE(INDEX(IF(PURCHASE_DESCRIPTION&lt;&gt;"",PURCHASE_DESCRIPTION&amp;":","")&amp;A7:A51,SMALL(IF(ISNUMBER(AU7:AU51),IF(AU7:AU51&gt;0,IF(AX7:AX51&lt;&gt;"",ROW(AU7:AU51)-MIN(ROW(AU7:AU51))+1))),ROW()-ROW(A$54)+1))," ",";")),"")</f>
        <v>0</v>
      </c>
    </row>
    <row r="94" spans="12:47">
      <c r="L94">
        <f t="array" ref="L94">IFERROR(CONCATENATE(INDEX(O7:O51,SMALL(IF(ISNUMBER(L7:L51),IF(L7:L51&gt;0,IF(O7:O51&lt;&gt;"",ROW(L7:L51)-MIN(ROW(L7:L51))+1))),ROW()-ROW(A$54)+1)),",",TEXT(INDEX(L7:L51,SMALL(IF(ISNUMBER(L7:L51),IF(L7:L51&gt;0,IF(O7:O51&lt;&gt;"",ROW(L7:L51)-MIN(ROW(L7:L51))+1))),ROW()-ROW(A$54)+1)),"##0"),",",SUBSTITUTE(INDEX(IF(PURCHASE_DESCRIPTION&lt;&gt;"",PURCHASE_DESCRIPTION&amp;":","")&amp;A7:A51,SMALL(IF(ISNUMBER(L7:L51),IF(L7:L51&gt;0,IF(O7:O51&lt;&gt;"",ROW(L7:L51)-MIN(ROW(L7:L51))+1))),ROW()-ROW(A$54)+1)),",",";")),"")</f>
        <v>0</v>
      </c>
      <c r="Q94">
        <f t="array" ref="Q94">IFERROR(CONCATENATE(TEXT(INDEX(Q7:Q51,SMALL(IF(ISNUMBER(Q7:Q51),IF(Q7:Q51&gt;0,IF(T7:T51&lt;&gt;"",ROW(Q7:Q51)-MIN(ROW(Q7:Q51))+1))),ROW()-ROW(A$54)+1)),"##0"),",",INDEX(T7:T51,SMALL(IF(ISNUMBER(Q7:Q51),IF(Q7:Q51&gt;0,IF(T7:T51&lt;&gt;"",ROW(Q7:Q51)-MIN(ROW(Q7:Q51))+1))),ROW()-ROW(A$54)+1)),",",SUBSTITUTE(INDEX(IF(PURCHASE_DESCRIPTION&lt;&gt;"",PURCHASE_DESCRIPTION&amp;":","")&amp;A7:A51,SMALL(IF(ISNUMBER(Q7:Q51),IF(Q7:Q51&gt;0,IF(T7:T51&lt;&gt;"",ROW(Q7:Q51)-MIN(ROW(Q7:Q51))+1))),ROW()-ROW(A$54)+1)),",",";")),"")</f>
        <v>0</v>
      </c>
      <c r="V94">
        <f t="array" ref="V94">IFERROR(CONCATENATE(INDEX(Y7:Y51,SMALL(IF(ISNUMBER(V7:V51),IF(V7:V51&gt;0,IF(Y7:Y51&lt;&gt;"",ROW(V7:V51)-MIN(ROW(V7:V51))+1))),ROW()-ROW(A$54)+1)),",",TEXT(INDEX(V7:V51,SMALL(IF(ISNUMBER(V7:V51),IF(V7:V51&gt;0,IF(Y7:Y51&lt;&gt;"",ROW(V7:V51)-MIN(ROW(V7:V51))+1))),ROW()-ROW(A$54)+1)),"##0"),",",SUBSTITUTE(SUBSTITUTE(INDEX(IF(PURCHASE_DESCRIPTION&lt;&gt;"",PURCHASE_DESCRIPTION&amp;":","")&amp;A7:A51,SMALL(IF(ISNUMBER(V7:V51),IF(V7:V51&gt;0,IF(Y7:Y51&lt;&gt;"",ROW(V7:V51)-MIN(ROW(V7:V51))+1))),ROW()-ROW(A$54)+1)),",",";"),"
",";"),",",SUBSTITUTE(SUBSTITUTE(INDEX(IF(PURCHASE_DESCRIPTION&lt;&gt;"",PURCHASE_DESCRIPTION&amp;":","")&amp;C7:C51,SMALL(IF(ISNUMBER(V7:V51),IF(V7:V51&gt;0,IF(Y7:Y51&lt;&gt;"",ROW(V7:V51)-MIN(ROW(V7:V51))+1))),ROW()-ROW(A$54)+1)),",",";"),"
",";"),",",SUBSTITUTE(SUBSTITUTE(INDEX(IF(PURCHASE_DESCRIPTION&lt;&gt;"",PURCHASE_DESCRIPTION&amp;":","")&amp;F7:F51,SMALL(IF(ISNUMBER(V7:V51),IF(V7:V51&gt;0,IF(Y7:Y51&lt;&gt;"",ROW(V7:V51)-MIN(ROW(V7:V51))+1))),ROW()-ROW(A$54)+1)),",",";"),"
",";"),",",SUBSTITUTE(SUBSTITUTE(INDEX(IF(PURCHASE_DESCRIPTION&lt;&gt;"",PURCHASE_DESCRIPTION&amp;":","")&amp;D7:D51,SMALL(IF(ISNUMBER(V7:V51),IF(V7:V51&gt;0,IF(Y7:Y51&lt;&gt;"",ROW(V7:V51)-MIN(ROW(V7:V51))+1))),ROW()-ROW(A$54)+1)),",",";"),"
",";")),"")</f>
        <v>0</v>
      </c>
      <c r="AA94">
        <f t="array" ref="AA94">IFERROR(CONCATENATE(TEXT(INDEX(AA7:AA51,SMALL(IF(ISNUMBER(AA7:AA51),IF(AA7:AA51&gt;0,IF(AD7:AD51&lt;&gt;"",ROW(AA7:AA51)-MIN(ROW(AA7:AA51))+1))),ROW()-ROW(A$55)+1)),"##0"),",",SUBSTITUTE(INDEX(IF(PURCHASE_DESCRIPTION&lt;&gt;"",PURCHASE_DESCRIPTION&amp;":","")&amp;A7:A51,SMALL(IF(ISNUMBER(AA7:AA51),IF(AA7:AA51&gt;0,IF(AD7:AD51&lt;&gt;"",ROW(AA7:AA51)-MIN(ROW(AA7:AA51))+1))),ROW()-ROW(A$55)+1)),",",";"),",",SUBSTITUTE(INDEX(IF(PURCHASE_DESCRIPTION&lt;&gt;"",PURCHASE_DESCRIPTION&amp;":","")&amp;E7:E51,SMALL(IF(ISNUMBER(AA7:AA51),IF(AA7:AA51&gt;0,IF(AD7:AD51&lt;&gt;"",ROW(AA7:AA51)-MIN(ROW(AA7:AA51))+1))),ROW()-ROW(A$55)+1)),",",";"),",",INDEX(AD7:AD51,SMALL(IF(ISNUMBER(AA7:AA51),IF(AA7:AA51&gt;0,IF(AD7:AD51&lt;&gt;"",ROW(AA7:AA51)-MIN(ROW(AA7:AA51))+1))),ROW()-ROW(A$55)+1))),"")</f>
        <v>0</v>
      </c>
      <c r="AF94">
        <f t="array" ref="AF94">IFERROR(CONCATENATE(INDEX(AI7:AI51,SMALL(IF(ISNUMBER(AF7:AF51),IF(AF7:AF51&gt;0,IF(AI7:AI51&lt;&gt;"",ROW(AF7:AF51)-MIN(ROW(AF7:AF51))+1))),ROW()-ROW(A$54)+1)),"|",TEXT(INDEX(AF7:AF51,SMALL(IF(ISNUMBER(AF7:AF51),IF(AF7:AF51&gt;0,IF(AI7:AI51&lt;&gt;"",ROW(AF7:AF51)-MIN(ROW(AF7:AF51))+1))),ROW()-ROW(A$54)+1)),"##0"),"|",SUBSTITUTE(SUBSTITUTE(INDEX(IF(PURCHASE_DESCRIPTION&lt;&gt;"",PURCHASE_DESCRIPTION&amp;":","")&amp;A7:A51,SMALL(IF(ISNUMBER(AF7:AF51),IF(AF7:AF51&gt;0,IF(AI7:AI51&lt;&gt;"",ROW(AF7:AF51)-MIN(ROW(AF7:AF51))+1))),ROW()-ROW(A$54)+1)),"|",";")," ","_")),"")</f>
        <v>0</v>
      </c>
      <c r="AK94">
        <f t="array" ref="AK94">IFERROR(CONCATENATE(INDEX(AN7:AN51,SMALL(IF(ISNUMBER(AK7:AK51),IF(AK7:AK51&gt;0,IF(AN7:AN51&lt;&gt;"",ROW(AK7:AK51)-MIN(ROW(AK7:AK51))+1))),ROW()-ROW(A$54)+1)),",",TEXT(INDEX(AK7:AK51,SMALL(IF(ISNUMBER(AK7:AK51),IF(AK7:AK51&gt;0,IF(AN7:AN51&lt;&gt;"",ROW(AK7:AK51)-MIN(ROW(AK7:AK51))+1))),ROW()-ROW(A$54)+1)),"##0"),",",SUBSTITUTE(SUBSTITUTE(INDEX(IF(PURCHASE_DESCRIPTION&lt;&gt;"",PURCHASE_DESCRIPTION&amp;":","")&amp;A7:A51,SMALL(IF(ISNUMBER(AK7:AK51),IF(AK7:AK51&gt;0,IF(AN7:AN51&lt;&gt;"",ROW(AK7:AK51)-MIN(ROW(AK7:AK51))+1))),ROW()-ROW(A$54)+1)),",",";"),"
",";"),",",SUBSTITUTE(SUBSTITUTE(INDEX(IF(PURCHASE_DESCRIPTION&lt;&gt;"",PURCHASE_DESCRIPTION&amp;":","")&amp;C7:C51,SMALL(IF(ISNUMBER(AK7:AK51),IF(AK7:AK51&gt;0,IF(AN7:AN51&lt;&gt;"",ROW(AK7:AK51)-MIN(ROW(AK7:AK51))+1))),ROW()-ROW(A$54)+1)),",",";"),"
",";"),",",SUBSTITUTE(SUBSTITUTE(INDEX(IF(PURCHASE_DESCRIPTION&lt;&gt;"",PURCHASE_DESCRIPTION&amp;":","")&amp;F7:F51,SMALL(IF(ISNUMBER(AK7:AK51),IF(AK7:AK51&gt;0,IF(AN7:AN51&lt;&gt;"",ROW(AK7:AK51)-MIN(ROW(AK7:AK51))+1))),ROW()-ROW(A$54)+1)),",",";"),"
",";"),",",SUBSTITUTE(SUBSTITUTE(INDEX(IF(PURCHASE_DESCRIPTION&lt;&gt;"",PURCHASE_DESCRIPTION&amp;":","")&amp;D7:D51,SMALL(IF(ISNUMBER(AK7:AK51),IF(AK7:AK51&gt;0,IF(AN7:AN51&lt;&gt;"",ROW(AK7:AK51)-MIN(ROW(AK7:AK51))+1))),ROW()-ROW(A$54)+1)),",",";"),"
",";")),"")</f>
        <v>0</v>
      </c>
      <c r="AP94">
        <f t="array" ref="AP94">IFERROR(CONCATENATE(INDEX(AS7:AS51,SMALL(IF(ISNUMBER(AP7:AP51),IF(AP7:AP51&gt;0,IF(AS7:AS51&lt;&gt;"",ROW(AP7:AP51)-MIN(ROW(AP7:AP51))+1))),ROW()-ROW(A$54)+1)),",",TEXT(INDEX(AP7:AP51,SMALL(IF(ISNUMBER(AP7:AP51),IF(AP7:AP51&gt;0,IF(AS7:AS51&lt;&gt;"",ROW(AP7:AP51)-MIN(ROW(AP7:AP51))+1))),ROW()-ROW(A$54)+1)),"##0"),",",,",",,",",,",",INDEX(G7:G51,SMALL(IF(ISNUMBER(AP7:AP51),IF(AP7:AP51&gt;0,IF(AS7:AS51&lt;&gt;"",ROW(AP7:AP51)-MIN(ROW(AP7:AP51))+1))),ROW()-ROW(A$54)+1)),",",SUBSTITUTE(INDEX(IF(PURCHASE_DESCRIPTION&lt;&gt;"",PURCHASE_DESCRIPTION&amp;":","")&amp;A7:A51,SMALL(IF(ISNUMBER(AP7:AP51),IF(AP7:AP51&gt;0,IF(AS7:AS51&lt;&gt;"",ROW(AP7:AP51)-MIN(ROW(AP7:AP51))+1))),ROW()-ROW(A$54)+1)),",",";")),"")</f>
        <v>0</v>
      </c>
      <c r="AU94">
        <f t="array" ref="AU94">IFERROR(CONCATENATE(INDEX(AX7:AX51,SMALL(IF(ISNUMBER(AU7:AU51),IF(AU7:AU51&gt;0,IF(AX7:AX51&lt;&gt;"",ROW(AU7:AU51)-MIN(ROW(AU7:AU51))+1))),ROW()-ROW(A$54)+1))," ",TEXT(INDEX(AU7:AU51,SMALL(IF(ISNUMBER(AU7:AU51),IF(AU7:AU51&gt;0,IF(AX7:AX51&lt;&gt;"",ROW(AU7:AU51)-MIN(ROW(AU7:AU51))+1))),ROW()-ROW(A$54)+1)),"##0")," ",SUBSTITUTE(INDEX(IF(PURCHASE_DESCRIPTION&lt;&gt;"",PURCHASE_DESCRIPTION&amp;":","")&amp;A7:A51,SMALL(IF(ISNUMBER(AU7:AU51),IF(AU7:AU51&gt;0,IF(AX7:AX51&lt;&gt;"",ROW(AU7:AU51)-MIN(ROW(AU7:AU51))+1))),ROW()-ROW(A$54)+1))," ",";")),"")</f>
        <v>0</v>
      </c>
    </row>
    <row r="95" spans="12:47">
      <c r="L95">
        <f t="array" ref="L95">IFERROR(CONCATENATE(INDEX(O7:O51,SMALL(IF(ISNUMBER(L7:L51),IF(L7:L51&gt;0,IF(O7:O51&lt;&gt;"",ROW(L7:L51)-MIN(ROW(L7:L51))+1))),ROW()-ROW(A$54)+1)),",",TEXT(INDEX(L7:L51,SMALL(IF(ISNUMBER(L7:L51),IF(L7:L51&gt;0,IF(O7:O51&lt;&gt;"",ROW(L7:L51)-MIN(ROW(L7:L51))+1))),ROW()-ROW(A$54)+1)),"##0"),",",SUBSTITUTE(INDEX(IF(PURCHASE_DESCRIPTION&lt;&gt;"",PURCHASE_DESCRIPTION&amp;":","")&amp;A7:A51,SMALL(IF(ISNUMBER(L7:L51),IF(L7:L51&gt;0,IF(O7:O51&lt;&gt;"",ROW(L7:L51)-MIN(ROW(L7:L51))+1))),ROW()-ROW(A$54)+1)),",",";")),"")</f>
        <v>0</v>
      </c>
      <c r="Q95">
        <f t="array" ref="Q95">IFERROR(CONCATENATE(TEXT(INDEX(Q7:Q51,SMALL(IF(ISNUMBER(Q7:Q51),IF(Q7:Q51&gt;0,IF(T7:T51&lt;&gt;"",ROW(Q7:Q51)-MIN(ROW(Q7:Q51))+1))),ROW()-ROW(A$54)+1)),"##0"),",",INDEX(T7:T51,SMALL(IF(ISNUMBER(Q7:Q51),IF(Q7:Q51&gt;0,IF(T7:T51&lt;&gt;"",ROW(Q7:Q51)-MIN(ROW(Q7:Q51))+1))),ROW()-ROW(A$54)+1)),",",SUBSTITUTE(INDEX(IF(PURCHASE_DESCRIPTION&lt;&gt;"",PURCHASE_DESCRIPTION&amp;":","")&amp;A7:A51,SMALL(IF(ISNUMBER(Q7:Q51),IF(Q7:Q51&gt;0,IF(T7:T51&lt;&gt;"",ROW(Q7:Q51)-MIN(ROW(Q7:Q51))+1))),ROW()-ROW(A$54)+1)),",",";")),"")</f>
        <v>0</v>
      </c>
      <c r="V95">
        <f t="array" ref="V95">IFERROR(CONCATENATE(INDEX(Y7:Y51,SMALL(IF(ISNUMBER(V7:V51),IF(V7:V51&gt;0,IF(Y7:Y51&lt;&gt;"",ROW(V7:V51)-MIN(ROW(V7:V51))+1))),ROW()-ROW(A$54)+1)),",",TEXT(INDEX(V7:V51,SMALL(IF(ISNUMBER(V7:V51),IF(V7:V51&gt;0,IF(Y7:Y51&lt;&gt;"",ROW(V7:V51)-MIN(ROW(V7:V51))+1))),ROW()-ROW(A$54)+1)),"##0"),",",SUBSTITUTE(SUBSTITUTE(INDEX(IF(PURCHASE_DESCRIPTION&lt;&gt;"",PURCHASE_DESCRIPTION&amp;":","")&amp;A7:A51,SMALL(IF(ISNUMBER(V7:V51),IF(V7:V51&gt;0,IF(Y7:Y51&lt;&gt;"",ROW(V7:V51)-MIN(ROW(V7:V51))+1))),ROW()-ROW(A$54)+1)),",",";"),"
",";"),",",SUBSTITUTE(SUBSTITUTE(INDEX(IF(PURCHASE_DESCRIPTION&lt;&gt;"",PURCHASE_DESCRIPTION&amp;":","")&amp;C7:C51,SMALL(IF(ISNUMBER(V7:V51),IF(V7:V51&gt;0,IF(Y7:Y51&lt;&gt;"",ROW(V7:V51)-MIN(ROW(V7:V51))+1))),ROW()-ROW(A$54)+1)),",",";"),"
",";"),",",SUBSTITUTE(SUBSTITUTE(INDEX(IF(PURCHASE_DESCRIPTION&lt;&gt;"",PURCHASE_DESCRIPTION&amp;":","")&amp;F7:F51,SMALL(IF(ISNUMBER(V7:V51),IF(V7:V51&gt;0,IF(Y7:Y51&lt;&gt;"",ROW(V7:V51)-MIN(ROW(V7:V51))+1))),ROW()-ROW(A$54)+1)),",",";"),"
",";"),",",SUBSTITUTE(SUBSTITUTE(INDEX(IF(PURCHASE_DESCRIPTION&lt;&gt;"",PURCHASE_DESCRIPTION&amp;":","")&amp;D7:D51,SMALL(IF(ISNUMBER(V7:V51),IF(V7:V51&gt;0,IF(Y7:Y51&lt;&gt;"",ROW(V7:V51)-MIN(ROW(V7:V51))+1))),ROW()-ROW(A$54)+1)),",",";"),"
",";")),"")</f>
        <v>0</v>
      </c>
      <c r="AA95">
        <f t="array" ref="AA95">IFERROR(CONCATENATE(TEXT(INDEX(AA7:AA51,SMALL(IF(ISNUMBER(AA7:AA51),IF(AA7:AA51&gt;0,IF(AD7:AD51&lt;&gt;"",ROW(AA7:AA51)-MIN(ROW(AA7:AA51))+1))),ROW()-ROW(A$55)+1)),"##0"),",",SUBSTITUTE(INDEX(IF(PURCHASE_DESCRIPTION&lt;&gt;"",PURCHASE_DESCRIPTION&amp;":","")&amp;A7:A51,SMALL(IF(ISNUMBER(AA7:AA51),IF(AA7:AA51&gt;0,IF(AD7:AD51&lt;&gt;"",ROW(AA7:AA51)-MIN(ROW(AA7:AA51))+1))),ROW()-ROW(A$55)+1)),",",";"),",",SUBSTITUTE(INDEX(IF(PURCHASE_DESCRIPTION&lt;&gt;"",PURCHASE_DESCRIPTION&amp;":","")&amp;E7:E51,SMALL(IF(ISNUMBER(AA7:AA51),IF(AA7:AA51&gt;0,IF(AD7:AD51&lt;&gt;"",ROW(AA7:AA51)-MIN(ROW(AA7:AA51))+1))),ROW()-ROW(A$55)+1)),",",";"),",",INDEX(AD7:AD51,SMALL(IF(ISNUMBER(AA7:AA51),IF(AA7:AA51&gt;0,IF(AD7:AD51&lt;&gt;"",ROW(AA7:AA51)-MIN(ROW(AA7:AA51))+1))),ROW()-ROW(A$55)+1))),"")</f>
        <v>0</v>
      </c>
      <c r="AF95">
        <f t="array" ref="AF95">IFERROR(CONCATENATE(INDEX(AI7:AI51,SMALL(IF(ISNUMBER(AF7:AF51),IF(AF7:AF51&gt;0,IF(AI7:AI51&lt;&gt;"",ROW(AF7:AF51)-MIN(ROW(AF7:AF51))+1))),ROW()-ROW(A$54)+1)),"|",TEXT(INDEX(AF7:AF51,SMALL(IF(ISNUMBER(AF7:AF51),IF(AF7:AF51&gt;0,IF(AI7:AI51&lt;&gt;"",ROW(AF7:AF51)-MIN(ROW(AF7:AF51))+1))),ROW()-ROW(A$54)+1)),"##0"),"|",SUBSTITUTE(SUBSTITUTE(INDEX(IF(PURCHASE_DESCRIPTION&lt;&gt;"",PURCHASE_DESCRIPTION&amp;":","")&amp;A7:A51,SMALL(IF(ISNUMBER(AF7:AF51),IF(AF7:AF51&gt;0,IF(AI7:AI51&lt;&gt;"",ROW(AF7:AF51)-MIN(ROW(AF7:AF51))+1))),ROW()-ROW(A$54)+1)),"|",";")," ","_")),"")</f>
        <v>0</v>
      </c>
      <c r="AK95">
        <f t="array" ref="AK95">IFERROR(CONCATENATE(INDEX(AN7:AN51,SMALL(IF(ISNUMBER(AK7:AK51),IF(AK7:AK51&gt;0,IF(AN7:AN51&lt;&gt;"",ROW(AK7:AK51)-MIN(ROW(AK7:AK51))+1))),ROW()-ROW(A$54)+1)),",",TEXT(INDEX(AK7:AK51,SMALL(IF(ISNUMBER(AK7:AK51),IF(AK7:AK51&gt;0,IF(AN7:AN51&lt;&gt;"",ROW(AK7:AK51)-MIN(ROW(AK7:AK51))+1))),ROW()-ROW(A$54)+1)),"##0"),",",SUBSTITUTE(SUBSTITUTE(INDEX(IF(PURCHASE_DESCRIPTION&lt;&gt;"",PURCHASE_DESCRIPTION&amp;":","")&amp;A7:A51,SMALL(IF(ISNUMBER(AK7:AK51),IF(AK7:AK51&gt;0,IF(AN7:AN51&lt;&gt;"",ROW(AK7:AK51)-MIN(ROW(AK7:AK51))+1))),ROW()-ROW(A$54)+1)),",",";"),"
",";"),",",SUBSTITUTE(SUBSTITUTE(INDEX(IF(PURCHASE_DESCRIPTION&lt;&gt;"",PURCHASE_DESCRIPTION&amp;":","")&amp;C7:C51,SMALL(IF(ISNUMBER(AK7:AK51),IF(AK7:AK51&gt;0,IF(AN7:AN51&lt;&gt;"",ROW(AK7:AK51)-MIN(ROW(AK7:AK51))+1))),ROW()-ROW(A$54)+1)),",",";"),"
",";"),",",SUBSTITUTE(SUBSTITUTE(INDEX(IF(PURCHASE_DESCRIPTION&lt;&gt;"",PURCHASE_DESCRIPTION&amp;":","")&amp;F7:F51,SMALL(IF(ISNUMBER(AK7:AK51),IF(AK7:AK51&gt;0,IF(AN7:AN51&lt;&gt;"",ROW(AK7:AK51)-MIN(ROW(AK7:AK51))+1))),ROW()-ROW(A$54)+1)),",",";"),"
",";"),",",SUBSTITUTE(SUBSTITUTE(INDEX(IF(PURCHASE_DESCRIPTION&lt;&gt;"",PURCHASE_DESCRIPTION&amp;":","")&amp;D7:D51,SMALL(IF(ISNUMBER(AK7:AK51),IF(AK7:AK51&gt;0,IF(AN7:AN51&lt;&gt;"",ROW(AK7:AK51)-MIN(ROW(AK7:AK51))+1))),ROW()-ROW(A$54)+1)),",",";"),"
",";")),"")</f>
        <v>0</v>
      </c>
      <c r="AP95">
        <f t="array" ref="AP95">IFERROR(CONCATENATE(INDEX(AS7:AS51,SMALL(IF(ISNUMBER(AP7:AP51),IF(AP7:AP51&gt;0,IF(AS7:AS51&lt;&gt;"",ROW(AP7:AP51)-MIN(ROW(AP7:AP51))+1))),ROW()-ROW(A$54)+1)),",",TEXT(INDEX(AP7:AP51,SMALL(IF(ISNUMBER(AP7:AP51),IF(AP7:AP51&gt;0,IF(AS7:AS51&lt;&gt;"",ROW(AP7:AP51)-MIN(ROW(AP7:AP51))+1))),ROW()-ROW(A$54)+1)),"##0"),",",,",",,",",,",",INDEX(G7:G51,SMALL(IF(ISNUMBER(AP7:AP51),IF(AP7:AP51&gt;0,IF(AS7:AS51&lt;&gt;"",ROW(AP7:AP51)-MIN(ROW(AP7:AP51))+1))),ROW()-ROW(A$54)+1)),",",SUBSTITUTE(INDEX(IF(PURCHASE_DESCRIPTION&lt;&gt;"",PURCHASE_DESCRIPTION&amp;":","")&amp;A7:A51,SMALL(IF(ISNUMBER(AP7:AP51),IF(AP7:AP51&gt;0,IF(AS7:AS51&lt;&gt;"",ROW(AP7:AP51)-MIN(ROW(AP7:AP51))+1))),ROW()-ROW(A$54)+1)),",",";")),"")</f>
        <v>0</v>
      </c>
      <c r="AU95">
        <f t="array" ref="AU95">IFERROR(CONCATENATE(INDEX(AX7:AX51,SMALL(IF(ISNUMBER(AU7:AU51),IF(AU7:AU51&gt;0,IF(AX7:AX51&lt;&gt;"",ROW(AU7:AU51)-MIN(ROW(AU7:AU51))+1))),ROW()-ROW(A$54)+1))," ",TEXT(INDEX(AU7:AU51,SMALL(IF(ISNUMBER(AU7:AU51),IF(AU7:AU51&gt;0,IF(AX7:AX51&lt;&gt;"",ROW(AU7:AU51)-MIN(ROW(AU7:AU51))+1))),ROW()-ROW(A$54)+1)),"##0")," ",SUBSTITUTE(INDEX(IF(PURCHASE_DESCRIPTION&lt;&gt;"",PURCHASE_DESCRIPTION&amp;":","")&amp;A7:A51,SMALL(IF(ISNUMBER(AU7:AU51),IF(AU7:AU51&gt;0,IF(AX7:AX51&lt;&gt;"",ROW(AU7:AU51)-MIN(ROW(AU7:AU51))+1))),ROW()-ROW(A$54)+1))," ",";")),"")</f>
        <v>0</v>
      </c>
    </row>
    <row r="96" spans="12:47">
      <c r="L96">
        <f t="array" ref="L96">IFERROR(CONCATENATE(INDEX(O7:O51,SMALL(IF(ISNUMBER(L7:L51),IF(L7:L51&gt;0,IF(O7:O51&lt;&gt;"",ROW(L7:L51)-MIN(ROW(L7:L51))+1))),ROW()-ROW(A$54)+1)),",",TEXT(INDEX(L7:L51,SMALL(IF(ISNUMBER(L7:L51),IF(L7:L51&gt;0,IF(O7:O51&lt;&gt;"",ROW(L7:L51)-MIN(ROW(L7:L51))+1))),ROW()-ROW(A$54)+1)),"##0"),",",SUBSTITUTE(INDEX(IF(PURCHASE_DESCRIPTION&lt;&gt;"",PURCHASE_DESCRIPTION&amp;":","")&amp;A7:A51,SMALL(IF(ISNUMBER(L7:L51),IF(L7:L51&gt;0,IF(O7:O51&lt;&gt;"",ROW(L7:L51)-MIN(ROW(L7:L51))+1))),ROW()-ROW(A$54)+1)),",",";")),"")</f>
        <v>0</v>
      </c>
      <c r="Q96">
        <f t="array" ref="Q96">IFERROR(CONCATENATE(TEXT(INDEX(Q7:Q51,SMALL(IF(ISNUMBER(Q7:Q51),IF(Q7:Q51&gt;0,IF(T7:T51&lt;&gt;"",ROW(Q7:Q51)-MIN(ROW(Q7:Q51))+1))),ROW()-ROW(A$54)+1)),"##0"),",",INDEX(T7:T51,SMALL(IF(ISNUMBER(Q7:Q51),IF(Q7:Q51&gt;0,IF(T7:T51&lt;&gt;"",ROW(Q7:Q51)-MIN(ROW(Q7:Q51))+1))),ROW()-ROW(A$54)+1)),",",SUBSTITUTE(INDEX(IF(PURCHASE_DESCRIPTION&lt;&gt;"",PURCHASE_DESCRIPTION&amp;":","")&amp;A7:A51,SMALL(IF(ISNUMBER(Q7:Q51),IF(Q7:Q51&gt;0,IF(T7:T51&lt;&gt;"",ROW(Q7:Q51)-MIN(ROW(Q7:Q51))+1))),ROW()-ROW(A$54)+1)),",",";")),"")</f>
        <v>0</v>
      </c>
      <c r="V96">
        <f t="array" ref="V96">IFERROR(CONCATENATE(INDEX(Y7:Y51,SMALL(IF(ISNUMBER(V7:V51),IF(V7:V51&gt;0,IF(Y7:Y51&lt;&gt;"",ROW(V7:V51)-MIN(ROW(V7:V51))+1))),ROW()-ROW(A$54)+1)),",",TEXT(INDEX(V7:V51,SMALL(IF(ISNUMBER(V7:V51),IF(V7:V51&gt;0,IF(Y7:Y51&lt;&gt;"",ROW(V7:V51)-MIN(ROW(V7:V51))+1))),ROW()-ROW(A$54)+1)),"##0"),",",SUBSTITUTE(SUBSTITUTE(INDEX(IF(PURCHASE_DESCRIPTION&lt;&gt;"",PURCHASE_DESCRIPTION&amp;":","")&amp;A7:A51,SMALL(IF(ISNUMBER(V7:V51),IF(V7:V51&gt;0,IF(Y7:Y51&lt;&gt;"",ROW(V7:V51)-MIN(ROW(V7:V51))+1))),ROW()-ROW(A$54)+1)),",",";"),"
",";"),",",SUBSTITUTE(SUBSTITUTE(INDEX(IF(PURCHASE_DESCRIPTION&lt;&gt;"",PURCHASE_DESCRIPTION&amp;":","")&amp;C7:C51,SMALL(IF(ISNUMBER(V7:V51),IF(V7:V51&gt;0,IF(Y7:Y51&lt;&gt;"",ROW(V7:V51)-MIN(ROW(V7:V51))+1))),ROW()-ROW(A$54)+1)),",",";"),"
",";"),",",SUBSTITUTE(SUBSTITUTE(INDEX(IF(PURCHASE_DESCRIPTION&lt;&gt;"",PURCHASE_DESCRIPTION&amp;":","")&amp;F7:F51,SMALL(IF(ISNUMBER(V7:V51),IF(V7:V51&gt;0,IF(Y7:Y51&lt;&gt;"",ROW(V7:V51)-MIN(ROW(V7:V51))+1))),ROW()-ROW(A$54)+1)),",",";"),"
",";"),",",SUBSTITUTE(SUBSTITUTE(INDEX(IF(PURCHASE_DESCRIPTION&lt;&gt;"",PURCHASE_DESCRIPTION&amp;":","")&amp;D7:D51,SMALL(IF(ISNUMBER(V7:V51),IF(V7:V51&gt;0,IF(Y7:Y51&lt;&gt;"",ROW(V7:V51)-MIN(ROW(V7:V51))+1))),ROW()-ROW(A$54)+1)),",",";"),"
",";")),"")</f>
        <v>0</v>
      </c>
      <c r="AA96">
        <f t="array" ref="AA96">IFERROR(CONCATENATE(TEXT(INDEX(AA7:AA51,SMALL(IF(ISNUMBER(AA7:AA51),IF(AA7:AA51&gt;0,IF(AD7:AD51&lt;&gt;"",ROW(AA7:AA51)-MIN(ROW(AA7:AA51))+1))),ROW()-ROW(A$55)+1)),"##0"),",",SUBSTITUTE(INDEX(IF(PURCHASE_DESCRIPTION&lt;&gt;"",PURCHASE_DESCRIPTION&amp;":","")&amp;A7:A51,SMALL(IF(ISNUMBER(AA7:AA51),IF(AA7:AA51&gt;0,IF(AD7:AD51&lt;&gt;"",ROW(AA7:AA51)-MIN(ROW(AA7:AA51))+1))),ROW()-ROW(A$55)+1)),",",";"),",",SUBSTITUTE(INDEX(IF(PURCHASE_DESCRIPTION&lt;&gt;"",PURCHASE_DESCRIPTION&amp;":","")&amp;E7:E51,SMALL(IF(ISNUMBER(AA7:AA51),IF(AA7:AA51&gt;0,IF(AD7:AD51&lt;&gt;"",ROW(AA7:AA51)-MIN(ROW(AA7:AA51))+1))),ROW()-ROW(A$55)+1)),",",";"),",",INDEX(AD7:AD51,SMALL(IF(ISNUMBER(AA7:AA51),IF(AA7:AA51&gt;0,IF(AD7:AD51&lt;&gt;"",ROW(AA7:AA51)-MIN(ROW(AA7:AA51))+1))),ROW()-ROW(A$55)+1))),"")</f>
        <v>0</v>
      </c>
      <c r="AF96">
        <f t="array" ref="AF96">IFERROR(CONCATENATE(INDEX(AI7:AI51,SMALL(IF(ISNUMBER(AF7:AF51),IF(AF7:AF51&gt;0,IF(AI7:AI51&lt;&gt;"",ROW(AF7:AF51)-MIN(ROW(AF7:AF51))+1))),ROW()-ROW(A$54)+1)),"|",TEXT(INDEX(AF7:AF51,SMALL(IF(ISNUMBER(AF7:AF51),IF(AF7:AF51&gt;0,IF(AI7:AI51&lt;&gt;"",ROW(AF7:AF51)-MIN(ROW(AF7:AF51))+1))),ROW()-ROW(A$54)+1)),"##0"),"|",SUBSTITUTE(SUBSTITUTE(INDEX(IF(PURCHASE_DESCRIPTION&lt;&gt;"",PURCHASE_DESCRIPTION&amp;":","")&amp;A7:A51,SMALL(IF(ISNUMBER(AF7:AF51),IF(AF7:AF51&gt;0,IF(AI7:AI51&lt;&gt;"",ROW(AF7:AF51)-MIN(ROW(AF7:AF51))+1))),ROW()-ROW(A$54)+1)),"|",";")," ","_")),"")</f>
        <v>0</v>
      </c>
      <c r="AK96">
        <f t="array" ref="AK96">IFERROR(CONCATENATE(INDEX(AN7:AN51,SMALL(IF(ISNUMBER(AK7:AK51),IF(AK7:AK51&gt;0,IF(AN7:AN51&lt;&gt;"",ROW(AK7:AK51)-MIN(ROW(AK7:AK51))+1))),ROW()-ROW(A$54)+1)),",",TEXT(INDEX(AK7:AK51,SMALL(IF(ISNUMBER(AK7:AK51),IF(AK7:AK51&gt;0,IF(AN7:AN51&lt;&gt;"",ROW(AK7:AK51)-MIN(ROW(AK7:AK51))+1))),ROW()-ROW(A$54)+1)),"##0"),",",SUBSTITUTE(SUBSTITUTE(INDEX(IF(PURCHASE_DESCRIPTION&lt;&gt;"",PURCHASE_DESCRIPTION&amp;":","")&amp;A7:A51,SMALL(IF(ISNUMBER(AK7:AK51),IF(AK7:AK51&gt;0,IF(AN7:AN51&lt;&gt;"",ROW(AK7:AK51)-MIN(ROW(AK7:AK51))+1))),ROW()-ROW(A$54)+1)),",",";"),"
",";"),",",SUBSTITUTE(SUBSTITUTE(INDEX(IF(PURCHASE_DESCRIPTION&lt;&gt;"",PURCHASE_DESCRIPTION&amp;":","")&amp;C7:C51,SMALL(IF(ISNUMBER(AK7:AK51),IF(AK7:AK51&gt;0,IF(AN7:AN51&lt;&gt;"",ROW(AK7:AK51)-MIN(ROW(AK7:AK51))+1))),ROW()-ROW(A$54)+1)),",",";"),"
",";"),",",SUBSTITUTE(SUBSTITUTE(INDEX(IF(PURCHASE_DESCRIPTION&lt;&gt;"",PURCHASE_DESCRIPTION&amp;":","")&amp;F7:F51,SMALL(IF(ISNUMBER(AK7:AK51),IF(AK7:AK51&gt;0,IF(AN7:AN51&lt;&gt;"",ROW(AK7:AK51)-MIN(ROW(AK7:AK51))+1))),ROW()-ROW(A$54)+1)),",",";"),"
",";"),",",SUBSTITUTE(SUBSTITUTE(INDEX(IF(PURCHASE_DESCRIPTION&lt;&gt;"",PURCHASE_DESCRIPTION&amp;":","")&amp;D7:D51,SMALL(IF(ISNUMBER(AK7:AK51),IF(AK7:AK51&gt;0,IF(AN7:AN51&lt;&gt;"",ROW(AK7:AK51)-MIN(ROW(AK7:AK51))+1))),ROW()-ROW(A$54)+1)),",",";"),"
",";")),"")</f>
        <v>0</v>
      </c>
      <c r="AP96">
        <f t="array" ref="AP96">IFERROR(CONCATENATE(INDEX(AS7:AS51,SMALL(IF(ISNUMBER(AP7:AP51),IF(AP7:AP51&gt;0,IF(AS7:AS51&lt;&gt;"",ROW(AP7:AP51)-MIN(ROW(AP7:AP51))+1))),ROW()-ROW(A$54)+1)),",",TEXT(INDEX(AP7:AP51,SMALL(IF(ISNUMBER(AP7:AP51),IF(AP7:AP51&gt;0,IF(AS7:AS51&lt;&gt;"",ROW(AP7:AP51)-MIN(ROW(AP7:AP51))+1))),ROW()-ROW(A$54)+1)),"##0"),",",,",",,",",,",",INDEX(G7:G51,SMALL(IF(ISNUMBER(AP7:AP51),IF(AP7:AP51&gt;0,IF(AS7:AS51&lt;&gt;"",ROW(AP7:AP51)-MIN(ROW(AP7:AP51))+1))),ROW()-ROW(A$54)+1)),",",SUBSTITUTE(INDEX(IF(PURCHASE_DESCRIPTION&lt;&gt;"",PURCHASE_DESCRIPTION&amp;":","")&amp;A7:A51,SMALL(IF(ISNUMBER(AP7:AP51),IF(AP7:AP51&gt;0,IF(AS7:AS51&lt;&gt;"",ROW(AP7:AP51)-MIN(ROW(AP7:AP51))+1))),ROW()-ROW(A$54)+1)),",",";")),"")</f>
        <v>0</v>
      </c>
      <c r="AU96">
        <f t="array" ref="AU96">IFERROR(CONCATENATE(INDEX(AX7:AX51,SMALL(IF(ISNUMBER(AU7:AU51),IF(AU7:AU51&gt;0,IF(AX7:AX51&lt;&gt;"",ROW(AU7:AU51)-MIN(ROW(AU7:AU51))+1))),ROW()-ROW(A$54)+1))," ",TEXT(INDEX(AU7:AU51,SMALL(IF(ISNUMBER(AU7:AU51),IF(AU7:AU51&gt;0,IF(AX7:AX51&lt;&gt;"",ROW(AU7:AU51)-MIN(ROW(AU7:AU51))+1))),ROW()-ROW(A$54)+1)),"##0")," ",SUBSTITUTE(INDEX(IF(PURCHASE_DESCRIPTION&lt;&gt;"",PURCHASE_DESCRIPTION&amp;":","")&amp;A7:A51,SMALL(IF(ISNUMBER(AU7:AU51),IF(AU7:AU51&gt;0,IF(AX7:AX51&lt;&gt;"",ROW(AU7:AU51)-MIN(ROW(AU7:AU51))+1))),ROW()-ROW(A$54)+1))," ",";")),"")</f>
        <v>0</v>
      </c>
    </row>
    <row r="97" spans="12:47">
      <c r="L97">
        <f t="array" ref="L97">IFERROR(CONCATENATE(INDEX(O7:O51,SMALL(IF(ISNUMBER(L7:L51),IF(L7:L51&gt;0,IF(O7:O51&lt;&gt;"",ROW(L7:L51)-MIN(ROW(L7:L51))+1))),ROW()-ROW(A$54)+1)),",",TEXT(INDEX(L7:L51,SMALL(IF(ISNUMBER(L7:L51),IF(L7:L51&gt;0,IF(O7:O51&lt;&gt;"",ROW(L7:L51)-MIN(ROW(L7:L51))+1))),ROW()-ROW(A$54)+1)),"##0"),",",SUBSTITUTE(INDEX(IF(PURCHASE_DESCRIPTION&lt;&gt;"",PURCHASE_DESCRIPTION&amp;":","")&amp;A7:A51,SMALL(IF(ISNUMBER(L7:L51),IF(L7:L51&gt;0,IF(O7:O51&lt;&gt;"",ROW(L7:L51)-MIN(ROW(L7:L51))+1))),ROW()-ROW(A$54)+1)),",",";")),"")</f>
        <v>0</v>
      </c>
      <c r="Q97">
        <f t="array" ref="Q97">IFERROR(CONCATENATE(TEXT(INDEX(Q7:Q51,SMALL(IF(ISNUMBER(Q7:Q51),IF(Q7:Q51&gt;0,IF(T7:T51&lt;&gt;"",ROW(Q7:Q51)-MIN(ROW(Q7:Q51))+1))),ROW()-ROW(A$54)+1)),"##0"),",",INDEX(T7:T51,SMALL(IF(ISNUMBER(Q7:Q51),IF(Q7:Q51&gt;0,IF(T7:T51&lt;&gt;"",ROW(Q7:Q51)-MIN(ROW(Q7:Q51))+1))),ROW()-ROW(A$54)+1)),",",SUBSTITUTE(INDEX(IF(PURCHASE_DESCRIPTION&lt;&gt;"",PURCHASE_DESCRIPTION&amp;":","")&amp;A7:A51,SMALL(IF(ISNUMBER(Q7:Q51),IF(Q7:Q51&gt;0,IF(T7:T51&lt;&gt;"",ROW(Q7:Q51)-MIN(ROW(Q7:Q51))+1))),ROW()-ROW(A$54)+1)),",",";")),"")</f>
        <v>0</v>
      </c>
      <c r="V97">
        <f t="array" ref="V97">IFERROR(CONCATENATE(INDEX(Y7:Y51,SMALL(IF(ISNUMBER(V7:V51),IF(V7:V51&gt;0,IF(Y7:Y51&lt;&gt;"",ROW(V7:V51)-MIN(ROW(V7:V51))+1))),ROW()-ROW(A$54)+1)),",",TEXT(INDEX(V7:V51,SMALL(IF(ISNUMBER(V7:V51),IF(V7:V51&gt;0,IF(Y7:Y51&lt;&gt;"",ROW(V7:V51)-MIN(ROW(V7:V51))+1))),ROW()-ROW(A$54)+1)),"##0"),",",SUBSTITUTE(SUBSTITUTE(INDEX(IF(PURCHASE_DESCRIPTION&lt;&gt;"",PURCHASE_DESCRIPTION&amp;":","")&amp;A7:A51,SMALL(IF(ISNUMBER(V7:V51),IF(V7:V51&gt;0,IF(Y7:Y51&lt;&gt;"",ROW(V7:V51)-MIN(ROW(V7:V51))+1))),ROW()-ROW(A$54)+1)),",",";"),"
",";"),",",SUBSTITUTE(SUBSTITUTE(INDEX(IF(PURCHASE_DESCRIPTION&lt;&gt;"",PURCHASE_DESCRIPTION&amp;":","")&amp;C7:C51,SMALL(IF(ISNUMBER(V7:V51),IF(V7:V51&gt;0,IF(Y7:Y51&lt;&gt;"",ROW(V7:V51)-MIN(ROW(V7:V51))+1))),ROW()-ROW(A$54)+1)),",",";"),"
",";"),",",SUBSTITUTE(SUBSTITUTE(INDEX(IF(PURCHASE_DESCRIPTION&lt;&gt;"",PURCHASE_DESCRIPTION&amp;":","")&amp;F7:F51,SMALL(IF(ISNUMBER(V7:V51),IF(V7:V51&gt;0,IF(Y7:Y51&lt;&gt;"",ROW(V7:V51)-MIN(ROW(V7:V51))+1))),ROW()-ROW(A$54)+1)),",",";"),"
",";"),",",SUBSTITUTE(SUBSTITUTE(INDEX(IF(PURCHASE_DESCRIPTION&lt;&gt;"",PURCHASE_DESCRIPTION&amp;":","")&amp;D7:D51,SMALL(IF(ISNUMBER(V7:V51),IF(V7:V51&gt;0,IF(Y7:Y51&lt;&gt;"",ROW(V7:V51)-MIN(ROW(V7:V51))+1))),ROW()-ROW(A$54)+1)),",",";"),"
",";")),"")</f>
        <v>0</v>
      </c>
      <c r="AA97">
        <f t="array" ref="AA97">IFERROR(CONCATENATE(TEXT(INDEX(AA7:AA51,SMALL(IF(ISNUMBER(AA7:AA51),IF(AA7:AA51&gt;0,IF(AD7:AD51&lt;&gt;"",ROW(AA7:AA51)-MIN(ROW(AA7:AA51))+1))),ROW()-ROW(A$55)+1)),"##0"),",",SUBSTITUTE(INDEX(IF(PURCHASE_DESCRIPTION&lt;&gt;"",PURCHASE_DESCRIPTION&amp;":","")&amp;A7:A51,SMALL(IF(ISNUMBER(AA7:AA51),IF(AA7:AA51&gt;0,IF(AD7:AD51&lt;&gt;"",ROW(AA7:AA51)-MIN(ROW(AA7:AA51))+1))),ROW()-ROW(A$55)+1)),",",";"),",",SUBSTITUTE(INDEX(IF(PURCHASE_DESCRIPTION&lt;&gt;"",PURCHASE_DESCRIPTION&amp;":","")&amp;E7:E51,SMALL(IF(ISNUMBER(AA7:AA51),IF(AA7:AA51&gt;0,IF(AD7:AD51&lt;&gt;"",ROW(AA7:AA51)-MIN(ROW(AA7:AA51))+1))),ROW()-ROW(A$55)+1)),",",";"),",",INDEX(AD7:AD51,SMALL(IF(ISNUMBER(AA7:AA51),IF(AA7:AA51&gt;0,IF(AD7:AD51&lt;&gt;"",ROW(AA7:AA51)-MIN(ROW(AA7:AA51))+1))),ROW()-ROW(A$55)+1))),"")</f>
        <v>0</v>
      </c>
      <c r="AF97">
        <f t="array" ref="AF97">IFERROR(CONCATENATE(INDEX(AI7:AI51,SMALL(IF(ISNUMBER(AF7:AF51),IF(AF7:AF51&gt;0,IF(AI7:AI51&lt;&gt;"",ROW(AF7:AF51)-MIN(ROW(AF7:AF51))+1))),ROW()-ROW(A$54)+1)),"|",TEXT(INDEX(AF7:AF51,SMALL(IF(ISNUMBER(AF7:AF51),IF(AF7:AF51&gt;0,IF(AI7:AI51&lt;&gt;"",ROW(AF7:AF51)-MIN(ROW(AF7:AF51))+1))),ROW()-ROW(A$54)+1)),"##0"),"|",SUBSTITUTE(SUBSTITUTE(INDEX(IF(PURCHASE_DESCRIPTION&lt;&gt;"",PURCHASE_DESCRIPTION&amp;":","")&amp;A7:A51,SMALL(IF(ISNUMBER(AF7:AF51),IF(AF7:AF51&gt;0,IF(AI7:AI51&lt;&gt;"",ROW(AF7:AF51)-MIN(ROW(AF7:AF51))+1))),ROW()-ROW(A$54)+1)),"|",";")," ","_")),"")</f>
        <v>0</v>
      </c>
      <c r="AK97">
        <f t="array" ref="AK97">IFERROR(CONCATENATE(INDEX(AN7:AN51,SMALL(IF(ISNUMBER(AK7:AK51),IF(AK7:AK51&gt;0,IF(AN7:AN51&lt;&gt;"",ROW(AK7:AK51)-MIN(ROW(AK7:AK51))+1))),ROW()-ROW(A$54)+1)),",",TEXT(INDEX(AK7:AK51,SMALL(IF(ISNUMBER(AK7:AK51),IF(AK7:AK51&gt;0,IF(AN7:AN51&lt;&gt;"",ROW(AK7:AK51)-MIN(ROW(AK7:AK51))+1))),ROW()-ROW(A$54)+1)),"##0"),",",SUBSTITUTE(SUBSTITUTE(INDEX(IF(PURCHASE_DESCRIPTION&lt;&gt;"",PURCHASE_DESCRIPTION&amp;":","")&amp;A7:A51,SMALL(IF(ISNUMBER(AK7:AK51),IF(AK7:AK51&gt;0,IF(AN7:AN51&lt;&gt;"",ROW(AK7:AK51)-MIN(ROW(AK7:AK51))+1))),ROW()-ROW(A$54)+1)),",",";"),"
",";"),",",SUBSTITUTE(SUBSTITUTE(INDEX(IF(PURCHASE_DESCRIPTION&lt;&gt;"",PURCHASE_DESCRIPTION&amp;":","")&amp;C7:C51,SMALL(IF(ISNUMBER(AK7:AK51),IF(AK7:AK51&gt;0,IF(AN7:AN51&lt;&gt;"",ROW(AK7:AK51)-MIN(ROW(AK7:AK51))+1))),ROW()-ROW(A$54)+1)),",",";"),"
",";"),",",SUBSTITUTE(SUBSTITUTE(INDEX(IF(PURCHASE_DESCRIPTION&lt;&gt;"",PURCHASE_DESCRIPTION&amp;":","")&amp;F7:F51,SMALL(IF(ISNUMBER(AK7:AK51),IF(AK7:AK51&gt;0,IF(AN7:AN51&lt;&gt;"",ROW(AK7:AK51)-MIN(ROW(AK7:AK51))+1))),ROW()-ROW(A$54)+1)),",",";"),"
",";"),",",SUBSTITUTE(SUBSTITUTE(INDEX(IF(PURCHASE_DESCRIPTION&lt;&gt;"",PURCHASE_DESCRIPTION&amp;":","")&amp;D7:D51,SMALL(IF(ISNUMBER(AK7:AK51),IF(AK7:AK51&gt;0,IF(AN7:AN51&lt;&gt;"",ROW(AK7:AK51)-MIN(ROW(AK7:AK51))+1))),ROW()-ROW(A$54)+1)),",",";"),"
",";")),"")</f>
        <v>0</v>
      </c>
      <c r="AP97">
        <f t="array" ref="AP97">IFERROR(CONCATENATE(INDEX(AS7:AS51,SMALL(IF(ISNUMBER(AP7:AP51),IF(AP7:AP51&gt;0,IF(AS7:AS51&lt;&gt;"",ROW(AP7:AP51)-MIN(ROW(AP7:AP51))+1))),ROW()-ROW(A$54)+1)),",",TEXT(INDEX(AP7:AP51,SMALL(IF(ISNUMBER(AP7:AP51),IF(AP7:AP51&gt;0,IF(AS7:AS51&lt;&gt;"",ROW(AP7:AP51)-MIN(ROW(AP7:AP51))+1))),ROW()-ROW(A$54)+1)),"##0"),",",,",",,",",,",",INDEX(G7:G51,SMALL(IF(ISNUMBER(AP7:AP51),IF(AP7:AP51&gt;0,IF(AS7:AS51&lt;&gt;"",ROW(AP7:AP51)-MIN(ROW(AP7:AP51))+1))),ROW()-ROW(A$54)+1)),",",SUBSTITUTE(INDEX(IF(PURCHASE_DESCRIPTION&lt;&gt;"",PURCHASE_DESCRIPTION&amp;":","")&amp;A7:A51,SMALL(IF(ISNUMBER(AP7:AP51),IF(AP7:AP51&gt;0,IF(AS7:AS51&lt;&gt;"",ROW(AP7:AP51)-MIN(ROW(AP7:AP51))+1))),ROW()-ROW(A$54)+1)),",",";")),"")</f>
        <v>0</v>
      </c>
      <c r="AU97">
        <f t="array" ref="AU97">IFERROR(CONCATENATE(INDEX(AX7:AX51,SMALL(IF(ISNUMBER(AU7:AU51),IF(AU7:AU51&gt;0,IF(AX7:AX51&lt;&gt;"",ROW(AU7:AU51)-MIN(ROW(AU7:AU51))+1))),ROW()-ROW(A$54)+1))," ",TEXT(INDEX(AU7:AU51,SMALL(IF(ISNUMBER(AU7:AU51),IF(AU7:AU51&gt;0,IF(AX7:AX51&lt;&gt;"",ROW(AU7:AU51)-MIN(ROW(AU7:AU51))+1))),ROW()-ROW(A$54)+1)),"##0")," ",SUBSTITUTE(INDEX(IF(PURCHASE_DESCRIPTION&lt;&gt;"",PURCHASE_DESCRIPTION&amp;":","")&amp;A7:A51,SMALL(IF(ISNUMBER(AU7:AU51),IF(AU7:AU51&gt;0,IF(AX7:AX51&lt;&gt;"",ROW(AU7:AU51)-MIN(ROW(AU7:AU51))+1))),ROW()-ROW(A$54)+1))," ",";")),"")</f>
        <v>0</v>
      </c>
    </row>
    <row r="98" spans="12:47">
      <c r="L98">
        <f t="array" ref="L98">IFERROR(CONCATENATE(INDEX(O7:O51,SMALL(IF(ISNUMBER(L7:L51),IF(L7:L51&gt;0,IF(O7:O51&lt;&gt;"",ROW(L7:L51)-MIN(ROW(L7:L51))+1))),ROW()-ROW(A$54)+1)),",",TEXT(INDEX(L7:L51,SMALL(IF(ISNUMBER(L7:L51),IF(L7:L51&gt;0,IF(O7:O51&lt;&gt;"",ROW(L7:L51)-MIN(ROW(L7:L51))+1))),ROW()-ROW(A$54)+1)),"##0"),",",SUBSTITUTE(INDEX(IF(PURCHASE_DESCRIPTION&lt;&gt;"",PURCHASE_DESCRIPTION&amp;":","")&amp;A7:A51,SMALL(IF(ISNUMBER(L7:L51),IF(L7:L51&gt;0,IF(O7:O51&lt;&gt;"",ROW(L7:L51)-MIN(ROW(L7:L51))+1))),ROW()-ROW(A$54)+1)),",",";")),"")</f>
        <v>0</v>
      </c>
      <c r="Q98">
        <f t="array" ref="Q98">IFERROR(CONCATENATE(TEXT(INDEX(Q7:Q51,SMALL(IF(ISNUMBER(Q7:Q51),IF(Q7:Q51&gt;0,IF(T7:T51&lt;&gt;"",ROW(Q7:Q51)-MIN(ROW(Q7:Q51))+1))),ROW()-ROW(A$54)+1)),"##0"),",",INDEX(T7:T51,SMALL(IF(ISNUMBER(Q7:Q51),IF(Q7:Q51&gt;0,IF(T7:T51&lt;&gt;"",ROW(Q7:Q51)-MIN(ROW(Q7:Q51))+1))),ROW()-ROW(A$54)+1)),",",SUBSTITUTE(INDEX(IF(PURCHASE_DESCRIPTION&lt;&gt;"",PURCHASE_DESCRIPTION&amp;":","")&amp;A7:A51,SMALL(IF(ISNUMBER(Q7:Q51),IF(Q7:Q51&gt;0,IF(T7:T51&lt;&gt;"",ROW(Q7:Q51)-MIN(ROW(Q7:Q51))+1))),ROW()-ROW(A$54)+1)),",",";")),"")</f>
        <v>0</v>
      </c>
      <c r="V98">
        <f t="array" ref="V98">IFERROR(CONCATENATE(INDEX(Y7:Y51,SMALL(IF(ISNUMBER(V7:V51),IF(V7:V51&gt;0,IF(Y7:Y51&lt;&gt;"",ROW(V7:V51)-MIN(ROW(V7:V51))+1))),ROW()-ROW(A$54)+1)),",",TEXT(INDEX(V7:V51,SMALL(IF(ISNUMBER(V7:V51),IF(V7:V51&gt;0,IF(Y7:Y51&lt;&gt;"",ROW(V7:V51)-MIN(ROW(V7:V51))+1))),ROW()-ROW(A$54)+1)),"##0"),",",SUBSTITUTE(SUBSTITUTE(INDEX(IF(PURCHASE_DESCRIPTION&lt;&gt;"",PURCHASE_DESCRIPTION&amp;":","")&amp;A7:A51,SMALL(IF(ISNUMBER(V7:V51),IF(V7:V51&gt;0,IF(Y7:Y51&lt;&gt;"",ROW(V7:V51)-MIN(ROW(V7:V51))+1))),ROW()-ROW(A$54)+1)),",",";"),"
",";"),",",SUBSTITUTE(SUBSTITUTE(INDEX(IF(PURCHASE_DESCRIPTION&lt;&gt;"",PURCHASE_DESCRIPTION&amp;":","")&amp;C7:C51,SMALL(IF(ISNUMBER(V7:V51),IF(V7:V51&gt;0,IF(Y7:Y51&lt;&gt;"",ROW(V7:V51)-MIN(ROW(V7:V51))+1))),ROW()-ROW(A$54)+1)),",",";"),"
",";"),",",SUBSTITUTE(SUBSTITUTE(INDEX(IF(PURCHASE_DESCRIPTION&lt;&gt;"",PURCHASE_DESCRIPTION&amp;":","")&amp;F7:F51,SMALL(IF(ISNUMBER(V7:V51),IF(V7:V51&gt;0,IF(Y7:Y51&lt;&gt;"",ROW(V7:V51)-MIN(ROW(V7:V51))+1))),ROW()-ROW(A$54)+1)),",",";"),"
",";"),",",SUBSTITUTE(SUBSTITUTE(INDEX(IF(PURCHASE_DESCRIPTION&lt;&gt;"",PURCHASE_DESCRIPTION&amp;":","")&amp;D7:D51,SMALL(IF(ISNUMBER(V7:V51),IF(V7:V51&gt;0,IF(Y7:Y51&lt;&gt;"",ROW(V7:V51)-MIN(ROW(V7:V51))+1))),ROW()-ROW(A$54)+1)),",",";"),"
",";")),"")</f>
        <v>0</v>
      </c>
      <c r="AA98">
        <f t="array" ref="AA98">IFERROR(CONCATENATE(TEXT(INDEX(AA7:AA51,SMALL(IF(ISNUMBER(AA7:AA51),IF(AA7:AA51&gt;0,IF(AD7:AD51&lt;&gt;"",ROW(AA7:AA51)-MIN(ROW(AA7:AA51))+1))),ROW()-ROW(A$55)+1)),"##0"),",",SUBSTITUTE(INDEX(IF(PURCHASE_DESCRIPTION&lt;&gt;"",PURCHASE_DESCRIPTION&amp;":","")&amp;A7:A51,SMALL(IF(ISNUMBER(AA7:AA51),IF(AA7:AA51&gt;0,IF(AD7:AD51&lt;&gt;"",ROW(AA7:AA51)-MIN(ROW(AA7:AA51))+1))),ROW()-ROW(A$55)+1)),",",";"),",",SUBSTITUTE(INDEX(IF(PURCHASE_DESCRIPTION&lt;&gt;"",PURCHASE_DESCRIPTION&amp;":","")&amp;E7:E51,SMALL(IF(ISNUMBER(AA7:AA51),IF(AA7:AA51&gt;0,IF(AD7:AD51&lt;&gt;"",ROW(AA7:AA51)-MIN(ROW(AA7:AA51))+1))),ROW()-ROW(A$55)+1)),",",";"),",",INDEX(AD7:AD51,SMALL(IF(ISNUMBER(AA7:AA51),IF(AA7:AA51&gt;0,IF(AD7:AD51&lt;&gt;"",ROW(AA7:AA51)-MIN(ROW(AA7:AA51))+1))),ROW()-ROW(A$55)+1))),"")</f>
        <v>0</v>
      </c>
      <c r="AF98">
        <f t="array" ref="AF98">IFERROR(CONCATENATE(INDEX(AI7:AI51,SMALL(IF(ISNUMBER(AF7:AF51),IF(AF7:AF51&gt;0,IF(AI7:AI51&lt;&gt;"",ROW(AF7:AF51)-MIN(ROW(AF7:AF51))+1))),ROW()-ROW(A$54)+1)),"|",TEXT(INDEX(AF7:AF51,SMALL(IF(ISNUMBER(AF7:AF51),IF(AF7:AF51&gt;0,IF(AI7:AI51&lt;&gt;"",ROW(AF7:AF51)-MIN(ROW(AF7:AF51))+1))),ROW()-ROW(A$54)+1)),"##0"),"|",SUBSTITUTE(SUBSTITUTE(INDEX(IF(PURCHASE_DESCRIPTION&lt;&gt;"",PURCHASE_DESCRIPTION&amp;":","")&amp;A7:A51,SMALL(IF(ISNUMBER(AF7:AF51),IF(AF7:AF51&gt;0,IF(AI7:AI51&lt;&gt;"",ROW(AF7:AF51)-MIN(ROW(AF7:AF51))+1))),ROW()-ROW(A$54)+1)),"|",";")," ","_")),"")</f>
        <v>0</v>
      </c>
      <c r="AK98">
        <f t="array" ref="AK98">IFERROR(CONCATENATE(INDEX(AN7:AN51,SMALL(IF(ISNUMBER(AK7:AK51),IF(AK7:AK51&gt;0,IF(AN7:AN51&lt;&gt;"",ROW(AK7:AK51)-MIN(ROW(AK7:AK51))+1))),ROW()-ROW(A$54)+1)),",",TEXT(INDEX(AK7:AK51,SMALL(IF(ISNUMBER(AK7:AK51),IF(AK7:AK51&gt;0,IF(AN7:AN51&lt;&gt;"",ROW(AK7:AK51)-MIN(ROW(AK7:AK51))+1))),ROW()-ROW(A$54)+1)),"##0"),",",SUBSTITUTE(SUBSTITUTE(INDEX(IF(PURCHASE_DESCRIPTION&lt;&gt;"",PURCHASE_DESCRIPTION&amp;":","")&amp;A7:A51,SMALL(IF(ISNUMBER(AK7:AK51),IF(AK7:AK51&gt;0,IF(AN7:AN51&lt;&gt;"",ROW(AK7:AK51)-MIN(ROW(AK7:AK51))+1))),ROW()-ROW(A$54)+1)),",",";"),"
",";"),",",SUBSTITUTE(SUBSTITUTE(INDEX(IF(PURCHASE_DESCRIPTION&lt;&gt;"",PURCHASE_DESCRIPTION&amp;":","")&amp;C7:C51,SMALL(IF(ISNUMBER(AK7:AK51),IF(AK7:AK51&gt;0,IF(AN7:AN51&lt;&gt;"",ROW(AK7:AK51)-MIN(ROW(AK7:AK51))+1))),ROW()-ROW(A$54)+1)),",",";"),"
",";"),",",SUBSTITUTE(SUBSTITUTE(INDEX(IF(PURCHASE_DESCRIPTION&lt;&gt;"",PURCHASE_DESCRIPTION&amp;":","")&amp;F7:F51,SMALL(IF(ISNUMBER(AK7:AK51),IF(AK7:AK51&gt;0,IF(AN7:AN51&lt;&gt;"",ROW(AK7:AK51)-MIN(ROW(AK7:AK51))+1))),ROW()-ROW(A$54)+1)),",",";"),"
",";"),",",SUBSTITUTE(SUBSTITUTE(INDEX(IF(PURCHASE_DESCRIPTION&lt;&gt;"",PURCHASE_DESCRIPTION&amp;":","")&amp;D7:D51,SMALL(IF(ISNUMBER(AK7:AK51),IF(AK7:AK51&gt;0,IF(AN7:AN51&lt;&gt;"",ROW(AK7:AK51)-MIN(ROW(AK7:AK51))+1))),ROW()-ROW(A$54)+1)),",",";"),"
",";")),"")</f>
        <v>0</v>
      </c>
      <c r="AP98">
        <f t="array" ref="AP98">IFERROR(CONCATENATE(INDEX(AS7:AS51,SMALL(IF(ISNUMBER(AP7:AP51),IF(AP7:AP51&gt;0,IF(AS7:AS51&lt;&gt;"",ROW(AP7:AP51)-MIN(ROW(AP7:AP51))+1))),ROW()-ROW(A$54)+1)),",",TEXT(INDEX(AP7:AP51,SMALL(IF(ISNUMBER(AP7:AP51),IF(AP7:AP51&gt;0,IF(AS7:AS51&lt;&gt;"",ROW(AP7:AP51)-MIN(ROW(AP7:AP51))+1))),ROW()-ROW(A$54)+1)),"##0"),",",,",",,",",,",",INDEX(G7:G51,SMALL(IF(ISNUMBER(AP7:AP51),IF(AP7:AP51&gt;0,IF(AS7:AS51&lt;&gt;"",ROW(AP7:AP51)-MIN(ROW(AP7:AP51))+1))),ROW()-ROW(A$54)+1)),",",SUBSTITUTE(INDEX(IF(PURCHASE_DESCRIPTION&lt;&gt;"",PURCHASE_DESCRIPTION&amp;":","")&amp;A7:A51,SMALL(IF(ISNUMBER(AP7:AP51),IF(AP7:AP51&gt;0,IF(AS7:AS51&lt;&gt;"",ROW(AP7:AP51)-MIN(ROW(AP7:AP51))+1))),ROW()-ROW(A$54)+1)),",",";")),"")</f>
        <v>0</v>
      </c>
      <c r="AU98">
        <f t="array" ref="AU98">IFERROR(CONCATENATE(INDEX(AX7:AX51,SMALL(IF(ISNUMBER(AU7:AU51),IF(AU7:AU51&gt;0,IF(AX7:AX51&lt;&gt;"",ROW(AU7:AU51)-MIN(ROW(AU7:AU51))+1))),ROW()-ROW(A$54)+1))," ",TEXT(INDEX(AU7:AU51,SMALL(IF(ISNUMBER(AU7:AU51),IF(AU7:AU51&gt;0,IF(AX7:AX51&lt;&gt;"",ROW(AU7:AU51)-MIN(ROW(AU7:AU51))+1))),ROW()-ROW(A$54)+1)),"##0")," ",SUBSTITUTE(INDEX(IF(PURCHASE_DESCRIPTION&lt;&gt;"",PURCHASE_DESCRIPTION&amp;":","")&amp;A7:A51,SMALL(IF(ISNUMBER(AU7:AU51),IF(AU7:AU51&gt;0,IF(AX7:AX51&lt;&gt;"",ROW(AU7:AU51)-MIN(ROW(AU7:AU51))+1))),ROW()-ROW(A$54)+1))," ",";")),"")</f>
        <v>0</v>
      </c>
    </row>
    <row r="99" spans="12:47">
      <c r="AA99">
        <f t="array" ref="AA99">IFERROR(CONCATENATE(TEXT(INDEX(AA7:AA51,SMALL(IF(ISNUMBER(AA7:AA51),IF(AA7:AA51&gt;0,IF(AD7:AD51&lt;&gt;"",ROW(AA7:AA51)-MIN(ROW(AA7:AA51))+1))),ROW()-ROW(A$55)+1)),"##0"),",",SUBSTITUTE(INDEX(IF(PURCHASE_DESCRIPTION&lt;&gt;"",PURCHASE_DESCRIPTION&amp;":","")&amp;A7:A51,SMALL(IF(ISNUMBER(AA7:AA51),IF(AA7:AA51&gt;0,IF(AD7:AD51&lt;&gt;"",ROW(AA7:AA51)-MIN(ROW(AA7:AA51))+1))),ROW()-ROW(A$55)+1)),",",";"),",",SUBSTITUTE(INDEX(IF(PURCHASE_DESCRIPTION&lt;&gt;"",PURCHASE_DESCRIPTION&amp;":","")&amp;E7:E51,SMALL(IF(ISNUMBER(AA7:AA51),IF(AA7:AA51&gt;0,IF(AD7:AD51&lt;&gt;"",ROW(AA7:AA51)-MIN(ROW(AA7:AA51))+1))),ROW()-ROW(A$55)+1)),",",";"),",",INDEX(AD7:AD51,SMALL(IF(ISNUMBER(AA7:AA51),IF(AA7:AA51&gt;0,IF(AD7:AD51&lt;&gt;"",ROW(AA7:AA51)-MIN(ROW(AA7:AA51))+1))),ROW()-ROW(A$55)+1))),"")</f>
        <v>0</v>
      </c>
    </row>
  </sheetData>
  <mergeCells count="9">
    <mergeCell ref="A5:J5"/>
    <mergeCell ref="K5:O5"/>
    <mergeCell ref="P5:T5"/>
    <mergeCell ref="U5:Y5"/>
    <mergeCell ref="Z5:AD5"/>
    <mergeCell ref="AE5:AI5"/>
    <mergeCell ref="AJ5:AN5"/>
    <mergeCell ref="AO5:AS5"/>
    <mergeCell ref="AT5:AX5"/>
  </mergeCells>
  <conditionalFormatting sqref="AA11">
    <cfRule type="expression" dxfId="3" priority="611">
      <formula>AND(AA11&gt;0,AA11&lt;5)</formula>
    </cfRule>
    <cfRule type="cellIs" dxfId="1" priority="612" operator="greaterThan">
      <formula>Z11</formula>
    </cfRule>
  </conditionalFormatting>
  <conditionalFormatting sqref="AA12">
    <cfRule type="expression" dxfId="3" priority="617">
      <formula>AND(AA12&gt;0,AA12&lt;100)</formula>
    </cfRule>
    <cfRule type="cellIs" dxfId="1" priority="618" operator="greaterThan">
      <formula>Z12</formula>
    </cfRule>
  </conditionalFormatting>
  <conditionalFormatting sqref="AA13">
    <cfRule type="expression" dxfId="3" priority="623">
      <formula>AND(AA13&gt;0,AA13&lt;50)</formula>
    </cfRule>
    <cfRule type="cellIs" dxfId="1" priority="624" operator="greaterThan">
      <formula>Z13</formula>
    </cfRule>
  </conditionalFormatting>
  <conditionalFormatting sqref="AA14">
    <cfRule type="expression" dxfId="3" priority="629">
      <formula>AND(AA14&gt;0,AA14&lt;10)</formula>
    </cfRule>
    <cfRule type="cellIs" dxfId="1" priority="630" operator="greaterThan">
      <formula>Z14</formula>
    </cfRule>
  </conditionalFormatting>
  <conditionalFormatting sqref="AA20">
    <cfRule type="expression" dxfId="3" priority="635">
      <formula>AND(AA20&gt;0,AA20&lt;50)</formula>
    </cfRule>
    <cfRule type="cellIs" dxfId="1" priority="636" operator="greaterThan">
      <formula>Z20</formula>
    </cfRule>
  </conditionalFormatting>
  <conditionalFormatting sqref="AA27">
    <cfRule type="expression" dxfId="3" priority="641">
      <formula>AND(AA27&gt;0,AA27&lt;50)</formula>
    </cfRule>
    <cfRule type="cellIs" dxfId="1" priority="642" operator="greaterThan">
      <formula>Z27</formula>
    </cfRule>
  </conditionalFormatting>
  <conditionalFormatting sqref="AA29">
    <cfRule type="expression" dxfId="3" priority="647">
      <formula>AND(AA29&gt;0,AA29&lt;50)</formula>
    </cfRule>
    <cfRule type="cellIs" dxfId="1" priority="648" operator="greaterThan">
      <formula>Z29</formula>
    </cfRule>
  </conditionalFormatting>
  <conditionalFormatting sqref="AA31">
    <cfRule type="expression" dxfId="3" priority="653">
      <formula>AND(AA31&gt;0,AA31&lt;50)</formula>
    </cfRule>
    <cfRule type="cellIs" dxfId="1" priority="654" operator="greaterThan">
      <formula>Z31</formula>
    </cfRule>
  </conditionalFormatting>
  <conditionalFormatting sqref="AA34">
    <cfRule type="expression" dxfId="3" priority="659">
      <formula>AND(AA34&gt;0,AA34&lt;50)</formula>
    </cfRule>
    <cfRule type="cellIs" dxfId="1" priority="660" operator="greaterThan">
      <formula>Z34</formula>
    </cfRule>
  </conditionalFormatting>
  <conditionalFormatting sqref="AA35">
    <cfRule type="cellIs" dxfId="1" priority="665" operator="greaterThan">
      <formula>Z35</formula>
    </cfRule>
  </conditionalFormatting>
  <conditionalFormatting sqref="AA36">
    <cfRule type="cellIs" dxfId="1" priority="670" operator="greaterThan">
      <formula>Z36</formula>
    </cfRule>
  </conditionalFormatting>
  <conditionalFormatting sqref="AA51">
    <cfRule type="cellIs" dxfId="1" priority="675" operator="greaterThan">
      <formula>Z51</formula>
    </cfRule>
  </conditionalFormatting>
  <conditionalFormatting sqref="AA8">
    <cfRule type="expression" dxfId="3" priority="599">
      <formula>AND(AA8&gt;0,AA8&lt;5)</formula>
    </cfRule>
    <cfRule type="cellIs" dxfId="1" priority="600" operator="greaterThan">
      <formula>Z8</formula>
    </cfRule>
  </conditionalFormatting>
  <conditionalFormatting sqref="AA9">
    <cfRule type="expression" dxfId="3" priority="605">
      <formula>AND(AA9&gt;0,AA9&lt;20)</formula>
    </cfRule>
    <cfRule type="cellIs" dxfId="1" priority="606" operator="greaterThan">
      <formula>Z9</formula>
    </cfRule>
  </conditionalFormatting>
  <conditionalFormatting sqref="AB11">
    <cfRule type="cellIs" dxfId="4" priority="614" operator="lessThanOrEqual">
      <formula>I11</formula>
    </cfRule>
  </conditionalFormatting>
  <conditionalFormatting sqref="AB12">
    <cfRule type="cellIs" dxfId="4" priority="620" operator="lessThanOrEqual">
      <formula>I12</formula>
    </cfRule>
  </conditionalFormatting>
  <conditionalFormatting sqref="AB13">
    <cfRule type="cellIs" dxfId="4" priority="626" operator="lessThanOrEqual">
      <formula>I13</formula>
    </cfRule>
  </conditionalFormatting>
  <conditionalFormatting sqref="AB14">
    <cfRule type="cellIs" dxfId="4" priority="632" operator="lessThanOrEqual">
      <formula>I14</formula>
    </cfRule>
  </conditionalFormatting>
  <conditionalFormatting sqref="AB20">
    <cfRule type="cellIs" dxfId="4" priority="638" operator="lessThanOrEqual">
      <formula>I20</formula>
    </cfRule>
  </conditionalFormatting>
  <conditionalFormatting sqref="AB27">
    <cfRule type="cellIs" dxfId="4" priority="644" operator="lessThanOrEqual">
      <formula>I27</formula>
    </cfRule>
  </conditionalFormatting>
  <conditionalFormatting sqref="AB29">
    <cfRule type="cellIs" dxfId="4" priority="650" operator="lessThanOrEqual">
      <formula>I29</formula>
    </cfRule>
  </conditionalFormatting>
  <conditionalFormatting sqref="AB31">
    <cfRule type="cellIs" dxfId="4" priority="656" operator="lessThanOrEqual">
      <formula>I31</formula>
    </cfRule>
  </conditionalFormatting>
  <conditionalFormatting sqref="AB34">
    <cfRule type="cellIs" dxfId="4" priority="662" operator="lessThanOrEqual">
      <formula>I34</formula>
    </cfRule>
  </conditionalFormatting>
  <conditionalFormatting sqref="AB35">
    <cfRule type="cellIs" dxfId="4" priority="667" operator="lessThanOrEqual">
      <formula>I35</formula>
    </cfRule>
  </conditionalFormatting>
  <conditionalFormatting sqref="AB36">
    <cfRule type="cellIs" dxfId="4" priority="672" operator="lessThanOrEqual">
      <formula>I36</formula>
    </cfRule>
  </conditionalFormatting>
  <conditionalFormatting sqref="AB51">
    <cfRule type="cellIs" dxfId="4" priority="677" operator="lessThanOrEqual">
      <formula>I51</formula>
    </cfRule>
  </conditionalFormatting>
  <conditionalFormatting sqref="AB8">
    <cfRule type="cellIs" dxfId="4" priority="602" operator="lessThanOrEqual">
      <formula>I8</formula>
    </cfRule>
  </conditionalFormatting>
  <conditionalFormatting sqref="AB9">
    <cfRule type="cellIs" dxfId="4" priority="608" operator="lessThanOrEqual">
      <formula>I9</formula>
    </cfRule>
  </conditionalFormatting>
  <conditionalFormatting sqref="AC11">
    <cfRule type="cellIs" dxfId="4" priority="613" operator="lessThanOrEqual">
      <formula>J11</formula>
    </cfRule>
  </conditionalFormatting>
  <conditionalFormatting sqref="AC12">
    <cfRule type="cellIs" dxfId="4" priority="619" operator="lessThanOrEqual">
      <formula>J12</formula>
    </cfRule>
  </conditionalFormatting>
  <conditionalFormatting sqref="AC13">
    <cfRule type="cellIs" dxfId="4" priority="625" operator="lessThanOrEqual">
      <formula>J13</formula>
    </cfRule>
  </conditionalFormatting>
  <conditionalFormatting sqref="AC14">
    <cfRule type="cellIs" dxfId="4" priority="631" operator="lessThanOrEqual">
      <formula>J14</formula>
    </cfRule>
  </conditionalFormatting>
  <conditionalFormatting sqref="AC20">
    <cfRule type="cellIs" dxfId="4" priority="637" operator="lessThanOrEqual">
      <formula>J20</formula>
    </cfRule>
  </conditionalFormatting>
  <conditionalFormatting sqref="AC27">
    <cfRule type="cellIs" dxfId="4" priority="643" operator="lessThanOrEqual">
      <formula>J27</formula>
    </cfRule>
  </conditionalFormatting>
  <conditionalFormatting sqref="AC29">
    <cfRule type="cellIs" dxfId="4" priority="649" operator="lessThanOrEqual">
      <formula>J29</formula>
    </cfRule>
  </conditionalFormatting>
  <conditionalFormatting sqref="AC31">
    <cfRule type="cellIs" dxfId="4" priority="655" operator="lessThanOrEqual">
      <formula>J31</formula>
    </cfRule>
  </conditionalFormatting>
  <conditionalFormatting sqref="AC34">
    <cfRule type="cellIs" dxfId="4" priority="661" operator="lessThanOrEqual">
      <formula>J34</formula>
    </cfRule>
  </conditionalFormatting>
  <conditionalFormatting sqref="AC35">
    <cfRule type="cellIs" dxfId="4" priority="666" operator="lessThanOrEqual">
      <formula>J35</formula>
    </cfRule>
  </conditionalFormatting>
  <conditionalFormatting sqref="AC36">
    <cfRule type="cellIs" dxfId="4" priority="671" operator="lessThanOrEqual">
      <formula>J36</formula>
    </cfRule>
  </conditionalFormatting>
  <conditionalFormatting sqref="AC51">
    <cfRule type="cellIs" dxfId="4" priority="676" operator="lessThanOrEqual">
      <formula>J51</formula>
    </cfRule>
  </conditionalFormatting>
  <conditionalFormatting sqref="AC8">
    <cfRule type="cellIs" dxfId="4" priority="601" operator="lessThanOrEqual">
      <formula>J8</formula>
    </cfRule>
  </conditionalFormatting>
  <conditionalFormatting sqref="AC9">
    <cfRule type="cellIs" dxfId="4" priority="607" operator="lessThanOrEqual">
      <formula>J9</formula>
    </cfRule>
  </conditionalFormatting>
  <conditionalFormatting sqref="AE10">
    <cfRule type="cellIs" dxfId="1" priority="688" operator="equal">
      <formula>0</formula>
    </cfRule>
    <cfRule type="cellIs" dxfId="2" priority="689" operator="lessThan">
      <formula>H10</formula>
    </cfRule>
  </conditionalFormatting>
  <conditionalFormatting sqref="AE11">
    <cfRule type="cellIs" dxfId="1" priority="693" operator="equal">
      <formula>0</formula>
    </cfRule>
    <cfRule type="cellIs" dxfId="2" priority="694" operator="lessThan">
      <formula>H11</formula>
    </cfRule>
  </conditionalFormatting>
  <conditionalFormatting sqref="AE12">
    <cfRule type="cellIs" dxfId="1" priority="698" operator="equal">
      <formula>0</formula>
    </cfRule>
    <cfRule type="cellIs" dxfId="2" priority="699" operator="lessThan">
      <formula>H12</formula>
    </cfRule>
  </conditionalFormatting>
  <conditionalFormatting sqref="AE13">
    <cfRule type="cellIs" dxfId="1" priority="703" operator="equal">
      <formula>0</formula>
    </cfRule>
    <cfRule type="cellIs" dxfId="2" priority="704" operator="lessThan">
      <formula>H13</formula>
    </cfRule>
  </conditionalFormatting>
  <conditionalFormatting sqref="AE14">
    <cfRule type="cellIs" dxfId="1" priority="708" operator="equal">
      <formula>0</formula>
    </cfRule>
    <cfRule type="cellIs" dxfId="2" priority="709" operator="lessThan">
      <formula>H14</formula>
    </cfRule>
  </conditionalFormatting>
  <conditionalFormatting sqref="AE15">
    <cfRule type="cellIs" dxfId="1" priority="713" operator="equal">
      <formula>0</formula>
    </cfRule>
    <cfRule type="cellIs" dxfId="2" priority="714" operator="lessThan">
      <formula>H15</formula>
    </cfRule>
  </conditionalFormatting>
  <conditionalFormatting sqref="AE16">
    <cfRule type="cellIs" dxfId="1" priority="718" operator="equal">
      <formula>0</formula>
    </cfRule>
    <cfRule type="cellIs" dxfId="2" priority="719" operator="lessThan">
      <formula>H16</formula>
    </cfRule>
  </conditionalFormatting>
  <conditionalFormatting sqref="AE17">
    <cfRule type="cellIs" dxfId="1" priority="723" operator="equal">
      <formula>0</formula>
    </cfRule>
    <cfRule type="cellIs" dxfId="2" priority="724" operator="lessThan">
      <formula>H17</formula>
    </cfRule>
  </conditionalFormatting>
  <conditionalFormatting sqref="AE18">
    <cfRule type="cellIs" dxfId="1" priority="728" operator="equal">
      <formula>0</formula>
    </cfRule>
    <cfRule type="cellIs" dxfId="2" priority="729" operator="lessThan">
      <formula>H18</formula>
    </cfRule>
  </conditionalFormatting>
  <conditionalFormatting sqref="AE19">
    <cfRule type="cellIs" dxfId="1" priority="733" operator="equal">
      <formula>0</formula>
    </cfRule>
    <cfRule type="cellIs" dxfId="2" priority="734" operator="lessThan">
      <formula>H19</formula>
    </cfRule>
  </conditionalFormatting>
  <conditionalFormatting sqref="AE20">
    <cfRule type="cellIs" dxfId="1" priority="738" operator="equal">
      <formula>0</formula>
    </cfRule>
    <cfRule type="cellIs" dxfId="2" priority="739" operator="lessThan">
      <formula>H20</formula>
    </cfRule>
  </conditionalFormatting>
  <conditionalFormatting sqref="AE21">
    <cfRule type="cellIs" dxfId="1" priority="743" operator="equal">
      <formula>0</formula>
    </cfRule>
    <cfRule type="cellIs" dxfId="2" priority="744" operator="lessThan">
      <formula>H21</formula>
    </cfRule>
  </conditionalFormatting>
  <conditionalFormatting sqref="AE25">
    <cfRule type="cellIs" dxfId="1" priority="748" operator="equal">
      <formula>0</formula>
    </cfRule>
    <cfRule type="cellIs" dxfId="2" priority="749" operator="lessThan">
      <formula>H25</formula>
    </cfRule>
  </conditionalFormatting>
  <conditionalFormatting sqref="AE26">
    <cfRule type="cellIs" dxfId="1" priority="753" operator="equal">
      <formula>0</formula>
    </cfRule>
    <cfRule type="cellIs" dxfId="2" priority="754" operator="lessThan">
      <formula>H26</formula>
    </cfRule>
  </conditionalFormatting>
  <conditionalFormatting sqref="AE27">
    <cfRule type="cellIs" dxfId="1" priority="758" operator="equal">
      <formula>0</formula>
    </cfRule>
    <cfRule type="cellIs" dxfId="2" priority="759" operator="lessThan">
      <formula>H27</formula>
    </cfRule>
  </conditionalFormatting>
  <conditionalFormatting sqref="AE28">
    <cfRule type="cellIs" dxfId="1" priority="763" operator="equal">
      <formula>0</formula>
    </cfRule>
    <cfRule type="cellIs" dxfId="2" priority="764" operator="lessThan">
      <formula>H28</formula>
    </cfRule>
  </conditionalFormatting>
  <conditionalFormatting sqref="AE29">
    <cfRule type="cellIs" dxfId="1" priority="768" operator="equal">
      <formula>0</formula>
    </cfRule>
    <cfRule type="cellIs" dxfId="2" priority="769" operator="lessThan">
      <formula>H29</formula>
    </cfRule>
  </conditionalFormatting>
  <conditionalFormatting sqref="AE30">
    <cfRule type="cellIs" dxfId="1" priority="773" operator="equal">
      <formula>0</formula>
    </cfRule>
    <cfRule type="cellIs" dxfId="2" priority="774" operator="lessThan">
      <formula>H30</formula>
    </cfRule>
  </conditionalFormatting>
  <conditionalFormatting sqref="AE31">
    <cfRule type="cellIs" dxfId="1" priority="778" operator="equal">
      <formula>0</formula>
    </cfRule>
    <cfRule type="cellIs" dxfId="2" priority="779" operator="lessThan">
      <formula>H31</formula>
    </cfRule>
  </conditionalFormatting>
  <conditionalFormatting sqref="AE32">
    <cfRule type="cellIs" dxfId="1" priority="783" operator="equal">
      <formula>0</formula>
    </cfRule>
    <cfRule type="cellIs" dxfId="2" priority="784" operator="lessThan">
      <formula>H32</formula>
    </cfRule>
  </conditionalFormatting>
  <conditionalFormatting sqref="AE33">
    <cfRule type="cellIs" dxfId="1" priority="788" operator="equal">
      <formula>0</formula>
    </cfRule>
    <cfRule type="cellIs" dxfId="2" priority="789" operator="lessThan">
      <formula>H33</formula>
    </cfRule>
  </conditionalFormatting>
  <conditionalFormatting sqref="AE34">
    <cfRule type="cellIs" dxfId="1" priority="793" operator="equal">
      <formula>0</formula>
    </cfRule>
    <cfRule type="cellIs" dxfId="2" priority="794" operator="lessThan">
      <formula>H34</formula>
    </cfRule>
  </conditionalFormatting>
  <conditionalFormatting sqref="AE35">
    <cfRule type="cellIs" dxfId="1" priority="798" operator="equal">
      <formula>0</formula>
    </cfRule>
    <cfRule type="cellIs" dxfId="2" priority="799" operator="lessThan">
      <formula>H35</formula>
    </cfRule>
  </conditionalFormatting>
  <conditionalFormatting sqref="AE36">
    <cfRule type="cellIs" dxfId="1" priority="803" operator="equal">
      <formula>0</formula>
    </cfRule>
    <cfRule type="cellIs" dxfId="2" priority="804" operator="lessThan">
      <formula>H36</formula>
    </cfRule>
  </conditionalFormatting>
  <conditionalFormatting sqref="AE37">
    <cfRule type="cellIs" dxfId="1" priority="808" operator="equal">
      <formula>0</formula>
    </cfRule>
    <cfRule type="cellIs" dxfId="2" priority="809" operator="lessThan">
      <formula>H37</formula>
    </cfRule>
  </conditionalFormatting>
  <conditionalFormatting sqref="AE38">
    <cfRule type="cellIs" dxfId="1" priority="813" operator="equal">
      <formula>0</formula>
    </cfRule>
    <cfRule type="cellIs" dxfId="2" priority="814" operator="lessThan">
      <formula>H38</formula>
    </cfRule>
  </conditionalFormatting>
  <conditionalFormatting sqref="AE39">
    <cfRule type="cellIs" dxfId="1" priority="818" operator="equal">
      <formula>0</formula>
    </cfRule>
    <cfRule type="cellIs" dxfId="2" priority="819" operator="lessThan">
      <formula>H39</formula>
    </cfRule>
  </conditionalFormatting>
  <conditionalFormatting sqref="AE40">
    <cfRule type="cellIs" dxfId="1" priority="823" operator="equal">
      <formula>0</formula>
    </cfRule>
    <cfRule type="cellIs" dxfId="2" priority="824" operator="lessThan">
      <formula>H40</formula>
    </cfRule>
  </conditionalFormatting>
  <conditionalFormatting sqref="AE43">
    <cfRule type="cellIs" dxfId="1" priority="828" operator="equal">
      <formula>0</formula>
    </cfRule>
    <cfRule type="cellIs" dxfId="2" priority="829" operator="lessThan">
      <formula>H43</formula>
    </cfRule>
  </conditionalFormatting>
  <conditionalFormatting sqref="AE44">
    <cfRule type="cellIs" dxfId="1" priority="833" operator="equal">
      <formula>0</formula>
    </cfRule>
    <cfRule type="cellIs" dxfId="2" priority="834" operator="lessThan">
      <formula>H44</formula>
    </cfRule>
  </conditionalFormatting>
  <conditionalFormatting sqref="AE45">
    <cfRule type="cellIs" dxfId="1" priority="838" operator="equal">
      <formula>0</formula>
    </cfRule>
    <cfRule type="cellIs" dxfId="2" priority="839" operator="lessThan">
      <formula>H45</formula>
    </cfRule>
  </conditionalFormatting>
  <conditionalFormatting sqref="AE46">
    <cfRule type="cellIs" dxfId="1" priority="843" operator="equal">
      <formula>0</formula>
    </cfRule>
    <cfRule type="cellIs" dxfId="2" priority="844" operator="lessThan">
      <formula>H46</formula>
    </cfRule>
  </conditionalFormatting>
  <conditionalFormatting sqref="AE47">
    <cfRule type="cellIs" dxfId="1" priority="848" operator="equal">
      <formula>0</formula>
    </cfRule>
    <cfRule type="cellIs" dxfId="2" priority="849" operator="lessThan">
      <formula>H47</formula>
    </cfRule>
  </conditionalFormatting>
  <conditionalFormatting sqref="AE48">
    <cfRule type="cellIs" dxfId="1" priority="853" operator="equal">
      <formula>0</formula>
    </cfRule>
    <cfRule type="cellIs" dxfId="2" priority="854" operator="lessThan">
      <formula>H48</formula>
    </cfRule>
  </conditionalFormatting>
  <conditionalFormatting sqref="AE50">
    <cfRule type="cellIs" dxfId="1" priority="858" operator="equal">
      <formula>0</formula>
    </cfRule>
    <cfRule type="cellIs" dxfId="2" priority="859" operator="lessThan">
      <formula>H50</formula>
    </cfRule>
  </conditionalFormatting>
  <conditionalFormatting sqref="AE51">
    <cfRule type="cellIs" dxfId="1" priority="863" operator="equal">
      <formula>0</formula>
    </cfRule>
    <cfRule type="cellIs" dxfId="2" priority="864" operator="lessThan">
      <formula>H51</formula>
    </cfRule>
  </conditionalFormatting>
  <conditionalFormatting sqref="AE7">
    <cfRule type="cellIs" dxfId="1" priority="678" operator="equal">
      <formula>0</formula>
    </cfRule>
    <cfRule type="cellIs" dxfId="2" priority="679" operator="lessThan">
      <formula>H7</formula>
    </cfRule>
  </conditionalFormatting>
  <conditionalFormatting sqref="AE8">
    <cfRule type="cellIs" dxfId="1" priority="683" operator="equal">
      <formula>0</formula>
    </cfRule>
    <cfRule type="cellIs" dxfId="2" priority="684" operator="lessThan">
      <formula>H8</formula>
    </cfRule>
  </conditionalFormatting>
  <conditionalFormatting sqref="AF10">
    <cfRule type="cellIs" dxfId="1" priority="690" operator="greaterThan">
      <formula>AE10</formula>
    </cfRule>
  </conditionalFormatting>
  <conditionalFormatting sqref="AF11">
    <cfRule type="cellIs" dxfId="1" priority="695" operator="greaterThan">
      <formula>AE11</formula>
    </cfRule>
  </conditionalFormatting>
  <conditionalFormatting sqref="AF12">
    <cfRule type="cellIs" dxfId="1" priority="700" operator="greaterThan">
      <formula>AE12</formula>
    </cfRule>
  </conditionalFormatting>
  <conditionalFormatting sqref="AF13">
    <cfRule type="cellIs" dxfId="1" priority="705" operator="greaterThan">
      <formula>AE13</formula>
    </cfRule>
  </conditionalFormatting>
  <conditionalFormatting sqref="AF14">
    <cfRule type="cellIs" dxfId="1" priority="710" operator="greaterThan">
      <formula>AE14</formula>
    </cfRule>
  </conditionalFormatting>
  <conditionalFormatting sqref="AF15">
    <cfRule type="cellIs" dxfId="1" priority="715" operator="greaterThan">
      <formula>AE15</formula>
    </cfRule>
  </conditionalFormatting>
  <conditionalFormatting sqref="AF16">
    <cfRule type="cellIs" dxfId="1" priority="720" operator="greaterThan">
      <formula>AE16</formula>
    </cfRule>
  </conditionalFormatting>
  <conditionalFormatting sqref="AF17">
    <cfRule type="cellIs" dxfId="1" priority="725" operator="greaterThan">
      <formula>AE17</formula>
    </cfRule>
  </conditionalFormatting>
  <conditionalFormatting sqref="AF18">
    <cfRule type="cellIs" dxfId="1" priority="730" operator="greaterThan">
      <formula>AE18</formula>
    </cfRule>
  </conditionalFormatting>
  <conditionalFormatting sqref="AF19">
    <cfRule type="cellIs" dxfId="1" priority="735" operator="greaterThan">
      <formula>AE19</formula>
    </cfRule>
  </conditionalFormatting>
  <conditionalFormatting sqref="AF20">
    <cfRule type="cellIs" dxfId="1" priority="740" operator="greaterThan">
      <formula>AE20</formula>
    </cfRule>
  </conditionalFormatting>
  <conditionalFormatting sqref="AF21">
    <cfRule type="cellIs" dxfId="1" priority="745" operator="greaterThan">
      <formula>AE21</formula>
    </cfRule>
  </conditionalFormatting>
  <conditionalFormatting sqref="AF25">
    <cfRule type="cellIs" dxfId="1" priority="750" operator="greaterThan">
      <formula>AE25</formula>
    </cfRule>
  </conditionalFormatting>
  <conditionalFormatting sqref="AF26">
    <cfRule type="cellIs" dxfId="1" priority="755" operator="greaterThan">
      <formula>AE26</formula>
    </cfRule>
  </conditionalFormatting>
  <conditionalFormatting sqref="AF27">
    <cfRule type="cellIs" dxfId="1" priority="760" operator="greaterThan">
      <formula>AE27</formula>
    </cfRule>
  </conditionalFormatting>
  <conditionalFormatting sqref="AF28">
    <cfRule type="cellIs" dxfId="1" priority="765" operator="greaterThan">
      <formula>AE28</formula>
    </cfRule>
  </conditionalFormatting>
  <conditionalFormatting sqref="AF29">
    <cfRule type="cellIs" dxfId="1" priority="770" operator="greaterThan">
      <formula>AE29</formula>
    </cfRule>
  </conditionalFormatting>
  <conditionalFormatting sqref="AF30">
    <cfRule type="cellIs" dxfId="1" priority="775" operator="greaterThan">
      <formula>AE30</formula>
    </cfRule>
  </conditionalFormatting>
  <conditionalFormatting sqref="AF31">
    <cfRule type="cellIs" dxfId="1" priority="780" operator="greaterThan">
      <formula>AE31</formula>
    </cfRule>
  </conditionalFormatting>
  <conditionalFormatting sqref="AF32">
    <cfRule type="cellIs" dxfId="1" priority="785" operator="greaterThan">
      <formula>AE32</formula>
    </cfRule>
  </conditionalFormatting>
  <conditionalFormatting sqref="AF33">
    <cfRule type="cellIs" dxfId="1" priority="790" operator="greaterThan">
      <formula>AE33</formula>
    </cfRule>
  </conditionalFormatting>
  <conditionalFormatting sqref="AF34">
    <cfRule type="cellIs" dxfId="1" priority="795" operator="greaterThan">
      <formula>AE34</formula>
    </cfRule>
  </conditionalFormatting>
  <conditionalFormatting sqref="AF35">
    <cfRule type="cellIs" dxfId="1" priority="800" operator="greaterThan">
      <formula>AE35</formula>
    </cfRule>
  </conditionalFormatting>
  <conditionalFormatting sqref="AF36">
    <cfRule type="cellIs" dxfId="1" priority="805" operator="greaterThan">
      <formula>AE36</formula>
    </cfRule>
  </conditionalFormatting>
  <conditionalFormatting sqref="AF37">
    <cfRule type="cellIs" dxfId="1" priority="810" operator="greaterThan">
      <formula>AE37</formula>
    </cfRule>
  </conditionalFormatting>
  <conditionalFormatting sqref="AF38">
    <cfRule type="cellIs" dxfId="1" priority="815" operator="greaterThan">
      <formula>AE38</formula>
    </cfRule>
  </conditionalFormatting>
  <conditionalFormatting sqref="AF39">
    <cfRule type="cellIs" dxfId="1" priority="820" operator="greaterThan">
      <formula>AE39</formula>
    </cfRule>
  </conditionalFormatting>
  <conditionalFormatting sqref="AF40">
    <cfRule type="cellIs" dxfId="1" priority="825" operator="greaterThan">
      <formula>AE40</formula>
    </cfRule>
  </conditionalFormatting>
  <conditionalFormatting sqref="AF43">
    <cfRule type="cellIs" dxfId="1" priority="830" operator="greaterThan">
      <formula>AE43</formula>
    </cfRule>
  </conditionalFormatting>
  <conditionalFormatting sqref="AF44">
    <cfRule type="cellIs" dxfId="1" priority="835" operator="greaterThan">
      <formula>AE44</formula>
    </cfRule>
  </conditionalFormatting>
  <conditionalFormatting sqref="AF45">
    <cfRule type="cellIs" dxfId="1" priority="840" operator="greaterThan">
      <formula>AE45</formula>
    </cfRule>
  </conditionalFormatting>
  <conditionalFormatting sqref="AF46">
    <cfRule type="cellIs" dxfId="1" priority="845" operator="greaterThan">
      <formula>AE46</formula>
    </cfRule>
  </conditionalFormatting>
  <conditionalFormatting sqref="AF47">
    <cfRule type="cellIs" dxfId="1" priority="850" operator="greaterThan">
      <formula>AE47</formula>
    </cfRule>
  </conditionalFormatting>
  <conditionalFormatting sqref="AF48">
    <cfRule type="cellIs" dxfId="1" priority="855" operator="greaterThan">
      <formula>AE48</formula>
    </cfRule>
  </conditionalFormatting>
  <conditionalFormatting sqref="AF50">
    <cfRule type="cellIs" dxfId="1" priority="860" operator="greaterThan">
      <formula>AE50</formula>
    </cfRule>
  </conditionalFormatting>
  <conditionalFormatting sqref="AF51">
    <cfRule type="cellIs" dxfId="1" priority="865" operator="greaterThan">
      <formula>AE51</formula>
    </cfRule>
  </conditionalFormatting>
  <conditionalFormatting sqref="AF7">
    <cfRule type="cellIs" dxfId="1" priority="680" operator="greaterThan">
      <formula>AE7</formula>
    </cfRule>
  </conditionalFormatting>
  <conditionalFormatting sqref="AF8">
    <cfRule type="cellIs" dxfId="1" priority="685" operator="greaterThan">
      <formula>AE8</formula>
    </cfRule>
  </conditionalFormatting>
  <conditionalFormatting sqref="AG10">
    <cfRule type="cellIs" dxfId="4" priority="692" operator="lessThanOrEqual">
      <formula>I10</formula>
    </cfRule>
  </conditionalFormatting>
  <conditionalFormatting sqref="AG11">
    <cfRule type="cellIs" dxfId="4" priority="697" operator="lessThanOrEqual">
      <formula>I11</formula>
    </cfRule>
  </conditionalFormatting>
  <conditionalFormatting sqref="AG12">
    <cfRule type="cellIs" dxfId="4" priority="702" operator="lessThanOrEqual">
      <formula>I12</formula>
    </cfRule>
  </conditionalFormatting>
  <conditionalFormatting sqref="AG13">
    <cfRule type="cellIs" dxfId="4" priority="707" operator="lessThanOrEqual">
      <formula>I13</formula>
    </cfRule>
  </conditionalFormatting>
  <conditionalFormatting sqref="AG14">
    <cfRule type="cellIs" dxfId="4" priority="712" operator="lessThanOrEqual">
      <formula>I14</formula>
    </cfRule>
  </conditionalFormatting>
  <conditionalFormatting sqref="AG15">
    <cfRule type="cellIs" dxfId="4" priority="717" operator="lessThanOrEqual">
      <formula>I15</formula>
    </cfRule>
  </conditionalFormatting>
  <conditionalFormatting sqref="AG16">
    <cfRule type="cellIs" dxfId="4" priority="722" operator="lessThanOrEqual">
      <formula>I16</formula>
    </cfRule>
  </conditionalFormatting>
  <conditionalFormatting sqref="AG17">
    <cfRule type="cellIs" dxfId="4" priority="727" operator="lessThanOrEqual">
      <formula>I17</formula>
    </cfRule>
  </conditionalFormatting>
  <conditionalFormatting sqref="AG18">
    <cfRule type="cellIs" dxfId="4" priority="732" operator="lessThanOrEqual">
      <formula>I18</formula>
    </cfRule>
  </conditionalFormatting>
  <conditionalFormatting sqref="AG19">
    <cfRule type="cellIs" dxfId="4" priority="737" operator="lessThanOrEqual">
      <formula>I19</formula>
    </cfRule>
  </conditionalFormatting>
  <conditionalFormatting sqref="AG20">
    <cfRule type="cellIs" dxfId="4" priority="742" operator="lessThanOrEqual">
      <formula>I20</formula>
    </cfRule>
  </conditionalFormatting>
  <conditionalFormatting sqref="AG21">
    <cfRule type="cellIs" dxfId="4" priority="747" operator="lessThanOrEqual">
      <formula>I21</formula>
    </cfRule>
  </conditionalFormatting>
  <conditionalFormatting sqref="AG25">
    <cfRule type="cellIs" dxfId="4" priority="752" operator="lessThanOrEqual">
      <formula>I25</formula>
    </cfRule>
  </conditionalFormatting>
  <conditionalFormatting sqref="AG26">
    <cfRule type="cellIs" dxfId="4" priority="757" operator="lessThanOrEqual">
      <formula>I26</formula>
    </cfRule>
  </conditionalFormatting>
  <conditionalFormatting sqref="AG27">
    <cfRule type="cellIs" dxfId="4" priority="762" operator="lessThanOrEqual">
      <formula>I27</formula>
    </cfRule>
  </conditionalFormatting>
  <conditionalFormatting sqref="AG28">
    <cfRule type="cellIs" dxfId="4" priority="767" operator="lessThanOrEqual">
      <formula>I28</formula>
    </cfRule>
  </conditionalFormatting>
  <conditionalFormatting sqref="AG29">
    <cfRule type="cellIs" dxfId="4" priority="772" operator="lessThanOrEqual">
      <formula>I29</formula>
    </cfRule>
  </conditionalFormatting>
  <conditionalFormatting sqref="AG30">
    <cfRule type="cellIs" dxfId="4" priority="777" operator="lessThanOrEqual">
      <formula>I30</formula>
    </cfRule>
  </conditionalFormatting>
  <conditionalFormatting sqref="AG31">
    <cfRule type="cellIs" dxfId="4" priority="782" operator="lessThanOrEqual">
      <formula>I31</formula>
    </cfRule>
  </conditionalFormatting>
  <conditionalFormatting sqref="AG32">
    <cfRule type="cellIs" dxfId="4" priority="787" operator="lessThanOrEqual">
      <formula>I32</formula>
    </cfRule>
  </conditionalFormatting>
  <conditionalFormatting sqref="AG33">
    <cfRule type="cellIs" dxfId="4" priority="792" operator="lessThanOrEqual">
      <formula>I33</formula>
    </cfRule>
  </conditionalFormatting>
  <conditionalFormatting sqref="AG34">
    <cfRule type="cellIs" dxfId="4" priority="797" operator="lessThanOrEqual">
      <formula>I34</formula>
    </cfRule>
  </conditionalFormatting>
  <conditionalFormatting sqref="AG35">
    <cfRule type="cellIs" dxfId="4" priority="802" operator="lessThanOrEqual">
      <formula>I35</formula>
    </cfRule>
  </conditionalFormatting>
  <conditionalFormatting sqref="AG36">
    <cfRule type="cellIs" dxfId="4" priority="807" operator="lessThanOrEqual">
      <formula>I36</formula>
    </cfRule>
  </conditionalFormatting>
  <conditionalFormatting sqref="AG37">
    <cfRule type="cellIs" dxfId="4" priority="812" operator="lessThanOrEqual">
      <formula>I37</formula>
    </cfRule>
  </conditionalFormatting>
  <conditionalFormatting sqref="AG38">
    <cfRule type="cellIs" dxfId="4" priority="817" operator="lessThanOrEqual">
      <formula>I38</formula>
    </cfRule>
  </conditionalFormatting>
  <conditionalFormatting sqref="AG39">
    <cfRule type="cellIs" dxfId="4" priority="822" operator="lessThanOrEqual">
      <formula>I39</formula>
    </cfRule>
  </conditionalFormatting>
  <conditionalFormatting sqref="AG40">
    <cfRule type="cellIs" dxfId="4" priority="827" operator="lessThanOrEqual">
      <formula>I40</formula>
    </cfRule>
  </conditionalFormatting>
  <conditionalFormatting sqref="AG43">
    <cfRule type="cellIs" dxfId="4" priority="832" operator="lessThanOrEqual">
      <formula>I43</formula>
    </cfRule>
  </conditionalFormatting>
  <conditionalFormatting sqref="AG44">
    <cfRule type="cellIs" dxfId="4" priority="837" operator="lessThanOrEqual">
      <formula>I44</formula>
    </cfRule>
  </conditionalFormatting>
  <conditionalFormatting sqref="AG45">
    <cfRule type="cellIs" dxfId="4" priority="842" operator="lessThanOrEqual">
      <formula>I45</formula>
    </cfRule>
  </conditionalFormatting>
  <conditionalFormatting sqref="AG46">
    <cfRule type="cellIs" dxfId="4" priority="847" operator="lessThanOrEqual">
      <formula>I46</formula>
    </cfRule>
  </conditionalFormatting>
  <conditionalFormatting sqref="AG47">
    <cfRule type="cellIs" dxfId="4" priority="852" operator="lessThanOrEqual">
      <formula>I47</formula>
    </cfRule>
  </conditionalFormatting>
  <conditionalFormatting sqref="AG48">
    <cfRule type="cellIs" dxfId="4" priority="857" operator="lessThanOrEqual">
      <formula>I48</formula>
    </cfRule>
  </conditionalFormatting>
  <conditionalFormatting sqref="AG50">
    <cfRule type="cellIs" dxfId="4" priority="862" operator="lessThanOrEqual">
      <formula>I50</formula>
    </cfRule>
  </conditionalFormatting>
  <conditionalFormatting sqref="AG51">
    <cfRule type="cellIs" dxfId="4" priority="867" operator="lessThanOrEqual">
      <formula>I51</formula>
    </cfRule>
  </conditionalFormatting>
  <conditionalFormatting sqref="AG7">
    <cfRule type="cellIs" dxfId="4" priority="682" operator="lessThanOrEqual">
      <formula>I7</formula>
    </cfRule>
  </conditionalFormatting>
  <conditionalFormatting sqref="AG8">
    <cfRule type="cellIs" dxfId="4" priority="687" operator="lessThanOrEqual">
      <formula>I8</formula>
    </cfRule>
  </conditionalFormatting>
  <conditionalFormatting sqref="AH10">
    <cfRule type="cellIs" dxfId="4" priority="691" operator="lessThanOrEqual">
      <formula>J10</formula>
    </cfRule>
  </conditionalFormatting>
  <conditionalFormatting sqref="AH11">
    <cfRule type="cellIs" dxfId="4" priority="696" operator="lessThanOrEqual">
      <formula>J11</formula>
    </cfRule>
  </conditionalFormatting>
  <conditionalFormatting sqref="AH12">
    <cfRule type="cellIs" dxfId="4" priority="701" operator="lessThanOrEqual">
      <formula>J12</formula>
    </cfRule>
  </conditionalFormatting>
  <conditionalFormatting sqref="AH13">
    <cfRule type="cellIs" dxfId="4" priority="706" operator="lessThanOrEqual">
      <formula>J13</formula>
    </cfRule>
  </conditionalFormatting>
  <conditionalFormatting sqref="AH14">
    <cfRule type="cellIs" dxfId="4" priority="711" operator="lessThanOrEqual">
      <formula>J14</formula>
    </cfRule>
  </conditionalFormatting>
  <conditionalFormatting sqref="AH15">
    <cfRule type="cellIs" dxfId="4" priority="716" operator="lessThanOrEqual">
      <formula>J15</formula>
    </cfRule>
  </conditionalFormatting>
  <conditionalFormatting sqref="AH16">
    <cfRule type="cellIs" dxfId="4" priority="721" operator="lessThanOrEqual">
      <formula>J16</formula>
    </cfRule>
  </conditionalFormatting>
  <conditionalFormatting sqref="AH17">
    <cfRule type="cellIs" dxfId="4" priority="726" operator="lessThanOrEqual">
      <formula>J17</formula>
    </cfRule>
  </conditionalFormatting>
  <conditionalFormatting sqref="AH18">
    <cfRule type="cellIs" dxfId="4" priority="731" operator="lessThanOrEqual">
      <formula>J18</formula>
    </cfRule>
  </conditionalFormatting>
  <conditionalFormatting sqref="AH19">
    <cfRule type="cellIs" dxfId="4" priority="736" operator="lessThanOrEqual">
      <formula>J19</formula>
    </cfRule>
  </conditionalFormatting>
  <conditionalFormatting sqref="AH20">
    <cfRule type="cellIs" dxfId="4" priority="741" operator="lessThanOrEqual">
      <formula>J20</formula>
    </cfRule>
  </conditionalFormatting>
  <conditionalFormatting sqref="AH21">
    <cfRule type="cellIs" dxfId="4" priority="746" operator="lessThanOrEqual">
      <formula>J21</formula>
    </cfRule>
  </conditionalFormatting>
  <conditionalFormatting sqref="AH25">
    <cfRule type="cellIs" dxfId="4" priority="751" operator="lessThanOrEqual">
      <formula>J25</formula>
    </cfRule>
  </conditionalFormatting>
  <conditionalFormatting sqref="AH26">
    <cfRule type="cellIs" dxfId="4" priority="756" operator="lessThanOrEqual">
      <formula>J26</formula>
    </cfRule>
  </conditionalFormatting>
  <conditionalFormatting sqref="AH27">
    <cfRule type="cellIs" dxfId="4" priority="761" operator="lessThanOrEqual">
      <formula>J27</formula>
    </cfRule>
  </conditionalFormatting>
  <conditionalFormatting sqref="AH28">
    <cfRule type="cellIs" dxfId="4" priority="766" operator="lessThanOrEqual">
      <formula>J28</formula>
    </cfRule>
  </conditionalFormatting>
  <conditionalFormatting sqref="AH29">
    <cfRule type="cellIs" dxfId="4" priority="771" operator="lessThanOrEqual">
      <formula>J29</formula>
    </cfRule>
  </conditionalFormatting>
  <conditionalFormatting sqref="AH30">
    <cfRule type="cellIs" dxfId="4" priority="776" operator="lessThanOrEqual">
      <formula>J30</formula>
    </cfRule>
  </conditionalFormatting>
  <conditionalFormatting sqref="AH31">
    <cfRule type="cellIs" dxfId="4" priority="781" operator="lessThanOrEqual">
      <formula>J31</formula>
    </cfRule>
  </conditionalFormatting>
  <conditionalFormatting sqref="AH32">
    <cfRule type="cellIs" dxfId="4" priority="786" operator="lessThanOrEqual">
      <formula>J32</formula>
    </cfRule>
  </conditionalFormatting>
  <conditionalFormatting sqref="AH33">
    <cfRule type="cellIs" dxfId="4" priority="791" operator="lessThanOrEqual">
      <formula>J33</formula>
    </cfRule>
  </conditionalFormatting>
  <conditionalFormatting sqref="AH34">
    <cfRule type="cellIs" dxfId="4" priority="796" operator="lessThanOrEqual">
      <formula>J34</formula>
    </cfRule>
  </conditionalFormatting>
  <conditionalFormatting sqref="AH35">
    <cfRule type="cellIs" dxfId="4" priority="801" operator="lessThanOrEqual">
      <formula>J35</formula>
    </cfRule>
  </conditionalFormatting>
  <conditionalFormatting sqref="AH36">
    <cfRule type="cellIs" dxfId="4" priority="806" operator="lessThanOrEqual">
      <formula>J36</formula>
    </cfRule>
  </conditionalFormatting>
  <conditionalFormatting sqref="AH37">
    <cfRule type="cellIs" dxfId="4" priority="811" operator="lessThanOrEqual">
      <formula>J37</formula>
    </cfRule>
  </conditionalFormatting>
  <conditionalFormatting sqref="AH38">
    <cfRule type="cellIs" dxfId="4" priority="816" operator="lessThanOrEqual">
      <formula>J38</formula>
    </cfRule>
  </conditionalFormatting>
  <conditionalFormatting sqref="AH39">
    <cfRule type="cellIs" dxfId="4" priority="821" operator="lessThanOrEqual">
      <formula>J39</formula>
    </cfRule>
  </conditionalFormatting>
  <conditionalFormatting sqref="AH40">
    <cfRule type="cellIs" dxfId="4" priority="826" operator="lessThanOrEqual">
      <formula>J40</formula>
    </cfRule>
  </conditionalFormatting>
  <conditionalFormatting sqref="AH43">
    <cfRule type="cellIs" dxfId="4" priority="831" operator="lessThanOrEqual">
      <formula>J43</formula>
    </cfRule>
  </conditionalFormatting>
  <conditionalFormatting sqref="AH44">
    <cfRule type="cellIs" dxfId="4" priority="836" operator="lessThanOrEqual">
      <formula>J44</formula>
    </cfRule>
  </conditionalFormatting>
  <conditionalFormatting sqref="AH45">
    <cfRule type="cellIs" dxfId="4" priority="841" operator="lessThanOrEqual">
      <formula>J45</formula>
    </cfRule>
  </conditionalFormatting>
  <conditionalFormatting sqref="AH46">
    <cfRule type="cellIs" dxfId="4" priority="846" operator="lessThanOrEqual">
      <formula>J46</formula>
    </cfRule>
  </conditionalFormatting>
  <conditionalFormatting sqref="AH47">
    <cfRule type="cellIs" dxfId="4" priority="851" operator="lessThanOrEqual">
      <formula>J47</formula>
    </cfRule>
  </conditionalFormatting>
  <conditionalFormatting sqref="AH48">
    <cfRule type="cellIs" dxfId="4" priority="856" operator="lessThanOrEqual">
      <formula>J48</formula>
    </cfRule>
  </conditionalFormatting>
  <conditionalFormatting sqref="AH50">
    <cfRule type="cellIs" dxfId="4" priority="861" operator="lessThanOrEqual">
      <formula>J50</formula>
    </cfRule>
  </conditionalFormatting>
  <conditionalFormatting sqref="AH51">
    <cfRule type="cellIs" dxfId="4" priority="866" operator="lessThanOrEqual">
      <formula>J51</formula>
    </cfRule>
  </conditionalFormatting>
  <conditionalFormatting sqref="AH7">
    <cfRule type="cellIs" dxfId="4" priority="681" operator="lessThanOrEqual">
      <formula>J7</formula>
    </cfRule>
  </conditionalFormatting>
  <conditionalFormatting sqref="AH8">
    <cfRule type="cellIs" dxfId="4" priority="686" operator="lessThanOrEqual">
      <formula>J8</formula>
    </cfRule>
  </conditionalFormatting>
  <conditionalFormatting sqref="AJ10">
    <cfRule type="cellIs" dxfId="1" priority="886" operator="equal">
      <formula>0</formula>
    </cfRule>
    <cfRule type="cellIs" dxfId="2" priority="887" operator="lessThan">
      <formula>H10</formula>
    </cfRule>
  </conditionalFormatting>
  <conditionalFormatting sqref="AJ11">
    <cfRule type="cellIs" dxfId="1" priority="892" operator="equal">
      <formula>0</formula>
    </cfRule>
    <cfRule type="cellIs" dxfId="2" priority="893" operator="lessThan">
      <formula>H11</formula>
    </cfRule>
  </conditionalFormatting>
  <conditionalFormatting sqref="AJ12">
    <cfRule type="cellIs" dxfId="1" priority="898" operator="equal">
      <formula>0</formula>
    </cfRule>
    <cfRule type="cellIs" dxfId="2" priority="899" operator="lessThan">
      <formula>H12</formula>
    </cfRule>
  </conditionalFormatting>
  <conditionalFormatting sqref="AJ13">
    <cfRule type="cellIs" dxfId="1" priority="904" operator="equal">
      <formula>0</formula>
    </cfRule>
    <cfRule type="cellIs" dxfId="2" priority="905" operator="lessThan">
      <formula>H13</formula>
    </cfRule>
  </conditionalFormatting>
  <conditionalFormatting sqref="AJ14">
    <cfRule type="cellIs" dxfId="1" priority="910" operator="equal">
      <formula>0</formula>
    </cfRule>
    <cfRule type="cellIs" dxfId="2" priority="911" operator="lessThan">
      <formula>H14</formula>
    </cfRule>
  </conditionalFormatting>
  <conditionalFormatting sqref="AJ15">
    <cfRule type="cellIs" dxfId="1" priority="916" operator="equal">
      <formula>0</formula>
    </cfRule>
    <cfRule type="cellIs" dxfId="2" priority="917" operator="lessThan">
      <formula>H15</formula>
    </cfRule>
  </conditionalFormatting>
  <conditionalFormatting sqref="AJ16">
    <cfRule type="cellIs" dxfId="1" priority="922" operator="equal">
      <formula>0</formula>
    </cfRule>
    <cfRule type="cellIs" dxfId="2" priority="923" operator="lessThan">
      <formula>H16</formula>
    </cfRule>
  </conditionalFormatting>
  <conditionalFormatting sqref="AJ17">
    <cfRule type="cellIs" dxfId="1" priority="928" operator="equal">
      <formula>0</formula>
    </cfRule>
    <cfRule type="cellIs" dxfId="2" priority="929" operator="lessThan">
      <formula>H17</formula>
    </cfRule>
  </conditionalFormatting>
  <conditionalFormatting sqref="AJ19">
    <cfRule type="cellIs" dxfId="1" priority="934" operator="equal">
      <formula>0</formula>
    </cfRule>
    <cfRule type="cellIs" dxfId="2" priority="935" operator="lessThan">
      <formula>H19</formula>
    </cfRule>
  </conditionalFormatting>
  <conditionalFormatting sqref="AJ20">
    <cfRule type="cellIs" dxfId="1" priority="940" operator="equal">
      <formula>0</formula>
    </cfRule>
    <cfRule type="cellIs" dxfId="2" priority="941" operator="lessThan">
      <formula>H20</formula>
    </cfRule>
  </conditionalFormatting>
  <conditionalFormatting sqref="AJ27">
    <cfRule type="cellIs" dxfId="1" priority="945" operator="equal">
      <formula>0</formula>
    </cfRule>
    <cfRule type="cellIs" dxfId="2" priority="946" operator="lessThan">
      <formula>H27</formula>
    </cfRule>
  </conditionalFormatting>
  <conditionalFormatting sqref="AJ28">
    <cfRule type="cellIs" dxfId="1" priority="951" operator="equal">
      <formula>0</formula>
    </cfRule>
    <cfRule type="cellIs" dxfId="2" priority="952" operator="lessThan">
      <formula>H28</formula>
    </cfRule>
  </conditionalFormatting>
  <conditionalFormatting sqref="AJ30">
    <cfRule type="cellIs" dxfId="1" priority="957" operator="equal">
      <formula>0</formula>
    </cfRule>
    <cfRule type="cellIs" dxfId="2" priority="958" operator="lessThan">
      <formula>H30</formula>
    </cfRule>
  </conditionalFormatting>
  <conditionalFormatting sqref="AJ31">
    <cfRule type="cellIs" dxfId="1" priority="963" operator="equal">
      <formula>0</formula>
    </cfRule>
    <cfRule type="cellIs" dxfId="2" priority="964" operator="lessThan">
      <formula>H31</formula>
    </cfRule>
  </conditionalFormatting>
  <conditionalFormatting sqref="AJ33">
    <cfRule type="cellIs" dxfId="1" priority="969" operator="equal">
      <formula>0</formula>
    </cfRule>
    <cfRule type="cellIs" dxfId="2" priority="970" operator="lessThan">
      <formula>H33</formula>
    </cfRule>
  </conditionalFormatting>
  <conditionalFormatting sqref="AJ34">
    <cfRule type="cellIs" dxfId="1" priority="975" operator="equal">
      <formula>0</formula>
    </cfRule>
    <cfRule type="cellIs" dxfId="2" priority="976" operator="lessThan">
      <formula>H34</formula>
    </cfRule>
  </conditionalFormatting>
  <conditionalFormatting sqref="AJ35">
    <cfRule type="cellIs" dxfId="1" priority="980" operator="equal">
      <formula>0</formula>
    </cfRule>
    <cfRule type="cellIs" dxfId="2" priority="981" operator="lessThan">
      <formula>H35</formula>
    </cfRule>
  </conditionalFormatting>
  <conditionalFormatting sqref="AJ36">
    <cfRule type="cellIs" dxfId="1" priority="985" operator="equal">
      <formula>0</formula>
    </cfRule>
    <cfRule type="cellIs" dxfId="2" priority="986" operator="lessThan">
      <formula>H36</formula>
    </cfRule>
  </conditionalFormatting>
  <conditionalFormatting sqref="AJ37">
    <cfRule type="cellIs" dxfId="1" priority="990" operator="equal">
      <formula>0</formula>
    </cfRule>
    <cfRule type="cellIs" dxfId="2" priority="991" operator="lessThan">
      <formula>H37</formula>
    </cfRule>
  </conditionalFormatting>
  <conditionalFormatting sqref="AJ38">
    <cfRule type="cellIs" dxfId="1" priority="995" operator="equal">
      <formula>0</formula>
    </cfRule>
    <cfRule type="cellIs" dxfId="2" priority="996" operator="lessThan">
      <formula>H38</formula>
    </cfRule>
  </conditionalFormatting>
  <conditionalFormatting sqref="AJ39">
    <cfRule type="cellIs" dxfId="1" priority="1000" operator="equal">
      <formula>0</formula>
    </cfRule>
    <cfRule type="cellIs" dxfId="2" priority="1001" operator="lessThan">
      <formula>H39</formula>
    </cfRule>
  </conditionalFormatting>
  <conditionalFormatting sqref="AJ40">
    <cfRule type="cellIs" dxfId="1" priority="1006" operator="equal">
      <formula>0</formula>
    </cfRule>
    <cfRule type="cellIs" dxfId="2" priority="1007" operator="lessThan">
      <formula>H40</formula>
    </cfRule>
  </conditionalFormatting>
  <conditionalFormatting sqref="AJ43">
    <cfRule type="cellIs" dxfId="1" priority="1012" operator="equal">
      <formula>0</formula>
    </cfRule>
    <cfRule type="cellIs" dxfId="2" priority="1013" operator="lessThan">
      <formula>H43</formula>
    </cfRule>
  </conditionalFormatting>
  <conditionalFormatting sqref="AJ44">
    <cfRule type="cellIs" dxfId="1" priority="1018" operator="equal">
      <formula>0</formula>
    </cfRule>
    <cfRule type="cellIs" dxfId="2" priority="1019" operator="lessThan">
      <formula>H44</formula>
    </cfRule>
  </conditionalFormatting>
  <conditionalFormatting sqref="AJ45">
    <cfRule type="cellIs" dxfId="1" priority="1023" operator="equal">
      <formula>0</formula>
    </cfRule>
    <cfRule type="cellIs" dxfId="2" priority="1024" operator="lessThan">
      <formula>H45</formula>
    </cfRule>
  </conditionalFormatting>
  <conditionalFormatting sqref="AJ46">
    <cfRule type="cellIs" dxfId="1" priority="1029" operator="equal">
      <formula>0</formula>
    </cfRule>
    <cfRule type="cellIs" dxfId="2" priority="1030" operator="lessThan">
      <formula>H46</formula>
    </cfRule>
  </conditionalFormatting>
  <conditionalFormatting sqref="AJ47">
    <cfRule type="cellIs" dxfId="1" priority="1035" operator="equal">
      <formula>0</formula>
    </cfRule>
    <cfRule type="cellIs" dxfId="2" priority="1036" operator="lessThan">
      <formula>H47</formula>
    </cfRule>
  </conditionalFormatting>
  <conditionalFormatting sqref="AJ48">
    <cfRule type="cellIs" dxfId="1" priority="1040" operator="equal">
      <formula>0</formula>
    </cfRule>
    <cfRule type="cellIs" dxfId="2" priority="1041" operator="lessThan">
      <formula>H48</formula>
    </cfRule>
  </conditionalFormatting>
  <conditionalFormatting sqref="AJ50">
    <cfRule type="cellIs" dxfId="1" priority="1046" operator="equal">
      <formula>0</formula>
    </cfRule>
    <cfRule type="cellIs" dxfId="2" priority="1047" operator="lessThan">
      <formula>H50</formula>
    </cfRule>
  </conditionalFormatting>
  <conditionalFormatting sqref="AJ7">
    <cfRule type="cellIs" dxfId="1" priority="868" operator="equal">
      <formula>0</formula>
    </cfRule>
    <cfRule type="cellIs" dxfId="2" priority="869" operator="lessThan">
      <formula>H7</formula>
    </cfRule>
  </conditionalFormatting>
  <conditionalFormatting sqref="AJ8">
    <cfRule type="cellIs" dxfId="1" priority="874" operator="equal">
      <formula>0</formula>
    </cfRule>
    <cfRule type="cellIs" dxfId="2" priority="875" operator="lessThan">
      <formula>H8</formula>
    </cfRule>
  </conditionalFormatting>
  <conditionalFormatting sqref="AJ9">
    <cfRule type="cellIs" dxfId="1" priority="880" operator="equal">
      <formula>0</formula>
    </cfRule>
    <cfRule type="cellIs" dxfId="2" priority="881" operator="lessThan">
      <formula>H9</formula>
    </cfRule>
  </conditionalFormatting>
  <conditionalFormatting sqref="AK10">
    <cfRule type="expression" dxfId="3" priority="888">
      <formula>AND(AK10&gt;0,AK10&lt;10)</formula>
    </cfRule>
    <cfRule type="cellIs" dxfId="1" priority="889" operator="greaterThan">
      <formula>AJ10</formula>
    </cfRule>
  </conditionalFormatting>
  <conditionalFormatting sqref="AK11">
    <cfRule type="expression" dxfId="3" priority="894">
      <formula>AND(AK11&gt;0,AK11&lt;10)</formula>
    </cfRule>
    <cfRule type="cellIs" dxfId="1" priority="895" operator="greaterThan">
      <formula>AJ11</formula>
    </cfRule>
  </conditionalFormatting>
  <conditionalFormatting sqref="AK12">
    <cfRule type="expression" dxfId="3" priority="900">
      <formula>AND(AK12&gt;0,AK12&lt;10)</formula>
    </cfRule>
    <cfRule type="cellIs" dxfId="1" priority="901" operator="greaterThan">
      <formula>AJ12</formula>
    </cfRule>
  </conditionalFormatting>
  <conditionalFormatting sqref="AK13">
    <cfRule type="expression" dxfId="3" priority="906">
      <formula>AND(AK13&gt;0,AK13&lt;10)</formula>
    </cfRule>
    <cfRule type="cellIs" dxfId="1" priority="907" operator="greaterThan">
      <formula>AJ13</formula>
    </cfRule>
  </conditionalFormatting>
  <conditionalFormatting sqref="AK14">
    <cfRule type="expression" dxfId="3" priority="912">
      <formula>AND(AK14&gt;0,AK14&lt;10)</formula>
    </cfRule>
    <cfRule type="cellIs" dxfId="1" priority="913" operator="greaterThan">
      <formula>AJ14</formula>
    </cfRule>
  </conditionalFormatting>
  <conditionalFormatting sqref="AK15">
    <cfRule type="expression" dxfId="3" priority="918">
      <formula>AND(AK15&gt;0,AK15&lt;5)</formula>
    </cfRule>
    <cfRule type="cellIs" dxfId="1" priority="919" operator="greaterThan">
      <formula>AJ15</formula>
    </cfRule>
  </conditionalFormatting>
  <conditionalFormatting sqref="AK16">
    <cfRule type="expression" dxfId="3" priority="924">
      <formula>AND(AK16&gt;0,AK16&lt;5)</formula>
    </cfRule>
    <cfRule type="cellIs" dxfId="1" priority="925" operator="greaterThan">
      <formula>AJ16</formula>
    </cfRule>
  </conditionalFormatting>
  <conditionalFormatting sqref="AK17">
    <cfRule type="expression" dxfId="3" priority="930">
      <formula>AND(AK17&gt;0,AK17&lt;3000)</formula>
    </cfRule>
    <cfRule type="cellIs" dxfId="1" priority="931" operator="greaterThan">
      <formula>AJ17</formula>
    </cfRule>
  </conditionalFormatting>
  <conditionalFormatting sqref="AK19">
    <cfRule type="expression" dxfId="3" priority="936">
      <formula>AND(AK19&gt;0,AK19&lt;10000)</formula>
    </cfRule>
    <cfRule type="cellIs" dxfId="1" priority="937" operator="greaterThan">
      <formula>AJ19</formula>
    </cfRule>
  </conditionalFormatting>
  <conditionalFormatting sqref="AK20">
    <cfRule type="cellIs" dxfId="1" priority="942" operator="greaterThan">
      <formula>AJ20</formula>
    </cfRule>
  </conditionalFormatting>
  <conditionalFormatting sqref="AK27">
    <cfRule type="expression" dxfId="3" priority="947">
      <formula>AND(AK27&gt;0,AK27&lt;135000)</formula>
    </cfRule>
    <cfRule type="cellIs" dxfId="1" priority="948" operator="greaterThan">
      <formula>AJ27</formula>
    </cfRule>
  </conditionalFormatting>
  <conditionalFormatting sqref="AK28">
    <cfRule type="expression" dxfId="3" priority="953">
      <formula>AND(AK28&gt;0,AK28&lt;135000)</formula>
    </cfRule>
    <cfRule type="cellIs" dxfId="1" priority="954" operator="greaterThan">
      <formula>AJ28</formula>
    </cfRule>
  </conditionalFormatting>
  <conditionalFormatting sqref="AK30">
    <cfRule type="expression" dxfId="3" priority="959">
      <formula>AND(AK30&gt;0,AK30&lt;15000)</formula>
    </cfRule>
    <cfRule type="cellIs" dxfId="1" priority="960" operator="greaterThan">
      <formula>AJ30</formula>
    </cfRule>
  </conditionalFormatting>
  <conditionalFormatting sqref="AK31">
    <cfRule type="expression" dxfId="3" priority="965">
      <formula>AND(AK31&gt;0,AK31&lt;45000)</formula>
    </cfRule>
    <cfRule type="cellIs" dxfId="1" priority="966" operator="greaterThan">
      <formula>AJ31</formula>
    </cfRule>
  </conditionalFormatting>
  <conditionalFormatting sqref="AK33">
    <cfRule type="expression" dxfId="3" priority="971">
      <formula>AND(AK33&gt;0,AK33&lt;15000)</formula>
    </cfRule>
    <cfRule type="cellIs" dxfId="1" priority="972" operator="greaterThan">
      <formula>AJ33</formula>
    </cfRule>
  </conditionalFormatting>
  <conditionalFormatting sqref="AK34">
    <cfRule type="cellIs" dxfId="1" priority="977" operator="greaterThan">
      <formula>AJ34</formula>
    </cfRule>
  </conditionalFormatting>
  <conditionalFormatting sqref="AK35">
    <cfRule type="cellIs" dxfId="1" priority="982" operator="greaterThan">
      <formula>AJ35</formula>
    </cfRule>
  </conditionalFormatting>
  <conditionalFormatting sqref="AK36">
    <cfRule type="cellIs" dxfId="1" priority="987" operator="greaterThan">
      <formula>AJ36</formula>
    </cfRule>
  </conditionalFormatting>
  <conditionalFormatting sqref="AK37">
    <cfRule type="cellIs" dxfId="1" priority="992" operator="greaterThan">
      <formula>AJ37</formula>
    </cfRule>
  </conditionalFormatting>
  <conditionalFormatting sqref="AK38">
    <cfRule type="cellIs" dxfId="1" priority="997" operator="greaterThan">
      <formula>AJ38</formula>
    </cfRule>
  </conditionalFormatting>
  <conditionalFormatting sqref="AK39">
    <cfRule type="expression" dxfId="3" priority="1002">
      <formula>AND(AK39&gt;0,AK39&lt;220)</formula>
    </cfRule>
    <cfRule type="cellIs" dxfId="1" priority="1003" operator="greaterThan">
      <formula>AJ39</formula>
    </cfRule>
  </conditionalFormatting>
  <conditionalFormatting sqref="AK40">
    <cfRule type="expression" dxfId="3" priority="1008">
      <formula>AND(AK40&gt;0,AK40&lt;5)</formula>
    </cfRule>
    <cfRule type="cellIs" dxfId="1" priority="1009" operator="greaterThan">
      <formula>AJ40</formula>
    </cfRule>
  </conditionalFormatting>
  <conditionalFormatting sqref="AK43">
    <cfRule type="expression" dxfId="3" priority="1014">
      <formula>AND(AK43&gt;0,AK43&lt;5)</formula>
    </cfRule>
    <cfRule type="cellIs" dxfId="1" priority="1015" operator="greaterThan">
      <formula>AJ43</formula>
    </cfRule>
  </conditionalFormatting>
  <conditionalFormatting sqref="AK44">
    <cfRule type="cellIs" dxfId="1" priority="1020" operator="greaterThan">
      <formula>AJ44</formula>
    </cfRule>
  </conditionalFormatting>
  <conditionalFormatting sqref="AK45">
    <cfRule type="expression" dxfId="3" priority="1025">
      <formula>AND(AK45&gt;0,AK45&lt;3000)</formula>
    </cfRule>
    <cfRule type="cellIs" dxfId="1" priority="1026" operator="greaterThan">
      <formula>AJ45</formula>
    </cfRule>
  </conditionalFormatting>
  <conditionalFormatting sqref="AK46">
    <cfRule type="expression" dxfId="3" priority="1031">
      <formula>AND(AK46&gt;0,AK46&lt;3000)</formula>
    </cfRule>
    <cfRule type="cellIs" dxfId="1" priority="1032" operator="greaterThan">
      <formula>AJ46</formula>
    </cfRule>
  </conditionalFormatting>
  <conditionalFormatting sqref="AK47">
    <cfRule type="cellIs" dxfId="1" priority="1037" operator="greaterThan">
      <formula>AJ47</formula>
    </cfRule>
  </conditionalFormatting>
  <conditionalFormatting sqref="AK48">
    <cfRule type="expression" dxfId="3" priority="1042">
      <formula>AND(AK48&gt;0,AK48&lt;3000)</formula>
    </cfRule>
    <cfRule type="cellIs" dxfId="1" priority="1043" operator="greaterThan">
      <formula>AJ48</formula>
    </cfRule>
  </conditionalFormatting>
  <conditionalFormatting sqref="AK50">
    <cfRule type="cellIs" dxfId="1" priority="1048" operator="greaterThan">
      <formula>AJ50</formula>
    </cfRule>
  </conditionalFormatting>
  <conditionalFormatting sqref="AK7">
    <cfRule type="expression" dxfId="3" priority="870">
      <formula>AND(AK7&gt;0,AK7&lt;10)</formula>
    </cfRule>
    <cfRule type="cellIs" dxfId="1" priority="871" operator="greaterThan">
      <formula>AJ7</formula>
    </cfRule>
  </conditionalFormatting>
  <conditionalFormatting sqref="AK8">
    <cfRule type="expression" dxfId="3" priority="876">
      <formula>AND(AK8&gt;0,AK8&lt;10)</formula>
    </cfRule>
    <cfRule type="cellIs" dxfId="1" priority="877" operator="greaterThan">
      <formula>AJ8</formula>
    </cfRule>
  </conditionalFormatting>
  <conditionalFormatting sqref="AK9">
    <cfRule type="expression" dxfId="3" priority="882">
      <formula>AND(AK9&gt;0,AK9&lt;10)</formula>
    </cfRule>
    <cfRule type="cellIs" dxfId="1" priority="883" operator="greaterThan">
      <formula>AJ9</formula>
    </cfRule>
  </conditionalFormatting>
  <conditionalFormatting sqref="AL10">
    <cfRule type="cellIs" dxfId="4" priority="891" operator="lessThanOrEqual">
      <formula>I10</formula>
    </cfRule>
  </conditionalFormatting>
  <conditionalFormatting sqref="AL11">
    <cfRule type="cellIs" dxfId="4" priority="897" operator="lessThanOrEqual">
      <formula>I11</formula>
    </cfRule>
  </conditionalFormatting>
  <conditionalFormatting sqref="AL12">
    <cfRule type="cellIs" dxfId="4" priority="903" operator="lessThanOrEqual">
      <formula>I12</formula>
    </cfRule>
  </conditionalFormatting>
  <conditionalFormatting sqref="AL13">
    <cfRule type="cellIs" dxfId="4" priority="909" operator="lessThanOrEqual">
      <formula>I13</formula>
    </cfRule>
  </conditionalFormatting>
  <conditionalFormatting sqref="AL14">
    <cfRule type="cellIs" dxfId="4" priority="915" operator="lessThanOrEqual">
      <formula>I14</formula>
    </cfRule>
  </conditionalFormatting>
  <conditionalFormatting sqref="AL15">
    <cfRule type="cellIs" dxfId="4" priority="921" operator="lessThanOrEqual">
      <formula>I15</formula>
    </cfRule>
  </conditionalFormatting>
  <conditionalFormatting sqref="AL16">
    <cfRule type="cellIs" dxfId="4" priority="927" operator="lessThanOrEqual">
      <formula>I16</formula>
    </cfRule>
  </conditionalFormatting>
  <conditionalFormatting sqref="AL17">
    <cfRule type="cellIs" dxfId="4" priority="933" operator="lessThanOrEqual">
      <formula>I17</formula>
    </cfRule>
  </conditionalFormatting>
  <conditionalFormatting sqref="AL19">
    <cfRule type="cellIs" dxfId="4" priority="939" operator="lessThanOrEqual">
      <formula>I19</formula>
    </cfRule>
  </conditionalFormatting>
  <conditionalFormatting sqref="AL20">
    <cfRule type="cellIs" dxfId="4" priority="944" operator="lessThanOrEqual">
      <formula>I20</formula>
    </cfRule>
  </conditionalFormatting>
  <conditionalFormatting sqref="AL27">
    <cfRule type="cellIs" dxfId="4" priority="950" operator="lessThanOrEqual">
      <formula>I27</formula>
    </cfRule>
  </conditionalFormatting>
  <conditionalFormatting sqref="AL28">
    <cfRule type="cellIs" dxfId="4" priority="956" operator="lessThanOrEqual">
      <formula>I28</formula>
    </cfRule>
  </conditionalFormatting>
  <conditionalFormatting sqref="AL30">
    <cfRule type="cellIs" dxfId="4" priority="962" operator="lessThanOrEqual">
      <formula>I30</formula>
    </cfRule>
  </conditionalFormatting>
  <conditionalFormatting sqref="AL31">
    <cfRule type="cellIs" dxfId="4" priority="968" operator="lessThanOrEqual">
      <formula>I31</formula>
    </cfRule>
  </conditionalFormatting>
  <conditionalFormatting sqref="AL33">
    <cfRule type="cellIs" dxfId="4" priority="974" operator="lessThanOrEqual">
      <formula>I33</formula>
    </cfRule>
  </conditionalFormatting>
  <conditionalFormatting sqref="AL34">
    <cfRule type="cellIs" dxfId="4" priority="979" operator="lessThanOrEqual">
      <formula>I34</formula>
    </cfRule>
  </conditionalFormatting>
  <conditionalFormatting sqref="AL35">
    <cfRule type="cellIs" dxfId="4" priority="984" operator="lessThanOrEqual">
      <formula>I35</formula>
    </cfRule>
  </conditionalFormatting>
  <conditionalFormatting sqref="AL36">
    <cfRule type="cellIs" dxfId="4" priority="989" operator="lessThanOrEqual">
      <formula>I36</formula>
    </cfRule>
  </conditionalFormatting>
  <conditionalFormatting sqref="AL37">
    <cfRule type="cellIs" dxfId="4" priority="994" operator="lessThanOrEqual">
      <formula>I37</formula>
    </cfRule>
  </conditionalFormatting>
  <conditionalFormatting sqref="AL38">
    <cfRule type="cellIs" dxfId="4" priority="999" operator="lessThanOrEqual">
      <formula>I38</formula>
    </cfRule>
  </conditionalFormatting>
  <conditionalFormatting sqref="AL39">
    <cfRule type="cellIs" dxfId="4" priority="1005" operator="lessThanOrEqual">
      <formula>I39</formula>
    </cfRule>
  </conditionalFormatting>
  <conditionalFormatting sqref="AL40">
    <cfRule type="cellIs" dxfId="4" priority="1011" operator="lessThanOrEqual">
      <formula>I40</formula>
    </cfRule>
  </conditionalFormatting>
  <conditionalFormatting sqref="AL43">
    <cfRule type="cellIs" dxfId="4" priority="1017" operator="lessThanOrEqual">
      <formula>I43</formula>
    </cfRule>
  </conditionalFormatting>
  <conditionalFormatting sqref="AL44">
    <cfRule type="cellIs" dxfId="4" priority="1022" operator="lessThanOrEqual">
      <formula>I44</formula>
    </cfRule>
  </conditionalFormatting>
  <conditionalFormatting sqref="AL45">
    <cfRule type="cellIs" dxfId="4" priority="1028" operator="lessThanOrEqual">
      <formula>I45</formula>
    </cfRule>
  </conditionalFormatting>
  <conditionalFormatting sqref="AL46">
    <cfRule type="cellIs" dxfId="4" priority="1034" operator="lessThanOrEqual">
      <formula>I46</formula>
    </cfRule>
  </conditionalFormatting>
  <conditionalFormatting sqref="AL47">
    <cfRule type="cellIs" dxfId="4" priority="1039" operator="lessThanOrEqual">
      <formula>I47</formula>
    </cfRule>
  </conditionalFormatting>
  <conditionalFormatting sqref="AL48">
    <cfRule type="cellIs" dxfId="4" priority="1045" operator="lessThanOrEqual">
      <formula>I48</formula>
    </cfRule>
  </conditionalFormatting>
  <conditionalFormatting sqref="AL50">
    <cfRule type="cellIs" dxfId="4" priority="1050" operator="lessThanOrEqual">
      <formula>I50</formula>
    </cfRule>
  </conditionalFormatting>
  <conditionalFormatting sqref="AL7">
    <cfRule type="cellIs" dxfId="4" priority="873" operator="lessThanOrEqual">
      <formula>I7</formula>
    </cfRule>
  </conditionalFormatting>
  <conditionalFormatting sqref="AL8">
    <cfRule type="cellIs" dxfId="4" priority="879" operator="lessThanOrEqual">
      <formula>I8</formula>
    </cfRule>
  </conditionalFormatting>
  <conditionalFormatting sqref="AL9">
    <cfRule type="cellIs" dxfId="4" priority="885" operator="lessThanOrEqual">
      <formula>I9</formula>
    </cfRule>
  </conditionalFormatting>
  <conditionalFormatting sqref="AM10">
    <cfRule type="cellIs" dxfId="4" priority="890" operator="lessThanOrEqual">
      <formula>J10</formula>
    </cfRule>
  </conditionalFormatting>
  <conditionalFormatting sqref="AM11">
    <cfRule type="cellIs" dxfId="4" priority="896" operator="lessThanOrEqual">
      <formula>J11</formula>
    </cfRule>
  </conditionalFormatting>
  <conditionalFormatting sqref="AM12">
    <cfRule type="cellIs" dxfId="4" priority="902" operator="lessThanOrEqual">
      <formula>J12</formula>
    </cfRule>
  </conditionalFormatting>
  <conditionalFormatting sqref="AM13">
    <cfRule type="cellIs" dxfId="4" priority="908" operator="lessThanOrEqual">
      <formula>J13</formula>
    </cfRule>
  </conditionalFormatting>
  <conditionalFormatting sqref="AM14">
    <cfRule type="cellIs" dxfId="4" priority="914" operator="lessThanOrEqual">
      <formula>J14</formula>
    </cfRule>
  </conditionalFormatting>
  <conditionalFormatting sqref="AM15">
    <cfRule type="cellIs" dxfId="4" priority="920" operator="lessThanOrEqual">
      <formula>J15</formula>
    </cfRule>
  </conditionalFormatting>
  <conditionalFormatting sqref="AM16">
    <cfRule type="cellIs" dxfId="4" priority="926" operator="lessThanOrEqual">
      <formula>J16</formula>
    </cfRule>
  </conditionalFormatting>
  <conditionalFormatting sqref="AM17">
    <cfRule type="cellIs" dxfId="4" priority="932" operator="lessThanOrEqual">
      <formula>J17</formula>
    </cfRule>
  </conditionalFormatting>
  <conditionalFormatting sqref="AM19">
    <cfRule type="cellIs" dxfId="4" priority="938" operator="lessThanOrEqual">
      <formula>J19</formula>
    </cfRule>
  </conditionalFormatting>
  <conditionalFormatting sqref="AM20">
    <cfRule type="cellIs" dxfId="4" priority="943" operator="lessThanOrEqual">
      <formula>J20</formula>
    </cfRule>
  </conditionalFormatting>
  <conditionalFormatting sqref="AM27">
    <cfRule type="cellIs" dxfId="4" priority="949" operator="lessThanOrEqual">
      <formula>J27</formula>
    </cfRule>
  </conditionalFormatting>
  <conditionalFormatting sqref="AM28">
    <cfRule type="cellIs" dxfId="4" priority="955" operator="lessThanOrEqual">
      <formula>J28</formula>
    </cfRule>
  </conditionalFormatting>
  <conditionalFormatting sqref="AM30">
    <cfRule type="cellIs" dxfId="4" priority="961" operator="lessThanOrEqual">
      <formula>J30</formula>
    </cfRule>
  </conditionalFormatting>
  <conditionalFormatting sqref="AM31">
    <cfRule type="cellIs" dxfId="4" priority="967" operator="lessThanOrEqual">
      <formula>J31</formula>
    </cfRule>
  </conditionalFormatting>
  <conditionalFormatting sqref="AM33">
    <cfRule type="cellIs" dxfId="4" priority="973" operator="lessThanOrEqual">
      <formula>J33</formula>
    </cfRule>
  </conditionalFormatting>
  <conditionalFormatting sqref="AM34">
    <cfRule type="cellIs" dxfId="4" priority="978" operator="lessThanOrEqual">
      <formula>J34</formula>
    </cfRule>
  </conditionalFormatting>
  <conditionalFormatting sqref="AM35">
    <cfRule type="cellIs" dxfId="4" priority="983" operator="lessThanOrEqual">
      <formula>J35</formula>
    </cfRule>
  </conditionalFormatting>
  <conditionalFormatting sqref="AM36">
    <cfRule type="cellIs" dxfId="4" priority="988" operator="lessThanOrEqual">
      <formula>J36</formula>
    </cfRule>
  </conditionalFormatting>
  <conditionalFormatting sqref="AM37">
    <cfRule type="cellIs" dxfId="4" priority="993" operator="lessThanOrEqual">
      <formula>J37</formula>
    </cfRule>
  </conditionalFormatting>
  <conditionalFormatting sqref="AM38">
    <cfRule type="cellIs" dxfId="4" priority="998" operator="lessThanOrEqual">
      <formula>J38</formula>
    </cfRule>
  </conditionalFormatting>
  <conditionalFormatting sqref="AM39">
    <cfRule type="cellIs" dxfId="4" priority="1004" operator="lessThanOrEqual">
      <formula>J39</formula>
    </cfRule>
  </conditionalFormatting>
  <conditionalFormatting sqref="AM40">
    <cfRule type="cellIs" dxfId="4" priority="1010" operator="lessThanOrEqual">
      <formula>J40</formula>
    </cfRule>
  </conditionalFormatting>
  <conditionalFormatting sqref="AM43">
    <cfRule type="cellIs" dxfId="4" priority="1016" operator="lessThanOrEqual">
      <formula>J43</formula>
    </cfRule>
  </conditionalFormatting>
  <conditionalFormatting sqref="AM44">
    <cfRule type="cellIs" dxfId="4" priority="1021" operator="lessThanOrEqual">
      <formula>J44</formula>
    </cfRule>
  </conditionalFormatting>
  <conditionalFormatting sqref="AM45">
    <cfRule type="cellIs" dxfId="4" priority="1027" operator="lessThanOrEqual">
      <formula>J45</formula>
    </cfRule>
  </conditionalFormatting>
  <conditionalFormatting sqref="AM46">
    <cfRule type="cellIs" dxfId="4" priority="1033" operator="lessThanOrEqual">
      <formula>J46</formula>
    </cfRule>
  </conditionalFormatting>
  <conditionalFormatting sqref="AM47">
    <cfRule type="cellIs" dxfId="4" priority="1038" operator="lessThanOrEqual">
      <formula>J47</formula>
    </cfRule>
  </conditionalFormatting>
  <conditionalFormatting sqref="AM48">
    <cfRule type="cellIs" dxfId="4" priority="1044" operator="lessThanOrEqual">
      <formula>J48</formula>
    </cfRule>
  </conditionalFormatting>
  <conditionalFormatting sqref="AM50">
    <cfRule type="cellIs" dxfId="4" priority="1049" operator="lessThanOrEqual">
      <formula>J50</formula>
    </cfRule>
  </conditionalFormatting>
  <conditionalFormatting sqref="AM7">
    <cfRule type="cellIs" dxfId="4" priority="872" operator="lessThanOrEqual">
      <formula>J7</formula>
    </cfRule>
  </conditionalFormatting>
  <conditionalFormatting sqref="AM8">
    <cfRule type="cellIs" dxfId="4" priority="878" operator="lessThanOrEqual">
      <formula>J8</formula>
    </cfRule>
  </conditionalFormatting>
  <conditionalFormatting sqref="AM9">
    <cfRule type="cellIs" dxfId="4" priority="884" operator="lessThanOrEqual">
      <formula>J9</formula>
    </cfRule>
  </conditionalFormatting>
  <conditionalFormatting sqref="AO12">
    <cfRule type="cellIs" dxfId="1" priority="1051" operator="equal">
      <formula>0</formula>
    </cfRule>
    <cfRule type="cellIs" dxfId="2" priority="1052" operator="lessThan">
      <formula>H12</formula>
    </cfRule>
  </conditionalFormatting>
  <conditionalFormatting sqref="AO13">
    <cfRule type="cellIs" dxfId="1" priority="1057" operator="equal">
      <formula>0</formula>
    </cfRule>
    <cfRule type="cellIs" dxfId="2" priority="1058" operator="lessThan">
      <formula>H13</formula>
    </cfRule>
  </conditionalFormatting>
  <conditionalFormatting sqref="AO17">
    <cfRule type="cellIs" dxfId="1" priority="1063" operator="equal">
      <formula>0</formula>
    </cfRule>
    <cfRule type="cellIs" dxfId="2" priority="1064" operator="lessThan">
      <formula>H17</formula>
    </cfRule>
  </conditionalFormatting>
  <conditionalFormatting sqref="AO18">
    <cfRule type="cellIs" dxfId="1" priority="1069" operator="equal">
      <formula>0</formula>
    </cfRule>
    <cfRule type="cellIs" dxfId="2" priority="1070" operator="lessThan">
      <formula>H18</formula>
    </cfRule>
  </conditionalFormatting>
  <conditionalFormatting sqref="AO20">
    <cfRule type="cellIs" dxfId="1" priority="1075" operator="equal">
      <formula>0</formula>
    </cfRule>
    <cfRule type="cellIs" dxfId="2" priority="1076" operator="lessThan">
      <formula>H20</formula>
    </cfRule>
  </conditionalFormatting>
  <conditionalFormatting sqref="AO27">
    <cfRule type="cellIs" dxfId="1" priority="1081" operator="equal">
      <formula>0</formula>
    </cfRule>
    <cfRule type="cellIs" dxfId="2" priority="1082" operator="lessThan">
      <formula>H27</formula>
    </cfRule>
  </conditionalFormatting>
  <conditionalFormatting sqref="AO28">
    <cfRule type="cellIs" dxfId="1" priority="1087" operator="equal">
      <formula>0</formula>
    </cfRule>
    <cfRule type="cellIs" dxfId="2" priority="1088" operator="lessThan">
      <formula>H28</formula>
    </cfRule>
  </conditionalFormatting>
  <conditionalFormatting sqref="AO30">
    <cfRule type="cellIs" dxfId="1" priority="1093" operator="equal">
      <formula>0</formula>
    </cfRule>
    <cfRule type="cellIs" dxfId="2" priority="1094" operator="lessThan">
      <formula>H30</formula>
    </cfRule>
  </conditionalFormatting>
  <conditionalFormatting sqref="AO31">
    <cfRule type="cellIs" dxfId="1" priority="1099" operator="equal">
      <formula>0</formula>
    </cfRule>
    <cfRule type="cellIs" dxfId="2" priority="1100" operator="lessThan">
      <formula>H31</formula>
    </cfRule>
  </conditionalFormatting>
  <conditionalFormatting sqref="AO32">
    <cfRule type="cellIs" dxfId="1" priority="1105" operator="equal">
      <formula>0</formula>
    </cfRule>
    <cfRule type="cellIs" dxfId="2" priority="1106" operator="lessThan">
      <formula>H32</formula>
    </cfRule>
  </conditionalFormatting>
  <conditionalFormatting sqref="AO34">
    <cfRule type="cellIs" dxfId="1" priority="1111" operator="equal">
      <formula>0</formula>
    </cfRule>
    <cfRule type="cellIs" dxfId="2" priority="1112" operator="lessThan">
      <formula>H34</formula>
    </cfRule>
  </conditionalFormatting>
  <conditionalFormatting sqref="AO40">
    <cfRule type="cellIs" dxfId="1" priority="1117" operator="equal">
      <formula>0</formula>
    </cfRule>
    <cfRule type="cellIs" dxfId="2" priority="1118" operator="lessThan">
      <formula>H40</formula>
    </cfRule>
  </conditionalFormatting>
  <conditionalFormatting sqref="AO43">
    <cfRule type="cellIs" dxfId="1" priority="1123" operator="equal">
      <formula>0</formula>
    </cfRule>
    <cfRule type="cellIs" dxfId="2" priority="1124" operator="lessThan">
      <formula>H43</formula>
    </cfRule>
  </conditionalFormatting>
  <conditionalFormatting sqref="AP12">
    <cfRule type="expression" dxfId="3" priority="1053">
      <formula>AND(AP12&gt;0,AP12&lt;15000)</formula>
    </cfRule>
    <cfRule type="cellIs" dxfId="1" priority="1054" operator="greaterThan">
      <formula>AO12</formula>
    </cfRule>
  </conditionalFormatting>
  <conditionalFormatting sqref="AP13">
    <cfRule type="expression" dxfId="3" priority="1059">
      <formula>AND(AP13&gt;0,AP13&lt;15000)</formula>
    </cfRule>
    <cfRule type="cellIs" dxfId="1" priority="1060" operator="greaterThan">
      <formula>AO13</formula>
    </cfRule>
  </conditionalFormatting>
  <conditionalFormatting sqref="AP17">
    <cfRule type="expression" dxfId="3" priority="1065">
      <formula>AND(AP17&gt;0,AP17&lt;3000)</formula>
    </cfRule>
    <cfRule type="cellIs" dxfId="1" priority="1066" operator="greaterThan">
      <formula>AO17</formula>
    </cfRule>
  </conditionalFormatting>
  <conditionalFormatting sqref="AP18">
    <cfRule type="expression" dxfId="3" priority="1071">
      <formula>AND(AP18&gt;0,AP18&lt;5000)</formula>
    </cfRule>
    <cfRule type="cellIs" dxfId="1" priority="1072" operator="greaterThan">
      <formula>AO18</formula>
    </cfRule>
  </conditionalFormatting>
  <conditionalFormatting sqref="AP20">
    <cfRule type="expression" dxfId="3" priority="1077">
      <formula>AND(AP20&gt;0,AP20&lt;100)</formula>
    </cfRule>
    <cfRule type="cellIs" dxfId="1" priority="1078" operator="greaterThan">
      <formula>AO20</formula>
    </cfRule>
  </conditionalFormatting>
  <conditionalFormatting sqref="AP27">
    <cfRule type="expression" dxfId="3" priority="1083">
      <formula>AND(AP27&gt;0,AP27&lt;15000)</formula>
    </cfRule>
    <cfRule type="cellIs" dxfId="1" priority="1084" operator="greaterThan">
      <formula>AO27</formula>
    </cfRule>
  </conditionalFormatting>
  <conditionalFormatting sqref="AP28">
    <cfRule type="expression" dxfId="3" priority="1089">
      <formula>AND(AP28&gt;0,AP28&lt;15000)</formula>
    </cfRule>
    <cfRule type="cellIs" dxfId="1" priority="1090" operator="greaterThan">
      <formula>AO28</formula>
    </cfRule>
  </conditionalFormatting>
  <conditionalFormatting sqref="AP30">
    <cfRule type="expression" dxfId="3" priority="1095">
      <formula>AND(AP30&gt;0,AP30&lt;15000)</formula>
    </cfRule>
    <cfRule type="cellIs" dxfId="1" priority="1096" operator="greaterThan">
      <formula>AO30</formula>
    </cfRule>
  </conditionalFormatting>
  <conditionalFormatting sqref="AP31">
    <cfRule type="expression" dxfId="3" priority="1101">
      <formula>AND(AP31&gt;0,AP31&lt;15000)</formula>
    </cfRule>
    <cfRule type="cellIs" dxfId="1" priority="1102" operator="greaterThan">
      <formula>AO31</formula>
    </cfRule>
  </conditionalFormatting>
  <conditionalFormatting sqref="AP32">
    <cfRule type="expression" dxfId="3" priority="1107">
      <formula>AND(AP32&gt;0,AP32&lt;15000)</formula>
    </cfRule>
    <cfRule type="cellIs" dxfId="1" priority="1108" operator="greaterThan">
      <formula>AO32</formula>
    </cfRule>
  </conditionalFormatting>
  <conditionalFormatting sqref="AP34">
    <cfRule type="expression" dxfId="3" priority="1113">
      <formula>AND(AP34&gt;0,AP34&lt;15000)</formula>
    </cfRule>
    <cfRule type="cellIs" dxfId="1" priority="1114" operator="greaterThan">
      <formula>AO34</formula>
    </cfRule>
  </conditionalFormatting>
  <conditionalFormatting sqref="AP40">
    <cfRule type="expression" dxfId="3" priority="1119">
      <formula>AND(AP40&gt;0,AP40&lt;20)</formula>
    </cfRule>
    <cfRule type="cellIs" dxfId="1" priority="1120" operator="greaterThan">
      <formula>AO40</formula>
    </cfRule>
  </conditionalFormatting>
  <conditionalFormatting sqref="AP43">
    <cfRule type="expression" dxfId="3" priority="1125">
      <formula>AND(AP43&gt;0,AP43&lt;3000)</formula>
    </cfRule>
    <cfRule type="cellIs" dxfId="1" priority="1126" operator="greaterThan">
      <formula>AO43</formula>
    </cfRule>
  </conditionalFormatting>
  <conditionalFormatting sqref="AQ12">
    <cfRule type="cellIs" dxfId="4" priority="1056" operator="lessThanOrEqual">
      <formula>I12</formula>
    </cfRule>
  </conditionalFormatting>
  <conditionalFormatting sqref="AQ13">
    <cfRule type="cellIs" dxfId="4" priority="1062" operator="lessThanOrEqual">
      <formula>I13</formula>
    </cfRule>
  </conditionalFormatting>
  <conditionalFormatting sqref="AQ17">
    <cfRule type="cellIs" dxfId="4" priority="1068" operator="lessThanOrEqual">
      <formula>I17</formula>
    </cfRule>
  </conditionalFormatting>
  <conditionalFormatting sqref="AQ18">
    <cfRule type="cellIs" dxfId="4" priority="1074" operator="lessThanOrEqual">
      <formula>I18</formula>
    </cfRule>
  </conditionalFormatting>
  <conditionalFormatting sqref="AQ20">
    <cfRule type="cellIs" dxfId="4" priority="1080" operator="lessThanOrEqual">
      <formula>I20</formula>
    </cfRule>
  </conditionalFormatting>
  <conditionalFormatting sqref="AQ27">
    <cfRule type="cellIs" dxfId="4" priority="1086" operator="lessThanOrEqual">
      <formula>I27</formula>
    </cfRule>
  </conditionalFormatting>
  <conditionalFormatting sqref="AQ28">
    <cfRule type="cellIs" dxfId="4" priority="1092" operator="lessThanOrEqual">
      <formula>I28</formula>
    </cfRule>
  </conditionalFormatting>
  <conditionalFormatting sqref="AQ30">
    <cfRule type="cellIs" dxfId="4" priority="1098" operator="lessThanOrEqual">
      <formula>I30</formula>
    </cfRule>
  </conditionalFormatting>
  <conditionalFormatting sqref="AQ31">
    <cfRule type="cellIs" dxfId="4" priority="1104" operator="lessThanOrEqual">
      <formula>I31</formula>
    </cfRule>
  </conditionalFormatting>
  <conditionalFormatting sqref="AQ32">
    <cfRule type="cellIs" dxfId="4" priority="1110" operator="lessThanOrEqual">
      <formula>I32</formula>
    </cfRule>
  </conditionalFormatting>
  <conditionalFormatting sqref="AQ34">
    <cfRule type="cellIs" dxfId="4" priority="1116" operator="lessThanOrEqual">
      <formula>I34</formula>
    </cfRule>
  </conditionalFormatting>
  <conditionalFormatting sqref="AQ40">
    <cfRule type="cellIs" dxfId="4" priority="1122" operator="lessThanOrEqual">
      <formula>I40</formula>
    </cfRule>
  </conditionalFormatting>
  <conditionalFormatting sqref="AQ43">
    <cfRule type="cellIs" dxfId="4" priority="1128" operator="lessThanOrEqual">
      <formula>I43</formula>
    </cfRule>
  </conditionalFormatting>
  <conditionalFormatting sqref="AR12">
    <cfRule type="cellIs" dxfId="4" priority="1055" operator="lessThanOrEqual">
      <formula>J12</formula>
    </cfRule>
  </conditionalFormatting>
  <conditionalFormatting sqref="AR13">
    <cfRule type="cellIs" dxfId="4" priority="1061" operator="lessThanOrEqual">
      <formula>J13</formula>
    </cfRule>
  </conditionalFormatting>
  <conditionalFormatting sqref="AR17">
    <cfRule type="cellIs" dxfId="4" priority="1067" operator="lessThanOrEqual">
      <formula>J17</formula>
    </cfRule>
  </conditionalFormatting>
  <conditionalFormatting sqref="AR18">
    <cfRule type="cellIs" dxfId="4" priority="1073" operator="lessThanOrEqual">
      <formula>J18</formula>
    </cfRule>
  </conditionalFormatting>
  <conditionalFormatting sqref="AR20">
    <cfRule type="cellIs" dxfId="4" priority="1079" operator="lessThanOrEqual">
      <formula>J20</formula>
    </cfRule>
  </conditionalFormatting>
  <conditionalFormatting sqref="AR27">
    <cfRule type="cellIs" dxfId="4" priority="1085" operator="lessThanOrEqual">
      <formula>J27</formula>
    </cfRule>
  </conditionalFormatting>
  <conditionalFormatting sqref="AR28">
    <cfRule type="cellIs" dxfId="4" priority="1091" operator="lessThanOrEqual">
      <formula>J28</formula>
    </cfRule>
  </conditionalFormatting>
  <conditionalFormatting sqref="AR30">
    <cfRule type="cellIs" dxfId="4" priority="1097" operator="lessThanOrEqual">
      <formula>J30</formula>
    </cfRule>
  </conditionalFormatting>
  <conditionalFormatting sqref="AR31">
    <cfRule type="cellIs" dxfId="4" priority="1103" operator="lessThanOrEqual">
      <formula>J31</formula>
    </cfRule>
  </conditionalFormatting>
  <conditionalFormatting sqref="AR32">
    <cfRule type="cellIs" dxfId="4" priority="1109" operator="lessThanOrEqual">
      <formula>J32</formula>
    </cfRule>
  </conditionalFormatting>
  <conditionalFormatting sqref="AR34">
    <cfRule type="cellIs" dxfId="4" priority="1115" operator="lessThanOrEqual">
      <formula>J34</formula>
    </cfRule>
  </conditionalFormatting>
  <conditionalFormatting sqref="AR40">
    <cfRule type="cellIs" dxfId="4" priority="1121" operator="lessThanOrEqual">
      <formula>J40</formula>
    </cfRule>
  </conditionalFormatting>
  <conditionalFormatting sqref="AR43">
    <cfRule type="cellIs" dxfId="4" priority="1127" operator="lessThanOrEqual">
      <formula>J43</formula>
    </cfRule>
  </conditionalFormatting>
  <conditionalFormatting sqref="AT19">
    <cfRule type="cellIs" dxfId="1" priority="1129" operator="equal">
      <formula>0</formula>
    </cfRule>
    <cfRule type="cellIs" dxfId="2" priority="1130" operator="lessThan">
      <formula>H19</formula>
    </cfRule>
  </conditionalFormatting>
  <conditionalFormatting sqref="AT20">
    <cfRule type="cellIs" dxfId="1" priority="1134" operator="equal">
      <formula>0</formula>
    </cfRule>
    <cfRule type="cellIs" dxfId="2" priority="1135" operator="lessThan">
      <formula>H20</formula>
    </cfRule>
  </conditionalFormatting>
  <conditionalFormatting sqref="AT35">
    <cfRule type="cellIs" dxfId="1" priority="1140" operator="equal">
      <formula>0</formula>
    </cfRule>
    <cfRule type="cellIs" dxfId="2" priority="1141" operator="lessThan">
      <formula>H35</formula>
    </cfRule>
  </conditionalFormatting>
  <conditionalFormatting sqref="AU19">
    <cfRule type="cellIs" dxfId="1" priority="1131" operator="greaterThan">
      <formula>AT19</formula>
    </cfRule>
  </conditionalFormatting>
  <conditionalFormatting sqref="AU20">
    <cfRule type="expression" dxfId="3" priority="1136">
      <formula>AND(AU20&gt;0,AU20&lt;50)</formula>
    </cfRule>
    <cfRule type="cellIs" dxfId="1" priority="1137" operator="greaterThan">
      <formula>AT20</formula>
    </cfRule>
  </conditionalFormatting>
  <conditionalFormatting sqref="AU35">
    <cfRule type="expression" dxfId="3" priority="1142">
      <formula>AND(AU35&gt;0,AU35&lt;5)</formula>
    </cfRule>
    <cfRule type="cellIs" dxfId="1" priority="1143" operator="greaterThan">
      <formula>AT35</formula>
    </cfRule>
  </conditionalFormatting>
  <conditionalFormatting sqref="AV19">
    <cfRule type="cellIs" dxfId="4" priority="1133" operator="lessThanOrEqual">
      <formula>I19</formula>
    </cfRule>
  </conditionalFormatting>
  <conditionalFormatting sqref="AV20">
    <cfRule type="cellIs" dxfId="4" priority="1139" operator="lessThanOrEqual">
      <formula>I20</formula>
    </cfRule>
  </conditionalFormatting>
  <conditionalFormatting sqref="AV35">
    <cfRule type="cellIs" dxfId="4" priority="1145" operator="lessThanOrEqual">
      <formula>I35</formula>
    </cfRule>
  </conditionalFormatting>
  <conditionalFormatting sqref="AW19">
    <cfRule type="cellIs" dxfId="4" priority="1132" operator="lessThanOrEqual">
      <formula>J19</formula>
    </cfRule>
  </conditionalFormatting>
  <conditionalFormatting sqref="AW20">
    <cfRule type="cellIs" dxfId="4" priority="1138" operator="lessThanOrEqual">
      <formula>J20</formula>
    </cfRule>
  </conditionalFormatting>
  <conditionalFormatting sqref="AW35">
    <cfRule type="cellIs" dxfId="4" priority="1144" operator="lessThanOrEqual">
      <formula>J35</formula>
    </cfRule>
  </conditionalFormatting>
  <conditionalFormatting sqref="H10">
    <cfRule type="expression" dxfId="0" priority="13">
      <formula>AND(ISBLANK(G10),ISBLANK(INDIRECT(ADDRESS(ROW(),COLUMN(arrow_part_data)+4))),ISBLANK(INDIRECT(ADDRESS(ROW(),COLUMN(digikey_part_data)+4))),ISBLANK(INDIRECT(ADDRESS(ROW(),COLUMN(farnell_part_data)+4))),ISBLANK(INDIRECT(ADDRESS(ROW(),COLUMN(mouser_part_data)+4))),ISBLANK(INDIRECT(ADDRESS(ROW(),COLUMN(newark_part_data)+4))),ISBLANK(INDIRECT(ADDRESS(ROW(),COLUMN(rs_part_data)+4))),ISBLANK(INDIRECT(ADDRESS(ROW(),COLUMN(tme_part_data)+4))),ISBLANK(INDIRECT(ADDRESS(ROW(),COLUMN(lcsc_part_data)+4))))</formula>
    </cfRule>
    <cfRule type="expression" dxfId="1" priority="14">
      <formula>IF(SUM(INDIRECT(ADDRESS(ROW(),COLUMN(arrow_part_data)+0)),INDIRECT(ADDRESS(ROW(),COLUMN(digikey_part_data)+0)),INDIRECT(ADDRESS(ROW(),COLUMN(farnell_part_data)+0)),INDIRECT(ADDRESS(ROW(),COLUMN(mouser_part_data)+0)),INDIRECT(ADDRESS(ROW(),COLUMN(newark_part_data)+0)),INDIRECT(ADDRESS(ROW(),COLUMN(rs_part_data)+0)),INDIRECT(ADDRESS(ROW(),COLUMN(tme_part_data)+0)),INDIRECT(ADDRESS(ROW(),COLUMN(lcsc_part_data)+0)))=0,1,0)</formula>
    </cfRule>
    <cfRule type="cellIs" dxfId="2" priority="15" operator="greaterThan">
      <formula>SUM(INDIRECT(ADDRESS(ROW(),COLUMN(arrow_part_data)+0)),INDIRECT(ADDRESS(ROW(),COLUMN(digikey_part_data)+0)),INDIRECT(ADDRESS(ROW(),COLUMN(farnell_part_data)+0)),INDIRECT(ADDRESS(ROW(),COLUMN(mouser_part_data)+0)),INDIRECT(ADDRESS(ROW(),COLUMN(newark_part_data)+0)),INDIRECT(ADDRESS(ROW(),COLUMN(rs_part_data)+0)),INDIRECT(ADDRESS(ROW(),COLUMN(tme_part_data)+0)),INDIRECT(ADDRESS(ROW(),COLUMN(lcsc_part_data)+0)))</formula>
    </cfRule>
    <cfRule type="cellIs" dxfId="3" priority="16" operator="greaterThan">
      <formula>SUM(IF(ISNUMBER(INDIRECT(ADDRESS(ROW(),COLUMN(arrow_part_data)+2))),INDIRECT(ADDRESS(ROW(),COLUMN(arrow_part_data)+1)),0),IF(ISNUMBER(INDIRECT(ADDRESS(ROW(),COLUMN(digikey_part_data)+2))),INDIRECT(ADDRESS(ROW(),COLUMN(digikey_part_data)+1)),0),IF(ISNUMBER(INDIRECT(ADDRESS(ROW(),COLUMN(farnell_part_data)+2))),INDIRECT(ADDRESS(ROW(),COLUMN(farnell_part_data)+1)),0),IF(ISNUMBER(INDIRECT(ADDRESS(ROW(),COLUMN(mouser_part_data)+2))),INDIRECT(ADDRESS(ROW(),COLUMN(mouser_part_data)+1)),0),IF(ISNUMBER(INDIRECT(ADDRESS(ROW(),COLUMN(newark_part_data)+2))),INDIRECT(ADDRESS(ROW(),COLUMN(newark_part_data)+1)),0),IF(ISNUMBER(INDIRECT(ADDRESS(ROW(),COLUMN(rs_part_data)+2))),INDIRECT(ADDRESS(ROW(),COLUMN(rs_part_data)+1)),0),IF(ISNUMBER(INDIRECT(ADDRESS(ROW(),COLUMN(tme_part_data)+2))),INDIRECT(ADDRESS(ROW(),COLUMN(tme_part_data)+1)),0),IF(ISNUMBER(INDIRECT(ADDRESS(ROW(),COLUMN(lcsc_part_data)+2))),INDIRECT(ADDRESS(ROW(),COLUMN(lcsc_part_data)+1)),0))</formula>
    </cfRule>
  </conditionalFormatting>
  <conditionalFormatting sqref="H11">
    <cfRule type="expression" dxfId="0" priority="17">
      <formula>AND(ISBLANK(G11),ISBLANK(INDIRECT(ADDRESS(ROW(),COLUMN(arrow_part_data)+4))),ISBLANK(INDIRECT(ADDRESS(ROW(),COLUMN(digikey_part_data)+4))),ISBLANK(INDIRECT(ADDRESS(ROW(),COLUMN(farnell_part_data)+4))),ISBLANK(INDIRECT(ADDRESS(ROW(),COLUMN(mouser_part_data)+4))),ISBLANK(INDIRECT(ADDRESS(ROW(),COLUMN(newark_part_data)+4))),ISBLANK(INDIRECT(ADDRESS(ROW(),COLUMN(rs_part_data)+4))),ISBLANK(INDIRECT(ADDRESS(ROW(),COLUMN(tme_part_data)+4))),ISBLANK(INDIRECT(ADDRESS(ROW(),COLUMN(lcsc_part_data)+4))))</formula>
    </cfRule>
    <cfRule type="expression" dxfId="1" priority="18">
      <formula>IF(SUM(INDIRECT(ADDRESS(ROW(),COLUMN(arrow_part_data)+0)),INDIRECT(ADDRESS(ROW(),COLUMN(digikey_part_data)+0)),INDIRECT(ADDRESS(ROW(),COLUMN(farnell_part_data)+0)),INDIRECT(ADDRESS(ROW(),COLUMN(mouser_part_data)+0)),INDIRECT(ADDRESS(ROW(),COLUMN(newark_part_data)+0)),INDIRECT(ADDRESS(ROW(),COLUMN(rs_part_data)+0)),INDIRECT(ADDRESS(ROW(),COLUMN(tme_part_data)+0)),INDIRECT(ADDRESS(ROW(),COLUMN(lcsc_part_data)+0)))=0,1,0)</formula>
    </cfRule>
    <cfRule type="cellIs" dxfId="2" priority="19" operator="greaterThan">
      <formula>SUM(INDIRECT(ADDRESS(ROW(),COLUMN(arrow_part_data)+0)),INDIRECT(ADDRESS(ROW(),COLUMN(digikey_part_data)+0)),INDIRECT(ADDRESS(ROW(),COLUMN(farnell_part_data)+0)),INDIRECT(ADDRESS(ROW(),COLUMN(mouser_part_data)+0)),INDIRECT(ADDRESS(ROW(),COLUMN(newark_part_data)+0)),INDIRECT(ADDRESS(ROW(),COLUMN(rs_part_data)+0)),INDIRECT(ADDRESS(ROW(),COLUMN(tme_part_data)+0)),INDIRECT(ADDRESS(ROW(),COLUMN(lcsc_part_data)+0)))</formula>
    </cfRule>
    <cfRule type="cellIs" dxfId="3" priority="20" operator="greaterThan">
      <formula>SUM(IF(ISNUMBER(INDIRECT(ADDRESS(ROW(),COLUMN(arrow_part_data)+2))),INDIRECT(ADDRESS(ROW(),COLUMN(arrow_part_data)+1)),0),IF(ISNUMBER(INDIRECT(ADDRESS(ROW(),COLUMN(digikey_part_data)+2))),INDIRECT(ADDRESS(ROW(),COLUMN(digikey_part_data)+1)),0),IF(ISNUMBER(INDIRECT(ADDRESS(ROW(),COLUMN(farnell_part_data)+2))),INDIRECT(ADDRESS(ROW(),COLUMN(farnell_part_data)+1)),0),IF(ISNUMBER(INDIRECT(ADDRESS(ROW(),COLUMN(mouser_part_data)+2))),INDIRECT(ADDRESS(ROW(),COLUMN(mouser_part_data)+1)),0),IF(ISNUMBER(INDIRECT(ADDRESS(ROW(),COLUMN(newark_part_data)+2))),INDIRECT(ADDRESS(ROW(),COLUMN(newark_part_data)+1)),0),IF(ISNUMBER(INDIRECT(ADDRESS(ROW(),COLUMN(rs_part_data)+2))),INDIRECT(ADDRESS(ROW(),COLUMN(rs_part_data)+1)),0),IF(ISNUMBER(INDIRECT(ADDRESS(ROW(),COLUMN(tme_part_data)+2))),INDIRECT(ADDRESS(ROW(),COLUMN(tme_part_data)+1)),0),IF(ISNUMBER(INDIRECT(ADDRESS(ROW(),COLUMN(lcsc_part_data)+2))),INDIRECT(ADDRESS(ROW(),COLUMN(lcsc_part_data)+1)),0))</formula>
    </cfRule>
  </conditionalFormatting>
  <conditionalFormatting sqref="H12">
    <cfRule type="expression" dxfId="0" priority="21">
      <formula>AND(ISBLANK(G12),ISBLANK(INDIRECT(ADDRESS(ROW(),COLUMN(arrow_part_data)+4))),ISBLANK(INDIRECT(ADDRESS(ROW(),COLUMN(digikey_part_data)+4))),ISBLANK(INDIRECT(ADDRESS(ROW(),COLUMN(farnell_part_data)+4))),ISBLANK(INDIRECT(ADDRESS(ROW(),COLUMN(mouser_part_data)+4))),ISBLANK(INDIRECT(ADDRESS(ROW(),COLUMN(newark_part_data)+4))),ISBLANK(INDIRECT(ADDRESS(ROW(),COLUMN(rs_part_data)+4))),ISBLANK(INDIRECT(ADDRESS(ROW(),COLUMN(tme_part_data)+4))),ISBLANK(INDIRECT(ADDRESS(ROW(),COLUMN(lcsc_part_data)+4))))</formula>
    </cfRule>
    <cfRule type="expression" dxfId="1" priority="22">
      <formula>IF(SUM(INDIRECT(ADDRESS(ROW(),COLUMN(arrow_part_data)+0)),INDIRECT(ADDRESS(ROW(),COLUMN(digikey_part_data)+0)),INDIRECT(ADDRESS(ROW(),COLUMN(farnell_part_data)+0)),INDIRECT(ADDRESS(ROW(),COLUMN(mouser_part_data)+0)),INDIRECT(ADDRESS(ROW(),COLUMN(newark_part_data)+0)),INDIRECT(ADDRESS(ROW(),COLUMN(rs_part_data)+0)),INDIRECT(ADDRESS(ROW(),COLUMN(tme_part_data)+0)),INDIRECT(ADDRESS(ROW(),COLUMN(lcsc_part_data)+0)))=0,1,0)</formula>
    </cfRule>
    <cfRule type="cellIs" dxfId="2" priority="23" operator="greaterThan">
      <formula>SUM(INDIRECT(ADDRESS(ROW(),COLUMN(arrow_part_data)+0)),INDIRECT(ADDRESS(ROW(),COLUMN(digikey_part_data)+0)),INDIRECT(ADDRESS(ROW(),COLUMN(farnell_part_data)+0)),INDIRECT(ADDRESS(ROW(),COLUMN(mouser_part_data)+0)),INDIRECT(ADDRESS(ROW(),COLUMN(newark_part_data)+0)),INDIRECT(ADDRESS(ROW(),COLUMN(rs_part_data)+0)),INDIRECT(ADDRESS(ROW(),COLUMN(tme_part_data)+0)),INDIRECT(ADDRESS(ROW(),COLUMN(lcsc_part_data)+0)))</formula>
    </cfRule>
    <cfRule type="cellIs" dxfId="3" priority="24" operator="greaterThan">
      <formula>SUM(IF(ISNUMBER(INDIRECT(ADDRESS(ROW(),COLUMN(arrow_part_data)+2))),INDIRECT(ADDRESS(ROW(),COLUMN(arrow_part_data)+1)),0),IF(ISNUMBER(INDIRECT(ADDRESS(ROW(),COLUMN(digikey_part_data)+2))),INDIRECT(ADDRESS(ROW(),COLUMN(digikey_part_data)+1)),0),IF(ISNUMBER(INDIRECT(ADDRESS(ROW(),COLUMN(farnell_part_data)+2))),INDIRECT(ADDRESS(ROW(),COLUMN(farnell_part_data)+1)),0),IF(ISNUMBER(INDIRECT(ADDRESS(ROW(),COLUMN(mouser_part_data)+2))),INDIRECT(ADDRESS(ROW(),COLUMN(mouser_part_data)+1)),0),IF(ISNUMBER(INDIRECT(ADDRESS(ROW(),COLUMN(newark_part_data)+2))),INDIRECT(ADDRESS(ROW(),COLUMN(newark_part_data)+1)),0),IF(ISNUMBER(INDIRECT(ADDRESS(ROW(),COLUMN(rs_part_data)+2))),INDIRECT(ADDRESS(ROW(),COLUMN(rs_part_data)+1)),0),IF(ISNUMBER(INDIRECT(ADDRESS(ROW(),COLUMN(tme_part_data)+2))),INDIRECT(ADDRESS(ROW(),COLUMN(tme_part_data)+1)),0),IF(ISNUMBER(INDIRECT(ADDRESS(ROW(),COLUMN(lcsc_part_data)+2))),INDIRECT(ADDRESS(ROW(),COLUMN(lcsc_part_data)+1)),0))</formula>
    </cfRule>
  </conditionalFormatting>
  <conditionalFormatting sqref="H13">
    <cfRule type="expression" dxfId="0" priority="25">
      <formula>AND(ISBLANK(G13),ISBLANK(INDIRECT(ADDRESS(ROW(),COLUMN(arrow_part_data)+4))),ISBLANK(INDIRECT(ADDRESS(ROW(),COLUMN(digikey_part_data)+4))),ISBLANK(INDIRECT(ADDRESS(ROW(),COLUMN(farnell_part_data)+4))),ISBLANK(INDIRECT(ADDRESS(ROW(),COLUMN(mouser_part_data)+4))),ISBLANK(INDIRECT(ADDRESS(ROW(),COLUMN(newark_part_data)+4))),ISBLANK(INDIRECT(ADDRESS(ROW(),COLUMN(rs_part_data)+4))),ISBLANK(INDIRECT(ADDRESS(ROW(),COLUMN(tme_part_data)+4))),ISBLANK(INDIRECT(ADDRESS(ROW(),COLUMN(lcsc_part_data)+4))))</formula>
    </cfRule>
    <cfRule type="expression" dxfId="1" priority="26">
      <formula>IF(SUM(INDIRECT(ADDRESS(ROW(),COLUMN(arrow_part_data)+0)),INDIRECT(ADDRESS(ROW(),COLUMN(digikey_part_data)+0)),INDIRECT(ADDRESS(ROW(),COLUMN(farnell_part_data)+0)),INDIRECT(ADDRESS(ROW(),COLUMN(mouser_part_data)+0)),INDIRECT(ADDRESS(ROW(),COLUMN(newark_part_data)+0)),INDIRECT(ADDRESS(ROW(),COLUMN(rs_part_data)+0)),INDIRECT(ADDRESS(ROW(),COLUMN(tme_part_data)+0)),INDIRECT(ADDRESS(ROW(),COLUMN(lcsc_part_data)+0)))=0,1,0)</formula>
    </cfRule>
    <cfRule type="cellIs" dxfId="2" priority="27" operator="greaterThan">
      <formula>SUM(INDIRECT(ADDRESS(ROW(),COLUMN(arrow_part_data)+0)),INDIRECT(ADDRESS(ROW(),COLUMN(digikey_part_data)+0)),INDIRECT(ADDRESS(ROW(),COLUMN(farnell_part_data)+0)),INDIRECT(ADDRESS(ROW(),COLUMN(mouser_part_data)+0)),INDIRECT(ADDRESS(ROW(),COLUMN(newark_part_data)+0)),INDIRECT(ADDRESS(ROW(),COLUMN(rs_part_data)+0)),INDIRECT(ADDRESS(ROW(),COLUMN(tme_part_data)+0)),INDIRECT(ADDRESS(ROW(),COLUMN(lcsc_part_data)+0)))</formula>
    </cfRule>
    <cfRule type="cellIs" dxfId="3" priority="28" operator="greaterThan">
      <formula>SUM(IF(ISNUMBER(INDIRECT(ADDRESS(ROW(),COLUMN(arrow_part_data)+2))),INDIRECT(ADDRESS(ROW(),COLUMN(arrow_part_data)+1)),0),IF(ISNUMBER(INDIRECT(ADDRESS(ROW(),COLUMN(digikey_part_data)+2))),INDIRECT(ADDRESS(ROW(),COLUMN(digikey_part_data)+1)),0),IF(ISNUMBER(INDIRECT(ADDRESS(ROW(),COLUMN(farnell_part_data)+2))),INDIRECT(ADDRESS(ROW(),COLUMN(farnell_part_data)+1)),0),IF(ISNUMBER(INDIRECT(ADDRESS(ROW(),COLUMN(mouser_part_data)+2))),INDIRECT(ADDRESS(ROW(),COLUMN(mouser_part_data)+1)),0),IF(ISNUMBER(INDIRECT(ADDRESS(ROW(),COLUMN(newark_part_data)+2))),INDIRECT(ADDRESS(ROW(),COLUMN(newark_part_data)+1)),0),IF(ISNUMBER(INDIRECT(ADDRESS(ROW(),COLUMN(rs_part_data)+2))),INDIRECT(ADDRESS(ROW(),COLUMN(rs_part_data)+1)),0),IF(ISNUMBER(INDIRECT(ADDRESS(ROW(),COLUMN(tme_part_data)+2))),INDIRECT(ADDRESS(ROW(),COLUMN(tme_part_data)+1)),0),IF(ISNUMBER(INDIRECT(ADDRESS(ROW(),COLUMN(lcsc_part_data)+2))),INDIRECT(ADDRESS(ROW(),COLUMN(lcsc_part_data)+1)),0))</formula>
    </cfRule>
  </conditionalFormatting>
  <conditionalFormatting sqref="H14">
    <cfRule type="expression" dxfId="0" priority="29">
      <formula>AND(ISBLANK(G14),ISBLANK(INDIRECT(ADDRESS(ROW(),COLUMN(arrow_part_data)+4))),ISBLANK(INDIRECT(ADDRESS(ROW(),COLUMN(digikey_part_data)+4))),ISBLANK(INDIRECT(ADDRESS(ROW(),COLUMN(farnell_part_data)+4))),ISBLANK(INDIRECT(ADDRESS(ROW(),COLUMN(mouser_part_data)+4))),ISBLANK(INDIRECT(ADDRESS(ROW(),COLUMN(newark_part_data)+4))),ISBLANK(INDIRECT(ADDRESS(ROW(),COLUMN(rs_part_data)+4))),ISBLANK(INDIRECT(ADDRESS(ROW(),COLUMN(tme_part_data)+4))),ISBLANK(INDIRECT(ADDRESS(ROW(),COLUMN(lcsc_part_data)+4))))</formula>
    </cfRule>
    <cfRule type="expression" dxfId="1" priority="30">
      <formula>IF(SUM(INDIRECT(ADDRESS(ROW(),COLUMN(arrow_part_data)+0)),INDIRECT(ADDRESS(ROW(),COLUMN(digikey_part_data)+0)),INDIRECT(ADDRESS(ROW(),COLUMN(farnell_part_data)+0)),INDIRECT(ADDRESS(ROW(),COLUMN(mouser_part_data)+0)),INDIRECT(ADDRESS(ROW(),COLUMN(newark_part_data)+0)),INDIRECT(ADDRESS(ROW(),COLUMN(rs_part_data)+0)),INDIRECT(ADDRESS(ROW(),COLUMN(tme_part_data)+0)),INDIRECT(ADDRESS(ROW(),COLUMN(lcsc_part_data)+0)))=0,1,0)</formula>
    </cfRule>
    <cfRule type="cellIs" dxfId="2" priority="31" operator="greaterThan">
      <formula>SUM(INDIRECT(ADDRESS(ROW(),COLUMN(arrow_part_data)+0)),INDIRECT(ADDRESS(ROW(),COLUMN(digikey_part_data)+0)),INDIRECT(ADDRESS(ROW(),COLUMN(farnell_part_data)+0)),INDIRECT(ADDRESS(ROW(),COLUMN(mouser_part_data)+0)),INDIRECT(ADDRESS(ROW(),COLUMN(newark_part_data)+0)),INDIRECT(ADDRESS(ROW(),COLUMN(rs_part_data)+0)),INDIRECT(ADDRESS(ROW(),COLUMN(tme_part_data)+0)),INDIRECT(ADDRESS(ROW(),COLUMN(lcsc_part_data)+0)))</formula>
    </cfRule>
    <cfRule type="cellIs" dxfId="3" priority="32" operator="greaterThan">
      <formula>SUM(IF(ISNUMBER(INDIRECT(ADDRESS(ROW(),COLUMN(arrow_part_data)+2))),INDIRECT(ADDRESS(ROW(),COLUMN(arrow_part_data)+1)),0),IF(ISNUMBER(INDIRECT(ADDRESS(ROW(),COLUMN(digikey_part_data)+2))),INDIRECT(ADDRESS(ROW(),COLUMN(digikey_part_data)+1)),0),IF(ISNUMBER(INDIRECT(ADDRESS(ROW(),COLUMN(farnell_part_data)+2))),INDIRECT(ADDRESS(ROW(),COLUMN(farnell_part_data)+1)),0),IF(ISNUMBER(INDIRECT(ADDRESS(ROW(),COLUMN(mouser_part_data)+2))),INDIRECT(ADDRESS(ROW(),COLUMN(mouser_part_data)+1)),0),IF(ISNUMBER(INDIRECT(ADDRESS(ROW(),COLUMN(newark_part_data)+2))),INDIRECT(ADDRESS(ROW(),COLUMN(newark_part_data)+1)),0),IF(ISNUMBER(INDIRECT(ADDRESS(ROW(),COLUMN(rs_part_data)+2))),INDIRECT(ADDRESS(ROW(),COLUMN(rs_part_data)+1)),0),IF(ISNUMBER(INDIRECT(ADDRESS(ROW(),COLUMN(tme_part_data)+2))),INDIRECT(ADDRESS(ROW(),COLUMN(tme_part_data)+1)),0),IF(ISNUMBER(INDIRECT(ADDRESS(ROW(),COLUMN(lcsc_part_data)+2))),INDIRECT(ADDRESS(ROW(),COLUMN(lcsc_part_data)+1)),0))</formula>
    </cfRule>
  </conditionalFormatting>
  <conditionalFormatting sqref="H15">
    <cfRule type="expression" dxfId="0" priority="33">
      <formula>AND(ISBLANK(G15),ISBLANK(INDIRECT(ADDRESS(ROW(),COLUMN(arrow_part_data)+4))),ISBLANK(INDIRECT(ADDRESS(ROW(),COLUMN(digikey_part_data)+4))),ISBLANK(INDIRECT(ADDRESS(ROW(),COLUMN(farnell_part_data)+4))),ISBLANK(INDIRECT(ADDRESS(ROW(),COLUMN(mouser_part_data)+4))),ISBLANK(INDIRECT(ADDRESS(ROW(),COLUMN(newark_part_data)+4))),ISBLANK(INDIRECT(ADDRESS(ROW(),COLUMN(rs_part_data)+4))),ISBLANK(INDIRECT(ADDRESS(ROW(),COLUMN(tme_part_data)+4))),ISBLANK(INDIRECT(ADDRESS(ROW(),COLUMN(lcsc_part_data)+4))))</formula>
    </cfRule>
    <cfRule type="expression" dxfId="1" priority="34">
      <formula>IF(SUM(INDIRECT(ADDRESS(ROW(),COLUMN(arrow_part_data)+0)),INDIRECT(ADDRESS(ROW(),COLUMN(digikey_part_data)+0)),INDIRECT(ADDRESS(ROW(),COLUMN(farnell_part_data)+0)),INDIRECT(ADDRESS(ROW(),COLUMN(mouser_part_data)+0)),INDIRECT(ADDRESS(ROW(),COLUMN(newark_part_data)+0)),INDIRECT(ADDRESS(ROW(),COLUMN(rs_part_data)+0)),INDIRECT(ADDRESS(ROW(),COLUMN(tme_part_data)+0)),INDIRECT(ADDRESS(ROW(),COLUMN(lcsc_part_data)+0)))=0,1,0)</formula>
    </cfRule>
    <cfRule type="cellIs" dxfId="2" priority="35" operator="greaterThan">
      <formula>SUM(INDIRECT(ADDRESS(ROW(),COLUMN(arrow_part_data)+0)),INDIRECT(ADDRESS(ROW(),COLUMN(digikey_part_data)+0)),INDIRECT(ADDRESS(ROW(),COLUMN(farnell_part_data)+0)),INDIRECT(ADDRESS(ROW(),COLUMN(mouser_part_data)+0)),INDIRECT(ADDRESS(ROW(),COLUMN(newark_part_data)+0)),INDIRECT(ADDRESS(ROW(),COLUMN(rs_part_data)+0)),INDIRECT(ADDRESS(ROW(),COLUMN(tme_part_data)+0)),INDIRECT(ADDRESS(ROW(),COLUMN(lcsc_part_data)+0)))</formula>
    </cfRule>
    <cfRule type="cellIs" dxfId="3" priority="36" operator="greaterThan">
      <formula>SUM(IF(ISNUMBER(INDIRECT(ADDRESS(ROW(),COLUMN(arrow_part_data)+2))),INDIRECT(ADDRESS(ROW(),COLUMN(arrow_part_data)+1)),0),IF(ISNUMBER(INDIRECT(ADDRESS(ROW(),COLUMN(digikey_part_data)+2))),INDIRECT(ADDRESS(ROW(),COLUMN(digikey_part_data)+1)),0),IF(ISNUMBER(INDIRECT(ADDRESS(ROW(),COLUMN(farnell_part_data)+2))),INDIRECT(ADDRESS(ROW(),COLUMN(farnell_part_data)+1)),0),IF(ISNUMBER(INDIRECT(ADDRESS(ROW(),COLUMN(mouser_part_data)+2))),INDIRECT(ADDRESS(ROW(),COLUMN(mouser_part_data)+1)),0),IF(ISNUMBER(INDIRECT(ADDRESS(ROW(),COLUMN(newark_part_data)+2))),INDIRECT(ADDRESS(ROW(),COLUMN(newark_part_data)+1)),0),IF(ISNUMBER(INDIRECT(ADDRESS(ROW(),COLUMN(rs_part_data)+2))),INDIRECT(ADDRESS(ROW(),COLUMN(rs_part_data)+1)),0),IF(ISNUMBER(INDIRECT(ADDRESS(ROW(),COLUMN(tme_part_data)+2))),INDIRECT(ADDRESS(ROW(),COLUMN(tme_part_data)+1)),0),IF(ISNUMBER(INDIRECT(ADDRESS(ROW(),COLUMN(lcsc_part_data)+2))),INDIRECT(ADDRESS(ROW(),COLUMN(lcsc_part_data)+1)),0))</formula>
    </cfRule>
  </conditionalFormatting>
  <conditionalFormatting sqref="H16">
    <cfRule type="expression" dxfId="0" priority="37">
      <formula>AND(ISBLANK(G16),ISBLANK(INDIRECT(ADDRESS(ROW(),COLUMN(arrow_part_data)+4))),ISBLANK(INDIRECT(ADDRESS(ROW(),COLUMN(digikey_part_data)+4))),ISBLANK(INDIRECT(ADDRESS(ROW(),COLUMN(farnell_part_data)+4))),ISBLANK(INDIRECT(ADDRESS(ROW(),COLUMN(mouser_part_data)+4))),ISBLANK(INDIRECT(ADDRESS(ROW(),COLUMN(newark_part_data)+4))),ISBLANK(INDIRECT(ADDRESS(ROW(),COLUMN(rs_part_data)+4))),ISBLANK(INDIRECT(ADDRESS(ROW(),COLUMN(tme_part_data)+4))),ISBLANK(INDIRECT(ADDRESS(ROW(),COLUMN(lcsc_part_data)+4))))</formula>
    </cfRule>
    <cfRule type="expression" dxfId="1" priority="38">
      <formula>IF(SUM(INDIRECT(ADDRESS(ROW(),COLUMN(arrow_part_data)+0)),INDIRECT(ADDRESS(ROW(),COLUMN(digikey_part_data)+0)),INDIRECT(ADDRESS(ROW(),COLUMN(farnell_part_data)+0)),INDIRECT(ADDRESS(ROW(),COLUMN(mouser_part_data)+0)),INDIRECT(ADDRESS(ROW(),COLUMN(newark_part_data)+0)),INDIRECT(ADDRESS(ROW(),COLUMN(rs_part_data)+0)),INDIRECT(ADDRESS(ROW(),COLUMN(tme_part_data)+0)),INDIRECT(ADDRESS(ROW(),COLUMN(lcsc_part_data)+0)))=0,1,0)</formula>
    </cfRule>
    <cfRule type="cellIs" dxfId="2" priority="39" operator="greaterThan">
      <formula>SUM(INDIRECT(ADDRESS(ROW(),COLUMN(arrow_part_data)+0)),INDIRECT(ADDRESS(ROW(),COLUMN(digikey_part_data)+0)),INDIRECT(ADDRESS(ROW(),COLUMN(farnell_part_data)+0)),INDIRECT(ADDRESS(ROW(),COLUMN(mouser_part_data)+0)),INDIRECT(ADDRESS(ROW(),COLUMN(newark_part_data)+0)),INDIRECT(ADDRESS(ROW(),COLUMN(rs_part_data)+0)),INDIRECT(ADDRESS(ROW(),COLUMN(tme_part_data)+0)),INDIRECT(ADDRESS(ROW(),COLUMN(lcsc_part_data)+0)))</formula>
    </cfRule>
    <cfRule type="cellIs" dxfId="3" priority="40" operator="greaterThan">
      <formula>SUM(IF(ISNUMBER(INDIRECT(ADDRESS(ROW(),COLUMN(arrow_part_data)+2))),INDIRECT(ADDRESS(ROW(),COLUMN(arrow_part_data)+1)),0),IF(ISNUMBER(INDIRECT(ADDRESS(ROW(),COLUMN(digikey_part_data)+2))),INDIRECT(ADDRESS(ROW(),COLUMN(digikey_part_data)+1)),0),IF(ISNUMBER(INDIRECT(ADDRESS(ROW(),COLUMN(farnell_part_data)+2))),INDIRECT(ADDRESS(ROW(),COLUMN(farnell_part_data)+1)),0),IF(ISNUMBER(INDIRECT(ADDRESS(ROW(),COLUMN(mouser_part_data)+2))),INDIRECT(ADDRESS(ROW(),COLUMN(mouser_part_data)+1)),0),IF(ISNUMBER(INDIRECT(ADDRESS(ROW(),COLUMN(newark_part_data)+2))),INDIRECT(ADDRESS(ROW(),COLUMN(newark_part_data)+1)),0),IF(ISNUMBER(INDIRECT(ADDRESS(ROW(),COLUMN(rs_part_data)+2))),INDIRECT(ADDRESS(ROW(),COLUMN(rs_part_data)+1)),0),IF(ISNUMBER(INDIRECT(ADDRESS(ROW(),COLUMN(tme_part_data)+2))),INDIRECT(ADDRESS(ROW(),COLUMN(tme_part_data)+1)),0),IF(ISNUMBER(INDIRECT(ADDRESS(ROW(),COLUMN(lcsc_part_data)+2))),INDIRECT(ADDRESS(ROW(),COLUMN(lcsc_part_data)+1)),0))</formula>
    </cfRule>
  </conditionalFormatting>
  <conditionalFormatting sqref="H17">
    <cfRule type="expression" dxfId="0" priority="41">
      <formula>AND(ISBLANK(G17),ISBLANK(INDIRECT(ADDRESS(ROW(),COLUMN(arrow_part_data)+4))),ISBLANK(INDIRECT(ADDRESS(ROW(),COLUMN(digikey_part_data)+4))),ISBLANK(INDIRECT(ADDRESS(ROW(),COLUMN(farnell_part_data)+4))),ISBLANK(INDIRECT(ADDRESS(ROW(),COLUMN(mouser_part_data)+4))),ISBLANK(INDIRECT(ADDRESS(ROW(),COLUMN(newark_part_data)+4))),ISBLANK(INDIRECT(ADDRESS(ROW(),COLUMN(rs_part_data)+4))),ISBLANK(INDIRECT(ADDRESS(ROW(),COLUMN(tme_part_data)+4))),ISBLANK(INDIRECT(ADDRESS(ROW(),COLUMN(lcsc_part_data)+4))))</formula>
    </cfRule>
    <cfRule type="expression" dxfId="1" priority="42">
      <formula>IF(SUM(INDIRECT(ADDRESS(ROW(),COLUMN(arrow_part_data)+0)),INDIRECT(ADDRESS(ROW(),COLUMN(digikey_part_data)+0)),INDIRECT(ADDRESS(ROW(),COLUMN(farnell_part_data)+0)),INDIRECT(ADDRESS(ROW(),COLUMN(mouser_part_data)+0)),INDIRECT(ADDRESS(ROW(),COLUMN(newark_part_data)+0)),INDIRECT(ADDRESS(ROW(),COLUMN(rs_part_data)+0)),INDIRECT(ADDRESS(ROW(),COLUMN(tme_part_data)+0)),INDIRECT(ADDRESS(ROW(),COLUMN(lcsc_part_data)+0)))=0,1,0)</formula>
    </cfRule>
    <cfRule type="cellIs" dxfId="2" priority="43" operator="greaterThan">
      <formula>SUM(INDIRECT(ADDRESS(ROW(),COLUMN(arrow_part_data)+0)),INDIRECT(ADDRESS(ROW(),COLUMN(digikey_part_data)+0)),INDIRECT(ADDRESS(ROW(),COLUMN(farnell_part_data)+0)),INDIRECT(ADDRESS(ROW(),COLUMN(mouser_part_data)+0)),INDIRECT(ADDRESS(ROW(),COLUMN(newark_part_data)+0)),INDIRECT(ADDRESS(ROW(),COLUMN(rs_part_data)+0)),INDIRECT(ADDRESS(ROW(),COLUMN(tme_part_data)+0)),INDIRECT(ADDRESS(ROW(),COLUMN(lcsc_part_data)+0)))</formula>
    </cfRule>
    <cfRule type="cellIs" dxfId="3" priority="44" operator="greaterThan">
      <formula>SUM(IF(ISNUMBER(INDIRECT(ADDRESS(ROW(),COLUMN(arrow_part_data)+2))),INDIRECT(ADDRESS(ROW(),COLUMN(arrow_part_data)+1)),0),IF(ISNUMBER(INDIRECT(ADDRESS(ROW(),COLUMN(digikey_part_data)+2))),INDIRECT(ADDRESS(ROW(),COLUMN(digikey_part_data)+1)),0),IF(ISNUMBER(INDIRECT(ADDRESS(ROW(),COLUMN(farnell_part_data)+2))),INDIRECT(ADDRESS(ROW(),COLUMN(farnell_part_data)+1)),0),IF(ISNUMBER(INDIRECT(ADDRESS(ROW(),COLUMN(mouser_part_data)+2))),INDIRECT(ADDRESS(ROW(),COLUMN(mouser_part_data)+1)),0),IF(ISNUMBER(INDIRECT(ADDRESS(ROW(),COLUMN(newark_part_data)+2))),INDIRECT(ADDRESS(ROW(),COLUMN(newark_part_data)+1)),0),IF(ISNUMBER(INDIRECT(ADDRESS(ROW(),COLUMN(rs_part_data)+2))),INDIRECT(ADDRESS(ROW(),COLUMN(rs_part_data)+1)),0),IF(ISNUMBER(INDIRECT(ADDRESS(ROW(),COLUMN(tme_part_data)+2))),INDIRECT(ADDRESS(ROW(),COLUMN(tme_part_data)+1)),0),IF(ISNUMBER(INDIRECT(ADDRESS(ROW(),COLUMN(lcsc_part_data)+2))),INDIRECT(ADDRESS(ROW(),COLUMN(lcsc_part_data)+1)),0))</formula>
    </cfRule>
  </conditionalFormatting>
  <conditionalFormatting sqref="H18">
    <cfRule type="expression" dxfId="0" priority="45">
      <formula>AND(ISBLANK(G18),ISBLANK(INDIRECT(ADDRESS(ROW(),COLUMN(arrow_part_data)+4))),ISBLANK(INDIRECT(ADDRESS(ROW(),COLUMN(digikey_part_data)+4))),ISBLANK(INDIRECT(ADDRESS(ROW(),COLUMN(farnell_part_data)+4))),ISBLANK(INDIRECT(ADDRESS(ROW(),COLUMN(mouser_part_data)+4))),ISBLANK(INDIRECT(ADDRESS(ROW(),COLUMN(newark_part_data)+4))),ISBLANK(INDIRECT(ADDRESS(ROW(),COLUMN(rs_part_data)+4))),ISBLANK(INDIRECT(ADDRESS(ROW(),COLUMN(tme_part_data)+4))),ISBLANK(INDIRECT(ADDRESS(ROW(),COLUMN(lcsc_part_data)+4))))</formula>
    </cfRule>
    <cfRule type="expression" dxfId="1" priority="46">
      <formula>IF(SUM(INDIRECT(ADDRESS(ROW(),COLUMN(arrow_part_data)+0)),INDIRECT(ADDRESS(ROW(),COLUMN(digikey_part_data)+0)),INDIRECT(ADDRESS(ROW(),COLUMN(farnell_part_data)+0)),INDIRECT(ADDRESS(ROW(),COLUMN(mouser_part_data)+0)),INDIRECT(ADDRESS(ROW(),COLUMN(newark_part_data)+0)),INDIRECT(ADDRESS(ROW(),COLUMN(rs_part_data)+0)),INDIRECT(ADDRESS(ROW(),COLUMN(tme_part_data)+0)),INDIRECT(ADDRESS(ROW(),COLUMN(lcsc_part_data)+0)))=0,1,0)</formula>
    </cfRule>
    <cfRule type="cellIs" dxfId="2" priority="47" operator="greaterThan">
      <formula>SUM(INDIRECT(ADDRESS(ROW(),COLUMN(arrow_part_data)+0)),INDIRECT(ADDRESS(ROW(),COLUMN(digikey_part_data)+0)),INDIRECT(ADDRESS(ROW(),COLUMN(farnell_part_data)+0)),INDIRECT(ADDRESS(ROW(),COLUMN(mouser_part_data)+0)),INDIRECT(ADDRESS(ROW(),COLUMN(newark_part_data)+0)),INDIRECT(ADDRESS(ROW(),COLUMN(rs_part_data)+0)),INDIRECT(ADDRESS(ROW(),COLUMN(tme_part_data)+0)),INDIRECT(ADDRESS(ROW(),COLUMN(lcsc_part_data)+0)))</formula>
    </cfRule>
    <cfRule type="cellIs" dxfId="3" priority="48" operator="greaterThan">
      <formula>SUM(IF(ISNUMBER(INDIRECT(ADDRESS(ROW(),COLUMN(arrow_part_data)+2))),INDIRECT(ADDRESS(ROW(),COLUMN(arrow_part_data)+1)),0),IF(ISNUMBER(INDIRECT(ADDRESS(ROW(),COLUMN(digikey_part_data)+2))),INDIRECT(ADDRESS(ROW(),COLUMN(digikey_part_data)+1)),0),IF(ISNUMBER(INDIRECT(ADDRESS(ROW(),COLUMN(farnell_part_data)+2))),INDIRECT(ADDRESS(ROW(),COLUMN(farnell_part_data)+1)),0),IF(ISNUMBER(INDIRECT(ADDRESS(ROW(),COLUMN(mouser_part_data)+2))),INDIRECT(ADDRESS(ROW(),COLUMN(mouser_part_data)+1)),0),IF(ISNUMBER(INDIRECT(ADDRESS(ROW(),COLUMN(newark_part_data)+2))),INDIRECT(ADDRESS(ROW(),COLUMN(newark_part_data)+1)),0),IF(ISNUMBER(INDIRECT(ADDRESS(ROW(),COLUMN(rs_part_data)+2))),INDIRECT(ADDRESS(ROW(),COLUMN(rs_part_data)+1)),0),IF(ISNUMBER(INDIRECT(ADDRESS(ROW(),COLUMN(tme_part_data)+2))),INDIRECT(ADDRESS(ROW(),COLUMN(tme_part_data)+1)),0),IF(ISNUMBER(INDIRECT(ADDRESS(ROW(),COLUMN(lcsc_part_data)+2))),INDIRECT(ADDRESS(ROW(),COLUMN(lcsc_part_data)+1)),0))</formula>
    </cfRule>
  </conditionalFormatting>
  <conditionalFormatting sqref="H19">
    <cfRule type="expression" dxfId="0" priority="49">
      <formula>AND(ISBLANK(G19),ISBLANK(INDIRECT(ADDRESS(ROW(),COLUMN(arrow_part_data)+4))),ISBLANK(INDIRECT(ADDRESS(ROW(),COLUMN(digikey_part_data)+4))),ISBLANK(INDIRECT(ADDRESS(ROW(),COLUMN(farnell_part_data)+4))),ISBLANK(INDIRECT(ADDRESS(ROW(),COLUMN(mouser_part_data)+4))),ISBLANK(INDIRECT(ADDRESS(ROW(),COLUMN(newark_part_data)+4))),ISBLANK(INDIRECT(ADDRESS(ROW(),COLUMN(rs_part_data)+4))),ISBLANK(INDIRECT(ADDRESS(ROW(),COLUMN(tme_part_data)+4))),ISBLANK(INDIRECT(ADDRESS(ROW(),COLUMN(lcsc_part_data)+4))))</formula>
    </cfRule>
    <cfRule type="expression" dxfId="1" priority="50">
      <formula>IF(SUM(INDIRECT(ADDRESS(ROW(),COLUMN(arrow_part_data)+0)),INDIRECT(ADDRESS(ROW(),COLUMN(digikey_part_data)+0)),INDIRECT(ADDRESS(ROW(),COLUMN(farnell_part_data)+0)),INDIRECT(ADDRESS(ROW(),COLUMN(mouser_part_data)+0)),INDIRECT(ADDRESS(ROW(),COLUMN(newark_part_data)+0)),INDIRECT(ADDRESS(ROW(),COLUMN(rs_part_data)+0)),INDIRECT(ADDRESS(ROW(),COLUMN(tme_part_data)+0)),INDIRECT(ADDRESS(ROW(),COLUMN(lcsc_part_data)+0)))=0,1,0)</formula>
    </cfRule>
    <cfRule type="cellIs" dxfId="2" priority="51" operator="greaterThan">
      <formula>SUM(INDIRECT(ADDRESS(ROW(),COLUMN(arrow_part_data)+0)),INDIRECT(ADDRESS(ROW(),COLUMN(digikey_part_data)+0)),INDIRECT(ADDRESS(ROW(),COLUMN(farnell_part_data)+0)),INDIRECT(ADDRESS(ROW(),COLUMN(mouser_part_data)+0)),INDIRECT(ADDRESS(ROW(),COLUMN(newark_part_data)+0)),INDIRECT(ADDRESS(ROW(),COLUMN(rs_part_data)+0)),INDIRECT(ADDRESS(ROW(),COLUMN(tme_part_data)+0)),INDIRECT(ADDRESS(ROW(),COLUMN(lcsc_part_data)+0)))</formula>
    </cfRule>
    <cfRule type="cellIs" dxfId="3" priority="52" operator="greaterThan">
      <formula>SUM(IF(ISNUMBER(INDIRECT(ADDRESS(ROW(),COLUMN(arrow_part_data)+2))),INDIRECT(ADDRESS(ROW(),COLUMN(arrow_part_data)+1)),0),IF(ISNUMBER(INDIRECT(ADDRESS(ROW(),COLUMN(digikey_part_data)+2))),INDIRECT(ADDRESS(ROW(),COLUMN(digikey_part_data)+1)),0),IF(ISNUMBER(INDIRECT(ADDRESS(ROW(),COLUMN(farnell_part_data)+2))),INDIRECT(ADDRESS(ROW(),COLUMN(farnell_part_data)+1)),0),IF(ISNUMBER(INDIRECT(ADDRESS(ROW(),COLUMN(mouser_part_data)+2))),INDIRECT(ADDRESS(ROW(),COLUMN(mouser_part_data)+1)),0),IF(ISNUMBER(INDIRECT(ADDRESS(ROW(),COLUMN(newark_part_data)+2))),INDIRECT(ADDRESS(ROW(),COLUMN(newark_part_data)+1)),0),IF(ISNUMBER(INDIRECT(ADDRESS(ROW(),COLUMN(rs_part_data)+2))),INDIRECT(ADDRESS(ROW(),COLUMN(rs_part_data)+1)),0),IF(ISNUMBER(INDIRECT(ADDRESS(ROW(),COLUMN(tme_part_data)+2))),INDIRECT(ADDRESS(ROW(),COLUMN(tme_part_data)+1)),0),IF(ISNUMBER(INDIRECT(ADDRESS(ROW(),COLUMN(lcsc_part_data)+2))),INDIRECT(ADDRESS(ROW(),COLUMN(lcsc_part_data)+1)),0))</formula>
    </cfRule>
  </conditionalFormatting>
  <conditionalFormatting sqref="H20">
    <cfRule type="expression" dxfId="0" priority="53">
      <formula>AND(ISBLANK(G20),ISBLANK(INDIRECT(ADDRESS(ROW(),COLUMN(arrow_part_data)+4))),ISBLANK(INDIRECT(ADDRESS(ROW(),COLUMN(digikey_part_data)+4))),ISBLANK(INDIRECT(ADDRESS(ROW(),COLUMN(farnell_part_data)+4))),ISBLANK(INDIRECT(ADDRESS(ROW(),COLUMN(mouser_part_data)+4))),ISBLANK(INDIRECT(ADDRESS(ROW(),COLUMN(newark_part_data)+4))),ISBLANK(INDIRECT(ADDRESS(ROW(),COLUMN(rs_part_data)+4))),ISBLANK(INDIRECT(ADDRESS(ROW(),COLUMN(tme_part_data)+4))),ISBLANK(INDIRECT(ADDRESS(ROW(),COLUMN(lcsc_part_data)+4))))</formula>
    </cfRule>
    <cfRule type="expression" dxfId="1" priority="54">
      <formula>IF(SUM(INDIRECT(ADDRESS(ROW(),COLUMN(arrow_part_data)+0)),INDIRECT(ADDRESS(ROW(),COLUMN(digikey_part_data)+0)),INDIRECT(ADDRESS(ROW(),COLUMN(farnell_part_data)+0)),INDIRECT(ADDRESS(ROW(),COLUMN(mouser_part_data)+0)),INDIRECT(ADDRESS(ROW(),COLUMN(newark_part_data)+0)),INDIRECT(ADDRESS(ROW(),COLUMN(rs_part_data)+0)),INDIRECT(ADDRESS(ROW(),COLUMN(tme_part_data)+0)),INDIRECT(ADDRESS(ROW(),COLUMN(lcsc_part_data)+0)))=0,1,0)</formula>
    </cfRule>
    <cfRule type="cellIs" dxfId="2" priority="55" operator="greaterThan">
      <formula>SUM(INDIRECT(ADDRESS(ROW(),COLUMN(arrow_part_data)+0)),INDIRECT(ADDRESS(ROW(),COLUMN(digikey_part_data)+0)),INDIRECT(ADDRESS(ROW(),COLUMN(farnell_part_data)+0)),INDIRECT(ADDRESS(ROW(),COLUMN(mouser_part_data)+0)),INDIRECT(ADDRESS(ROW(),COLUMN(newark_part_data)+0)),INDIRECT(ADDRESS(ROW(),COLUMN(rs_part_data)+0)),INDIRECT(ADDRESS(ROW(),COLUMN(tme_part_data)+0)),INDIRECT(ADDRESS(ROW(),COLUMN(lcsc_part_data)+0)))</formula>
    </cfRule>
    <cfRule type="cellIs" dxfId="3" priority="56" operator="greaterThan">
      <formula>SUM(IF(ISNUMBER(INDIRECT(ADDRESS(ROW(),COLUMN(arrow_part_data)+2))),INDIRECT(ADDRESS(ROW(),COLUMN(arrow_part_data)+1)),0),IF(ISNUMBER(INDIRECT(ADDRESS(ROW(),COLUMN(digikey_part_data)+2))),INDIRECT(ADDRESS(ROW(),COLUMN(digikey_part_data)+1)),0),IF(ISNUMBER(INDIRECT(ADDRESS(ROW(),COLUMN(farnell_part_data)+2))),INDIRECT(ADDRESS(ROW(),COLUMN(farnell_part_data)+1)),0),IF(ISNUMBER(INDIRECT(ADDRESS(ROW(),COLUMN(mouser_part_data)+2))),INDIRECT(ADDRESS(ROW(),COLUMN(mouser_part_data)+1)),0),IF(ISNUMBER(INDIRECT(ADDRESS(ROW(),COLUMN(newark_part_data)+2))),INDIRECT(ADDRESS(ROW(),COLUMN(newark_part_data)+1)),0),IF(ISNUMBER(INDIRECT(ADDRESS(ROW(),COLUMN(rs_part_data)+2))),INDIRECT(ADDRESS(ROW(),COLUMN(rs_part_data)+1)),0),IF(ISNUMBER(INDIRECT(ADDRESS(ROW(),COLUMN(tme_part_data)+2))),INDIRECT(ADDRESS(ROW(),COLUMN(tme_part_data)+1)),0),IF(ISNUMBER(INDIRECT(ADDRESS(ROW(),COLUMN(lcsc_part_data)+2))),INDIRECT(ADDRESS(ROW(),COLUMN(lcsc_part_data)+1)),0))</formula>
    </cfRule>
  </conditionalFormatting>
  <conditionalFormatting sqref="H21">
    <cfRule type="expression" dxfId="0" priority="57">
      <formula>AND(ISBLANK(G21),ISBLANK(INDIRECT(ADDRESS(ROW(),COLUMN(arrow_part_data)+4))),ISBLANK(INDIRECT(ADDRESS(ROW(),COLUMN(digikey_part_data)+4))),ISBLANK(INDIRECT(ADDRESS(ROW(),COLUMN(farnell_part_data)+4))),ISBLANK(INDIRECT(ADDRESS(ROW(),COLUMN(mouser_part_data)+4))),ISBLANK(INDIRECT(ADDRESS(ROW(),COLUMN(newark_part_data)+4))),ISBLANK(INDIRECT(ADDRESS(ROW(),COLUMN(rs_part_data)+4))),ISBLANK(INDIRECT(ADDRESS(ROW(),COLUMN(tme_part_data)+4))),ISBLANK(INDIRECT(ADDRESS(ROW(),COLUMN(lcsc_part_data)+4))))</formula>
    </cfRule>
    <cfRule type="expression" dxfId="1" priority="58">
      <formula>IF(SUM(INDIRECT(ADDRESS(ROW(),COLUMN(arrow_part_data)+0)),INDIRECT(ADDRESS(ROW(),COLUMN(digikey_part_data)+0)),INDIRECT(ADDRESS(ROW(),COLUMN(farnell_part_data)+0)),INDIRECT(ADDRESS(ROW(),COLUMN(mouser_part_data)+0)),INDIRECT(ADDRESS(ROW(),COLUMN(newark_part_data)+0)),INDIRECT(ADDRESS(ROW(),COLUMN(rs_part_data)+0)),INDIRECT(ADDRESS(ROW(),COLUMN(tme_part_data)+0)),INDIRECT(ADDRESS(ROW(),COLUMN(lcsc_part_data)+0)))=0,1,0)</formula>
    </cfRule>
    <cfRule type="cellIs" dxfId="2" priority="59" operator="greaterThan">
      <formula>SUM(INDIRECT(ADDRESS(ROW(),COLUMN(arrow_part_data)+0)),INDIRECT(ADDRESS(ROW(),COLUMN(digikey_part_data)+0)),INDIRECT(ADDRESS(ROW(),COLUMN(farnell_part_data)+0)),INDIRECT(ADDRESS(ROW(),COLUMN(mouser_part_data)+0)),INDIRECT(ADDRESS(ROW(),COLUMN(newark_part_data)+0)),INDIRECT(ADDRESS(ROW(),COLUMN(rs_part_data)+0)),INDIRECT(ADDRESS(ROW(),COLUMN(tme_part_data)+0)),INDIRECT(ADDRESS(ROW(),COLUMN(lcsc_part_data)+0)))</formula>
    </cfRule>
    <cfRule type="cellIs" dxfId="3" priority="60" operator="greaterThan">
      <formula>SUM(IF(ISNUMBER(INDIRECT(ADDRESS(ROW(),COLUMN(arrow_part_data)+2))),INDIRECT(ADDRESS(ROW(),COLUMN(arrow_part_data)+1)),0),IF(ISNUMBER(INDIRECT(ADDRESS(ROW(),COLUMN(digikey_part_data)+2))),INDIRECT(ADDRESS(ROW(),COLUMN(digikey_part_data)+1)),0),IF(ISNUMBER(INDIRECT(ADDRESS(ROW(),COLUMN(farnell_part_data)+2))),INDIRECT(ADDRESS(ROW(),COLUMN(farnell_part_data)+1)),0),IF(ISNUMBER(INDIRECT(ADDRESS(ROW(),COLUMN(mouser_part_data)+2))),INDIRECT(ADDRESS(ROW(),COLUMN(mouser_part_data)+1)),0),IF(ISNUMBER(INDIRECT(ADDRESS(ROW(),COLUMN(newark_part_data)+2))),INDIRECT(ADDRESS(ROW(),COLUMN(newark_part_data)+1)),0),IF(ISNUMBER(INDIRECT(ADDRESS(ROW(),COLUMN(rs_part_data)+2))),INDIRECT(ADDRESS(ROW(),COLUMN(rs_part_data)+1)),0),IF(ISNUMBER(INDIRECT(ADDRESS(ROW(),COLUMN(tme_part_data)+2))),INDIRECT(ADDRESS(ROW(),COLUMN(tme_part_data)+1)),0),IF(ISNUMBER(INDIRECT(ADDRESS(ROW(),COLUMN(lcsc_part_data)+2))),INDIRECT(ADDRESS(ROW(),COLUMN(lcsc_part_data)+1)),0))</formula>
    </cfRule>
  </conditionalFormatting>
  <conditionalFormatting sqref="H22">
    <cfRule type="expression" dxfId="0" priority="61">
      <formula>AND(ISBLANK(G22),ISBLANK(INDIRECT(ADDRESS(ROW(),COLUMN(arrow_part_data)+4))),ISBLANK(INDIRECT(ADDRESS(ROW(),COLUMN(digikey_part_data)+4))),ISBLANK(INDIRECT(ADDRESS(ROW(),COLUMN(farnell_part_data)+4))),ISBLANK(INDIRECT(ADDRESS(ROW(),COLUMN(mouser_part_data)+4))),ISBLANK(INDIRECT(ADDRESS(ROW(),COLUMN(newark_part_data)+4))),ISBLANK(INDIRECT(ADDRESS(ROW(),COLUMN(rs_part_data)+4))),ISBLANK(INDIRECT(ADDRESS(ROW(),COLUMN(tme_part_data)+4))),ISBLANK(INDIRECT(ADDRESS(ROW(),COLUMN(lcsc_part_data)+4))))</formula>
    </cfRule>
    <cfRule type="expression" dxfId="1" priority="62">
      <formula>IF(SUM(INDIRECT(ADDRESS(ROW(),COLUMN(arrow_part_data)+0)),INDIRECT(ADDRESS(ROW(),COLUMN(digikey_part_data)+0)),INDIRECT(ADDRESS(ROW(),COLUMN(farnell_part_data)+0)),INDIRECT(ADDRESS(ROW(),COLUMN(mouser_part_data)+0)),INDIRECT(ADDRESS(ROW(),COLUMN(newark_part_data)+0)),INDIRECT(ADDRESS(ROW(),COLUMN(rs_part_data)+0)),INDIRECT(ADDRESS(ROW(),COLUMN(tme_part_data)+0)),INDIRECT(ADDRESS(ROW(),COLUMN(lcsc_part_data)+0)))=0,1,0)</formula>
    </cfRule>
    <cfRule type="cellIs" dxfId="2" priority="63" operator="greaterThan">
      <formula>SUM(INDIRECT(ADDRESS(ROW(),COLUMN(arrow_part_data)+0)),INDIRECT(ADDRESS(ROW(),COLUMN(digikey_part_data)+0)),INDIRECT(ADDRESS(ROW(),COLUMN(farnell_part_data)+0)),INDIRECT(ADDRESS(ROW(),COLUMN(mouser_part_data)+0)),INDIRECT(ADDRESS(ROW(),COLUMN(newark_part_data)+0)),INDIRECT(ADDRESS(ROW(),COLUMN(rs_part_data)+0)),INDIRECT(ADDRESS(ROW(),COLUMN(tme_part_data)+0)),INDIRECT(ADDRESS(ROW(),COLUMN(lcsc_part_data)+0)))</formula>
    </cfRule>
    <cfRule type="cellIs" dxfId="3" priority="64" operator="greaterThan">
      <formula>SUM(IF(ISNUMBER(INDIRECT(ADDRESS(ROW(),COLUMN(arrow_part_data)+2))),INDIRECT(ADDRESS(ROW(),COLUMN(arrow_part_data)+1)),0),IF(ISNUMBER(INDIRECT(ADDRESS(ROW(),COLUMN(digikey_part_data)+2))),INDIRECT(ADDRESS(ROW(),COLUMN(digikey_part_data)+1)),0),IF(ISNUMBER(INDIRECT(ADDRESS(ROW(),COLUMN(farnell_part_data)+2))),INDIRECT(ADDRESS(ROW(),COLUMN(farnell_part_data)+1)),0),IF(ISNUMBER(INDIRECT(ADDRESS(ROW(),COLUMN(mouser_part_data)+2))),INDIRECT(ADDRESS(ROW(),COLUMN(mouser_part_data)+1)),0),IF(ISNUMBER(INDIRECT(ADDRESS(ROW(),COLUMN(newark_part_data)+2))),INDIRECT(ADDRESS(ROW(),COLUMN(newark_part_data)+1)),0),IF(ISNUMBER(INDIRECT(ADDRESS(ROW(),COLUMN(rs_part_data)+2))),INDIRECT(ADDRESS(ROW(),COLUMN(rs_part_data)+1)),0),IF(ISNUMBER(INDIRECT(ADDRESS(ROW(),COLUMN(tme_part_data)+2))),INDIRECT(ADDRESS(ROW(),COLUMN(tme_part_data)+1)),0),IF(ISNUMBER(INDIRECT(ADDRESS(ROW(),COLUMN(lcsc_part_data)+2))),INDIRECT(ADDRESS(ROW(),COLUMN(lcsc_part_data)+1)),0))</formula>
    </cfRule>
  </conditionalFormatting>
  <conditionalFormatting sqref="H23">
    <cfRule type="expression" dxfId="0" priority="65">
      <formula>AND(ISBLANK(G23),ISBLANK(INDIRECT(ADDRESS(ROW(),COLUMN(arrow_part_data)+4))),ISBLANK(INDIRECT(ADDRESS(ROW(),COLUMN(digikey_part_data)+4))),ISBLANK(INDIRECT(ADDRESS(ROW(),COLUMN(farnell_part_data)+4))),ISBLANK(INDIRECT(ADDRESS(ROW(),COLUMN(mouser_part_data)+4))),ISBLANK(INDIRECT(ADDRESS(ROW(),COLUMN(newark_part_data)+4))),ISBLANK(INDIRECT(ADDRESS(ROW(),COLUMN(rs_part_data)+4))),ISBLANK(INDIRECT(ADDRESS(ROW(),COLUMN(tme_part_data)+4))),ISBLANK(INDIRECT(ADDRESS(ROW(),COLUMN(lcsc_part_data)+4))))</formula>
    </cfRule>
    <cfRule type="expression" dxfId="1" priority="66">
      <formula>IF(SUM(INDIRECT(ADDRESS(ROW(),COLUMN(arrow_part_data)+0)),INDIRECT(ADDRESS(ROW(),COLUMN(digikey_part_data)+0)),INDIRECT(ADDRESS(ROW(),COLUMN(farnell_part_data)+0)),INDIRECT(ADDRESS(ROW(),COLUMN(mouser_part_data)+0)),INDIRECT(ADDRESS(ROW(),COLUMN(newark_part_data)+0)),INDIRECT(ADDRESS(ROW(),COLUMN(rs_part_data)+0)),INDIRECT(ADDRESS(ROW(),COLUMN(tme_part_data)+0)),INDIRECT(ADDRESS(ROW(),COLUMN(lcsc_part_data)+0)))=0,1,0)</formula>
    </cfRule>
    <cfRule type="cellIs" dxfId="2" priority="67" operator="greaterThan">
      <formula>SUM(INDIRECT(ADDRESS(ROW(),COLUMN(arrow_part_data)+0)),INDIRECT(ADDRESS(ROW(),COLUMN(digikey_part_data)+0)),INDIRECT(ADDRESS(ROW(),COLUMN(farnell_part_data)+0)),INDIRECT(ADDRESS(ROW(),COLUMN(mouser_part_data)+0)),INDIRECT(ADDRESS(ROW(),COLUMN(newark_part_data)+0)),INDIRECT(ADDRESS(ROW(),COLUMN(rs_part_data)+0)),INDIRECT(ADDRESS(ROW(),COLUMN(tme_part_data)+0)),INDIRECT(ADDRESS(ROW(),COLUMN(lcsc_part_data)+0)))</formula>
    </cfRule>
    <cfRule type="cellIs" dxfId="3" priority="68" operator="greaterThan">
      <formula>SUM(IF(ISNUMBER(INDIRECT(ADDRESS(ROW(),COLUMN(arrow_part_data)+2))),INDIRECT(ADDRESS(ROW(),COLUMN(arrow_part_data)+1)),0),IF(ISNUMBER(INDIRECT(ADDRESS(ROW(),COLUMN(digikey_part_data)+2))),INDIRECT(ADDRESS(ROW(),COLUMN(digikey_part_data)+1)),0),IF(ISNUMBER(INDIRECT(ADDRESS(ROW(),COLUMN(farnell_part_data)+2))),INDIRECT(ADDRESS(ROW(),COLUMN(farnell_part_data)+1)),0),IF(ISNUMBER(INDIRECT(ADDRESS(ROW(),COLUMN(mouser_part_data)+2))),INDIRECT(ADDRESS(ROW(),COLUMN(mouser_part_data)+1)),0),IF(ISNUMBER(INDIRECT(ADDRESS(ROW(),COLUMN(newark_part_data)+2))),INDIRECT(ADDRESS(ROW(),COLUMN(newark_part_data)+1)),0),IF(ISNUMBER(INDIRECT(ADDRESS(ROW(),COLUMN(rs_part_data)+2))),INDIRECT(ADDRESS(ROW(),COLUMN(rs_part_data)+1)),0),IF(ISNUMBER(INDIRECT(ADDRESS(ROW(),COLUMN(tme_part_data)+2))),INDIRECT(ADDRESS(ROW(),COLUMN(tme_part_data)+1)),0),IF(ISNUMBER(INDIRECT(ADDRESS(ROW(),COLUMN(lcsc_part_data)+2))),INDIRECT(ADDRESS(ROW(),COLUMN(lcsc_part_data)+1)),0))</formula>
    </cfRule>
  </conditionalFormatting>
  <conditionalFormatting sqref="H24">
    <cfRule type="expression" dxfId="0" priority="69">
      <formula>AND(ISBLANK(G24),ISBLANK(INDIRECT(ADDRESS(ROW(),COLUMN(arrow_part_data)+4))),ISBLANK(INDIRECT(ADDRESS(ROW(),COLUMN(digikey_part_data)+4))),ISBLANK(INDIRECT(ADDRESS(ROW(),COLUMN(farnell_part_data)+4))),ISBLANK(INDIRECT(ADDRESS(ROW(),COLUMN(mouser_part_data)+4))),ISBLANK(INDIRECT(ADDRESS(ROW(),COLUMN(newark_part_data)+4))),ISBLANK(INDIRECT(ADDRESS(ROW(),COLUMN(rs_part_data)+4))),ISBLANK(INDIRECT(ADDRESS(ROW(),COLUMN(tme_part_data)+4))),ISBLANK(INDIRECT(ADDRESS(ROW(),COLUMN(lcsc_part_data)+4))))</formula>
    </cfRule>
    <cfRule type="expression" dxfId="1" priority="70">
      <formula>IF(SUM(INDIRECT(ADDRESS(ROW(),COLUMN(arrow_part_data)+0)),INDIRECT(ADDRESS(ROW(),COLUMN(digikey_part_data)+0)),INDIRECT(ADDRESS(ROW(),COLUMN(farnell_part_data)+0)),INDIRECT(ADDRESS(ROW(),COLUMN(mouser_part_data)+0)),INDIRECT(ADDRESS(ROW(),COLUMN(newark_part_data)+0)),INDIRECT(ADDRESS(ROW(),COLUMN(rs_part_data)+0)),INDIRECT(ADDRESS(ROW(),COLUMN(tme_part_data)+0)),INDIRECT(ADDRESS(ROW(),COLUMN(lcsc_part_data)+0)))=0,1,0)</formula>
    </cfRule>
    <cfRule type="cellIs" dxfId="2" priority="71" operator="greaterThan">
      <formula>SUM(INDIRECT(ADDRESS(ROW(),COLUMN(arrow_part_data)+0)),INDIRECT(ADDRESS(ROW(),COLUMN(digikey_part_data)+0)),INDIRECT(ADDRESS(ROW(),COLUMN(farnell_part_data)+0)),INDIRECT(ADDRESS(ROW(),COLUMN(mouser_part_data)+0)),INDIRECT(ADDRESS(ROW(),COLUMN(newark_part_data)+0)),INDIRECT(ADDRESS(ROW(),COLUMN(rs_part_data)+0)),INDIRECT(ADDRESS(ROW(),COLUMN(tme_part_data)+0)),INDIRECT(ADDRESS(ROW(),COLUMN(lcsc_part_data)+0)))</formula>
    </cfRule>
    <cfRule type="cellIs" dxfId="3" priority="72" operator="greaterThan">
      <formula>SUM(IF(ISNUMBER(INDIRECT(ADDRESS(ROW(),COLUMN(arrow_part_data)+2))),INDIRECT(ADDRESS(ROW(),COLUMN(arrow_part_data)+1)),0),IF(ISNUMBER(INDIRECT(ADDRESS(ROW(),COLUMN(digikey_part_data)+2))),INDIRECT(ADDRESS(ROW(),COLUMN(digikey_part_data)+1)),0),IF(ISNUMBER(INDIRECT(ADDRESS(ROW(),COLUMN(farnell_part_data)+2))),INDIRECT(ADDRESS(ROW(),COLUMN(farnell_part_data)+1)),0),IF(ISNUMBER(INDIRECT(ADDRESS(ROW(),COLUMN(mouser_part_data)+2))),INDIRECT(ADDRESS(ROW(),COLUMN(mouser_part_data)+1)),0),IF(ISNUMBER(INDIRECT(ADDRESS(ROW(),COLUMN(newark_part_data)+2))),INDIRECT(ADDRESS(ROW(),COLUMN(newark_part_data)+1)),0),IF(ISNUMBER(INDIRECT(ADDRESS(ROW(),COLUMN(rs_part_data)+2))),INDIRECT(ADDRESS(ROW(),COLUMN(rs_part_data)+1)),0),IF(ISNUMBER(INDIRECT(ADDRESS(ROW(),COLUMN(tme_part_data)+2))),INDIRECT(ADDRESS(ROW(),COLUMN(tme_part_data)+1)),0),IF(ISNUMBER(INDIRECT(ADDRESS(ROW(),COLUMN(lcsc_part_data)+2))),INDIRECT(ADDRESS(ROW(),COLUMN(lcsc_part_data)+1)),0))</formula>
    </cfRule>
  </conditionalFormatting>
  <conditionalFormatting sqref="H25">
    <cfRule type="expression" dxfId="0" priority="73">
      <formula>AND(ISBLANK(G25),ISBLANK(INDIRECT(ADDRESS(ROW(),COLUMN(arrow_part_data)+4))),ISBLANK(INDIRECT(ADDRESS(ROW(),COLUMN(digikey_part_data)+4))),ISBLANK(INDIRECT(ADDRESS(ROW(),COLUMN(farnell_part_data)+4))),ISBLANK(INDIRECT(ADDRESS(ROW(),COLUMN(mouser_part_data)+4))),ISBLANK(INDIRECT(ADDRESS(ROW(),COLUMN(newark_part_data)+4))),ISBLANK(INDIRECT(ADDRESS(ROW(),COLUMN(rs_part_data)+4))),ISBLANK(INDIRECT(ADDRESS(ROW(),COLUMN(tme_part_data)+4))),ISBLANK(INDIRECT(ADDRESS(ROW(),COLUMN(lcsc_part_data)+4))))</formula>
    </cfRule>
    <cfRule type="expression" dxfId="1" priority="74">
      <formula>IF(SUM(INDIRECT(ADDRESS(ROW(),COLUMN(arrow_part_data)+0)),INDIRECT(ADDRESS(ROW(),COLUMN(digikey_part_data)+0)),INDIRECT(ADDRESS(ROW(),COLUMN(farnell_part_data)+0)),INDIRECT(ADDRESS(ROW(),COLUMN(mouser_part_data)+0)),INDIRECT(ADDRESS(ROW(),COLUMN(newark_part_data)+0)),INDIRECT(ADDRESS(ROW(),COLUMN(rs_part_data)+0)),INDIRECT(ADDRESS(ROW(),COLUMN(tme_part_data)+0)),INDIRECT(ADDRESS(ROW(),COLUMN(lcsc_part_data)+0)))=0,1,0)</formula>
    </cfRule>
    <cfRule type="cellIs" dxfId="2" priority="75" operator="greaterThan">
      <formula>SUM(INDIRECT(ADDRESS(ROW(),COLUMN(arrow_part_data)+0)),INDIRECT(ADDRESS(ROW(),COLUMN(digikey_part_data)+0)),INDIRECT(ADDRESS(ROW(),COLUMN(farnell_part_data)+0)),INDIRECT(ADDRESS(ROW(),COLUMN(mouser_part_data)+0)),INDIRECT(ADDRESS(ROW(),COLUMN(newark_part_data)+0)),INDIRECT(ADDRESS(ROW(),COLUMN(rs_part_data)+0)),INDIRECT(ADDRESS(ROW(),COLUMN(tme_part_data)+0)),INDIRECT(ADDRESS(ROW(),COLUMN(lcsc_part_data)+0)))</formula>
    </cfRule>
    <cfRule type="cellIs" dxfId="3" priority="76" operator="greaterThan">
      <formula>SUM(IF(ISNUMBER(INDIRECT(ADDRESS(ROW(),COLUMN(arrow_part_data)+2))),INDIRECT(ADDRESS(ROW(),COLUMN(arrow_part_data)+1)),0),IF(ISNUMBER(INDIRECT(ADDRESS(ROW(),COLUMN(digikey_part_data)+2))),INDIRECT(ADDRESS(ROW(),COLUMN(digikey_part_data)+1)),0),IF(ISNUMBER(INDIRECT(ADDRESS(ROW(),COLUMN(farnell_part_data)+2))),INDIRECT(ADDRESS(ROW(),COLUMN(farnell_part_data)+1)),0),IF(ISNUMBER(INDIRECT(ADDRESS(ROW(),COLUMN(mouser_part_data)+2))),INDIRECT(ADDRESS(ROW(),COLUMN(mouser_part_data)+1)),0),IF(ISNUMBER(INDIRECT(ADDRESS(ROW(),COLUMN(newark_part_data)+2))),INDIRECT(ADDRESS(ROW(),COLUMN(newark_part_data)+1)),0),IF(ISNUMBER(INDIRECT(ADDRESS(ROW(),COLUMN(rs_part_data)+2))),INDIRECT(ADDRESS(ROW(),COLUMN(rs_part_data)+1)),0),IF(ISNUMBER(INDIRECT(ADDRESS(ROW(),COLUMN(tme_part_data)+2))),INDIRECT(ADDRESS(ROW(),COLUMN(tme_part_data)+1)),0),IF(ISNUMBER(INDIRECT(ADDRESS(ROW(),COLUMN(lcsc_part_data)+2))),INDIRECT(ADDRESS(ROW(),COLUMN(lcsc_part_data)+1)),0))</formula>
    </cfRule>
  </conditionalFormatting>
  <conditionalFormatting sqref="H26">
    <cfRule type="expression" dxfId="0" priority="77">
      <formula>AND(ISBLANK(G26),ISBLANK(INDIRECT(ADDRESS(ROW(),COLUMN(arrow_part_data)+4))),ISBLANK(INDIRECT(ADDRESS(ROW(),COLUMN(digikey_part_data)+4))),ISBLANK(INDIRECT(ADDRESS(ROW(),COLUMN(farnell_part_data)+4))),ISBLANK(INDIRECT(ADDRESS(ROW(),COLUMN(mouser_part_data)+4))),ISBLANK(INDIRECT(ADDRESS(ROW(),COLUMN(newark_part_data)+4))),ISBLANK(INDIRECT(ADDRESS(ROW(),COLUMN(rs_part_data)+4))),ISBLANK(INDIRECT(ADDRESS(ROW(),COLUMN(tme_part_data)+4))),ISBLANK(INDIRECT(ADDRESS(ROW(),COLUMN(lcsc_part_data)+4))))</formula>
    </cfRule>
    <cfRule type="expression" dxfId="1" priority="78">
      <formula>IF(SUM(INDIRECT(ADDRESS(ROW(),COLUMN(arrow_part_data)+0)),INDIRECT(ADDRESS(ROW(),COLUMN(digikey_part_data)+0)),INDIRECT(ADDRESS(ROW(),COLUMN(farnell_part_data)+0)),INDIRECT(ADDRESS(ROW(),COLUMN(mouser_part_data)+0)),INDIRECT(ADDRESS(ROW(),COLUMN(newark_part_data)+0)),INDIRECT(ADDRESS(ROW(),COLUMN(rs_part_data)+0)),INDIRECT(ADDRESS(ROW(),COLUMN(tme_part_data)+0)),INDIRECT(ADDRESS(ROW(),COLUMN(lcsc_part_data)+0)))=0,1,0)</formula>
    </cfRule>
    <cfRule type="cellIs" dxfId="2" priority="79" operator="greaterThan">
      <formula>SUM(INDIRECT(ADDRESS(ROW(),COLUMN(arrow_part_data)+0)),INDIRECT(ADDRESS(ROW(),COLUMN(digikey_part_data)+0)),INDIRECT(ADDRESS(ROW(),COLUMN(farnell_part_data)+0)),INDIRECT(ADDRESS(ROW(),COLUMN(mouser_part_data)+0)),INDIRECT(ADDRESS(ROW(),COLUMN(newark_part_data)+0)),INDIRECT(ADDRESS(ROW(),COLUMN(rs_part_data)+0)),INDIRECT(ADDRESS(ROW(),COLUMN(tme_part_data)+0)),INDIRECT(ADDRESS(ROW(),COLUMN(lcsc_part_data)+0)))</formula>
    </cfRule>
    <cfRule type="cellIs" dxfId="3" priority="80" operator="greaterThan">
      <formula>SUM(IF(ISNUMBER(INDIRECT(ADDRESS(ROW(),COLUMN(arrow_part_data)+2))),INDIRECT(ADDRESS(ROW(),COLUMN(arrow_part_data)+1)),0),IF(ISNUMBER(INDIRECT(ADDRESS(ROW(),COLUMN(digikey_part_data)+2))),INDIRECT(ADDRESS(ROW(),COLUMN(digikey_part_data)+1)),0),IF(ISNUMBER(INDIRECT(ADDRESS(ROW(),COLUMN(farnell_part_data)+2))),INDIRECT(ADDRESS(ROW(),COLUMN(farnell_part_data)+1)),0),IF(ISNUMBER(INDIRECT(ADDRESS(ROW(),COLUMN(mouser_part_data)+2))),INDIRECT(ADDRESS(ROW(),COLUMN(mouser_part_data)+1)),0),IF(ISNUMBER(INDIRECT(ADDRESS(ROW(),COLUMN(newark_part_data)+2))),INDIRECT(ADDRESS(ROW(),COLUMN(newark_part_data)+1)),0),IF(ISNUMBER(INDIRECT(ADDRESS(ROW(),COLUMN(rs_part_data)+2))),INDIRECT(ADDRESS(ROW(),COLUMN(rs_part_data)+1)),0),IF(ISNUMBER(INDIRECT(ADDRESS(ROW(),COLUMN(tme_part_data)+2))),INDIRECT(ADDRESS(ROW(),COLUMN(tme_part_data)+1)),0),IF(ISNUMBER(INDIRECT(ADDRESS(ROW(),COLUMN(lcsc_part_data)+2))),INDIRECT(ADDRESS(ROW(),COLUMN(lcsc_part_data)+1)),0))</formula>
    </cfRule>
  </conditionalFormatting>
  <conditionalFormatting sqref="H27">
    <cfRule type="expression" dxfId="0" priority="81">
      <formula>AND(ISBLANK(G27),ISBLANK(INDIRECT(ADDRESS(ROW(),COLUMN(arrow_part_data)+4))),ISBLANK(INDIRECT(ADDRESS(ROW(),COLUMN(digikey_part_data)+4))),ISBLANK(INDIRECT(ADDRESS(ROW(),COLUMN(farnell_part_data)+4))),ISBLANK(INDIRECT(ADDRESS(ROW(),COLUMN(mouser_part_data)+4))),ISBLANK(INDIRECT(ADDRESS(ROW(),COLUMN(newark_part_data)+4))),ISBLANK(INDIRECT(ADDRESS(ROW(),COLUMN(rs_part_data)+4))),ISBLANK(INDIRECT(ADDRESS(ROW(),COLUMN(tme_part_data)+4))),ISBLANK(INDIRECT(ADDRESS(ROW(),COLUMN(lcsc_part_data)+4))))</formula>
    </cfRule>
    <cfRule type="expression" dxfId="1" priority="82">
      <formula>IF(SUM(INDIRECT(ADDRESS(ROW(),COLUMN(arrow_part_data)+0)),INDIRECT(ADDRESS(ROW(),COLUMN(digikey_part_data)+0)),INDIRECT(ADDRESS(ROW(),COLUMN(farnell_part_data)+0)),INDIRECT(ADDRESS(ROW(),COLUMN(mouser_part_data)+0)),INDIRECT(ADDRESS(ROW(),COLUMN(newark_part_data)+0)),INDIRECT(ADDRESS(ROW(),COLUMN(rs_part_data)+0)),INDIRECT(ADDRESS(ROW(),COLUMN(tme_part_data)+0)),INDIRECT(ADDRESS(ROW(),COLUMN(lcsc_part_data)+0)))=0,1,0)</formula>
    </cfRule>
    <cfRule type="cellIs" dxfId="2" priority="83" operator="greaterThan">
      <formula>SUM(INDIRECT(ADDRESS(ROW(),COLUMN(arrow_part_data)+0)),INDIRECT(ADDRESS(ROW(),COLUMN(digikey_part_data)+0)),INDIRECT(ADDRESS(ROW(),COLUMN(farnell_part_data)+0)),INDIRECT(ADDRESS(ROW(),COLUMN(mouser_part_data)+0)),INDIRECT(ADDRESS(ROW(),COLUMN(newark_part_data)+0)),INDIRECT(ADDRESS(ROW(),COLUMN(rs_part_data)+0)),INDIRECT(ADDRESS(ROW(),COLUMN(tme_part_data)+0)),INDIRECT(ADDRESS(ROW(),COLUMN(lcsc_part_data)+0)))</formula>
    </cfRule>
    <cfRule type="cellIs" dxfId="3" priority="84" operator="greaterThan">
      <formula>SUM(IF(ISNUMBER(INDIRECT(ADDRESS(ROW(),COLUMN(arrow_part_data)+2))),INDIRECT(ADDRESS(ROW(),COLUMN(arrow_part_data)+1)),0),IF(ISNUMBER(INDIRECT(ADDRESS(ROW(),COLUMN(digikey_part_data)+2))),INDIRECT(ADDRESS(ROW(),COLUMN(digikey_part_data)+1)),0),IF(ISNUMBER(INDIRECT(ADDRESS(ROW(),COLUMN(farnell_part_data)+2))),INDIRECT(ADDRESS(ROW(),COLUMN(farnell_part_data)+1)),0),IF(ISNUMBER(INDIRECT(ADDRESS(ROW(),COLUMN(mouser_part_data)+2))),INDIRECT(ADDRESS(ROW(),COLUMN(mouser_part_data)+1)),0),IF(ISNUMBER(INDIRECT(ADDRESS(ROW(),COLUMN(newark_part_data)+2))),INDIRECT(ADDRESS(ROW(),COLUMN(newark_part_data)+1)),0),IF(ISNUMBER(INDIRECT(ADDRESS(ROW(),COLUMN(rs_part_data)+2))),INDIRECT(ADDRESS(ROW(),COLUMN(rs_part_data)+1)),0),IF(ISNUMBER(INDIRECT(ADDRESS(ROW(),COLUMN(tme_part_data)+2))),INDIRECT(ADDRESS(ROW(),COLUMN(tme_part_data)+1)),0),IF(ISNUMBER(INDIRECT(ADDRESS(ROW(),COLUMN(lcsc_part_data)+2))),INDIRECT(ADDRESS(ROW(),COLUMN(lcsc_part_data)+1)),0))</formula>
    </cfRule>
  </conditionalFormatting>
  <conditionalFormatting sqref="H28">
    <cfRule type="expression" dxfId="0" priority="85">
      <formula>AND(ISBLANK(G28),ISBLANK(INDIRECT(ADDRESS(ROW(),COLUMN(arrow_part_data)+4))),ISBLANK(INDIRECT(ADDRESS(ROW(),COLUMN(digikey_part_data)+4))),ISBLANK(INDIRECT(ADDRESS(ROW(),COLUMN(farnell_part_data)+4))),ISBLANK(INDIRECT(ADDRESS(ROW(),COLUMN(mouser_part_data)+4))),ISBLANK(INDIRECT(ADDRESS(ROW(),COLUMN(newark_part_data)+4))),ISBLANK(INDIRECT(ADDRESS(ROW(),COLUMN(rs_part_data)+4))),ISBLANK(INDIRECT(ADDRESS(ROW(),COLUMN(tme_part_data)+4))),ISBLANK(INDIRECT(ADDRESS(ROW(),COLUMN(lcsc_part_data)+4))))</formula>
    </cfRule>
    <cfRule type="expression" dxfId="1" priority="86">
      <formula>IF(SUM(INDIRECT(ADDRESS(ROW(),COLUMN(arrow_part_data)+0)),INDIRECT(ADDRESS(ROW(),COLUMN(digikey_part_data)+0)),INDIRECT(ADDRESS(ROW(),COLUMN(farnell_part_data)+0)),INDIRECT(ADDRESS(ROW(),COLUMN(mouser_part_data)+0)),INDIRECT(ADDRESS(ROW(),COLUMN(newark_part_data)+0)),INDIRECT(ADDRESS(ROW(),COLUMN(rs_part_data)+0)),INDIRECT(ADDRESS(ROW(),COLUMN(tme_part_data)+0)),INDIRECT(ADDRESS(ROW(),COLUMN(lcsc_part_data)+0)))=0,1,0)</formula>
    </cfRule>
    <cfRule type="cellIs" dxfId="2" priority="87" operator="greaterThan">
      <formula>SUM(INDIRECT(ADDRESS(ROW(),COLUMN(arrow_part_data)+0)),INDIRECT(ADDRESS(ROW(),COLUMN(digikey_part_data)+0)),INDIRECT(ADDRESS(ROW(),COLUMN(farnell_part_data)+0)),INDIRECT(ADDRESS(ROW(),COLUMN(mouser_part_data)+0)),INDIRECT(ADDRESS(ROW(),COLUMN(newark_part_data)+0)),INDIRECT(ADDRESS(ROW(),COLUMN(rs_part_data)+0)),INDIRECT(ADDRESS(ROW(),COLUMN(tme_part_data)+0)),INDIRECT(ADDRESS(ROW(),COLUMN(lcsc_part_data)+0)))</formula>
    </cfRule>
    <cfRule type="cellIs" dxfId="3" priority="88" operator="greaterThan">
      <formula>SUM(IF(ISNUMBER(INDIRECT(ADDRESS(ROW(),COLUMN(arrow_part_data)+2))),INDIRECT(ADDRESS(ROW(),COLUMN(arrow_part_data)+1)),0),IF(ISNUMBER(INDIRECT(ADDRESS(ROW(),COLUMN(digikey_part_data)+2))),INDIRECT(ADDRESS(ROW(),COLUMN(digikey_part_data)+1)),0),IF(ISNUMBER(INDIRECT(ADDRESS(ROW(),COLUMN(farnell_part_data)+2))),INDIRECT(ADDRESS(ROW(),COLUMN(farnell_part_data)+1)),0),IF(ISNUMBER(INDIRECT(ADDRESS(ROW(),COLUMN(mouser_part_data)+2))),INDIRECT(ADDRESS(ROW(),COLUMN(mouser_part_data)+1)),0),IF(ISNUMBER(INDIRECT(ADDRESS(ROW(),COLUMN(newark_part_data)+2))),INDIRECT(ADDRESS(ROW(),COLUMN(newark_part_data)+1)),0),IF(ISNUMBER(INDIRECT(ADDRESS(ROW(),COLUMN(rs_part_data)+2))),INDIRECT(ADDRESS(ROW(),COLUMN(rs_part_data)+1)),0),IF(ISNUMBER(INDIRECT(ADDRESS(ROW(),COLUMN(tme_part_data)+2))),INDIRECT(ADDRESS(ROW(),COLUMN(tme_part_data)+1)),0),IF(ISNUMBER(INDIRECT(ADDRESS(ROW(),COLUMN(lcsc_part_data)+2))),INDIRECT(ADDRESS(ROW(),COLUMN(lcsc_part_data)+1)),0))</formula>
    </cfRule>
  </conditionalFormatting>
  <conditionalFormatting sqref="H29">
    <cfRule type="expression" dxfId="0" priority="89">
      <formula>AND(ISBLANK(G29),ISBLANK(INDIRECT(ADDRESS(ROW(),COLUMN(arrow_part_data)+4))),ISBLANK(INDIRECT(ADDRESS(ROW(),COLUMN(digikey_part_data)+4))),ISBLANK(INDIRECT(ADDRESS(ROW(),COLUMN(farnell_part_data)+4))),ISBLANK(INDIRECT(ADDRESS(ROW(),COLUMN(mouser_part_data)+4))),ISBLANK(INDIRECT(ADDRESS(ROW(),COLUMN(newark_part_data)+4))),ISBLANK(INDIRECT(ADDRESS(ROW(),COLUMN(rs_part_data)+4))),ISBLANK(INDIRECT(ADDRESS(ROW(),COLUMN(tme_part_data)+4))),ISBLANK(INDIRECT(ADDRESS(ROW(),COLUMN(lcsc_part_data)+4))))</formula>
    </cfRule>
    <cfRule type="expression" dxfId="1" priority="90">
      <formula>IF(SUM(INDIRECT(ADDRESS(ROW(),COLUMN(arrow_part_data)+0)),INDIRECT(ADDRESS(ROW(),COLUMN(digikey_part_data)+0)),INDIRECT(ADDRESS(ROW(),COLUMN(farnell_part_data)+0)),INDIRECT(ADDRESS(ROW(),COLUMN(mouser_part_data)+0)),INDIRECT(ADDRESS(ROW(),COLUMN(newark_part_data)+0)),INDIRECT(ADDRESS(ROW(),COLUMN(rs_part_data)+0)),INDIRECT(ADDRESS(ROW(),COLUMN(tme_part_data)+0)),INDIRECT(ADDRESS(ROW(),COLUMN(lcsc_part_data)+0)))=0,1,0)</formula>
    </cfRule>
    <cfRule type="cellIs" dxfId="2" priority="91" operator="greaterThan">
      <formula>SUM(INDIRECT(ADDRESS(ROW(),COLUMN(arrow_part_data)+0)),INDIRECT(ADDRESS(ROW(),COLUMN(digikey_part_data)+0)),INDIRECT(ADDRESS(ROW(),COLUMN(farnell_part_data)+0)),INDIRECT(ADDRESS(ROW(),COLUMN(mouser_part_data)+0)),INDIRECT(ADDRESS(ROW(),COLUMN(newark_part_data)+0)),INDIRECT(ADDRESS(ROW(),COLUMN(rs_part_data)+0)),INDIRECT(ADDRESS(ROW(),COLUMN(tme_part_data)+0)),INDIRECT(ADDRESS(ROW(),COLUMN(lcsc_part_data)+0)))</formula>
    </cfRule>
    <cfRule type="cellIs" dxfId="3" priority="92" operator="greaterThan">
      <formula>SUM(IF(ISNUMBER(INDIRECT(ADDRESS(ROW(),COLUMN(arrow_part_data)+2))),INDIRECT(ADDRESS(ROW(),COLUMN(arrow_part_data)+1)),0),IF(ISNUMBER(INDIRECT(ADDRESS(ROW(),COLUMN(digikey_part_data)+2))),INDIRECT(ADDRESS(ROW(),COLUMN(digikey_part_data)+1)),0),IF(ISNUMBER(INDIRECT(ADDRESS(ROW(),COLUMN(farnell_part_data)+2))),INDIRECT(ADDRESS(ROW(),COLUMN(farnell_part_data)+1)),0),IF(ISNUMBER(INDIRECT(ADDRESS(ROW(),COLUMN(mouser_part_data)+2))),INDIRECT(ADDRESS(ROW(),COLUMN(mouser_part_data)+1)),0),IF(ISNUMBER(INDIRECT(ADDRESS(ROW(),COLUMN(newark_part_data)+2))),INDIRECT(ADDRESS(ROW(),COLUMN(newark_part_data)+1)),0),IF(ISNUMBER(INDIRECT(ADDRESS(ROW(),COLUMN(rs_part_data)+2))),INDIRECT(ADDRESS(ROW(),COLUMN(rs_part_data)+1)),0),IF(ISNUMBER(INDIRECT(ADDRESS(ROW(),COLUMN(tme_part_data)+2))),INDIRECT(ADDRESS(ROW(),COLUMN(tme_part_data)+1)),0),IF(ISNUMBER(INDIRECT(ADDRESS(ROW(),COLUMN(lcsc_part_data)+2))),INDIRECT(ADDRESS(ROW(),COLUMN(lcsc_part_data)+1)),0))</formula>
    </cfRule>
  </conditionalFormatting>
  <conditionalFormatting sqref="H30">
    <cfRule type="expression" dxfId="0" priority="93">
      <formula>AND(ISBLANK(G30),ISBLANK(INDIRECT(ADDRESS(ROW(),COLUMN(arrow_part_data)+4))),ISBLANK(INDIRECT(ADDRESS(ROW(),COLUMN(digikey_part_data)+4))),ISBLANK(INDIRECT(ADDRESS(ROW(),COLUMN(farnell_part_data)+4))),ISBLANK(INDIRECT(ADDRESS(ROW(),COLUMN(mouser_part_data)+4))),ISBLANK(INDIRECT(ADDRESS(ROW(),COLUMN(newark_part_data)+4))),ISBLANK(INDIRECT(ADDRESS(ROW(),COLUMN(rs_part_data)+4))),ISBLANK(INDIRECT(ADDRESS(ROW(),COLUMN(tme_part_data)+4))),ISBLANK(INDIRECT(ADDRESS(ROW(),COLUMN(lcsc_part_data)+4))))</formula>
    </cfRule>
    <cfRule type="expression" dxfId="1" priority="94">
      <formula>IF(SUM(INDIRECT(ADDRESS(ROW(),COLUMN(arrow_part_data)+0)),INDIRECT(ADDRESS(ROW(),COLUMN(digikey_part_data)+0)),INDIRECT(ADDRESS(ROW(),COLUMN(farnell_part_data)+0)),INDIRECT(ADDRESS(ROW(),COLUMN(mouser_part_data)+0)),INDIRECT(ADDRESS(ROW(),COLUMN(newark_part_data)+0)),INDIRECT(ADDRESS(ROW(),COLUMN(rs_part_data)+0)),INDIRECT(ADDRESS(ROW(),COLUMN(tme_part_data)+0)),INDIRECT(ADDRESS(ROW(),COLUMN(lcsc_part_data)+0)))=0,1,0)</formula>
    </cfRule>
    <cfRule type="cellIs" dxfId="2" priority="95" operator="greaterThan">
      <formula>SUM(INDIRECT(ADDRESS(ROW(),COLUMN(arrow_part_data)+0)),INDIRECT(ADDRESS(ROW(),COLUMN(digikey_part_data)+0)),INDIRECT(ADDRESS(ROW(),COLUMN(farnell_part_data)+0)),INDIRECT(ADDRESS(ROW(),COLUMN(mouser_part_data)+0)),INDIRECT(ADDRESS(ROW(),COLUMN(newark_part_data)+0)),INDIRECT(ADDRESS(ROW(),COLUMN(rs_part_data)+0)),INDIRECT(ADDRESS(ROW(),COLUMN(tme_part_data)+0)),INDIRECT(ADDRESS(ROW(),COLUMN(lcsc_part_data)+0)))</formula>
    </cfRule>
    <cfRule type="cellIs" dxfId="3" priority="96" operator="greaterThan">
      <formula>SUM(IF(ISNUMBER(INDIRECT(ADDRESS(ROW(),COLUMN(arrow_part_data)+2))),INDIRECT(ADDRESS(ROW(),COLUMN(arrow_part_data)+1)),0),IF(ISNUMBER(INDIRECT(ADDRESS(ROW(),COLUMN(digikey_part_data)+2))),INDIRECT(ADDRESS(ROW(),COLUMN(digikey_part_data)+1)),0),IF(ISNUMBER(INDIRECT(ADDRESS(ROW(),COLUMN(farnell_part_data)+2))),INDIRECT(ADDRESS(ROW(),COLUMN(farnell_part_data)+1)),0),IF(ISNUMBER(INDIRECT(ADDRESS(ROW(),COLUMN(mouser_part_data)+2))),INDIRECT(ADDRESS(ROW(),COLUMN(mouser_part_data)+1)),0),IF(ISNUMBER(INDIRECT(ADDRESS(ROW(),COLUMN(newark_part_data)+2))),INDIRECT(ADDRESS(ROW(),COLUMN(newark_part_data)+1)),0),IF(ISNUMBER(INDIRECT(ADDRESS(ROW(),COLUMN(rs_part_data)+2))),INDIRECT(ADDRESS(ROW(),COLUMN(rs_part_data)+1)),0),IF(ISNUMBER(INDIRECT(ADDRESS(ROW(),COLUMN(tme_part_data)+2))),INDIRECT(ADDRESS(ROW(),COLUMN(tme_part_data)+1)),0),IF(ISNUMBER(INDIRECT(ADDRESS(ROW(),COLUMN(lcsc_part_data)+2))),INDIRECT(ADDRESS(ROW(),COLUMN(lcsc_part_data)+1)),0))</formula>
    </cfRule>
  </conditionalFormatting>
  <conditionalFormatting sqref="H31">
    <cfRule type="expression" dxfId="0" priority="97">
      <formula>AND(ISBLANK(G31),ISBLANK(INDIRECT(ADDRESS(ROW(),COLUMN(arrow_part_data)+4))),ISBLANK(INDIRECT(ADDRESS(ROW(),COLUMN(digikey_part_data)+4))),ISBLANK(INDIRECT(ADDRESS(ROW(),COLUMN(farnell_part_data)+4))),ISBLANK(INDIRECT(ADDRESS(ROW(),COLUMN(mouser_part_data)+4))),ISBLANK(INDIRECT(ADDRESS(ROW(),COLUMN(newark_part_data)+4))),ISBLANK(INDIRECT(ADDRESS(ROW(),COLUMN(rs_part_data)+4))),ISBLANK(INDIRECT(ADDRESS(ROW(),COLUMN(tme_part_data)+4))),ISBLANK(INDIRECT(ADDRESS(ROW(),COLUMN(lcsc_part_data)+4))))</formula>
    </cfRule>
    <cfRule type="expression" dxfId="1" priority="98">
      <formula>IF(SUM(INDIRECT(ADDRESS(ROW(),COLUMN(arrow_part_data)+0)),INDIRECT(ADDRESS(ROW(),COLUMN(digikey_part_data)+0)),INDIRECT(ADDRESS(ROW(),COLUMN(farnell_part_data)+0)),INDIRECT(ADDRESS(ROW(),COLUMN(mouser_part_data)+0)),INDIRECT(ADDRESS(ROW(),COLUMN(newark_part_data)+0)),INDIRECT(ADDRESS(ROW(),COLUMN(rs_part_data)+0)),INDIRECT(ADDRESS(ROW(),COLUMN(tme_part_data)+0)),INDIRECT(ADDRESS(ROW(),COLUMN(lcsc_part_data)+0)))=0,1,0)</formula>
    </cfRule>
    <cfRule type="cellIs" dxfId="2" priority="99" operator="greaterThan">
      <formula>SUM(INDIRECT(ADDRESS(ROW(),COLUMN(arrow_part_data)+0)),INDIRECT(ADDRESS(ROW(),COLUMN(digikey_part_data)+0)),INDIRECT(ADDRESS(ROW(),COLUMN(farnell_part_data)+0)),INDIRECT(ADDRESS(ROW(),COLUMN(mouser_part_data)+0)),INDIRECT(ADDRESS(ROW(),COLUMN(newark_part_data)+0)),INDIRECT(ADDRESS(ROW(),COLUMN(rs_part_data)+0)),INDIRECT(ADDRESS(ROW(),COLUMN(tme_part_data)+0)),INDIRECT(ADDRESS(ROW(),COLUMN(lcsc_part_data)+0)))</formula>
    </cfRule>
    <cfRule type="cellIs" dxfId="3" priority="100" operator="greaterThan">
      <formula>SUM(IF(ISNUMBER(INDIRECT(ADDRESS(ROW(),COLUMN(arrow_part_data)+2))),INDIRECT(ADDRESS(ROW(),COLUMN(arrow_part_data)+1)),0),IF(ISNUMBER(INDIRECT(ADDRESS(ROW(),COLUMN(digikey_part_data)+2))),INDIRECT(ADDRESS(ROW(),COLUMN(digikey_part_data)+1)),0),IF(ISNUMBER(INDIRECT(ADDRESS(ROW(),COLUMN(farnell_part_data)+2))),INDIRECT(ADDRESS(ROW(),COLUMN(farnell_part_data)+1)),0),IF(ISNUMBER(INDIRECT(ADDRESS(ROW(),COLUMN(mouser_part_data)+2))),INDIRECT(ADDRESS(ROW(),COLUMN(mouser_part_data)+1)),0),IF(ISNUMBER(INDIRECT(ADDRESS(ROW(),COLUMN(newark_part_data)+2))),INDIRECT(ADDRESS(ROW(),COLUMN(newark_part_data)+1)),0),IF(ISNUMBER(INDIRECT(ADDRESS(ROW(),COLUMN(rs_part_data)+2))),INDIRECT(ADDRESS(ROW(),COLUMN(rs_part_data)+1)),0),IF(ISNUMBER(INDIRECT(ADDRESS(ROW(),COLUMN(tme_part_data)+2))),INDIRECT(ADDRESS(ROW(),COLUMN(tme_part_data)+1)),0),IF(ISNUMBER(INDIRECT(ADDRESS(ROW(),COLUMN(lcsc_part_data)+2))),INDIRECT(ADDRESS(ROW(),COLUMN(lcsc_part_data)+1)),0))</formula>
    </cfRule>
  </conditionalFormatting>
  <conditionalFormatting sqref="H32">
    <cfRule type="expression" dxfId="0" priority="101">
      <formula>AND(ISBLANK(G32),ISBLANK(INDIRECT(ADDRESS(ROW(),COLUMN(arrow_part_data)+4))),ISBLANK(INDIRECT(ADDRESS(ROW(),COLUMN(digikey_part_data)+4))),ISBLANK(INDIRECT(ADDRESS(ROW(),COLUMN(farnell_part_data)+4))),ISBLANK(INDIRECT(ADDRESS(ROW(),COLUMN(mouser_part_data)+4))),ISBLANK(INDIRECT(ADDRESS(ROW(),COLUMN(newark_part_data)+4))),ISBLANK(INDIRECT(ADDRESS(ROW(),COLUMN(rs_part_data)+4))),ISBLANK(INDIRECT(ADDRESS(ROW(),COLUMN(tme_part_data)+4))),ISBLANK(INDIRECT(ADDRESS(ROW(),COLUMN(lcsc_part_data)+4))))</formula>
    </cfRule>
    <cfRule type="expression" dxfId="1" priority="102">
      <formula>IF(SUM(INDIRECT(ADDRESS(ROW(),COLUMN(arrow_part_data)+0)),INDIRECT(ADDRESS(ROW(),COLUMN(digikey_part_data)+0)),INDIRECT(ADDRESS(ROW(),COLUMN(farnell_part_data)+0)),INDIRECT(ADDRESS(ROW(),COLUMN(mouser_part_data)+0)),INDIRECT(ADDRESS(ROW(),COLUMN(newark_part_data)+0)),INDIRECT(ADDRESS(ROW(),COLUMN(rs_part_data)+0)),INDIRECT(ADDRESS(ROW(),COLUMN(tme_part_data)+0)),INDIRECT(ADDRESS(ROW(),COLUMN(lcsc_part_data)+0)))=0,1,0)</formula>
    </cfRule>
    <cfRule type="cellIs" dxfId="2" priority="103" operator="greaterThan">
      <formula>SUM(INDIRECT(ADDRESS(ROW(),COLUMN(arrow_part_data)+0)),INDIRECT(ADDRESS(ROW(),COLUMN(digikey_part_data)+0)),INDIRECT(ADDRESS(ROW(),COLUMN(farnell_part_data)+0)),INDIRECT(ADDRESS(ROW(),COLUMN(mouser_part_data)+0)),INDIRECT(ADDRESS(ROW(),COLUMN(newark_part_data)+0)),INDIRECT(ADDRESS(ROW(),COLUMN(rs_part_data)+0)),INDIRECT(ADDRESS(ROW(),COLUMN(tme_part_data)+0)),INDIRECT(ADDRESS(ROW(),COLUMN(lcsc_part_data)+0)))</formula>
    </cfRule>
    <cfRule type="cellIs" dxfId="3" priority="104" operator="greaterThan">
      <formula>SUM(IF(ISNUMBER(INDIRECT(ADDRESS(ROW(),COLUMN(arrow_part_data)+2))),INDIRECT(ADDRESS(ROW(),COLUMN(arrow_part_data)+1)),0),IF(ISNUMBER(INDIRECT(ADDRESS(ROW(),COLUMN(digikey_part_data)+2))),INDIRECT(ADDRESS(ROW(),COLUMN(digikey_part_data)+1)),0),IF(ISNUMBER(INDIRECT(ADDRESS(ROW(),COLUMN(farnell_part_data)+2))),INDIRECT(ADDRESS(ROW(),COLUMN(farnell_part_data)+1)),0),IF(ISNUMBER(INDIRECT(ADDRESS(ROW(),COLUMN(mouser_part_data)+2))),INDIRECT(ADDRESS(ROW(),COLUMN(mouser_part_data)+1)),0),IF(ISNUMBER(INDIRECT(ADDRESS(ROW(),COLUMN(newark_part_data)+2))),INDIRECT(ADDRESS(ROW(),COLUMN(newark_part_data)+1)),0),IF(ISNUMBER(INDIRECT(ADDRESS(ROW(),COLUMN(rs_part_data)+2))),INDIRECT(ADDRESS(ROW(),COLUMN(rs_part_data)+1)),0),IF(ISNUMBER(INDIRECT(ADDRESS(ROW(),COLUMN(tme_part_data)+2))),INDIRECT(ADDRESS(ROW(),COLUMN(tme_part_data)+1)),0),IF(ISNUMBER(INDIRECT(ADDRESS(ROW(),COLUMN(lcsc_part_data)+2))),INDIRECT(ADDRESS(ROW(),COLUMN(lcsc_part_data)+1)),0))</formula>
    </cfRule>
  </conditionalFormatting>
  <conditionalFormatting sqref="H33">
    <cfRule type="expression" dxfId="0" priority="105">
      <formula>AND(ISBLANK(G33),ISBLANK(INDIRECT(ADDRESS(ROW(),COLUMN(arrow_part_data)+4))),ISBLANK(INDIRECT(ADDRESS(ROW(),COLUMN(digikey_part_data)+4))),ISBLANK(INDIRECT(ADDRESS(ROW(),COLUMN(farnell_part_data)+4))),ISBLANK(INDIRECT(ADDRESS(ROW(),COLUMN(mouser_part_data)+4))),ISBLANK(INDIRECT(ADDRESS(ROW(),COLUMN(newark_part_data)+4))),ISBLANK(INDIRECT(ADDRESS(ROW(),COLUMN(rs_part_data)+4))),ISBLANK(INDIRECT(ADDRESS(ROW(),COLUMN(tme_part_data)+4))),ISBLANK(INDIRECT(ADDRESS(ROW(),COLUMN(lcsc_part_data)+4))))</formula>
    </cfRule>
    <cfRule type="expression" dxfId="1" priority="106">
      <formula>IF(SUM(INDIRECT(ADDRESS(ROW(),COLUMN(arrow_part_data)+0)),INDIRECT(ADDRESS(ROW(),COLUMN(digikey_part_data)+0)),INDIRECT(ADDRESS(ROW(),COLUMN(farnell_part_data)+0)),INDIRECT(ADDRESS(ROW(),COLUMN(mouser_part_data)+0)),INDIRECT(ADDRESS(ROW(),COLUMN(newark_part_data)+0)),INDIRECT(ADDRESS(ROW(),COLUMN(rs_part_data)+0)),INDIRECT(ADDRESS(ROW(),COLUMN(tme_part_data)+0)),INDIRECT(ADDRESS(ROW(),COLUMN(lcsc_part_data)+0)))=0,1,0)</formula>
    </cfRule>
    <cfRule type="cellIs" dxfId="2" priority="107" operator="greaterThan">
      <formula>SUM(INDIRECT(ADDRESS(ROW(),COLUMN(arrow_part_data)+0)),INDIRECT(ADDRESS(ROW(),COLUMN(digikey_part_data)+0)),INDIRECT(ADDRESS(ROW(),COLUMN(farnell_part_data)+0)),INDIRECT(ADDRESS(ROW(),COLUMN(mouser_part_data)+0)),INDIRECT(ADDRESS(ROW(),COLUMN(newark_part_data)+0)),INDIRECT(ADDRESS(ROW(),COLUMN(rs_part_data)+0)),INDIRECT(ADDRESS(ROW(),COLUMN(tme_part_data)+0)),INDIRECT(ADDRESS(ROW(),COLUMN(lcsc_part_data)+0)))</formula>
    </cfRule>
    <cfRule type="cellIs" dxfId="3" priority="108" operator="greaterThan">
      <formula>SUM(IF(ISNUMBER(INDIRECT(ADDRESS(ROW(),COLUMN(arrow_part_data)+2))),INDIRECT(ADDRESS(ROW(),COLUMN(arrow_part_data)+1)),0),IF(ISNUMBER(INDIRECT(ADDRESS(ROW(),COLUMN(digikey_part_data)+2))),INDIRECT(ADDRESS(ROW(),COLUMN(digikey_part_data)+1)),0),IF(ISNUMBER(INDIRECT(ADDRESS(ROW(),COLUMN(farnell_part_data)+2))),INDIRECT(ADDRESS(ROW(),COLUMN(farnell_part_data)+1)),0),IF(ISNUMBER(INDIRECT(ADDRESS(ROW(),COLUMN(mouser_part_data)+2))),INDIRECT(ADDRESS(ROW(),COLUMN(mouser_part_data)+1)),0),IF(ISNUMBER(INDIRECT(ADDRESS(ROW(),COLUMN(newark_part_data)+2))),INDIRECT(ADDRESS(ROW(),COLUMN(newark_part_data)+1)),0),IF(ISNUMBER(INDIRECT(ADDRESS(ROW(),COLUMN(rs_part_data)+2))),INDIRECT(ADDRESS(ROW(),COLUMN(rs_part_data)+1)),0),IF(ISNUMBER(INDIRECT(ADDRESS(ROW(),COLUMN(tme_part_data)+2))),INDIRECT(ADDRESS(ROW(),COLUMN(tme_part_data)+1)),0),IF(ISNUMBER(INDIRECT(ADDRESS(ROW(),COLUMN(lcsc_part_data)+2))),INDIRECT(ADDRESS(ROW(),COLUMN(lcsc_part_data)+1)),0))</formula>
    </cfRule>
  </conditionalFormatting>
  <conditionalFormatting sqref="H34">
    <cfRule type="expression" dxfId="0" priority="109">
      <formula>AND(ISBLANK(G34),ISBLANK(INDIRECT(ADDRESS(ROW(),COLUMN(arrow_part_data)+4))),ISBLANK(INDIRECT(ADDRESS(ROW(),COLUMN(digikey_part_data)+4))),ISBLANK(INDIRECT(ADDRESS(ROW(),COLUMN(farnell_part_data)+4))),ISBLANK(INDIRECT(ADDRESS(ROW(),COLUMN(mouser_part_data)+4))),ISBLANK(INDIRECT(ADDRESS(ROW(),COLUMN(newark_part_data)+4))),ISBLANK(INDIRECT(ADDRESS(ROW(),COLUMN(rs_part_data)+4))),ISBLANK(INDIRECT(ADDRESS(ROW(),COLUMN(tme_part_data)+4))),ISBLANK(INDIRECT(ADDRESS(ROW(),COLUMN(lcsc_part_data)+4))))</formula>
    </cfRule>
    <cfRule type="expression" dxfId="1" priority="110">
      <formula>IF(SUM(INDIRECT(ADDRESS(ROW(),COLUMN(arrow_part_data)+0)),INDIRECT(ADDRESS(ROW(),COLUMN(digikey_part_data)+0)),INDIRECT(ADDRESS(ROW(),COLUMN(farnell_part_data)+0)),INDIRECT(ADDRESS(ROW(),COLUMN(mouser_part_data)+0)),INDIRECT(ADDRESS(ROW(),COLUMN(newark_part_data)+0)),INDIRECT(ADDRESS(ROW(),COLUMN(rs_part_data)+0)),INDIRECT(ADDRESS(ROW(),COLUMN(tme_part_data)+0)),INDIRECT(ADDRESS(ROW(),COLUMN(lcsc_part_data)+0)))=0,1,0)</formula>
    </cfRule>
    <cfRule type="cellIs" dxfId="2" priority="111" operator="greaterThan">
      <formula>SUM(INDIRECT(ADDRESS(ROW(),COLUMN(arrow_part_data)+0)),INDIRECT(ADDRESS(ROW(),COLUMN(digikey_part_data)+0)),INDIRECT(ADDRESS(ROW(),COLUMN(farnell_part_data)+0)),INDIRECT(ADDRESS(ROW(),COLUMN(mouser_part_data)+0)),INDIRECT(ADDRESS(ROW(),COLUMN(newark_part_data)+0)),INDIRECT(ADDRESS(ROW(),COLUMN(rs_part_data)+0)),INDIRECT(ADDRESS(ROW(),COLUMN(tme_part_data)+0)),INDIRECT(ADDRESS(ROW(),COLUMN(lcsc_part_data)+0)))</formula>
    </cfRule>
    <cfRule type="cellIs" dxfId="3" priority="112" operator="greaterThan">
      <formula>SUM(IF(ISNUMBER(INDIRECT(ADDRESS(ROW(),COLUMN(arrow_part_data)+2))),INDIRECT(ADDRESS(ROW(),COLUMN(arrow_part_data)+1)),0),IF(ISNUMBER(INDIRECT(ADDRESS(ROW(),COLUMN(digikey_part_data)+2))),INDIRECT(ADDRESS(ROW(),COLUMN(digikey_part_data)+1)),0),IF(ISNUMBER(INDIRECT(ADDRESS(ROW(),COLUMN(farnell_part_data)+2))),INDIRECT(ADDRESS(ROW(),COLUMN(farnell_part_data)+1)),0),IF(ISNUMBER(INDIRECT(ADDRESS(ROW(),COLUMN(mouser_part_data)+2))),INDIRECT(ADDRESS(ROW(),COLUMN(mouser_part_data)+1)),0),IF(ISNUMBER(INDIRECT(ADDRESS(ROW(),COLUMN(newark_part_data)+2))),INDIRECT(ADDRESS(ROW(),COLUMN(newark_part_data)+1)),0),IF(ISNUMBER(INDIRECT(ADDRESS(ROW(),COLUMN(rs_part_data)+2))),INDIRECT(ADDRESS(ROW(),COLUMN(rs_part_data)+1)),0),IF(ISNUMBER(INDIRECT(ADDRESS(ROW(),COLUMN(tme_part_data)+2))),INDIRECT(ADDRESS(ROW(),COLUMN(tme_part_data)+1)),0),IF(ISNUMBER(INDIRECT(ADDRESS(ROW(),COLUMN(lcsc_part_data)+2))),INDIRECT(ADDRESS(ROW(),COLUMN(lcsc_part_data)+1)),0))</formula>
    </cfRule>
  </conditionalFormatting>
  <conditionalFormatting sqref="H35">
    <cfRule type="expression" dxfId="0" priority="113">
      <formula>AND(ISBLANK(G35),ISBLANK(INDIRECT(ADDRESS(ROW(),COLUMN(arrow_part_data)+4))),ISBLANK(INDIRECT(ADDRESS(ROW(),COLUMN(digikey_part_data)+4))),ISBLANK(INDIRECT(ADDRESS(ROW(),COLUMN(farnell_part_data)+4))),ISBLANK(INDIRECT(ADDRESS(ROW(),COLUMN(mouser_part_data)+4))),ISBLANK(INDIRECT(ADDRESS(ROW(),COLUMN(newark_part_data)+4))),ISBLANK(INDIRECT(ADDRESS(ROW(),COLUMN(rs_part_data)+4))),ISBLANK(INDIRECT(ADDRESS(ROW(),COLUMN(tme_part_data)+4))),ISBLANK(INDIRECT(ADDRESS(ROW(),COLUMN(lcsc_part_data)+4))))</formula>
    </cfRule>
    <cfRule type="expression" dxfId="1" priority="114">
      <formula>IF(SUM(INDIRECT(ADDRESS(ROW(),COLUMN(arrow_part_data)+0)),INDIRECT(ADDRESS(ROW(),COLUMN(digikey_part_data)+0)),INDIRECT(ADDRESS(ROW(),COLUMN(farnell_part_data)+0)),INDIRECT(ADDRESS(ROW(),COLUMN(mouser_part_data)+0)),INDIRECT(ADDRESS(ROW(),COLUMN(newark_part_data)+0)),INDIRECT(ADDRESS(ROW(),COLUMN(rs_part_data)+0)),INDIRECT(ADDRESS(ROW(),COLUMN(tme_part_data)+0)),INDIRECT(ADDRESS(ROW(),COLUMN(lcsc_part_data)+0)))=0,1,0)</formula>
    </cfRule>
    <cfRule type="cellIs" dxfId="2" priority="115" operator="greaterThan">
      <formula>SUM(INDIRECT(ADDRESS(ROW(),COLUMN(arrow_part_data)+0)),INDIRECT(ADDRESS(ROW(),COLUMN(digikey_part_data)+0)),INDIRECT(ADDRESS(ROW(),COLUMN(farnell_part_data)+0)),INDIRECT(ADDRESS(ROW(),COLUMN(mouser_part_data)+0)),INDIRECT(ADDRESS(ROW(),COLUMN(newark_part_data)+0)),INDIRECT(ADDRESS(ROW(),COLUMN(rs_part_data)+0)),INDIRECT(ADDRESS(ROW(),COLUMN(tme_part_data)+0)),INDIRECT(ADDRESS(ROW(),COLUMN(lcsc_part_data)+0)))</formula>
    </cfRule>
    <cfRule type="cellIs" dxfId="3" priority="116" operator="greaterThan">
      <formula>SUM(IF(ISNUMBER(INDIRECT(ADDRESS(ROW(),COLUMN(arrow_part_data)+2))),INDIRECT(ADDRESS(ROW(),COLUMN(arrow_part_data)+1)),0),IF(ISNUMBER(INDIRECT(ADDRESS(ROW(),COLUMN(digikey_part_data)+2))),INDIRECT(ADDRESS(ROW(),COLUMN(digikey_part_data)+1)),0),IF(ISNUMBER(INDIRECT(ADDRESS(ROW(),COLUMN(farnell_part_data)+2))),INDIRECT(ADDRESS(ROW(),COLUMN(farnell_part_data)+1)),0),IF(ISNUMBER(INDIRECT(ADDRESS(ROW(),COLUMN(mouser_part_data)+2))),INDIRECT(ADDRESS(ROW(),COLUMN(mouser_part_data)+1)),0),IF(ISNUMBER(INDIRECT(ADDRESS(ROW(),COLUMN(newark_part_data)+2))),INDIRECT(ADDRESS(ROW(),COLUMN(newark_part_data)+1)),0),IF(ISNUMBER(INDIRECT(ADDRESS(ROW(),COLUMN(rs_part_data)+2))),INDIRECT(ADDRESS(ROW(),COLUMN(rs_part_data)+1)),0),IF(ISNUMBER(INDIRECT(ADDRESS(ROW(),COLUMN(tme_part_data)+2))),INDIRECT(ADDRESS(ROW(),COLUMN(tme_part_data)+1)),0),IF(ISNUMBER(INDIRECT(ADDRESS(ROW(),COLUMN(lcsc_part_data)+2))),INDIRECT(ADDRESS(ROW(),COLUMN(lcsc_part_data)+1)),0))</formula>
    </cfRule>
  </conditionalFormatting>
  <conditionalFormatting sqref="H36">
    <cfRule type="expression" dxfId="0" priority="117">
      <formula>AND(ISBLANK(G36),ISBLANK(INDIRECT(ADDRESS(ROW(),COLUMN(arrow_part_data)+4))),ISBLANK(INDIRECT(ADDRESS(ROW(),COLUMN(digikey_part_data)+4))),ISBLANK(INDIRECT(ADDRESS(ROW(),COLUMN(farnell_part_data)+4))),ISBLANK(INDIRECT(ADDRESS(ROW(),COLUMN(mouser_part_data)+4))),ISBLANK(INDIRECT(ADDRESS(ROW(),COLUMN(newark_part_data)+4))),ISBLANK(INDIRECT(ADDRESS(ROW(),COLUMN(rs_part_data)+4))),ISBLANK(INDIRECT(ADDRESS(ROW(),COLUMN(tme_part_data)+4))),ISBLANK(INDIRECT(ADDRESS(ROW(),COLUMN(lcsc_part_data)+4))))</formula>
    </cfRule>
    <cfRule type="expression" dxfId="1" priority="118">
      <formula>IF(SUM(INDIRECT(ADDRESS(ROW(),COLUMN(arrow_part_data)+0)),INDIRECT(ADDRESS(ROW(),COLUMN(digikey_part_data)+0)),INDIRECT(ADDRESS(ROW(),COLUMN(farnell_part_data)+0)),INDIRECT(ADDRESS(ROW(),COLUMN(mouser_part_data)+0)),INDIRECT(ADDRESS(ROW(),COLUMN(newark_part_data)+0)),INDIRECT(ADDRESS(ROW(),COLUMN(rs_part_data)+0)),INDIRECT(ADDRESS(ROW(),COLUMN(tme_part_data)+0)),INDIRECT(ADDRESS(ROW(),COLUMN(lcsc_part_data)+0)))=0,1,0)</formula>
    </cfRule>
    <cfRule type="cellIs" dxfId="2" priority="119" operator="greaterThan">
      <formula>SUM(INDIRECT(ADDRESS(ROW(),COLUMN(arrow_part_data)+0)),INDIRECT(ADDRESS(ROW(),COLUMN(digikey_part_data)+0)),INDIRECT(ADDRESS(ROW(),COLUMN(farnell_part_data)+0)),INDIRECT(ADDRESS(ROW(),COLUMN(mouser_part_data)+0)),INDIRECT(ADDRESS(ROW(),COLUMN(newark_part_data)+0)),INDIRECT(ADDRESS(ROW(),COLUMN(rs_part_data)+0)),INDIRECT(ADDRESS(ROW(),COLUMN(tme_part_data)+0)),INDIRECT(ADDRESS(ROW(),COLUMN(lcsc_part_data)+0)))</formula>
    </cfRule>
    <cfRule type="cellIs" dxfId="3" priority="120" operator="greaterThan">
      <formula>SUM(IF(ISNUMBER(INDIRECT(ADDRESS(ROW(),COLUMN(arrow_part_data)+2))),INDIRECT(ADDRESS(ROW(),COLUMN(arrow_part_data)+1)),0),IF(ISNUMBER(INDIRECT(ADDRESS(ROW(),COLUMN(digikey_part_data)+2))),INDIRECT(ADDRESS(ROW(),COLUMN(digikey_part_data)+1)),0),IF(ISNUMBER(INDIRECT(ADDRESS(ROW(),COLUMN(farnell_part_data)+2))),INDIRECT(ADDRESS(ROW(),COLUMN(farnell_part_data)+1)),0),IF(ISNUMBER(INDIRECT(ADDRESS(ROW(),COLUMN(mouser_part_data)+2))),INDIRECT(ADDRESS(ROW(),COLUMN(mouser_part_data)+1)),0),IF(ISNUMBER(INDIRECT(ADDRESS(ROW(),COLUMN(newark_part_data)+2))),INDIRECT(ADDRESS(ROW(),COLUMN(newark_part_data)+1)),0),IF(ISNUMBER(INDIRECT(ADDRESS(ROW(),COLUMN(rs_part_data)+2))),INDIRECT(ADDRESS(ROW(),COLUMN(rs_part_data)+1)),0),IF(ISNUMBER(INDIRECT(ADDRESS(ROW(),COLUMN(tme_part_data)+2))),INDIRECT(ADDRESS(ROW(),COLUMN(tme_part_data)+1)),0),IF(ISNUMBER(INDIRECT(ADDRESS(ROW(),COLUMN(lcsc_part_data)+2))),INDIRECT(ADDRESS(ROW(),COLUMN(lcsc_part_data)+1)),0))</formula>
    </cfRule>
  </conditionalFormatting>
  <conditionalFormatting sqref="H37">
    <cfRule type="expression" dxfId="0" priority="121">
      <formula>AND(ISBLANK(G37),ISBLANK(INDIRECT(ADDRESS(ROW(),COLUMN(arrow_part_data)+4))),ISBLANK(INDIRECT(ADDRESS(ROW(),COLUMN(digikey_part_data)+4))),ISBLANK(INDIRECT(ADDRESS(ROW(),COLUMN(farnell_part_data)+4))),ISBLANK(INDIRECT(ADDRESS(ROW(),COLUMN(mouser_part_data)+4))),ISBLANK(INDIRECT(ADDRESS(ROW(),COLUMN(newark_part_data)+4))),ISBLANK(INDIRECT(ADDRESS(ROW(),COLUMN(rs_part_data)+4))),ISBLANK(INDIRECT(ADDRESS(ROW(),COLUMN(tme_part_data)+4))),ISBLANK(INDIRECT(ADDRESS(ROW(),COLUMN(lcsc_part_data)+4))))</formula>
    </cfRule>
    <cfRule type="expression" dxfId="1" priority="122">
      <formula>IF(SUM(INDIRECT(ADDRESS(ROW(),COLUMN(arrow_part_data)+0)),INDIRECT(ADDRESS(ROW(),COLUMN(digikey_part_data)+0)),INDIRECT(ADDRESS(ROW(),COLUMN(farnell_part_data)+0)),INDIRECT(ADDRESS(ROW(),COLUMN(mouser_part_data)+0)),INDIRECT(ADDRESS(ROW(),COLUMN(newark_part_data)+0)),INDIRECT(ADDRESS(ROW(),COLUMN(rs_part_data)+0)),INDIRECT(ADDRESS(ROW(),COLUMN(tme_part_data)+0)),INDIRECT(ADDRESS(ROW(),COLUMN(lcsc_part_data)+0)))=0,1,0)</formula>
    </cfRule>
    <cfRule type="cellIs" dxfId="2" priority="123" operator="greaterThan">
      <formula>SUM(INDIRECT(ADDRESS(ROW(),COLUMN(arrow_part_data)+0)),INDIRECT(ADDRESS(ROW(),COLUMN(digikey_part_data)+0)),INDIRECT(ADDRESS(ROW(),COLUMN(farnell_part_data)+0)),INDIRECT(ADDRESS(ROW(),COLUMN(mouser_part_data)+0)),INDIRECT(ADDRESS(ROW(),COLUMN(newark_part_data)+0)),INDIRECT(ADDRESS(ROW(),COLUMN(rs_part_data)+0)),INDIRECT(ADDRESS(ROW(),COLUMN(tme_part_data)+0)),INDIRECT(ADDRESS(ROW(),COLUMN(lcsc_part_data)+0)))</formula>
    </cfRule>
    <cfRule type="cellIs" dxfId="3" priority="124" operator="greaterThan">
      <formula>SUM(IF(ISNUMBER(INDIRECT(ADDRESS(ROW(),COLUMN(arrow_part_data)+2))),INDIRECT(ADDRESS(ROW(),COLUMN(arrow_part_data)+1)),0),IF(ISNUMBER(INDIRECT(ADDRESS(ROW(),COLUMN(digikey_part_data)+2))),INDIRECT(ADDRESS(ROW(),COLUMN(digikey_part_data)+1)),0),IF(ISNUMBER(INDIRECT(ADDRESS(ROW(),COLUMN(farnell_part_data)+2))),INDIRECT(ADDRESS(ROW(),COLUMN(farnell_part_data)+1)),0),IF(ISNUMBER(INDIRECT(ADDRESS(ROW(),COLUMN(mouser_part_data)+2))),INDIRECT(ADDRESS(ROW(),COLUMN(mouser_part_data)+1)),0),IF(ISNUMBER(INDIRECT(ADDRESS(ROW(),COLUMN(newark_part_data)+2))),INDIRECT(ADDRESS(ROW(),COLUMN(newark_part_data)+1)),0),IF(ISNUMBER(INDIRECT(ADDRESS(ROW(),COLUMN(rs_part_data)+2))),INDIRECT(ADDRESS(ROW(),COLUMN(rs_part_data)+1)),0),IF(ISNUMBER(INDIRECT(ADDRESS(ROW(),COLUMN(tme_part_data)+2))),INDIRECT(ADDRESS(ROW(),COLUMN(tme_part_data)+1)),0),IF(ISNUMBER(INDIRECT(ADDRESS(ROW(),COLUMN(lcsc_part_data)+2))),INDIRECT(ADDRESS(ROW(),COLUMN(lcsc_part_data)+1)),0))</formula>
    </cfRule>
  </conditionalFormatting>
  <conditionalFormatting sqref="H38">
    <cfRule type="expression" dxfId="0" priority="125">
      <formula>AND(ISBLANK(G38),ISBLANK(INDIRECT(ADDRESS(ROW(),COLUMN(arrow_part_data)+4))),ISBLANK(INDIRECT(ADDRESS(ROW(),COLUMN(digikey_part_data)+4))),ISBLANK(INDIRECT(ADDRESS(ROW(),COLUMN(farnell_part_data)+4))),ISBLANK(INDIRECT(ADDRESS(ROW(),COLUMN(mouser_part_data)+4))),ISBLANK(INDIRECT(ADDRESS(ROW(),COLUMN(newark_part_data)+4))),ISBLANK(INDIRECT(ADDRESS(ROW(),COLUMN(rs_part_data)+4))),ISBLANK(INDIRECT(ADDRESS(ROW(),COLUMN(tme_part_data)+4))),ISBLANK(INDIRECT(ADDRESS(ROW(),COLUMN(lcsc_part_data)+4))))</formula>
    </cfRule>
    <cfRule type="expression" dxfId="1" priority="126">
      <formula>IF(SUM(INDIRECT(ADDRESS(ROW(),COLUMN(arrow_part_data)+0)),INDIRECT(ADDRESS(ROW(),COLUMN(digikey_part_data)+0)),INDIRECT(ADDRESS(ROW(),COLUMN(farnell_part_data)+0)),INDIRECT(ADDRESS(ROW(),COLUMN(mouser_part_data)+0)),INDIRECT(ADDRESS(ROW(),COLUMN(newark_part_data)+0)),INDIRECT(ADDRESS(ROW(),COLUMN(rs_part_data)+0)),INDIRECT(ADDRESS(ROW(),COLUMN(tme_part_data)+0)),INDIRECT(ADDRESS(ROW(),COLUMN(lcsc_part_data)+0)))=0,1,0)</formula>
    </cfRule>
    <cfRule type="cellIs" dxfId="2" priority="127" operator="greaterThan">
      <formula>SUM(INDIRECT(ADDRESS(ROW(),COLUMN(arrow_part_data)+0)),INDIRECT(ADDRESS(ROW(),COLUMN(digikey_part_data)+0)),INDIRECT(ADDRESS(ROW(),COLUMN(farnell_part_data)+0)),INDIRECT(ADDRESS(ROW(),COLUMN(mouser_part_data)+0)),INDIRECT(ADDRESS(ROW(),COLUMN(newark_part_data)+0)),INDIRECT(ADDRESS(ROW(),COLUMN(rs_part_data)+0)),INDIRECT(ADDRESS(ROW(),COLUMN(tme_part_data)+0)),INDIRECT(ADDRESS(ROW(),COLUMN(lcsc_part_data)+0)))</formula>
    </cfRule>
    <cfRule type="cellIs" dxfId="3" priority="128" operator="greaterThan">
      <formula>SUM(IF(ISNUMBER(INDIRECT(ADDRESS(ROW(),COLUMN(arrow_part_data)+2))),INDIRECT(ADDRESS(ROW(),COLUMN(arrow_part_data)+1)),0),IF(ISNUMBER(INDIRECT(ADDRESS(ROW(),COLUMN(digikey_part_data)+2))),INDIRECT(ADDRESS(ROW(),COLUMN(digikey_part_data)+1)),0),IF(ISNUMBER(INDIRECT(ADDRESS(ROW(),COLUMN(farnell_part_data)+2))),INDIRECT(ADDRESS(ROW(),COLUMN(farnell_part_data)+1)),0),IF(ISNUMBER(INDIRECT(ADDRESS(ROW(),COLUMN(mouser_part_data)+2))),INDIRECT(ADDRESS(ROW(),COLUMN(mouser_part_data)+1)),0),IF(ISNUMBER(INDIRECT(ADDRESS(ROW(),COLUMN(newark_part_data)+2))),INDIRECT(ADDRESS(ROW(),COLUMN(newark_part_data)+1)),0),IF(ISNUMBER(INDIRECT(ADDRESS(ROW(),COLUMN(rs_part_data)+2))),INDIRECT(ADDRESS(ROW(),COLUMN(rs_part_data)+1)),0),IF(ISNUMBER(INDIRECT(ADDRESS(ROW(),COLUMN(tme_part_data)+2))),INDIRECT(ADDRESS(ROW(),COLUMN(tme_part_data)+1)),0),IF(ISNUMBER(INDIRECT(ADDRESS(ROW(),COLUMN(lcsc_part_data)+2))),INDIRECT(ADDRESS(ROW(),COLUMN(lcsc_part_data)+1)),0))</formula>
    </cfRule>
  </conditionalFormatting>
  <conditionalFormatting sqref="H39">
    <cfRule type="expression" dxfId="0" priority="129">
      <formula>AND(ISBLANK(G39),ISBLANK(INDIRECT(ADDRESS(ROW(),COLUMN(arrow_part_data)+4))),ISBLANK(INDIRECT(ADDRESS(ROW(),COLUMN(digikey_part_data)+4))),ISBLANK(INDIRECT(ADDRESS(ROW(),COLUMN(farnell_part_data)+4))),ISBLANK(INDIRECT(ADDRESS(ROW(),COLUMN(mouser_part_data)+4))),ISBLANK(INDIRECT(ADDRESS(ROW(),COLUMN(newark_part_data)+4))),ISBLANK(INDIRECT(ADDRESS(ROW(),COLUMN(rs_part_data)+4))),ISBLANK(INDIRECT(ADDRESS(ROW(),COLUMN(tme_part_data)+4))),ISBLANK(INDIRECT(ADDRESS(ROW(),COLUMN(lcsc_part_data)+4))))</formula>
    </cfRule>
    <cfRule type="expression" dxfId="1" priority="130">
      <formula>IF(SUM(INDIRECT(ADDRESS(ROW(),COLUMN(arrow_part_data)+0)),INDIRECT(ADDRESS(ROW(),COLUMN(digikey_part_data)+0)),INDIRECT(ADDRESS(ROW(),COLUMN(farnell_part_data)+0)),INDIRECT(ADDRESS(ROW(),COLUMN(mouser_part_data)+0)),INDIRECT(ADDRESS(ROW(),COLUMN(newark_part_data)+0)),INDIRECT(ADDRESS(ROW(),COLUMN(rs_part_data)+0)),INDIRECT(ADDRESS(ROW(),COLUMN(tme_part_data)+0)),INDIRECT(ADDRESS(ROW(),COLUMN(lcsc_part_data)+0)))=0,1,0)</formula>
    </cfRule>
    <cfRule type="cellIs" dxfId="2" priority="131" operator="greaterThan">
      <formula>SUM(INDIRECT(ADDRESS(ROW(),COLUMN(arrow_part_data)+0)),INDIRECT(ADDRESS(ROW(),COLUMN(digikey_part_data)+0)),INDIRECT(ADDRESS(ROW(),COLUMN(farnell_part_data)+0)),INDIRECT(ADDRESS(ROW(),COLUMN(mouser_part_data)+0)),INDIRECT(ADDRESS(ROW(),COLUMN(newark_part_data)+0)),INDIRECT(ADDRESS(ROW(),COLUMN(rs_part_data)+0)),INDIRECT(ADDRESS(ROW(),COLUMN(tme_part_data)+0)),INDIRECT(ADDRESS(ROW(),COLUMN(lcsc_part_data)+0)))</formula>
    </cfRule>
    <cfRule type="cellIs" dxfId="3" priority="132" operator="greaterThan">
      <formula>SUM(IF(ISNUMBER(INDIRECT(ADDRESS(ROW(),COLUMN(arrow_part_data)+2))),INDIRECT(ADDRESS(ROW(),COLUMN(arrow_part_data)+1)),0),IF(ISNUMBER(INDIRECT(ADDRESS(ROW(),COLUMN(digikey_part_data)+2))),INDIRECT(ADDRESS(ROW(),COLUMN(digikey_part_data)+1)),0),IF(ISNUMBER(INDIRECT(ADDRESS(ROW(),COLUMN(farnell_part_data)+2))),INDIRECT(ADDRESS(ROW(),COLUMN(farnell_part_data)+1)),0),IF(ISNUMBER(INDIRECT(ADDRESS(ROW(),COLUMN(mouser_part_data)+2))),INDIRECT(ADDRESS(ROW(),COLUMN(mouser_part_data)+1)),0),IF(ISNUMBER(INDIRECT(ADDRESS(ROW(),COLUMN(newark_part_data)+2))),INDIRECT(ADDRESS(ROW(),COLUMN(newark_part_data)+1)),0),IF(ISNUMBER(INDIRECT(ADDRESS(ROW(),COLUMN(rs_part_data)+2))),INDIRECT(ADDRESS(ROW(),COLUMN(rs_part_data)+1)),0),IF(ISNUMBER(INDIRECT(ADDRESS(ROW(),COLUMN(tme_part_data)+2))),INDIRECT(ADDRESS(ROW(),COLUMN(tme_part_data)+1)),0),IF(ISNUMBER(INDIRECT(ADDRESS(ROW(),COLUMN(lcsc_part_data)+2))),INDIRECT(ADDRESS(ROW(),COLUMN(lcsc_part_data)+1)),0))</formula>
    </cfRule>
  </conditionalFormatting>
  <conditionalFormatting sqref="H40">
    <cfRule type="expression" dxfId="0" priority="133">
      <formula>AND(ISBLANK(G40),ISBLANK(INDIRECT(ADDRESS(ROW(),COLUMN(arrow_part_data)+4))),ISBLANK(INDIRECT(ADDRESS(ROW(),COLUMN(digikey_part_data)+4))),ISBLANK(INDIRECT(ADDRESS(ROW(),COLUMN(farnell_part_data)+4))),ISBLANK(INDIRECT(ADDRESS(ROW(),COLUMN(mouser_part_data)+4))),ISBLANK(INDIRECT(ADDRESS(ROW(),COLUMN(newark_part_data)+4))),ISBLANK(INDIRECT(ADDRESS(ROW(),COLUMN(rs_part_data)+4))),ISBLANK(INDIRECT(ADDRESS(ROW(),COLUMN(tme_part_data)+4))),ISBLANK(INDIRECT(ADDRESS(ROW(),COLUMN(lcsc_part_data)+4))))</formula>
    </cfRule>
    <cfRule type="expression" dxfId="1" priority="134">
      <formula>IF(SUM(INDIRECT(ADDRESS(ROW(),COLUMN(arrow_part_data)+0)),INDIRECT(ADDRESS(ROW(),COLUMN(digikey_part_data)+0)),INDIRECT(ADDRESS(ROW(),COLUMN(farnell_part_data)+0)),INDIRECT(ADDRESS(ROW(),COLUMN(mouser_part_data)+0)),INDIRECT(ADDRESS(ROW(),COLUMN(newark_part_data)+0)),INDIRECT(ADDRESS(ROW(),COLUMN(rs_part_data)+0)),INDIRECT(ADDRESS(ROW(),COLUMN(tme_part_data)+0)),INDIRECT(ADDRESS(ROW(),COLUMN(lcsc_part_data)+0)))=0,1,0)</formula>
    </cfRule>
    <cfRule type="cellIs" dxfId="2" priority="135" operator="greaterThan">
      <formula>SUM(INDIRECT(ADDRESS(ROW(),COLUMN(arrow_part_data)+0)),INDIRECT(ADDRESS(ROW(),COLUMN(digikey_part_data)+0)),INDIRECT(ADDRESS(ROW(),COLUMN(farnell_part_data)+0)),INDIRECT(ADDRESS(ROW(),COLUMN(mouser_part_data)+0)),INDIRECT(ADDRESS(ROW(),COLUMN(newark_part_data)+0)),INDIRECT(ADDRESS(ROW(),COLUMN(rs_part_data)+0)),INDIRECT(ADDRESS(ROW(),COLUMN(tme_part_data)+0)),INDIRECT(ADDRESS(ROW(),COLUMN(lcsc_part_data)+0)))</formula>
    </cfRule>
    <cfRule type="cellIs" dxfId="3" priority="136" operator="greaterThan">
      <formula>SUM(IF(ISNUMBER(INDIRECT(ADDRESS(ROW(),COLUMN(arrow_part_data)+2))),INDIRECT(ADDRESS(ROW(),COLUMN(arrow_part_data)+1)),0),IF(ISNUMBER(INDIRECT(ADDRESS(ROW(),COLUMN(digikey_part_data)+2))),INDIRECT(ADDRESS(ROW(),COLUMN(digikey_part_data)+1)),0),IF(ISNUMBER(INDIRECT(ADDRESS(ROW(),COLUMN(farnell_part_data)+2))),INDIRECT(ADDRESS(ROW(),COLUMN(farnell_part_data)+1)),0),IF(ISNUMBER(INDIRECT(ADDRESS(ROW(),COLUMN(mouser_part_data)+2))),INDIRECT(ADDRESS(ROW(),COLUMN(mouser_part_data)+1)),0),IF(ISNUMBER(INDIRECT(ADDRESS(ROW(),COLUMN(newark_part_data)+2))),INDIRECT(ADDRESS(ROW(),COLUMN(newark_part_data)+1)),0),IF(ISNUMBER(INDIRECT(ADDRESS(ROW(),COLUMN(rs_part_data)+2))),INDIRECT(ADDRESS(ROW(),COLUMN(rs_part_data)+1)),0),IF(ISNUMBER(INDIRECT(ADDRESS(ROW(),COLUMN(tme_part_data)+2))),INDIRECT(ADDRESS(ROW(),COLUMN(tme_part_data)+1)),0),IF(ISNUMBER(INDIRECT(ADDRESS(ROW(),COLUMN(lcsc_part_data)+2))),INDIRECT(ADDRESS(ROW(),COLUMN(lcsc_part_data)+1)),0))</formula>
    </cfRule>
  </conditionalFormatting>
  <conditionalFormatting sqref="H41">
    <cfRule type="expression" dxfId="0" priority="137">
      <formula>AND(ISBLANK(G41),ISBLANK(INDIRECT(ADDRESS(ROW(),COLUMN(arrow_part_data)+4))),ISBLANK(INDIRECT(ADDRESS(ROW(),COLUMN(digikey_part_data)+4))),ISBLANK(INDIRECT(ADDRESS(ROW(),COLUMN(farnell_part_data)+4))),ISBLANK(INDIRECT(ADDRESS(ROW(),COLUMN(mouser_part_data)+4))),ISBLANK(INDIRECT(ADDRESS(ROW(),COLUMN(newark_part_data)+4))),ISBLANK(INDIRECT(ADDRESS(ROW(),COLUMN(rs_part_data)+4))),ISBLANK(INDIRECT(ADDRESS(ROW(),COLUMN(tme_part_data)+4))),ISBLANK(INDIRECT(ADDRESS(ROW(),COLUMN(lcsc_part_data)+4))))</formula>
    </cfRule>
    <cfRule type="expression" dxfId="1" priority="138">
      <formula>IF(SUM(INDIRECT(ADDRESS(ROW(),COLUMN(arrow_part_data)+0)),INDIRECT(ADDRESS(ROW(),COLUMN(digikey_part_data)+0)),INDIRECT(ADDRESS(ROW(),COLUMN(farnell_part_data)+0)),INDIRECT(ADDRESS(ROW(),COLUMN(mouser_part_data)+0)),INDIRECT(ADDRESS(ROW(),COLUMN(newark_part_data)+0)),INDIRECT(ADDRESS(ROW(),COLUMN(rs_part_data)+0)),INDIRECT(ADDRESS(ROW(),COLUMN(tme_part_data)+0)),INDIRECT(ADDRESS(ROW(),COLUMN(lcsc_part_data)+0)))=0,1,0)</formula>
    </cfRule>
    <cfRule type="cellIs" dxfId="2" priority="139" operator="greaterThan">
      <formula>SUM(INDIRECT(ADDRESS(ROW(),COLUMN(arrow_part_data)+0)),INDIRECT(ADDRESS(ROW(),COLUMN(digikey_part_data)+0)),INDIRECT(ADDRESS(ROW(),COLUMN(farnell_part_data)+0)),INDIRECT(ADDRESS(ROW(),COLUMN(mouser_part_data)+0)),INDIRECT(ADDRESS(ROW(),COLUMN(newark_part_data)+0)),INDIRECT(ADDRESS(ROW(),COLUMN(rs_part_data)+0)),INDIRECT(ADDRESS(ROW(),COLUMN(tme_part_data)+0)),INDIRECT(ADDRESS(ROW(),COLUMN(lcsc_part_data)+0)))</formula>
    </cfRule>
    <cfRule type="cellIs" dxfId="3" priority="140" operator="greaterThan">
      <formula>SUM(IF(ISNUMBER(INDIRECT(ADDRESS(ROW(),COLUMN(arrow_part_data)+2))),INDIRECT(ADDRESS(ROW(),COLUMN(arrow_part_data)+1)),0),IF(ISNUMBER(INDIRECT(ADDRESS(ROW(),COLUMN(digikey_part_data)+2))),INDIRECT(ADDRESS(ROW(),COLUMN(digikey_part_data)+1)),0),IF(ISNUMBER(INDIRECT(ADDRESS(ROW(),COLUMN(farnell_part_data)+2))),INDIRECT(ADDRESS(ROW(),COLUMN(farnell_part_data)+1)),0),IF(ISNUMBER(INDIRECT(ADDRESS(ROW(),COLUMN(mouser_part_data)+2))),INDIRECT(ADDRESS(ROW(),COLUMN(mouser_part_data)+1)),0),IF(ISNUMBER(INDIRECT(ADDRESS(ROW(),COLUMN(newark_part_data)+2))),INDIRECT(ADDRESS(ROW(),COLUMN(newark_part_data)+1)),0),IF(ISNUMBER(INDIRECT(ADDRESS(ROW(),COLUMN(rs_part_data)+2))),INDIRECT(ADDRESS(ROW(),COLUMN(rs_part_data)+1)),0),IF(ISNUMBER(INDIRECT(ADDRESS(ROW(),COLUMN(tme_part_data)+2))),INDIRECT(ADDRESS(ROW(),COLUMN(tme_part_data)+1)),0),IF(ISNUMBER(INDIRECT(ADDRESS(ROW(),COLUMN(lcsc_part_data)+2))),INDIRECT(ADDRESS(ROW(),COLUMN(lcsc_part_data)+1)),0))</formula>
    </cfRule>
  </conditionalFormatting>
  <conditionalFormatting sqref="H42">
    <cfRule type="expression" dxfId="0" priority="141">
      <formula>AND(ISBLANK(G42),ISBLANK(INDIRECT(ADDRESS(ROW(),COLUMN(arrow_part_data)+4))),ISBLANK(INDIRECT(ADDRESS(ROW(),COLUMN(digikey_part_data)+4))),ISBLANK(INDIRECT(ADDRESS(ROW(),COLUMN(farnell_part_data)+4))),ISBLANK(INDIRECT(ADDRESS(ROW(),COLUMN(mouser_part_data)+4))),ISBLANK(INDIRECT(ADDRESS(ROW(),COLUMN(newark_part_data)+4))),ISBLANK(INDIRECT(ADDRESS(ROW(),COLUMN(rs_part_data)+4))),ISBLANK(INDIRECT(ADDRESS(ROW(),COLUMN(tme_part_data)+4))),ISBLANK(INDIRECT(ADDRESS(ROW(),COLUMN(lcsc_part_data)+4))))</formula>
    </cfRule>
    <cfRule type="expression" dxfId="1" priority="142">
      <formula>IF(SUM(INDIRECT(ADDRESS(ROW(),COLUMN(arrow_part_data)+0)),INDIRECT(ADDRESS(ROW(),COLUMN(digikey_part_data)+0)),INDIRECT(ADDRESS(ROW(),COLUMN(farnell_part_data)+0)),INDIRECT(ADDRESS(ROW(),COLUMN(mouser_part_data)+0)),INDIRECT(ADDRESS(ROW(),COLUMN(newark_part_data)+0)),INDIRECT(ADDRESS(ROW(),COLUMN(rs_part_data)+0)),INDIRECT(ADDRESS(ROW(),COLUMN(tme_part_data)+0)),INDIRECT(ADDRESS(ROW(),COLUMN(lcsc_part_data)+0)))=0,1,0)</formula>
    </cfRule>
    <cfRule type="cellIs" dxfId="2" priority="143" operator="greaterThan">
      <formula>SUM(INDIRECT(ADDRESS(ROW(),COLUMN(arrow_part_data)+0)),INDIRECT(ADDRESS(ROW(),COLUMN(digikey_part_data)+0)),INDIRECT(ADDRESS(ROW(),COLUMN(farnell_part_data)+0)),INDIRECT(ADDRESS(ROW(),COLUMN(mouser_part_data)+0)),INDIRECT(ADDRESS(ROW(),COLUMN(newark_part_data)+0)),INDIRECT(ADDRESS(ROW(),COLUMN(rs_part_data)+0)),INDIRECT(ADDRESS(ROW(),COLUMN(tme_part_data)+0)),INDIRECT(ADDRESS(ROW(),COLUMN(lcsc_part_data)+0)))</formula>
    </cfRule>
    <cfRule type="cellIs" dxfId="3" priority="144" operator="greaterThan">
      <formula>SUM(IF(ISNUMBER(INDIRECT(ADDRESS(ROW(),COLUMN(arrow_part_data)+2))),INDIRECT(ADDRESS(ROW(),COLUMN(arrow_part_data)+1)),0),IF(ISNUMBER(INDIRECT(ADDRESS(ROW(),COLUMN(digikey_part_data)+2))),INDIRECT(ADDRESS(ROW(),COLUMN(digikey_part_data)+1)),0),IF(ISNUMBER(INDIRECT(ADDRESS(ROW(),COLUMN(farnell_part_data)+2))),INDIRECT(ADDRESS(ROW(),COLUMN(farnell_part_data)+1)),0),IF(ISNUMBER(INDIRECT(ADDRESS(ROW(),COLUMN(mouser_part_data)+2))),INDIRECT(ADDRESS(ROW(),COLUMN(mouser_part_data)+1)),0),IF(ISNUMBER(INDIRECT(ADDRESS(ROW(),COLUMN(newark_part_data)+2))),INDIRECT(ADDRESS(ROW(),COLUMN(newark_part_data)+1)),0),IF(ISNUMBER(INDIRECT(ADDRESS(ROW(),COLUMN(rs_part_data)+2))),INDIRECT(ADDRESS(ROW(),COLUMN(rs_part_data)+1)),0),IF(ISNUMBER(INDIRECT(ADDRESS(ROW(),COLUMN(tme_part_data)+2))),INDIRECT(ADDRESS(ROW(),COLUMN(tme_part_data)+1)),0),IF(ISNUMBER(INDIRECT(ADDRESS(ROW(),COLUMN(lcsc_part_data)+2))),INDIRECT(ADDRESS(ROW(),COLUMN(lcsc_part_data)+1)),0))</formula>
    </cfRule>
  </conditionalFormatting>
  <conditionalFormatting sqref="H43">
    <cfRule type="expression" dxfId="0" priority="145">
      <formula>AND(ISBLANK(G43),ISBLANK(INDIRECT(ADDRESS(ROW(),COLUMN(arrow_part_data)+4))),ISBLANK(INDIRECT(ADDRESS(ROW(),COLUMN(digikey_part_data)+4))),ISBLANK(INDIRECT(ADDRESS(ROW(),COLUMN(farnell_part_data)+4))),ISBLANK(INDIRECT(ADDRESS(ROW(),COLUMN(mouser_part_data)+4))),ISBLANK(INDIRECT(ADDRESS(ROW(),COLUMN(newark_part_data)+4))),ISBLANK(INDIRECT(ADDRESS(ROW(),COLUMN(rs_part_data)+4))),ISBLANK(INDIRECT(ADDRESS(ROW(),COLUMN(tme_part_data)+4))),ISBLANK(INDIRECT(ADDRESS(ROW(),COLUMN(lcsc_part_data)+4))))</formula>
    </cfRule>
    <cfRule type="expression" dxfId="1" priority="146">
      <formula>IF(SUM(INDIRECT(ADDRESS(ROW(),COLUMN(arrow_part_data)+0)),INDIRECT(ADDRESS(ROW(),COLUMN(digikey_part_data)+0)),INDIRECT(ADDRESS(ROW(),COLUMN(farnell_part_data)+0)),INDIRECT(ADDRESS(ROW(),COLUMN(mouser_part_data)+0)),INDIRECT(ADDRESS(ROW(),COLUMN(newark_part_data)+0)),INDIRECT(ADDRESS(ROW(),COLUMN(rs_part_data)+0)),INDIRECT(ADDRESS(ROW(),COLUMN(tme_part_data)+0)),INDIRECT(ADDRESS(ROW(),COLUMN(lcsc_part_data)+0)))=0,1,0)</formula>
    </cfRule>
    <cfRule type="cellIs" dxfId="2" priority="147" operator="greaterThan">
      <formula>SUM(INDIRECT(ADDRESS(ROW(),COLUMN(arrow_part_data)+0)),INDIRECT(ADDRESS(ROW(),COLUMN(digikey_part_data)+0)),INDIRECT(ADDRESS(ROW(),COLUMN(farnell_part_data)+0)),INDIRECT(ADDRESS(ROW(),COLUMN(mouser_part_data)+0)),INDIRECT(ADDRESS(ROW(),COLUMN(newark_part_data)+0)),INDIRECT(ADDRESS(ROW(),COLUMN(rs_part_data)+0)),INDIRECT(ADDRESS(ROW(),COLUMN(tme_part_data)+0)),INDIRECT(ADDRESS(ROW(),COLUMN(lcsc_part_data)+0)))</formula>
    </cfRule>
    <cfRule type="cellIs" dxfId="3" priority="148" operator="greaterThan">
      <formula>SUM(IF(ISNUMBER(INDIRECT(ADDRESS(ROW(),COLUMN(arrow_part_data)+2))),INDIRECT(ADDRESS(ROW(),COLUMN(arrow_part_data)+1)),0),IF(ISNUMBER(INDIRECT(ADDRESS(ROW(),COLUMN(digikey_part_data)+2))),INDIRECT(ADDRESS(ROW(),COLUMN(digikey_part_data)+1)),0),IF(ISNUMBER(INDIRECT(ADDRESS(ROW(),COLUMN(farnell_part_data)+2))),INDIRECT(ADDRESS(ROW(),COLUMN(farnell_part_data)+1)),0),IF(ISNUMBER(INDIRECT(ADDRESS(ROW(),COLUMN(mouser_part_data)+2))),INDIRECT(ADDRESS(ROW(),COLUMN(mouser_part_data)+1)),0),IF(ISNUMBER(INDIRECT(ADDRESS(ROW(),COLUMN(newark_part_data)+2))),INDIRECT(ADDRESS(ROW(),COLUMN(newark_part_data)+1)),0),IF(ISNUMBER(INDIRECT(ADDRESS(ROW(),COLUMN(rs_part_data)+2))),INDIRECT(ADDRESS(ROW(),COLUMN(rs_part_data)+1)),0),IF(ISNUMBER(INDIRECT(ADDRESS(ROW(),COLUMN(tme_part_data)+2))),INDIRECT(ADDRESS(ROW(),COLUMN(tme_part_data)+1)),0),IF(ISNUMBER(INDIRECT(ADDRESS(ROW(),COLUMN(lcsc_part_data)+2))),INDIRECT(ADDRESS(ROW(),COLUMN(lcsc_part_data)+1)),0))</formula>
    </cfRule>
  </conditionalFormatting>
  <conditionalFormatting sqref="H44">
    <cfRule type="expression" dxfId="0" priority="149">
      <formula>AND(ISBLANK(G44),ISBLANK(INDIRECT(ADDRESS(ROW(),COLUMN(arrow_part_data)+4))),ISBLANK(INDIRECT(ADDRESS(ROW(),COLUMN(digikey_part_data)+4))),ISBLANK(INDIRECT(ADDRESS(ROW(),COLUMN(farnell_part_data)+4))),ISBLANK(INDIRECT(ADDRESS(ROW(),COLUMN(mouser_part_data)+4))),ISBLANK(INDIRECT(ADDRESS(ROW(),COLUMN(newark_part_data)+4))),ISBLANK(INDIRECT(ADDRESS(ROW(),COLUMN(rs_part_data)+4))),ISBLANK(INDIRECT(ADDRESS(ROW(),COLUMN(tme_part_data)+4))),ISBLANK(INDIRECT(ADDRESS(ROW(),COLUMN(lcsc_part_data)+4))))</formula>
    </cfRule>
    <cfRule type="expression" dxfId="1" priority="150">
      <formula>IF(SUM(INDIRECT(ADDRESS(ROW(),COLUMN(arrow_part_data)+0)),INDIRECT(ADDRESS(ROW(),COLUMN(digikey_part_data)+0)),INDIRECT(ADDRESS(ROW(),COLUMN(farnell_part_data)+0)),INDIRECT(ADDRESS(ROW(),COLUMN(mouser_part_data)+0)),INDIRECT(ADDRESS(ROW(),COLUMN(newark_part_data)+0)),INDIRECT(ADDRESS(ROW(),COLUMN(rs_part_data)+0)),INDIRECT(ADDRESS(ROW(),COLUMN(tme_part_data)+0)),INDIRECT(ADDRESS(ROW(),COLUMN(lcsc_part_data)+0)))=0,1,0)</formula>
    </cfRule>
    <cfRule type="cellIs" dxfId="2" priority="151" operator="greaterThan">
      <formula>SUM(INDIRECT(ADDRESS(ROW(),COLUMN(arrow_part_data)+0)),INDIRECT(ADDRESS(ROW(),COLUMN(digikey_part_data)+0)),INDIRECT(ADDRESS(ROW(),COLUMN(farnell_part_data)+0)),INDIRECT(ADDRESS(ROW(),COLUMN(mouser_part_data)+0)),INDIRECT(ADDRESS(ROW(),COLUMN(newark_part_data)+0)),INDIRECT(ADDRESS(ROW(),COLUMN(rs_part_data)+0)),INDIRECT(ADDRESS(ROW(),COLUMN(tme_part_data)+0)),INDIRECT(ADDRESS(ROW(),COLUMN(lcsc_part_data)+0)))</formula>
    </cfRule>
    <cfRule type="cellIs" dxfId="3" priority="152" operator="greaterThan">
      <formula>SUM(IF(ISNUMBER(INDIRECT(ADDRESS(ROW(),COLUMN(arrow_part_data)+2))),INDIRECT(ADDRESS(ROW(),COLUMN(arrow_part_data)+1)),0),IF(ISNUMBER(INDIRECT(ADDRESS(ROW(),COLUMN(digikey_part_data)+2))),INDIRECT(ADDRESS(ROW(),COLUMN(digikey_part_data)+1)),0),IF(ISNUMBER(INDIRECT(ADDRESS(ROW(),COLUMN(farnell_part_data)+2))),INDIRECT(ADDRESS(ROW(),COLUMN(farnell_part_data)+1)),0),IF(ISNUMBER(INDIRECT(ADDRESS(ROW(),COLUMN(mouser_part_data)+2))),INDIRECT(ADDRESS(ROW(),COLUMN(mouser_part_data)+1)),0),IF(ISNUMBER(INDIRECT(ADDRESS(ROW(),COLUMN(newark_part_data)+2))),INDIRECT(ADDRESS(ROW(),COLUMN(newark_part_data)+1)),0),IF(ISNUMBER(INDIRECT(ADDRESS(ROW(),COLUMN(rs_part_data)+2))),INDIRECT(ADDRESS(ROW(),COLUMN(rs_part_data)+1)),0),IF(ISNUMBER(INDIRECT(ADDRESS(ROW(),COLUMN(tme_part_data)+2))),INDIRECT(ADDRESS(ROW(),COLUMN(tme_part_data)+1)),0),IF(ISNUMBER(INDIRECT(ADDRESS(ROW(),COLUMN(lcsc_part_data)+2))),INDIRECT(ADDRESS(ROW(),COLUMN(lcsc_part_data)+1)),0))</formula>
    </cfRule>
  </conditionalFormatting>
  <conditionalFormatting sqref="H45">
    <cfRule type="expression" dxfId="0" priority="153">
      <formula>AND(ISBLANK(G45),ISBLANK(INDIRECT(ADDRESS(ROW(),COLUMN(arrow_part_data)+4))),ISBLANK(INDIRECT(ADDRESS(ROW(),COLUMN(digikey_part_data)+4))),ISBLANK(INDIRECT(ADDRESS(ROW(),COLUMN(farnell_part_data)+4))),ISBLANK(INDIRECT(ADDRESS(ROW(),COLUMN(mouser_part_data)+4))),ISBLANK(INDIRECT(ADDRESS(ROW(),COLUMN(newark_part_data)+4))),ISBLANK(INDIRECT(ADDRESS(ROW(),COLUMN(rs_part_data)+4))),ISBLANK(INDIRECT(ADDRESS(ROW(),COLUMN(tme_part_data)+4))),ISBLANK(INDIRECT(ADDRESS(ROW(),COLUMN(lcsc_part_data)+4))))</formula>
    </cfRule>
    <cfRule type="expression" dxfId="1" priority="154">
      <formula>IF(SUM(INDIRECT(ADDRESS(ROW(),COLUMN(arrow_part_data)+0)),INDIRECT(ADDRESS(ROW(),COLUMN(digikey_part_data)+0)),INDIRECT(ADDRESS(ROW(),COLUMN(farnell_part_data)+0)),INDIRECT(ADDRESS(ROW(),COLUMN(mouser_part_data)+0)),INDIRECT(ADDRESS(ROW(),COLUMN(newark_part_data)+0)),INDIRECT(ADDRESS(ROW(),COLUMN(rs_part_data)+0)),INDIRECT(ADDRESS(ROW(),COLUMN(tme_part_data)+0)),INDIRECT(ADDRESS(ROW(),COLUMN(lcsc_part_data)+0)))=0,1,0)</formula>
    </cfRule>
    <cfRule type="cellIs" dxfId="2" priority="155" operator="greaterThan">
      <formula>SUM(INDIRECT(ADDRESS(ROW(),COLUMN(arrow_part_data)+0)),INDIRECT(ADDRESS(ROW(),COLUMN(digikey_part_data)+0)),INDIRECT(ADDRESS(ROW(),COLUMN(farnell_part_data)+0)),INDIRECT(ADDRESS(ROW(),COLUMN(mouser_part_data)+0)),INDIRECT(ADDRESS(ROW(),COLUMN(newark_part_data)+0)),INDIRECT(ADDRESS(ROW(),COLUMN(rs_part_data)+0)),INDIRECT(ADDRESS(ROW(),COLUMN(tme_part_data)+0)),INDIRECT(ADDRESS(ROW(),COLUMN(lcsc_part_data)+0)))</formula>
    </cfRule>
    <cfRule type="cellIs" dxfId="3" priority="156" operator="greaterThan">
      <formula>SUM(IF(ISNUMBER(INDIRECT(ADDRESS(ROW(),COLUMN(arrow_part_data)+2))),INDIRECT(ADDRESS(ROW(),COLUMN(arrow_part_data)+1)),0),IF(ISNUMBER(INDIRECT(ADDRESS(ROW(),COLUMN(digikey_part_data)+2))),INDIRECT(ADDRESS(ROW(),COLUMN(digikey_part_data)+1)),0),IF(ISNUMBER(INDIRECT(ADDRESS(ROW(),COLUMN(farnell_part_data)+2))),INDIRECT(ADDRESS(ROW(),COLUMN(farnell_part_data)+1)),0),IF(ISNUMBER(INDIRECT(ADDRESS(ROW(),COLUMN(mouser_part_data)+2))),INDIRECT(ADDRESS(ROW(),COLUMN(mouser_part_data)+1)),0),IF(ISNUMBER(INDIRECT(ADDRESS(ROW(),COLUMN(newark_part_data)+2))),INDIRECT(ADDRESS(ROW(),COLUMN(newark_part_data)+1)),0),IF(ISNUMBER(INDIRECT(ADDRESS(ROW(),COLUMN(rs_part_data)+2))),INDIRECT(ADDRESS(ROW(),COLUMN(rs_part_data)+1)),0),IF(ISNUMBER(INDIRECT(ADDRESS(ROW(),COLUMN(tme_part_data)+2))),INDIRECT(ADDRESS(ROW(),COLUMN(tme_part_data)+1)),0),IF(ISNUMBER(INDIRECT(ADDRESS(ROW(),COLUMN(lcsc_part_data)+2))),INDIRECT(ADDRESS(ROW(),COLUMN(lcsc_part_data)+1)),0))</formula>
    </cfRule>
  </conditionalFormatting>
  <conditionalFormatting sqref="H46">
    <cfRule type="expression" dxfId="0" priority="157">
      <formula>AND(ISBLANK(G46),ISBLANK(INDIRECT(ADDRESS(ROW(),COLUMN(arrow_part_data)+4))),ISBLANK(INDIRECT(ADDRESS(ROW(),COLUMN(digikey_part_data)+4))),ISBLANK(INDIRECT(ADDRESS(ROW(),COLUMN(farnell_part_data)+4))),ISBLANK(INDIRECT(ADDRESS(ROW(),COLUMN(mouser_part_data)+4))),ISBLANK(INDIRECT(ADDRESS(ROW(),COLUMN(newark_part_data)+4))),ISBLANK(INDIRECT(ADDRESS(ROW(),COLUMN(rs_part_data)+4))),ISBLANK(INDIRECT(ADDRESS(ROW(),COLUMN(tme_part_data)+4))),ISBLANK(INDIRECT(ADDRESS(ROW(),COLUMN(lcsc_part_data)+4))))</formula>
    </cfRule>
    <cfRule type="expression" dxfId="1" priority="158">
      <formula>IF(SUM(INDIRECT(ADDRESS(ROW(),COLUMN(arrow_part_data)+0)),INDIRECT(ADDRESS(ROW(),COLUMN(digikey_part_data)+0)),INDIRECT(ADDRESS(ROW(),COLUMN(farnell_part_data)+0)),INDIRECT(ADDRESS(ROW(),COLUMN(mouser_part_data)+0)),INDIRECT(ADDRESS(ROW(),COLUMN(newark_part_data)+0)),INDIRECT(ADDRESS(ROW(),COLUMN(rs_part_data)+0)),INDIRECT(ADDRESS(ROW(),COLUMN(tme_part_data)+0)),INDIRECT(ADDRESS(ROW(),COLUMN(lcsc_part_data)+0)))=0,1,0)</formula>
    </cfRule>
    <cfRule type="cellIs" dxfId="2" priority="159" operator="greaterThan">
      <formula>SUM(INDIRECT(ADDRESS(ROW(),COLUMN(arrow_part_data)+0)),INDIRECT(ADDRESS(ROW(),COLUMN(digikey_part_data)+0)),INDIRECT(ADDRESS(ROW(),COLUMN(farnell_part_data)+0)),INDIRECT(ADDRESS(ROW(),COLUMN(mouser_part_data)+0)),INDIRECT(ADDRESS(ROW(),COLUMN(newark_part_data)+0)),INDIRECT(ADDRESS(ROW(),COLUMN(rs_part_data)+0)),INDIRECT(ADDRESS(ROW(),COLUMN(tme_part_data)+0)),INDIRECT(ADDRESS(ROW(),COLUMN(lcsc_part_data)+0)))</formula>
    </cfRule>
    <cfRule type="cellIs" dxfId="3" priority="160" operator="greaterThan">
      <formula>SUM(IF(ISNUMBER(INDIRECT(ADDRESS(ROW(),COLUMN(arrow_part_data)+2))),INDIRECT(ADDRESS(ROW(),COLUMN(arrow_part_data)+1)),0),IF(ISNUMBER(INDIRECT(ADDRESS(ROW(),COLUMN(digikey_part_data)+2))),INDIRECT(ADDRESS(ROW(),COLUMN(digikey_part_data)+1)),0),IF(ISNUMBER(INDIRECT(ADDRESS(ROW(),COLUMN(farnell_part_data)+2))),INDIRECT(ADDRESS(ROW(),COLUMN(farnell_part_data)+1)),0),IF(ISNUMBER(INDIRECT(ADDRESS(ROW(),COLUMN(mouser_part_data)+2))),INDIRECT(ADDRESS(ROW(),COLUMN(mouser_part_data)+1)),0),IF(ISNUMBER(INDIRECT(ADDRESS(ROW(),COLUMN(newark_part_data)+2))),INDIRECT(ADDRESS(ROW(),COLUMN(newark_part_data)+1)),0),IF(ISNUMBER(INDIRECT(ADDRESS(ROW(),COLUMN(rs_part_data)+2))),INDIRECT(ADDRESS(ROW(),COLUMN(rs_part_data)+1)),0),IF(ISNUMBER(INDIRECT(ADDRESS(ROW(),COLUMN(tme_part_data)+2))),INDIRECT(ADDRESS(ROW(),COLUMN(tme_part_data)+1)),0),IF(ISNUMBER(INDIRECT(ADDRESS(ROW(),COLUMN(lcsc_part_data)+2))),INDIRECT(ADDRESS(ROW(),COLUMN(lcsc_part_data)+1)),0))</formula>
    </cfRule>
  </conditionalFormatting>
  <conditionalFormatting sqref="H47">
    <cfRule type="expression" dxfId="0" priority="161">
      <formula>AND(ISBLANK(G47),ISBLANK(INDIRECT(ADDRESS(ROW(),COLUMN(arrow_part_data)+4))),ISBLANK(INDIRECT(ADDRESS(ROW(),COLUMN(digikey_part_data)+4))),ISBLANK(INDIRECT(ADDRESS(ROW(),COLUMN(farnell_part_data)+4))),ISBLANK(INDIRECT(ADDRESS(ROW(),COLUMN(mouser_part_data)+4))),ISBLANK(INDIRECT(ADDRESS(ROW(),COLUMN(newark_part_data)+4))),ISBLANK(INDIRECT(ADDRESS(ROW(),COLUMN(rs_part_data)+4))),ISBLANK(INDIRECT(ADDRESS(ROW(),COLUMN(tme_part_data)+4))),ISBLANK(INDIRECT(ADDRESS(ROW(),COLUMN(lcsc_part_data)+4))))</formula>
    </cfRule>
    <cfRule type="expression" dxfId="1" priority="162">
      <formula>IF(SUM(INDIRECT(ADDRESS(ROW(),COLUMN(arrow_part_data)+0)),INDIRECT(ADDRESS(ROW(),COLUMN(digikey_part_data)+0)),INDIRECT(ADDRESS(ROW(),COLUMN(farnell_part_data)+0)),INDIRECT(ADDRESS(ROW(),COLUMN(mouser_part_data)+0)),INDIRECT(ADDRESS(ROW(),COLUMN(newark_part_data)+0)),INDIRECT(ADDRESS(ROW(),COLUMN(rs_part_data)+0)),INDIRECT(ADDRESS(ROW(),COLUMN(tme_part_data)+0)),INDIRECT(ADDRESS(ROW(),COLUMN(lcsc_part_data)+0)))=0,1,0)</formula>
    </cfRule>
    <cfRule type="cellIs" dxfId="2" priority="163" operator="greaterThan">
      <formula>SUM(INDIRECT(ADDRESS(ROW(),COLUMN(arrow_part_data)+0)),INDIRECT(ADDRESS(ROW(),COLUMN(digikey_part_data)+0)),INDIRECT(ADDRESS(ROW(),COLUMN(farnell_part_data)+0)),INDIRECT(ADDRESS(ROW(),COLUMN(mouser_part_data)+0)),INDIRECT(ADDRESS(ROW(),COLUMN(newark_part_data)+0)),INDIRECT(ADDRESS(ROW(),COLUMN(rs_part_data)+0)),INDIRECT(ADDRESS(ROW(),COLUMN(tme_part_data)+0)),INDIRECT(ADDRESS(ROW(),COLUMN(lcsc_part_data)+0)))</formula>
    </cfRule>
    <cfRule type="cellIs" dxfId="3" priority="164" operator="greaterThan">
      <formula>SUM(IF(ISNUMBER(INDIRECT(ADDRESS(ROW(),COLUMN(arrow_part_data)+2))),INDIRECT(ADDRESS(ROW(),COLUMN(arrow_part_data)+1)),0),IF(ISNUMBER(INDIRECT(ADDRESS(ROW(),COLUMN(digikey_part_data)+2))),INDIRECT(ADDRESS(ROW(),COLUMN(digikey_part_data)+1)),0),IF(ISNUMBER(INDIRECT(ADDRESS(ROW(),COLUMN(farnell_part_data)+2))),INDIRECT(ADDRESS(ROW(),COLUMN(farnell_part_data)+1)),0),IF(ISNUMBER(INDIRECT(ADDRESS(ROW(),COLUMN(mouser_part_data)+2))),INDIRECT(ADDRESS(ROW(),COLUMN(mouser_part_data)+1)),0),IF(ISNUMBER(INDIRECT(ADDRESS(ROW(),COLUMN(newark_part_data)+2))),INDIRECT(ADDRESS(ROW(),COLUMN(newark_part_data)+1)),0),IF(ISNUMBER(INDIRECT(ADDRESS(ROW(),COLUMN(rs_part_data)+2))),INDIRECT(ADDRESS(ROW(),COLUMN(rs_part_data)+1)),0),IF(ISNUMBER(INDIRECT(ADDRESS(ROW(),COLUMN(tme_part_data)+2))),INDIRECT(ADDRESS(ROW(),COLUMN(tme_part_data)+1)),0),IF(ISNUMBER(INDIRECT(ADDRESS(ROW(),COLUMN(lcsc_part_data)+2))),INDIRECT(ADDRESS(ROW(),COLUMN(lcsc_part_data)+1)),0))</formula>
    </cfRule>
  </conditionalFormatting>
  <conditionalFormatting sqref="H48">
    <cfRule type="expression" dxfId="0" priority="165">
      <formula>AND(ISBLANK(G48),ISBLANK(INDIRECT(ADDRESS(ROW(),COLUMN(arrow_part_data)+4))),ISBLANK(INDIRECT(ADDRESS(ROW(),COLUMN(digikey_part_data)+4))),ISBLANK(INDIRECT(ADDRESS(ROW(),COLUMN(farnell_part_data)+4))),ISBLANK(INDIRECT(ADDRESS(ROW(),COLUMN(mouser_part_data)+4))),ISBLANK(INDIRECT(ADDRESS(ROW(),COLUMN(newark_part_data)+4))),ISBLANK(INDIRECT(ADDRESS(ROW(),COLUMN(rs_part_data)+4))),ISBLANK(INDIRECT(ADDRESS(ROW(),COLUMN(tme_part_data)+4))),ISBLANK(INDIRECT(ADDRESS(ROW(),COLUMN(lcsc_part_data)+4))))</formula>
    </cfRule>
    <cfRule type="expression" dxfId="1" priority="166">
      <formula>IF(SUM(INDIRECT(ADDRESS(ROW(),COLUMN(arrow_part_data)+0)),INDIRECT(ADDRESS(ROW(),COLUMN(digikey_part_data)+0)),INDIRECT(ADDRESS(ROW(),COLUMN(farnell_part_data)+0)),INDIRECT(ADDRESS(ROW(),COLUMN(mouser_part_data)+0)),INDIRECT(ADDRESS(ROW(),COLUMN(newark_part_data)+0)),INDIRECT(ADDRESS(ROW(),COLUMN(rs_part_data)+0)),INDIRECT(ADDRESS(ROW(),COLUMN(tme_part_data)+0)),INDIRECT(ADDRESS(ROW(),COLUMN(lcsc_part_data)+0)))=0,1,0)</formula>
    </cfRule>
    <cfRule type="cellIs" dxfId="2" priority="167" operator="greaterThan">
      <formula>SUM(INDIRECT(ADDRESS(ROW(),COLUMN(arrow_part_data)+0)),INDIRECT(ADDRESS(ROW(),COLUMN(digikey_part_data)+0)),INDIRECT(ADDRESS(ROW(),COLUMN(farnell_part_data)+0)),INDIRECT(ADDRESS(ROW(),COLUMN(mouser_part_data)+0)),INDIRECT(ADDRESS(ROW(),COLUMN(newark_part_data)+0)),INDIRECT(ADDRESS(ROW(),COLUMN(rs_part_data)+0)),INDIRECT(ADDRESS(ROW(),COLUMN(tme_part_data)+0)),INDIRECT(ADDRESS(ROW(),COLUMN(lcsc_part_data)+0)))</formula>
    </cfRule>
    <cfRule type="cellIs" dxfId="3" priority="168" operator="greaterThan">
      <formula>SUM(IF(ISNUMBER(INDIRECT(ADDRESS(ROW(),COLUMN(arrow_part_data)+2))),INDIRECT(ADDRESS(ROW(),COLUMN(arrow_part_data)+1)),0),IF(ISNUMBER(INDIRECT(ADDRESS(ROW(),COLUMN(digikey_part_data)+2))),INDIRECT(ADDRESS(ROW(),COLUMN(digikey_part_data)+1)),0),IF(ISNUMBER(INDIRECT(ADDRESS(ROW(),COLUMN(farnell_part_data)+2))),INDIRECT(ADDRESS(ROW(),COLUMN(farnell_part_data)+1)),0),IF(ISNUMBER(INDIRECT(ADDRESS(ROW(),COLUMN(mouser_part_data)+2))),INDIRECT(ADDRESS(ROW(),COLUMN(mouser_part_data)+1)),0),IF(ISNUMBER(INDIRECT(ADDRESS(ROW(),COLUMN(newark_part_data)+2))),INDIRECT(ADDRESS(ROW(),COLUMN(newark_part_data)+1)),0),IF(ISNUMBER(INDIRECT(ADDRESS(ROW(),COLUMN(rs_part_data)+2))),INDIRECT(ADDRESS(ROW(),COLUMN(rs_part_data)+1)),0),IF(ISNUMBER(INDIRECT(ADDRESS(ROW(),COLUMN(tme_part_data)+2))),INDIRECT(ADDRESS(ROW(),COLUMN(tme_part_data)+1)),0),IF(ISNUMBER(INDIRECT(ADDRESS(ROW(),COLUMN(lcsc_part_data)+2))),INDIRECT(ADDRESS(ROW(),COLUMN(lcsc_part_data)+1)),0))</formula>
    </cfRule>
  </conditionalFormatting>
  <conditionalFormatting sqref="H49">
    <cfRule type="expression" dxfId="0" priority="169">
      <formula>AND(ISBLANK(G49),ISBLANK(INDIRECT(ADDRESS(ROW(),COLUMN(arrow_part_data)+4))),ISBLANK(INDIRECT(ADDRESS(ROW(),COLUMN(digikey_part_data)+4))),ISBLANK(INDIRECT(ADDRESS(ROW(),COLUMN(farnell_part_data)+4))),ISBLANK(INDIRECT(ADDRESS(ROW(),COLUMN(mouser_part_data)+4))),ISBLANK(INDIRECT(ADDRESS(ROW(),COLUMN(newark_part_data)+4))),ISBLANK(INDIRECT(ADDRESS(ROW(),COLUMN(rs_part_data)+4))),ISBLANK(INDIRECT(ADDRESS(ROW(),COLUMN(tme_part_data)+4))),ISBLANK(INDIRECT(ADDRESS(ROW(),COLUMN(lcsc_part_data)+4))))</formula>
    </cfRule>
    <cfRule type="expression" dxfId="1" priority="170">
      <formula>IF(SUM(INDIRECT(ADDRESS(ROW(),COLUMN(arrow_part_data)+0)),INDIRECT(ADDRESS(ROW(),COLUMN(digikey_part_data)+0)),INDIRECT(ADDRESS(ROW(),COLUMN(farnell_part_data)+0)),INDIRECT(ADDRESS(ROW(),COLUMN(mouser_part_data)+0)),INDIRECT(ADDRESS(ROW(),COLUMN(newark_part_data)+0)),INDIRECT(ADDRESS(ROW(),COLUMN(rs_part_data)+0)),INDIRECT(ADDRESS(ROW(),COLUMN(tme_part_data)+0)),INDIRECT(ADDRESS(ROW(),COLUMN(lcsc_part_data)+0)))=0,1,0)</formula>
    </cfRule>
    <cfRule type="cellIs" dxfId="2" priority="171" operator="greaterThan">
      <formula>SUM(INDIRECT(ADDRESS(ROW(),COLUMN(arrow_part_data)+0)),INDIRECT(ADDRESS(ROW(),COLUMN(digikey_part_data)+0)),INDIRECT(ADDRESS(ROW(),COLUMN(farnell_part_data)+0)),INDIRECT(ADDRESS(ROW(),COLUMN(mouser_part_data)+0)),INDIRECT(ADDRESS(ROW(),COLUMN(newark_part_data)+0)),INDIRECT(ADDRESS(ROW(),COLUMN(rs_part_data)+0)),INDIRECT(ADDRESS(ROW(),COLUMN(tme_part_data)+0)),INDIRECT(ADDRESS(ROW(),COLUMN(lcsc_part_data)+0)))</formula>
    </cfRule>
    <cfRule type="cellIs" dxfId="3" priority="172" operator="greaterThan">
      <formula>SUM(IF(ISNUMBER(INDIRECT(ADDRESS(ROW(),COLUMN(arrow_part_data)+2))),INDIRECT(ADDRESS(ROW(),COLUMN(arrow_part_data)+1)),0),IF(ISNUMBER(INDIRECT(ADDRESS(ROW(),COLUMN(digikey_part_data)+2))),INDIRECT(ADDRESS(ROW(),COLUMN(digikey_part_data)+1)),0),IF(ISNUMBER(INDIRECT(ADDRESS(ROW(),COLUMN(farnell_part_data)+2))),INDIRECT(ADDRESS(ROW(),COLUMN(farnell_part_data)+1)),0),IF(ISNUMBER(INDIRECT(ADDRESS(ROW(),COLUMN(mouser_part_data)+2))),INDIRECT(ADDRESS(ROW(),COLUMN(mouser_part_data)+1)),0),IF(ISNUMBER(INDIRECT(ADDRESS(ROW(),COLUMN(newark_part_data)+2))),INDIRECT(ADDRESS(ROW(),COLUMN(newark_part_data)+1)),0),IF(ISNUMBER(INDIRECT(ADDRESS(ROW(),COLUMN(rs_part_data)+2))),INDIRECT(ADDRESS(ROW(),COLUMN(rs_part_data)+1)),0),IF(ISNUMBER(INDIRECT(ADDRESS(ROW(),COLUMN(tme_part_data)+2))),INDIRECT(ADDRESS(ROW(),COLUMN(tme_part_data)+1)),0),IF(ISNUMBER(INDIRECT(ADDRESS(ROW(),COLUMN(lcsc_part_data)+2))),INDIRECT(ADDRESS(ROW(),COLUMN(lcsc_part_data)+1)),0))</formula>
    </cfRule>
  </conditionalFormatting>
  <conditionalFormatting sqref="H50">
    <cfRule type="expression" dxfId="0" priority="173">
      <formula>AND(ISBLANK(G50),ISBLANK(INDIRECT(ADDRESS(ROW(),COLUMN(arrow_part_data)+4))),ISBLANK(INDIRECT(ADDRESS(ROW(),COLUMN(digikey_part_data)+4))),ISBLANK(INDIRECT(ADDRESS(ROW(),COLUMN(farnell_part_data)+4))),ISBLANK(INDIRECT(ADDRESS(ROW(),COLUMN(mouser_part_data)+4))),ISBLANK(INDIRECT(ADDRESS(ROW(),COLUMN(newark_part_data)+4))),ISBLANK(INDIRECT(ADDRESS(ROW(),COLUMN(rs_part_data)+4))),ISBLANK(INDIRECT(ADDRESS(ROW(),COLUMN(tme_part_data)+4))),ISBLANK(INDIRECT(ADDRESS(ROW(),COLUMN(lcsc_part_data)+4))))</formula>
    </cfRule>
    <cfRule type="expression" dxfId="1" priority="174">
      <formula>IF(SUM(INDIRECT(ADDRESS(ROW(),COLUMN(arrow_part_data)+0)),INDIRECT(ADDRESS(ROW(),COLUMN(digikey_part_data)+0)),INDIRECT(ADDRESS(ROW(),COLUMN(farnell_part_data)+0)),INDIRECT(ADDRESS(ROW(),COLUMN(mouser_part_data)+0)),INDIRECT(ADDRESS(ROW(),COLUMN(newark_part_data)+0)),INDIRECT(ADDRESS(ROW(),COLUMN(rs_part_data)+0)),INDIRECT(ADDRESS(ROW(),COLUMN(tme_part_data)+0)),INDIRECT(ADDRESS(ROW(),COLUMN(lcsc_part_data)+0)))=0,1,0)</formula>
    </cfRule>
    <cfRule type="cellIs" dxfId="2" priority="175" operator="greaterThan">
      <formula>SUM(INDIRECT(ADDRESS(ROW(),COLUMN(arrow_part_data)+0)),INDIRECT(ADDRESS(ROW(),COLUMN(digikey_part_data)+0)),INDIRECT(ADDRESS(ROW(),COLUMN(farnell_part_data)+0)),INDIRECT(ADDRESS(ROW(),COLUMN(mouser_part_data)+0)),INDIRECT(ADDRESS(ROW(),COLUMN(newark_part_data)+0)),INDIRECT(ADDRESS(ROW(),COLUMN(rs_part_data)+0)),INDIRECT(ADDRESS(ROW(),COLUMN(tme_part_data)+0)),INDIRECT(ADDRESS(ROW(),COLUMN(lcsc_part_data)+0)))</formula>
    </cfRule>
    <cfRule type="cellIs" dxfId="3" priority="176" operator="greaterThan">
      <formula>SUM(IF(ISNUMBER(INDIRECT(ADDRESS(ROW(),COLUMN(arrow_part_data)+2))),INDIRECT(ADDRESS(ROW(),COLUMN(arrow_part_data)+1)),0),IF(ISNUMBER(INDIRECT(ADDRESS(ROW(),COLUMN(digikey_part_data)+2))),INDIRECT(ADDRESS(ROW(),COLUMN(digikey_part_data)+1)),0),IF(ISNUMBER(INDIRECT(ADDRESS(ROW(),COLUMN(farnell_part_data)+2))),INDIRECT(ADDRESS(ROW(),COLUMN(farnell_part_data)+1)),0),IF(ISNUMBER(INDIRECT(ADDRESS(ROW(),COLUMN(mouser_part_data)+2))),INDIRECT(ADDRESS(ROW(),COLUMN(mouser_part_data)+1)),0),IF(ISNUMBER(INDIRECT(ADDRESS(ROW(),COLUMN(newark_part_data)+2))),INDIRECT(ADDRESS(ROW(),COLUMN(newark_part_data)+1)),0),IF(ISNUMBER(INDIRECT(ADDRESS(ROW(),COLUMN(rs_part_data)+2))),INDIRECT(ADDRESS(ROW(),COLUMN(rs_part_data)+1)),0),IF(ISNUMBER(INDIRECT(ADDRESS(ROW(),COLUMN(tme_part_data)+2))),INDIRECT(ADDRESS(ROW(),COLUMN(tme_part_data)+1)),0),IF(ISNUMBER(INDIRECT(ADDRESS(ROW(),COLUMN(lcsc_part_data)+2))),INDIRECT(ADDRESS(ROW(),COLUMN(lcsc_part_data)+1)),0))</formula>
    </cfRule>
  </conditionalFormatting>
  <conditionalFormatting sqref="H51">
    <cfRule type="expression" dxfId="0" priority="177">
      <formula>AND(ISBLANK(G51),ISBLANK(INDIRECT(ADDRESS(ROW(),COLUMN(arrow_part_data)+4))),ISBLANK(INDIRECT(ADDRESS(ROW(),COLUMN(digikey_part_data)+4))),ISBLANK(INDIRECT(ADDRESS(ROW(),COLUMN(farnell_part_data)+4))),ISBLANK(INDIRECT(ADDRESS(ROW(),COLUMN(mouser_part_data)+4))),ISBLANK(INDIRECT(ADDRESS(ROW(),COLUMN(newark_part_data)+4))),ISBLANK(INDIRECT(ADDRESS(ROW(),COLUMN(rs_part_data)+4))),ISBLANK(INDIRECT(ADDRESS(ROW(),COLUMN(tme_part_data)+4))),ISBLANK(INDIRECT(ADDRESS(ROW(),COLUMN(lcsc_part_data)+4))))</formula>
    </cfRule>
    <cfRule type="expression" dxfId="1" priority="178">
      <formula>IF(SUM(INDIRECT(ADDRESS(ROW(),COLUMN(arrow_part_data)+0)),INDIRECT(ADDRESS(ROW(),COLUMN(digikey_part_data)+0)),INDIRECT(ADDRESS(ROW(),COLUMN(farnell_part_data)+0)),INDIRECT(ADDRESS(ROW(),COLUMN(mouser_part_data)+0)),INDIRECT(ADDRESS(ROW(),COLUMN(newark_part_data)+0)),INDIRECT(ADDRESS(ROW(),COLUMN(rs_part_data)+0)),INDIRECT(ADDRESS(ROW(),COLUMN(tme_part_data)+0)),INDIRECT(ADDRESS(ROW(),COLUMN(lcsc_part_data)+0)))=0,1,0)</formula>
    </cfRule>
    <cfRule type="cellIs" dxfId="2" priority="179" operator="greaterThan">
      <formula>SUM(INDIRECT(ADDRESS(ROW(),COLUMN(arrow_part_data)+0)),INDIRECT(ADDRESS(ROW(),COLUMN(digikey_part_data)+0)),INDIRECT(ADDRESS(ROW(),COLUMN(farnell_part_data)+0)),INDIRECT(ADDRESS(ROW(),COLUMN(mouser_part_data)+0)),INDIRECT(ADDRESS(ROW(),COLUMN(newark_part_data)+0)),INDIRECT(ADDRESS(ROW(),COLUMN(rs_part_data)+0)),INDIRECT(ADDRESS(ROW(),COLUMN(tme_part_data)+0)),INDIRECT(ADDRESS(ROW(),COLUMN(lcsc_part_data)+0)))</formula>
    </cfRule>
    <cfRule type="cellIs" dxfId="3" priority="180" operator="greaterThan">
      <formula>SUM(IF(ISNUMBER(INDIRECT(ADDRESS(ROW(),COLUMN(arrow_part_data)+2))),INDIRECT(ADDRESS(ROW(),COLUMN(arrow_part_data)+1)),0),IF(ISNUMBER(INDIRECT(ADDRESS(ROW(),COLUMN(digikey_part_data)+2))),INDIRECT(ADDRESS(ROW(),COLUMN(digikey_part_data)+1)),0),IF(ISNUMBER(INDIRECT(ADDRESS(ROW(),COLUMN(farnell_part_data)+2))),INDIRECT(ADDRESS(ROW(),COLUMN(farnell_part_data)+1)),0),IF(ISNUMBER(INDIRECT(ADDRESS(ROW(),COLUMN(mouser_part_data)+2))),INDIRECT(ADDRESS(ROW(),COLUMN(mouser_part_data)+1)),0),IF(ISNUMBER(INDIRECT(ADDRESS(ROW(),COLUMN(newark_part_data)+2))),INDIRECT(ADDRESS(ROW(),COLUMN(newark_part_data)+1)),0),IF(ISNUMBER(INDIRECT(ADDRESS(ROW(),COLUMN(rs_part_data)+2))),INDIRECT(ADDRESS(ROW(),COLUMN(rs_part_data)+1)),0),IF(ISNUMBER(INDIRECT(ADDRESS(ROW(),COLUMN(tme_part_data)+2))),INDIRECT(ADDRESS(ROW(),COLUMN(tme_part_data)+1)),0),IF(ISNUMBER(INDIRECT(ADDRESS(ROW(),COLUMN(lcsc_part_data)+2))),INDIRECT(ADDRESS(ROW(),COLUMN(lcsc_part_data)+1)),0))</formula>
    </cfRule>
  </conditionalFormatting>
  <conditionalFormatting sqref="H7">
    <cfRule type="expression" dxfId="0" priority="1">
      <formula>AND(ISBLANK(G7),ISBLANK(INDIRECT(ADDRESS(ROW(),COLUMN(arrow_part_data)+4))),ISBLANK(INDIRECT(ADDRESS(ROW(),COLUMN(digikey_part_data)+4))),ISBLANK(INDIRECT(ADDRESS(ROW(),COLUMN(farnell_part_data)+4))),ISBLANK(INDIRECT(ADDRESS(ROW(),COLUMN(mouser_part_data)+4))),ISBLANK(INDIRECT(ADDRESS(ROW(),COLUMN(newark_part_data)+4))),ISBLANK(INDIRECT(ADDRESS(ROW(),COLUMN(rs_part_data)+4))),ISBLANK(INDIRECT(ADDRESS(ROW(),COLUMN(tme_part_data)+4))),ISBLANK(INDIRECT(ADDRESS(ROW(),COLUMN(lcsc_part_data)+4))))</formula>
    </cfRule>
    <cfRule type="expression" dxfId="1" priority="2">
      <formula>IF(SUM(INDIRECT(ADDRESS(ROW(),COLUMN(arrow_part_data)+0)),INDIRECT(ADDRESS(ROW(),COLUMN(digikey_part_data)+0)),INDIRECT(ADDRESS(ROW(),COLUMN(farnell_part_data)+0)),INDIRECT(ADDRESS(ROW(),COLUMN(mouser_part_data)+0)),INDIRECT(ADDRESS(ROW(),COLUMN(newark_part_data)+0)),INDIRECT(ADDRESS(ROW(),COLUMN(rs_part_data)+0)),INDIRECT(ADDRESS(ROW(),COLUMN(tme_part_data)+0)),INDIRECT(ADDRESS(ROW(),COLUMN(lcsc_part_data)+0)))=0,1,0)</formula>
    </cfRule>
    <cfRule type="cellIs" dxfId="2" priority="3" operator="greaterThan">
      <formula>SUM(INDIRECT(ADDRESS(ROW(),COLUMN(arrow_part_data)+0)),INDIRECT(ADDRESS(ROW(),COLUMN(digikey_part_data)+0)),INDIRECT(ADDRESS(ROW(),COLUMN(farnell_part_data)+0)),INDIRECT(ADDRESS(ROW(),COLUMN(mouser_part_data)+0)),INDIRECT(ADDRESS(ROW(),COLUMN(newark_part_data)+0)),INDIRECT(ADDRESS(ROW(),COLUMN(rs_part_data)+0)),INDIRECT(ADDRESS(ROW(),COLUMN(tme_part_data)+0)),INDIRECT(ADDRESS(ROW(),COLUMN(lcsc_part_data)+0)))</formula>
    </cfRule>
    <cfRule type="cellIs" dxfId="3" priority="4" operator="greaterThan">
      <formula>SUM(IF(ISNUMBER(INDIRECT(ADDRESS(ROW(),COLUMN(arrow_part_data)+2))),INDIRECT(ADDRESS(ROW(),COLUMN(arrow_part_data)+1)),0),IF(ISNUMBER(INDIRECT(ADDRESS(ROW(),COLUMN(digikey_part_data)+2))),INDIRECT(ADDRESS(ROW(),COLUMN(digikey_part_data)+1)),0),IF(ISNUMBER(INDIRECT(ADDRESS(ROW(),COLUMN(farnell_part_data)+2))),INDIRECT(ADDRESS(ROW(),COLUMN(farnell_part_data)+1)),0),IF(ISNUMBER(INDIRECT(ADDRESS(ROW(),COLUMN(mouser_part_data)+2))),INDIRECT(ADDRESS(ROW(),COLUMN(mouser_part_data)+1)),0),IF(ISNUMBER(INDIRECT(ADDRESS(ROW(),COLUMN(newark_part_data)+2))),INDIRECT(ADDRESS(ROW(),COLUMN(newark_part_data)+1)),0),IF(ISNUMBER(INDIRECT(ADDRESS(ROW(),COLUMN(rs_part_data)+2))),INDIRECT(ADDRESS(ROW(),COLUMN(rs_part_data)+1)),0),IF(ISNUMBER(INDIRECT(ADDRESS(ROW(),COLUMN(tme_part_data)+2))),INDIRECT(ADDRESS(ROW(),COLUMN(tme_part_data)+1)),0),IF(ISNUMBER(INDIRECT(ADDRESS(ROW(),COLUMN(lcsc_part_data)+2))),INDIRECT(ADDRESS(ROW(),COLUMN(lcsc_part_data)+1)),0))</formula>
    </cfRule>
  </conditionalFormatting>
  <conditionalFormatting sqref="H8">
    <cfRule type="expression" dxfId="0" priority="5">
      <formula>AND(ISBLANK(G8),ISBLANK(INDIRECT(ADDRESS(ROW(),COLUMN(arrow_part_data)+4))),ISBLANK(INDIRECT(ADDRESS(ROW(),COLUMN(digikey_part_data)+4))),ISBLANK(INDIRECT(ADDRESS(ROW(),COLUMN(farnell_part_data)+4))),ISBLANK(INDIRECT(ADDRESS(ROW(),COLUMN(mouser_part_data)+4))),ISBLANK(INDIRECT(ADDRESS(ROW(),COLUMN(newark_part_data)+4))),ISBLANK(INDIRECT(ADDRESS(ROW(),COLUMN(rs_part_data)+4))),ISBLANK(INDIRECT(ADDRESS(ROW(),COLUMN(tme_part_data)+4))),ISBLANK(INDIRECT(ADDRESS(ROW(),COLUMN(lcsc_part_data)+4))))</formula>
    </cfRule>
    <cfRule type="expression" dxfId="1" priority="6">
      <formula>IF(SUM(INDIRECT(ADDRESS(ROW(),COLUMN(arrow_part_data)+0)),INDIRECT(ADDRESS(ROW(),COLUMN(digikey_part_data)+0)),INDIRECT(ADDRESS(ROW(),COLUMN(farnell_part_data)+0)),INDIRECT(ADDRESS(ROW(),COLUMN(mouser_part_data)+0)),INDIRECT(ADDRESS(ROW(),COLUMN(newark_part_data)+0)),INDIRECT(ADDRESS(ROW(),COLUMN(rs_part_data)+0)),INDIRECT(ADDRESS(ROW(),COLUMN(tme_part_data)+0)),INDIRECT(ADDRESS(ROW(),COLUMN(lcsc_part_data)+0)))=0,1,0)</formula>
    </cfRule>
    <cfRule type="cellIs" dxfId="2" priority="7" operator="greaterThan">
      <formula>SUM(INDIRECT(ADDRESS(ROW(),COLUMN(arrow_part_data)+0)),INDIRECT(ADDRESS(ROW(),COLUMN(digikey_part_data)+0)),INDIRECT(ADDRESS(ROW(),COLUMN(farnell_part_data)+0)),INDIRECT(ADDRESS(ROW(),COLUMN(mouser_part_data)+0)),INDIRECT(ADDRESS(ROW(),COLUMN(newark_part_data)+0)),INDIRECT(ADDRESS(ROW(),COLUMN(rs_part_data)+0)),INDIRECT(ADDRESS(ROW(),COLUMN(tme_part_data)+0)),INDIRECT(ADDRESS(ROW(),COLUMN(lcsc_part_data)+0)))</formula>
    </cfRule>
    <cfRule type="cellIs" dxfId="3" priority="8" operator="greaterThan">
      <formula>SUM(IF(ISNUMBER(INDIRECT(ADDRESS(ROW(),COLUMN(arrow_part_data)+2))),INDIRECT(ADDRESS(ROW(),COLUMN(arrow_part_data)+1)),0),IF(ISNUMBER(INDIRECT(ADDRESS(ROW(),COLUMN(digikey_part_data)+2))),INDIRECT(ADDRESS(ROW(),COLUMN(digikey_part_data)+1)),0),IF(ISNUMBER(INDIRECT(ADDRESS(ROW(),COLUMN(farnell_part_data)+2))),INDIRECT(ADDRESS(ROW(),COLUMN(farnell_part_data)+1)),0),IF(ISNUMBER(INDIRECT(ADDRESS(ROW(),COLUMN(mouser_part_data)+2))),INDIRECT(ADDRESS(ROW(),COLUMN(mouser_part_data)+1)),0),IF(ISNUMBER(INDIRECT(ADDRESS(ROW(),COLUMN(newark_part_data)+2))),INDIRECT(ADDRESS(ROW(),COLUMN(newark_part_data)+1)),0),IF(ISNUMBER(INDIRECT(ADDRESS(ROW(),COLUMN(rs_part_data)+2))),INDIRECT(ADDRESS(ROW(),COLUMN(rs_part_data)+1)),0),IF(ISNUMBER(INDIRECT(ADDRESS(ROW(),COLUMN(tme_part_data)+2))),INDIRECT(ADDRESS(ROW(),COLUMN(tme_part_data)+1)),0),IF(ISNUMBER(INDIRECT(ADDRESS(ROW(),COLUMN(lcsc_part_data)+2))),INDIRECT(ADDRESS(ROW(),COLUMN(lcsc_part_data)+1)),0))</formula>
    </cfRule>
  </conditionalFormatting>
  <conditionalFormatting sqref="H9">
    <cfRule type="expression" dxfId="0" priority="9">
      <formula>AND(ISBLANK(G9),ISBLANK(INDIRECT(ADDRESS(ROW(),COLUMN(arrow_part_data)+4))),ISBLANK(INDIRECT(ADDRESS(ROW(),COLUMN(digikey_part_data)+4))),ISBLANK(INDIRECT(ADDRESS(ROW(),COLUMN(farnell_part_data)+4))),ISBLANK(INDIRECT(ADDRESS(ROW(),COLUMN(mouser_part_data)+4))),ISBLANK(INDIRECT(ADDRESS(ROW(),COLUMN(newark_part_data)+4))),ISBLANK(INDIRECT(ADDRESS(ROW(),COLUMN(rs_part_data)+4))),ISBLANK(INDIRECT(ADDRESS(ROW(),COLUMN(tme_part_data)+4))),ISBLANK(INDIRECT(ADDRESS(ROW(),COLUMN(lcsc_part_data)+4))))</formula>
    </cfRule>
    <cfRule type="expression" dxfId="1" priority="10">
      <formula>IF(SUM(INDIRECT(ADDRESS(ROW(),COLUMN(arrow_part_data)+0)),INDIRECT(ADDRESS(ROW(),COLUMN(digikey_part_data)+0)),INDIRECT(ADDRESS(ROW(),COLUMN(farnell_part_data)+0)),INDIRECT(ADDRESS(ROW(),COLUMN(mouser_part_data)+0)),INDIRECT(ADDRESS(ROW(),COLUMN(newark_part_data)+0)),INDIRECT(ADDRESS(ROW(),COLUMN(rs_part_data)+0)),INDIRECT(ADDRESS(ROW(),COLUMN(tme_part_data)+0)),INDIRECT(ADDRESS(ROW(),COLUMN(lcsc_part_data)+0)))=0,1,0)</formula>
    </cfRule>
    <cfRule type="cellIs" dxfId="2" priority="11" operator="greaterThan">
      <formula>SUM(INDIRECT(ADDRESS(ROW(),COLUMN(arrow_part_data)+0)),INDIRECT(ADDRESS(ROW(),COLUMN(digikey_part_data)+0)),INDIRECT(ADDRESS(ROW(),COLUMN(farnell_part_data)+0)),INDIRECT(ADDRESS(ROW(),COLUMN(mouser_part_data)+0)),INDIRECT(ADDRESS(ROW(),COLUMN(newark_part_data)+0)),INDIRECT(ADDRESS(ROW(),COLUMN(rs_part_data)+0)),INDIRECT(ADDRESS(ROW(),COLUMN(tme_part_data)+0)),INDIRECT(ADDRESS(ROW(),COLUMN(lcsc_part_data)+0)))</formula>
    </cfRule>
    <cfRule type="cellIs" dxfId="3" priority="12" operator="greaterThan">
      <formula>SUM(IF(ISNUMBER(INDIRECT(ADDRESS(ROW(),COLUMN(arrow_part_data)+2))),INDIRECT(ADDRESS(ROW(),COLUMN(arrow_part_data)+1)),0),IF(ISNUMBER(INDIRECT(ADDRESS(ROW(),COLUMN(digikey_part_data)+2))),INDIRECT(ADDRESS(ROW(),COLUMN(digikey_part_data)+1)),0),IF(ISNUMBER(INDIRECT(ADDRESS(ROW(),COLUMN(farnell_part_data)+2))),INDIRECT(ADDRESS(ROW(),COLUMN(farnell_part_data)+1)),0),IF(ISNUMBER(INDIRECT(ADDRESS(ROW(),COLUMN(mouser_part_data)+2))),INDIRECT(ADDRESS(ROW(),COLUMN(mouser_part_data)+1)),0),IF(ISNUMBER(INDIRECT(ADDRESS(ROW(),COLUMN(newark_part_data)+2))),INDIRECT(ADDRESS(ROW(),COLUMN(newark_part_data)+1)),0),IF(ISNUMBER(INDIRECT(ADDRESS(ROW(),COLUMN(rs_part_data)+2))),INDIRECT(ADDRESS(ROW(),COLUMN(rs_part_data)+1)),0),IF(ISNUMBER(INDIRECT(ADDRESS(ROW(),COLUMN(tme_part_data)+2))),INDIRECT(ADDRESS(ROW(),COLUMN(tme_part_data)+1)),0),IF(ISNUMBER(INDIRECT(ADDRESS(ROW(),COLUMN(lcsc_part_data)+2))),INDIRECT(ADDRESS(ROW(),COLUMN(lcsc_part_data)+1)),0))</formula>
    </cfRule>
  </conditionalFormatting>
  <conditionalFormatting sqref="P10">
    <cfRule type="cellIs" dxfId="1" priority="196" operator="equal">
      <formula>0</formula>
    </cfRule>
    <cfRule type="cellIs" dxfId="2" priority="197" operator="lessThan">
      <formula>H10</formula>
    </cfRule>
  </conditionalFormatting>
  <conditionalFormatting sqref="P11">
    <cfRule type="cellIs" dxfId="1" priority="201" operator="equal">
      <formula>0</formula>
    </cfRule>
    <cfRule type="cellIs" dxfId="2" priority="202" operator="lessThan">
      <formula>H11</formula>
    </cfRule>
  </conditionalFormatting>
  <conditionalFormatting sqref="P12">
    <cfRule type="cellIs" dxfId="1" priority="206" operator="equal">
      <formula>0</formula>
    </cfRule>
    <cfRule type="cellIs" dxfId="2" priority="207" operator="lessThan">
      <formula>H12</formula>
    </cfRule>
  </conditionalFormatting>
  <conditionalFormatting sqref="P13">
    <cfRule type="cellIs" dxfId="1" priority="211" operator="equal">
      <formula>0</formula>
    </cfRule>
    <cfRule type="cellIs" dxfId="2" priority="212" operator="lessThan">
      <formula>H13</formula>
    </cfRule>
  </conditionalFormatting>
  <conditionalFormatting sqref="P14">
    <cfRule type="cellIs" dxfId="1" priority="216" operator="equal">
      <formula>0</formula>
    </cfRule>
    <cfRule type="cellIs" dxfId="2" priority="217" operator="lessThan">
      <formula>H14</formula>
    </cfRule>
  </conditionalFormatting>
  <conditionalFormatting sqref="P15">
    <cfRule type="cellIs" dxfId="1" priority="221" operator="equal">
      <formula>0</formula>
    </cfRule>
    <cfRule type="cellIs" dxfId="2" priority="222" operator="lessThan">
      <formula>H15</formula>
    </cfRule>
  </conditionalFormatting>
  <conditionalFormatting sqref="P16">
    <cfRule type="cellIs" dxfId="1" priority="226" operator="equal">
      <formula>0</formula>
    </cfRule>
    <cfRule type="cellIs" dxfId="2" priority="227" operator="lessThan">
      <formula>H16</formula>
    </cfRule>
  </conditionalFormatting>
  <conditionalFormatting sqref="P17">
    <cfRule type="cellIs" dxfId="1" priority="231" operator="equal">
      <formula>0</formula>
    </cfRule>
    <cfRule type="cellIs" dxfId="2" priority="232" operator="lessThan">
      <formula>H17</formula>
    </cfRule>
  </conditionalFormatting>
  <conditionalFormatting sqref="P18">
    <cfRule type="cellIs" dxfId="1" priority="236" operator="equal">
      <formula>0</formula>
    </cfRule>
    <cfRule type="cellIs" dxfId="2" priority="237" operator="lessThan">
      <formula>H18</formula>
    </cfRule>
  </conditionalFormatting>
  <conditionalFormatting sqref="P19">
    <cfRule type="cellIs" dxfId="1" priority="241" operator="equal">
      <formula>0</formula>
    </cfRule>
    <cfRule type="cellIs" dxfId="2" priority="242" operator="lessThan">
      <formula>H19</formula>
    </cfRule>
  </conditionalFormatting>
  <conditionalFormatting sqref="P20">
    <cfRule type="cellIs" dxfId="1" priority="246" operator="equal">
      <formula>0</formula>
    </cfRule>
    <cfRule type="cellIs" dxfId="2" priority="247" operator="lessThan">
      <formula>H20</formula>
    </cfRule>
  </conditionalFormatting>
  <conditionalFormatting sqref="P21">
    <cfRule type="cellIs" dxfId="1" priority="251" operator="equal">
      <formula>0</formula>
    </cfRule>
    <cfRule type="cellIs" dxfId="2" priority="252" operator="lessThan">
      <formula>H21</formula>
    </cfRule>
  </conditionalFormatting>
  <conditionalFormatting sqref="P22">
    <cfRule type="cellIs" dxfId="1" priority="256" operator="equal">
      <formula>0</formula>
    </cfRule>
    <cfRule type="cellIs" dxfId="2" priority="257" operator="lessThan">
      <formula>H22</formula>
    </cfRule>
  </conditionalFormatting>
  <conditionalFormatting sqref="P23">
    <cfRule type="cellIs" dxfId="1" priority="261" operator="equal">
      <formula>0</formula>
    </cfRule>
    <cfRule type="cellIs" dxfId="2" priority="262" operator="lessThan">
      <formula>H23</formula>
    </cfRule>
  </conditionalFormatting>
  <conditionalFormatting sqref="P24">
    <cfRule type="cellIs" dxfId="1" priority="266" operator="equal">
      <formula>0</formula>
    </cfRule>
    <cfRule type="cellIs" dxfId="2" priority="267" operator="lessThan">
      <formula>H24</formula>
    </cfRule>
  </conditionalFormatting>
  <conditionalFormatting sqref="P25">
    <cfRule type="cellIs" dxfId="1" priority="271" operator="equal">
      <formula>0</formula>
    </cfRule>
    <cfRule type="cellIs" dxfId="2" priority="272" operator="lessThan">
      <formula>H25</formula>
    </cfRule>
  </conditionalFormatting>
  <conditionalFormatting sqref="P26">
    <cfRule type="cellIs" dxfId="1" priority="277" operator="equal">
      <formula>0</formula>
    </cfRule>
    <cfRule type="cellIs" dxfId="2" priority="278" operator="lessThan">
      <formula>H26</formula>
    </cfRule>
  </conditionalFormatting>
  <conditionalFormatting sqref="P27">
    <cfRule type="cellIs" dxfId="1" priority="282" operator="equal">
      <formula>0</formula>
    </cfRule>
    <cfRule type="cellIs" dxfId="2" priority="283" operator="lessThan">
      <formula>H27</formula>
    </cfRule>
  </conditionalFormatting>
  <conditionalFormatting sqref="P28">
    <cfRule type="cellIs" dxfId="1" priority="287" operator="equal">
      <formula>0</formula>
    </cfRule>
    <cfRule type="cellIs" dxfId="2" priority="288" operator="lessThan">
      <formula>H28</formula>
    </cfRule>
  </conditionalFormatting>
  <conditionalFormatting sqref="P29">
    <cfRule type="cellIs" dxfId="1" priority="292" operator="equal">
      <formula>0</formula>
    </cfRule>
    <cfRule type="cellIs" dxfId="2" priority="293" operator="lessThan">
      <formula>H29</formula>
    </cfRule>
  </conditionalFormatting>
  <conditionalFormatting sqref="P30">
    <cfRule type="cellIs" dxfId="1" priority="297" operator="equal">
      <formula>0</formula>
    </cfRule>
    <cfRule type="cellIs" dxfId="2" priority="298" operator="lessThan">
      <formula>H30</formula>
    </cfRule>
  </conditionalFormatting>
  <conditionalFormatting sqref="P31">
    <cfRule type="cellIs" dxfId="1" priority="302" operator="equal">
      <formula>0</formula>
    </cfRule>
    <cfRule type="cellIs" dxfId="2" priority="303" operator="lessThan">
      <formula>H31</formula>
    </cfRule>
  </conditionalFormatting>
  <conditionalFormatting sqref="P32">
    <cfRule type="cellIs" dxfId="1" priority="307" operator="equal">
      <formula>0</formula>
    </cfRule>
    <cfRule type="cellIs" dxfId="2" priority="308" operator="lessThan">
      <formula>H32</formula>
    </cfRule>
  </conditionalFormatting>
  <conditionalFormatting sqref="P33">
    <cfRule type="cellIs" dxfId="1" priority="312" operator="equal">
      <formula>0</formula>
    </cfRule>
    <cfRule type="cellIs" dxfId="2" priority="313" operator="lessThan">
      <formula>H33</formula>
    </cfRule>
  </conditionalFormatting>
  <conditionalFormatting sqref="P34">
    <cfRule type="cellIs" dxfId="1" priority="317" operator="equal">
      <formula>0</formula>
    </cfRule>
    <cfRule type="cellIs" dxfId="2" priority="318" operator="lessThan">
      <formula>H34</formula>
    </cfRule>
  </conditionalFormatting>
  <conditionalFormatting sqref="P35">
    <cfRule type="cellIs" dxfId="1" priority="322" operator="equal">
      <formula>0</formula>
    </cfRule>
    <cfRule type="cellIs" dxfId="2" priority="323" operator="lessThan">
      <formula>H35</formula>
    </cfRule>
  </conditionalFormatting>
  <conditionalFormatting sqref="P36">
    <cfRule type="cellIs" dxfId="1" priority="327" operator="equal">
      <formula>0</formula>
    </cfRule>
    <cfRule type="cellIs" dxfId="2" priority="328" operator="lessThan">
      <formula>H36</formula>
    </cfRule>
  </conditionalFormatting>
  <conditionalFormatting sqref="P37">
    <cfRule type="cellIs" dxfId="1" priority="332" operator="equal">
      <formula>0</formula>
    </cfRule>
    <cfRule type="cellIs" dxfId="2" priority="333" operator="lessThan">
      <formula>H37</formula>
    </cfRule>
  </conditionalFormatting>
  <conditionalFormatting sqref="P38">
    <cfRule type="cellIs" dxfId="1" priority="337" operator="equal">
      <formula>0</formula>
    </cfRule>
    <cfRule type="cellIs" dxfId="2" priority="338" operator="lessThan">
      <formula>H38</formula>
    </cfRule>
  </conditionalFormatting>
  <conditionalFormatting sqref="P39">
    <cfRule type="cellIs" dxfId="1" priority="342" operator="equal">
      <formula>0</formula>
    </cfRule>
    <cfRule type="cellIs" dxfId="2" priority="343" operator="lessThan">
      <formula>H39</formula>
    </cfRule>
  </conditionalFormatting>
  <conditionalFormatting sqref="P40">
    <cfRule type="cellIs" dxfId="1" priority="347" operator="equal">
      <formula>0</formula>
    </cfRule>
    <cfRule type="cellIs" dxfId="2" priority="348" operator="lessThan">
      <formula>H40</formula>
    </cfRule>
  </conditionalFormatting>
  <conditionalFormatting sqref="P42">
    <cfRule type="cellIs" dxfId="1" priority="352" operator="equal">
      <formula>0</formula>
    </cfRule>
    <cfRule type="cellIs" dxfId="2" priority="353" operator="lessThan">
      <formula>H42</formula>
    </cfRule>
  </conditionalFormatting>
  <conditionalFormatting sqref="P43">
    <cfRule type="cellIs" dxfId="1" priority="357" operator="equal">
      <formula>0</formula>
    </cfRule>
    <cfRule type="cellIs" dxfId="2" priority="358" operator="lessThan">
      <formula>H43</formula>
    </cfRule>
  </conditionalFormatting>
  <conditionalFormatting sqref="P44">
    <cfRule type="cellIs" dxfId="1" priority="362" operator="equal">
      <formula>0</formula>
    </cfRule>
    <cfRule type="cellIs" dxfId="2" priority="363" operator="lessThan">
      <formula>H44</formula>
    </cfRule>
  </conditionalFormatting>
  <conditionalFormatting sqref="P45">
    <cfRule type="cellIs" dxfId="1" priority="367" operator="equal">
      <formula>0</formula>
    </cfRule>
    <cfRule type="cellIs" dxfId="2" priority="368" operator="lessThan">
      <formula>H45</formula>
    </cfRule>
  </conditionalFormatting>
  <conditionalFormatting sqref="P46">
    <cfRule type="cellIs" dxfId="1" priority="372" operator="equal">
      <formula>0</formula>
    </cfRule>
    <cfRule type="cellIs" dxfId="2" priority="373" operator="lessThan">
      <formula>H46</formula>
    </cfRule>
  </conditionalFormatting>
  <conditionalFormatting sqref="P47">
    <cfRule type="cellIs" dxfId="1" priority="378" operator="equal">
      <formula>0</formula>
    </cfRule>
    <cfRule type="cellIs" dxfId="2" priority="379" operator="lessThan">
      <formula>H47</formula>
    </cfRule>
  </conditionalFormatting>
  <conditionalFormatting sqref="P48">
    <cfRule type="cellIs" dxfId="1" priority="383" operator="equal">
      <formula>0</formula>
    </cfRule>
    <cfRule type="cellIs" dxfId="2" priority="384" operator="lessThan">
      <formula>H48</formula>
    </cfRule>
  </conditionalFormatting>
  <conditionalFormatting sqref="P49">
    <cfRule type="cellIs" dxfId="1" priority="388" operator="equal">
      <formula>0</formula>
    </cfRule>
    <cfRule type="cellIs" dxfId="2" priority="389" operator="lessThan">
      <formula>H49</formula>
    </cfRule>
  </conditionalFormatting>
  <conditionalFormatting sqref="P50">
    <cfRule type="cellIs" dxfId="1" priority="394" operator="equal">
      <formula>0</formula>
    </cfRule>
    <cfRule type="cellIs" dxfId="2" priority="395" operator="lessThan">
      <formula>H50</formula>
    </cfRule>
  </conditionalFormatting>
  <conditionalFormatting sqref="P51">
    <cfRule type="cellIs" dxfId="1" priority="399" operator="equal">
      <formula>0</formula>
    </cfRule>
    <cfRule type="cellIs" dxfId="2" priority="400" operator="lessThan">
      <formula>H51</formula>
    </cfRule>
  </conditionalFormatting>
  <conditionalFormatting sqref="P7">
    <cfRule type="cellIs" dxfId="1" priority="181" operator="equal">
      <formula>0</formula>
    </cfRule>
    <cfRule type="cellIs" dxfId="2" priority="182" operator="lessThan">
      <formula>H7</formula>
    </cfRule>
  </conditionalFormatting>
  <conditionalFormatting sqref="P8">
    <cfRule type="cellIs" dxfId="1" priority="186" operator="equal">
      <formula>0</formula>
    </cfRule>
    <cfRule type="cellIs" dxfId="2" priority="187" operator="lessThan">
      <formula>H8</formula>
    </cfRule>
  </conditionalFormatting>
  <conditionalFormatting sqref="P9">
    <cfRule type="cellIs" dxfId="1" priority="191" operator="equal">
      <formula>0</formula>
    </cfRule>
    <cfRule type="cellIs" dxfId="2" priority="192" operator="lessThan">
      <formula>H9</formula>
    </cfRule>
  </conditionalFormatting>
  <conditionalFormatting sqref="Q10">
    <cfRule type="cellIs" dxfId="1" priority="198" operator="greaterThan">
      <formula>P10</formula>
    </cfRule>
  </conditionalFormatting>
  <conditionalFormatting sqref="Q11">
    <cfRule type="cellIs" dxfId="1" priority="203" operator="greaterThan">
      <formula>P11</formula>
    </cfRule>
  </conditionalFormatting>
  <conditionalFormatting sqref="Q12">
    <cfRule type="cellIs" dxfId="1" priority="208" operator="greaterThan">
      <formula>P12</formula>
    </cfRule>
  </conditionalFormatting>
  <conditionalFormatting sqref="Q13">
    <cfRule type="cellIs" dxfId="1" priority="213" operator="greaterThan">
      <formula>P13</formula>
    </cfRule>
  </conditionalFormatting>
  <conditionalFormatting sqref="Q14">
    <cfRule type="cellIs" dxfId="1" priority="218" operator="greaterThan">
      <formula>P14</formula>
    </cfRule>
  </conditionalFormatting>
  <conditionalFormatting sqref="Q15">
    <cfRule type="cellIs" dxfId="1" priority="223" operator="greaterThan">
      <formula>P15</formula>
    </cfRule>
  </conditionalFormatting>
  <conditionalFormatting sqref="Q16">
    <cfRule type="cellIs" dxfId="1" priority="228" operator="greaterThan">
      <formula>P16</formula>
    </cfRule>
  </conditionalFormatting>
  <conditionalFormatting sqref="Q17">
    <cfRule type="cellIs" dxfId="1" priority="233" operator="greaterThan">
      <formula>P17</formula>
    </cfRule>
  </conditionalFormatting>
  <conditionalFormatting sqref="Q18">
    <cfRule type="cellIs" dxfId="1" priority="238" operator="greaterThan">
      <formula>P18</formula>
    </cfRule>
  </conditionalFormatting>
  <conditionalFormatting sqref="Q19">
    <cfRule type="cellIs" dxfId="1" priority="243" operator="greaterThan">
      <formula>P19</formula>
    </cfRule>
  </conditionalFormatting>
  <conditionalFormatting sqref="Q20">
    <cfRule type="cellIs" dxfId="1" priority="248" operator="greaterThan">
      <formula>P20</formula>
    </cfRule>
  </conditionalFormatting>
  <conditionalFormatting sqref="Q21">
    <cfRule type="cellIs" dxfId="1" priority="253" operator="greaterThan">
      <formula>P21</formula>
    </cfRule>
  </conditionalFormatting>
  <conditionalFormatting sqref="Q22">
    <cfRule type="cellIs" dxfId="1" priority="258" operator="greaterThan">
      <formula>P22</formula>
    </cfRule>
  </conditionalFormatting>
  <conditionalFormatting sqref="Q23">
    <cfRule type="cellIs" dxfId="1" priority="263" operator="greaterThan">
      <formula>P23</formula>
    </cfRule>
  </conditionalFormatting>
  <conditionalFormatting sqref="Q24">
    <cfRule type="cellIs" dxfId="1" priority="268" operator="greaterThan">
      <formula>P24</formula>
    </cfRule>
  </conditionalFormatting>
  <conditionalFormatting sqref="Q25">
    <cfRule type="expression" dxfId="3" priority="273">
      <formula>AND(Q25&gt;0,Q25&lt;10000)</formula>
    </cfRule>
    <cfRule type="cellIs" dxfId="1" priority="274" operator="greaterThan">
      <formula>P25</formula>
    </cfRule>
  </conditionalFormatting>
  <conditionalFormatting sqref="Q26">
    <cfRule type="cellIs" dxfId="1" priority="279" operator="greaterThan">
      <formula>P26</formula>
    </cfRule>
  </conditionalFormatting>
  <conditionalFormatting sqref="Q27">
    <cfRule type="cellIs" dxfId="1" priority="284" operator="greaterThan">
      <formula>P27</formula>
    </cfRule>
  </conditionalFormatting>
  <conditionalFormatting sqref="Q28">
    <cfRule type="cellIs" dxfId="1" priority="289" operator="greaterThan">
      <formula>P28</formula>
    </cfRule>
  </conditionalFormatting>
  <conditionalFormatting sqref="Q29">
    <cfRule type="cellIs" dxfId="1" priority="294" operator="greaterThan">
      <formula>P29</formula>
    </cfRule>
  </conditionalFormatting>
  <conditionalFormatting sqref="Q30">
    <cfRule type="cellIs" dxfId="1" priority="299" operator="greaterThan">
      <formula>P30</formula>
    </cfRule>
  </conditionalFormatting>
  <conditionalFormatting sqref="Q31">
    <cfRule type="cellIs" dxfId="1" priority="304" operator="greaterThan">
      <formula>P31</formula>
    </cfRule>
  </conditionalFormatting>
  <conditionalFormatting sqref="Q32">
    <cfRule type="cellIs" dxfId="1" priority="309" operator="greaterThan">
      <formula>P32</formula>
    </cfRule>
  </conditionalFormatting>
  <conditionalFormatting sqref="Q33">
    <cfRule type="cellIs" dxfId="1" priority="314" operator="greaterThan">
      <formula>P33</formula>
    </cfRule>
  </conditionalFormatting>
  <conditionalFormatting sqref="Q34">
    <cfRule type="cellIs" dxfId="1" priority="319" operator="greaterThan">
      <formula>P34</formula>
    </cfRule>
  </conditionalFormatting>
  <conditionalFormatting sqref="Q35">
    <cfRule type="cellIs" dxfId="1" priority="324" operator="greaterThan">
      <formula>P35</formula>
    </cfRule>
  </conditionalFormatting>
  <conditionalFormatting sqref="Q36">
    <cfRule type="cellIs" dxfId="1" priority="329" operator="greaterThan">
      <formula>P36</formula>
    </cfRule>
  </conditionalFormatting>
  <conditionalFormatting sqref="Q37">
    <cfRule type="cellIs" dxfId="1" priority="334" operator="greaterThan">
      <formula>P37</formula>
    </cfRule>
  </conditionalFormatting>
  <conditionalFormatting sqref="Q38">
    <cfRule type="cellIs" dxfId="1" priority="339" operator="greaterThan">
      <formula>P38</formula>
    </cfRule>
  </conditionalFormatting>
  <conditionalFormatting sqref="Q39">
    <cfRule type="cellIs" dxfId="1" priority="344" operator="greaterThan">
      <formula>P39</formula>
    </cfRule>
  </conditionalFormatting>
  <conditionalFormatting sqref="Q40">
    <cfRule type="cellIs" dxfId="1" priority="349" operator="greaterThan">
      <formula>P40</formula>
    </cfRule>
  </conditionalFormatting>
  <conditionalFormatting sqref="Q42">
    <cfRule type="cellIs" dxfId="1" priority="354" operator="greaterThan">
      <formula>P42</formula>
    </cfRule>
  </conditionalFormatting>
  <conditionalFormatting sqref="Q43">
    <cfRule type="cellIs" dxfId="1" priority="359" operator="greaterThan">
      <formula>P43</formula>
    </cfRule>
  </conditionalFormatting>
  <conditionalFormatting sqref="Q44">
    <cfRule type="cellIs" dxfId="1" priority="364" operator="greaterThan">
      <formula>P44</formula>
    </cfRule>
  </conditionalFormatting>
  <conditionalFormatting sqref="Q45">
    <cfRule type="cellIs" dxfId="1" priority="369" operator="greaterThan">
      <formula>P45</formula>
    </cfRule>
  </conditionalFormatting>
  <conditionalFormatting sqref="Q46">
    <cfRule type="expression" dxfId="3" priority="374">
      <formula>AND(Q46&gt;0,Q46&lt;3000)</formula>
    </cfRule>
    <cfRule type="cellIs" dxfId="1" priority="375" operator="greaterThan">
      <formula>P46</formula>
    </cfRule>
  </conditionalFormatting>
  <conditionalFormatting sqref="Q47">
    <cfRule type="cellIs" dxfId="1" priority="380" operator="greaterThan">
      <formula>P47</formula>
    </cfRule>
  </conditionalFormatting>
  <conditionalFormatting sqref="Q48">
    <cfRule type="cellIs" dxfId="1" priority="385" operator="greaterThan">
      <formula>P48</formula>
    </cfRule>
  </conditionalFormatting>
  <conditionalFormatting sqref="Q49">
    <cfRule type="expression" dxfId="3" priority="390">
      <formula>AND(Q49&gt;0,Q49&lt;168)</formula>
    </cfRule>
    <cfRule type="cellIs" dxfId="1" priority="391" operator="greaterThan">
      <formula>P49</formula>
    </cfRule>
  </conditionalFormatting>
  <conditionalFormatting sqref="Q50">
    <cfRule type="cellIs" dxfId="1" priority="396" operator="greaterThan">
      <formula>P50</formula>
    </cfRule>
  </conditionalFormatting>
  <conditionalFormatting sqref="Q51">
    <cfRule type="expression" dxfId="3" priority="401">
      <formula>AND(Q51&gt;0,Q51&lt;2000)</formula>
    </cfRule>
    <cfRule type="cellIs" dxfId="1" priority="402" operator="greaterThan">
      <formula>P51</formula>
    </cfRule>
  </conditionalFormatting>
  <conditionalFormatting sqref="Q7">
    <cfRule type="cellIs" dxfId="1" priority="183" operator="greaterThan">
      <formula>P7</formula>
    </cfRule>
  </conditionalFormatting>
  <conditionalFormatting sqref="Q8">
    <cfRule type="cellIs" dxfId="1" priority="188" operator="greaterThan">
      <formula>P8</formula>
    </cfRule>
  </conditionalFormatting>
  <conditionalFormatting sqref="Q9">
    <cfRule type="cellIs" dxfId="1" priority="193" operator="greaterThan">
      <formula>P9</formula>
    </cfRule>
  </conditionalFormatting>
  <conditionalFormatting sqref="R10">
    <cfRule type="cellIs" dxfId="4" priority="200" operator="lessThanOrEqual">
      <formula>I10</formula>
    </cfRule>
  </conditionalFormatting>
  <conditionalFormatting sqref="R11">
    <cfRule type="cellIs" dxfId="4" priority="205" operator="lessThanOrEqual">
      <formula>I11</formula>
    </cfRule>
  </conditionalFormatting>
  <conditionalFormatting sqref="R12">
    <cfRule type="cellIs" dxfId="4" priority="210" operator="lessThanOrEqual">
      <formula>I12</formula>
    </cfRule>
  </conditionalFormatting>
  <conditionalFormatting sqref="R13">
    <cfRule type="cellIs" dxfId="4" priority="215" operator="lessThanOrEqual">
      <formula>I13</formula>
    </cfRule>
  </conditionalFormatting>
  <conditionalFormatting sqref="R14">
    <cfRule type="cellIs" dxfId="4" priority="220" operator="lessThanOrEqual">
      <formula>I14</formula>
    </cfRule>
  </conditionalFormatting>
  <conditionalFormatting sqref="R15">
    <cfRule type="cellIs" dxfId="4" priority="225" operator="lessThanOrEqual">
      <formula>I15</formula>
    </cfRule>
  </conditionalFormatting>
  <conditionalFormatting sqref="R16">
    <cfRule type="cellIs" dxfId="4" priority="230" operator="lessThanOrEqual">
      <formula>I16</formula>
    </cfRule>
  </conditionalFormatting>
  <conditionalFormatting sqref="R17">
    <cfRule type="cellIs" dxfId="4" priority="235" operator="lessThanOrEqual">
      <formula>I17</formula>
    </cfRule>
  </conditionalFormatting>
  <conditionalFormatting sqref="R18">
    <cfRule type="cellIs" dxfId="4" priority="240" operator="lessThanOrEqual">
      <formula>I18</formula>
    </cfRule>
  </conditionalFormatting>
  <conditionalFormatting sqref="R19">
    <cfRule type="cellIs" dxfId="4" priority="245" operator="lessThanOrEqual">
      <formula>I19</formula>
    </cfRule>
  </conditionalFormatting>
  <conditionalFormatting sqref="R20">
    <cfRule type="cellIs" dxfId="4" priority="250" operator="lessThanOrEqual">
      <formula>I20</formula>
    </cfRule>
  </conditionalFormatting>
  <conditionalFormatting sqref="R21">
    <cfRule type="cellIs" dxfId="4" priority="255" operator="lessThanOrEqual">
      <formula>I21</formula>
    </cfRule>
  </conditionalFormatting>
  <conditionalFormatting sqref="R22">
    <cfRule type="cellIs" dxfId="4" priority="260" operator="lessThanOrEqual">
      <formula>I22</formula>
    </cfRule>
  </conditionalFormatting>
  <conditionalFormatting sqref="R23">
    <cfRule type="cellIs" dxfId="4" priority="265" operator="lessThanOrEqual">
      <formula>I23</formula>
    </cfRule>
  </conditionalFormatting>
  <conditionalFormatting sqref="R24">
    <cfRule type="cellIs" dxfId="4" priority="270" operator="lessThanOrEqual">
      <formula>I24</formula>
    </cfRule>
  </conditionalFormatting>
  <conditionalFormatting sqref="R25">
    <cfRule type="cellIs" dxfId="4" priority="276" operator="lessThanOrEqual">
      <formula>I25</formula>
    </cfRule>
  </conditionalFormatting>
  <conditionalFormatting sqref="R26">
    <cfRule type="cellIs" dxfId="4" priority="281" operator="lessThanOrEqual">
      <formula>I26</formula>
    </cfRule>
  </conditionalFormatting>
  <conditionalFormatting sqref="R27">
    <cfRule type="cellIs" dxfId="4" priority="286" operator="lessThanOrEqual">
      <formula>I27</formula>
    </cfRule>
  </conditionalFormatting>
  <conditionalFormatting sqref="R28">
    <cfRule type="cellIs" dxfId="4" priority="291" operator="lessThanOrEqual">
      <formula>I28</formula>
    </cfRule>
  </conditionalFormatting>
  <conditionalFormatting sqref="R29">
    <cfRule type="cellIs" dxfId="4" priority="296" operator="lessThanOrEqual">
      <formula>I29</formula>
    </cfRule>
  </conditionalFormatting>
  <conditionalFormatting sqref="R30">
    <cfRule type="cellIs" dxfId="4" priority="301" operator="lessThanOrEqual">
      <formula>I30</formula>
    </cfRule>
  </conditionalFormatting>
  <conditionalFormatting sqref="R31">
    <cfRule type="cellIs" dxfId="4" priority="306" operator="lessThanOrEqual">
      <formula>I31</formula>
    </cfRule>
  </conditionalFormatting>
  <conditionalFormatting sqref="R32">
    <cfRule type="cellIs" dxfId="4" priority="311" operator="lessThanOrEqual">
      <formula>I32</formula>
    </cfRule>
  </conditionalFormatting>
  <conditionalFormatting sqref="R33">
    <cfRule type="cellIs" dxfId="4" priority="316" operator="lessThanOrEqual">
      <formula>I33</formula>
    </cfRule>
  </conditionalFormatting>
  <conditionalFormatting sqref="R34">
    <cfRule type="cellIs" dxfId="4" priority="321" operator="lessThanOrEqual">
      <formula>I34</formula>
    </cfRule>
  </conditionalFormatting>
  <conditionalFormatting sqref="R35">
    <cfRule type="cellIs" dxfId="4" priority="326" operator="lessThanOrEqual">
      <formula>I35</formula>
    </cfRule>
  </conditionalFormatting>
  <conditionalFormatting sqref="R36">
    <cfRule type="cellIs" dxfId="4" priority="331" operator="lessThanOrEqual">
      <formula>I36</formula>
    </cfRule>
  </conditionalFormatting>
  <conditionalFormatting sqref="R37">
    <cfRule type="cellIs" dxfId="4" priority="336" operator="lessThanOrEqual">
      <formula>I37</formula>
    </cfRule>
  </conditionalFormatting>
  <conditionalFormatting sqref="R38">
    <cfRule type="cellIs" dxfId="4" priority="341" operator="lessThanOrEqual">
      <formula>I38</formula>
    </cfRule>
  </conditionalFormatting>
  <conditionalFormatting sqref="R39">
    <cfRule type="cellIs" dxfId="4" priority="346" operator="lessThanOrEqual">
      <formula>I39</formula>
    </cfRule>
  </conditionalFormatting>
  <conditionalFormatting sqref="R40">
    <cfRule type="cellIs" dxfId="4" priority="351" operator="lessThanOrEqual">
      <formula>I40</formula>
    </cfRule>
  </conditionalFormatting>
  <conditionalFormatting sqref="R42">
    <cfRule type="cellIs" dxfId="4" priority="356" operator="lessThanOrEqual">
      <formula>I42</formula>
    </cfRule>
  </conditionalFormatting>
  <conditionalFormatting sqref="R43">
    <cfRule type="cellIs" dxfId="4" priority="361" operator="lessThanOrEqual">
      <formula>I43</formula>
    </cfRule>
  </conditionalFormatting>
  <conditionalFormatting sqref="R44">
    <cfRule type="cellIs" dxfId="4" priority="366" operator="lessThanOrEqual">
      <formula>I44</formula>
    </cfRule>
  </conditionalFormatting>
  <conditionalFormatting sqref="R45">
    <cfRule type="cellIs" dxfId="4" priority="371" operator="lessThanOrEqual">
      <formula>I45</formula>
    </cfRule>
  </conditionalFormatting>
  <conditionalFormatting sqref="R46">
    <cfRule type="cellIs" dxfId="4" priority="377" operator="lessThanOrEqual">
      <formula>I46</formula>
    </cfRule>
  </conditionalFormatting>
  <conditionalFormatting sqref="R47">
    <cfRule type="cellIs" dxfId="4" priority="382" operator="lessThanOrEqual">
      <formula>I47</formula>
    </cfRule>
  </conditionalFormatting>
  <conditionalFormatting sqref="R48">
    <cfRule type="cellIs" dxfId="4" priority="387" operator="lessThanOrEqual">
      <formula>I48</formula>
    </cfRule>
  </conditionalFormatting>
  <conditionalFormatting sqref="R49">
    <cfRule type="cellIs" dxfId="4" priority="393" operator="lessThanOrEqual">
      <formula>I49</formula>
    </cfRule>
  </conditionalFormatting>
  <conditionalFormatting sqref="R50">
    <cfRule type="cellIs" dxfId="4" priority="398" operator="lessThanOrEqual">
      <formula>I50</formula>
    </cfRule>
  </conditionalFormatting>
  <conditionalFormatting sqref="R51">
    <cfRule type="cellIs" dxfId="4" priority="404" operator="lessThanOrEqual">
      <formula>I51</formula>
    </cfRule>
  </conditionalFormatting>
  <conditionalFormatting sqref="R7">
    <cfRule type="cellIs" dxfId="4" priority="185" operator="lessThanOrEqual">
      <formula>I7</formula>
    </cfRule>
  </conditionalFormatting>
  <conditionalFormatting sqref="R8">
    <cfRule type="cellIs" dxfId="4" priority="190" operator="lessThanOrEqual">
      <formula>I8</formula>
    </cfRule>
  </conditionalFormatting>
  <conditionalFormatting sqref="R9">
    <cfRule type="cellIs" dxfId="4" priority="195" operator="lessThanOrEqual">
      <formula>I9</formula>
    </cfRule>
  </conditionalFormatting>
  <conditionalFormatting sqref="S10">
    <cfRule type="cellIs" dxfId="4" priority="199" operator="lessThanOrEqual">
      <formula>J10</formula>
    </cfRule>
  </conditionalFormatting>
  <conditionalFormatting sqref="S11">
    <cfRule type="cellIs" dxfId="4" priority="204" operator="lessThanOrEqual">
      <formula>J11</formula>
    </cfRule>
  </conditionalFormatting>
  <conditionalFormatting sqref="S12">
    <cfRule type="cellIs" dxfId="4" priority="209" operator="lessThanOrEqual">
      <formula>J12</formula>
    </cfRule>
  </conditionalFormatting>
  <conditionalFormatting sqref="S13">
    <cfRule type="cellIs" dxfId="4" priority="214" operator="lessThanOrEqual">
      <formula>J13</formula>
    </cfRule>
  </conditionalFormatting>
  <conditionalFormatting sqref="S14">
    <cfRule type="cellIs" dxfId="4" priority="219" operator="lessThanOrEqual">
      <formula>J14</formula>
    </cfRule>
  </conditionalFormatting>
  <conditionalFormatting sqref="S15">
    <cfRule type="cellIs" dxfId="4" priority="224" operator="lessThanOrEqual">
      <formula>J15</formula>
    </cfRule>
  </conditionalFormatting>
  <conditionalFormatting sqref="S16">
    <cfRule type="cellIs" dxfId="4" priority="229" operator="lessThanOrEqual">
      <formula>J16</formula>
    </cfRule>
  </conditionalFormatting>
  <conditionalFormatting sqref="S17">
    <cfRule type="cellIs" dxfId="4" priority="234" operator="lessThanOrEqual">
      <formula>J17</formula>
    </cfRule>
  </conditionalFormatting>
  <conditionalFormatting sqref="S18">
    <cfRule type="cellIs" dxfId="4" priority="239" operator="lessThanOrEqual">
      <formula>J18</formula>
    </cfRule>
  </conditionalFormatting>
  <conditionalFormatting sqref="S19">
    <cfRule type="cellIs" dxfId="4" priority="244" operator="lessThanOrEqual">
      <formula>J19</formula>
    </cfRule>
  </conditionalFormatting>
  <conditionalFormatting sqref="S20">
    <cfRule type="cellIs" dxfId="4" priority="249" operator="lessThanOrEqual">
      <formula>J20</formula>
    </cfRule>
  </conditionalFormatting>
  <conditionalFormatting sqref="S21">
    <cfRule type="cellIs" dxfId="4" priority="254" operator="lessThanOrEqual">
      <formula>J21</formula>
    </cfRule>
  </conditionalFormatting>
  <conditionalFormatting sqref="S22">
    <cfRule type="cellIs" dxfId="4" priority="259" operator="lessThanOrEqual">
      <formula>J22</formula>
    </cfRule>
  </conditionalFormatting>
  <conditionalFormatting sqref="S23">
    <cfRule type="cellIs" dxfId="4" priority="264" operator="lessThanOrEqual">
      <formula>J23</formula>
    </cfRule>
  </conditionalFormatting>
  <conditionalFormatting sqref="S24">
    <cfRule type="cellIs" dxfId="4" priority="269" operator="lessThanOrEqual">
      <formula>J24</formula>
    </cfRule>
  </conditionalFormatting>
  <conditionalFormatting sqref="S25">
    <cfRule type="cellIs" dxfId="4" priority="275" operator="lessThanOrEqual">
      <formula>J25</formula>
    </cfRule>
  </conditionalFormatting>
  <conditionalFormatting sqref="S26">
    <cfRule type="cellIs" dxfId="4" priority="280" operator="lessThanOrEqual">
      <formula>J26</formula>
    </cfRule>
  </conditionalFormatting>
  <conditionalFormatting sqref="S27">
    <cfRule type="cellIs" dxfId="4" priority="285" operator="lessThanOrEqual">
      <formula>J27</formula>
    </cfRule>
  </conditionalFormatting>
  <conditionalFormatting sqref="S28">
    <cfRule type="cellIs" dxfId="4" priority="290" operator="lessThanOrEqual">
      <formula>J28</formula>
    </cfRule>
  </conditionalFormatting>
  <conditionalFormatting sqref="S29">
    <cfRule type="cellIs" dxfId="4" priority="295" operator="lessThanOrEqual">
      <formula>J29</formula>
    </cfRule>
  </conditionalFormatting>
  <conditionalFormatting sqref="S30">
    <cfRule type="cellIs" dxfId="4" priority="300" operator="lessThanOrEqual">
      <formula>J30</formula>
    </cfRule>
  </conditionalFormatting>
  <conditionalFormatting sqref="S31">
    <cfRule type="cellIs" dxfId="4" priority="305" operator="lessThanOrEqual">
      <formula>J31</formula>
    </cfRule>
  </conditionalFormatting>
  <conditionalFormatting sqref="S32">
    <cfRule type="cellIs" dxfId="4" priority="310" operator="lessThanOrEqual">
      <formula>J32</formula>
    </cfRule>
  </conditionalFormatting>
  <conditionalFormatting sqref="S33">
    <cfRule type="cellIs" dxfId="4" priority="315" operator="lessThanOrEqual">
      <formula>J33</formula>
    </cfRule>
  </conditionalFormatting>
  <conditionalFormatting sqref="S34">
    <cfRule type="cellIs" dxfId="4" priority="320" operator="lessThanOrEqual">
      <formula>J34</formula>
    </cfRule>
  </conditionalFormatting>
  <conditionalFormatting sqref="S35">
    <cfRule type="cellIs" dxfId="4" priority="325" operator="lessThanOrEqual">
      <formula>J35</formula>
    </cfRule>
  </conditionalFormatting>
  <conditionalFormatting sqref="S36">
    <cfRule type="cellIs" dxfId="4" priority="330" operator="lessThanOrEqual">
      <formula>J36</formula>
    </cfRule>
  </conditionalFormatting>
  <conditionalFormatting sqref="S37">
    <cfRule type="cellIs" dxfId="4" priority="335" operator="lessThanOrEqual">
      <formula>J37</formula>
    </cfRule>
  </conditionalFormatting>
  <conditionalFormatting sqref="S38">
    <cfRule type="cellIs" dxfId="4" priority="340" operator="lessThanOrEqual">
      <formula>J38</formula>
    </cfRule>
  </conditionalFormatting>
  <conditionalFormatting sqref="S39">
    <cfRule type="cellIs" dxfId="4" priority="345" operator="lessThanOrEqual">
      <formula>J39</formula>
    </cfRule>
  </conditionalFormatting>
  <conditionalFormatting sqref="S40">
    <cfRule type="cellIs" dxfId="4" priority="350" operator="lessThanOrEqual">
      <formula>J40</formula>
    </cfRule>
  </conditionalFormatting>
  <conditionalFormatting sqref="S42">
    <cfRule type="cellIs" dxfId="4" priority="355" operator="lessThanOrEqual">
      <formula>J42</formula>
    </cfRule>
  </conditionalFormatting>
  <conditionalFormatting sqref="S43">
    <cfRule type="cellIs" dxfId="4" priority="360" operator="lessThanOrEqual">
      <formula>J43</formula>
    </cfRule>
  </conditionalFormatting>
  <conditionalFormatting sqref="S44">
    <cfRule type="cellIs" dxfId="4" priority="365" operator="lessThanOrEqual">
      <formula>J44</formula>
    </cfRule>
  </conditionalFormatting>
  <conditionalFormatting sqref="S45">
    <cfRule type="cellIs" dxfId="4" priority="370" operator="lessThanOrEqual">
      <formula>J45</formula>
    </cfRule>
  </conditionalFormatting>
  <conditionalFormatting sqref="S46">
    <cfRule type="cellIs" dxfId="4" priority="376" operator="lessThanOrEqual">
      <formula>J46</formula>
    </cfRule>
  </conditionalFormatting>
  <conditionalFormatting sqref="S47">
    <cfRule type="cellIs" dxfId="4" priority="381" operator="lessThanOrEqual">
      <formula>J47</formula>
    </cfRule>
  </conditionalFormatting>
  <conditionalFormatting sqref="S48">
    <cfRule type="cellIs" dxfId="4" priority="386" operator="lessThanOrEqual">
      <formula>J48</formula>
    </cfRule>
  </conditionalFormatting>
  <conditionalFormatting sqref="S49">
    <cfRule type="cellIs" dxfId="4" priority="392" operator="lessThanOrEqual">
      <formula>J49</formula>
    </cfRule>
  </conditionalFormatting>
  <conditionalFormatting sqref="S50">
    <cfRule type="cellIs" dxfId="4" priority="397" operator="lessThanOrEqual">
      <formula>J50</formula>
    </cfRule>
  </conditionalFormatting>
  <conditionalFormatting sqref="S51">
    <cfRule type="cellIs" dxfId="4" priority="403" operator="lessThanOrEqual">
      <formula>J51</formula>
    </cfRule>
  </conditionalFormatting>
  <conditionalFormatting sqref="S7">
    <cfRule type="cellIs" dxfId="4" priority="184" operator="lessThanOrEqual">
      <formula>J7</formula>
    </cfRule>
  </conditionalFormatting>
  <conditionalFormatting sqref="S8">
    <cfRule type="cellIs" dxfId="4" priority="189" operator="lessThanOrEqual">
      <formula>J8</formula>
    </cfRule>
  </conditionalFormatting>
  <conditionalFormatting sqref="S9">
    <cfRule type="cellIs" dxfId="4" priority="194" operator="lessThanOrEqual">
      <formula>J9</formula>
    </cfRule>
  </conditionalFormatting>
  <conditionalFormatting sqref="U10">
    <cfRule type="cellIs" dxfId="1" priority="423" operator="equal">
      <formula>0</formula>
    </cfRule>
    <cfRule type="cellIs" dxfId="2" priority="424" operator="lessThan">
      <formula>H10</formula>
    </cfRule>
  </conditionalFormatting>
  <conditionalFormatting sqref="U11">
    <cfRule type="cellIs" dxfId="1" priority="429" operator="equal">
      <formula>0</formula>
    </cfRule>
    <cfRule type="cellIs" dxfId="2" priority="430" operator="lessThan">
      <formula>H11</formula>
    </cfRule>
  </conditionalFormatting>
  <conditionalFormatting sqref="U12">
    <cfRule type="cellIs" dxfId="1" priority="435" operator="equal">
      <formula>0</formula>
    </cfRule>
    <cfRule type="cellIs" dxfId="2" priority="436" operator="lessThan">
      <formula>H12</formula>
    </cfRule>
  </conditionalFormatting>
  <conditionalFormatting sqref="U13">
    <cfRule type="cellIs" dxfId="1" priority="441" operator="equal">
      <formula>0</formula>
    </cfRule>
    <cfRule type="cellIs" dxfId="2" priority="442" operator="lessThan">
      <formula>H13</formula>
    </cfRule>
  </conditionalFormatting>
  <conditionalFormatting sqref="U14">
    <cfRule type="cellIs" dxfId="1" priority="447" operator="equal">
      <formula>0</formula>
    </cfRule>
    <cfRule type="cellIs" dxfId="2" priority="448" operator="lessThan">
      <formula>H14</formula>
    </cfRule>
  </conditionalFormatting>
  <conditionalFormatting sqref="U15">
    <cfRule type="cellIs" dxfId="1" priority="453" operator="equal">
      <formula>0</formula>
    </cfRule>
    <cfRule type="cellIs" dxfId="2" priority="454" operator="lessThan">
      <formula>H15</formula>
    </cfRule>
  </conditionalFormatting>
  <conditionalFormatting sqref="U16">
    <cfRule type="cellIs" dxfId="1" priority="459" operator="equal">
      <formula>0</formula>
    </cfRule>
    <cfRule type="cellIs" dxfId="2" priority="460" operator="lessThan">
      <formula>H16</formula>
    </cfRule>
  </conditionalFormatting>
  <conditionalFormatting sqref="U19">
    <cfRule type="cellIs" dxfId="1" priority="465" operator="equal">
      <formula>0</formula>
    </cfRule>
    <cfRule type="cellIs" dxfId="2" priority="466" operator="lessThan">
      <formula>H19</formula>
    </cfRule>
  </conditionalFormatting>
  <conditionalFormatting sqref="U20">
    <cfRule type="cellIs" dxfId="1" priority="470" operator="equal">
      <formula>0</formula>
    </cfRule>
    <cfRule type="cellIs" dxfId="2" priority="471" operator="lessThan">
      <formula>H20</formula>
    </cfRule>
  </conditionalFormatting>
  <conditionalFormatting sqref="U26">
    <cfRule type="cellIs" dxfId="1" priority="476" operator="equal">
      <formula>0</formula>
    </cfRule>
    <cfRule type="cellIs" dxfId="2" priority="477" operator="lessThan">
      <formula>H26</formula>
    </cfRule>
  </conditionalFormatting>
  <conditionalFormatting sqref="U27">
    <cfRule type="cellIs" dxfId="1" priority="482" operator="equal">
      <formula>0</formula>
    </cfRule>
    <cfRule type="cellIs" dxfId="2" priority="483" operator="lessThan">
      <formula>H27</formula>
    </cfRule>
  </conditionalFormatting>
  <conditionalFormatting sqref="U28">
    <cfRule type="cellIs" dxfId="1" priority="488" operator="equal">
      <formula>0</formula>
    </cfRule>
    <cfRule type="cellIs" dxfId="2" priority="489" operator="lessThan">
      <formula>H28</formula>
    </cfRule>
  </conditionalFormatting>
  <conditionalFormatting sqref="U29">
    <cfRule type="cellIs" dxfId="1" priority="494" operator="equal">
      <formula>0</formula>
    </cfRule>
    <cfRule type="cellIs" dxfId="2" priority="495" operator="lessThan">
      <formula>H29</formula>
    </cfRule>
  </conditionalFormatting>
  <conditionalFormatting sqref="U30">
    <cfRule type="cellIs" dxfId="1" priority="500" operator="equal">
      <formula>0</formula>
    </cfRule>
    <cfRule type="cellIs" dxfId="2" priority="501" operator="lessThan">
      <formula>H30</formula>
    </cfRule>
  </conditionalFormatting>
  <conditionalFormatting sqref="U31">
    <cfRule type="cellIs" dxfId="1" priority="506" operator="equal">
      <formula>0</formula>
    </cfRule>
    <cfRule type="cellIs" dxfId="2" priority="507" operator="lessThan">
      <formula>H31</formula>
    </cfRule>
  </conditionalFormatting>
  <conditionalFormatting sqref="U32">
    <cfRule type="cellIs" dxfId="1" priority="512" operator="equal">
      <formula>0</formula>
    </cfRule>
    <cfRule type="cellIs" dxfId="2" priority="513" operator="lessThan">
      <formula>H32</formula>
    </cfRule>
  </conditionalFormatting>
  <conditionalFormatting sqref="U33">
    <cfRule type="cellIs" dxfId="1" priority="518" operator="equal">
      <formula>0</formula>
    </cfRule>
    <cfRule type="cellIs" dxfId="2" priority="519" operator="lessThan">
      <formula>H33</formula>
    </cfRule>
  </conditionalFormatting>
  <conditionalFormatting sqref="U34">
    <cfRule type="cellIs" dxfId="1" priority="524" operator="equal">
      <formula>0</formula>
    </cfRule>
    <cfRule type="cellIs" dxfId="2" priority="525" operator="lessThan">
      <formula>H34</formula>
    </cfRule>
  </conditionalFormatting>
  <conditionalFormatting sqref="U35">
    <cfRule type="cellIs" dxfId="1" priority="530" operator="equal">
      <formula>0</formula>
    </cfRule>
    <cfRule type="cellIs" dxfId="2" priority="531" operator="lessThan">
      <formula>H35</formula>
    </cfRule>
  </conditionalFormatting>
  <conditionalFormatting sqref="U36">
    <cfRule type="cellIs" dxfId="1" priority="536" operator="equal">
      <formula>0</formula>
    </cfRule>
    <cfRule type="cellIs" dxfId="2" priority="537" operator="lessThan">
      <formula>H36</formula>
    </cfRule>
  </conditionalFormatting>
  <conditionalFormatting sqref="U37">
    <cfRule type="cellIs" dxfId="1" priority="542" operator="equal">
      <formula>0</formula>
    </cfRule>
    <cfRule type="cellIs" dxfId="2" priority="543" operator="lessThan">
      <formula>H37</formula>
    </cfRule>
  </conditionalFormatting>
  <conditionalFormatting sqref="U38">
    <cfRule type="cellIs" dxfId="1" priority="547" operator="equal">
      <formula>0</formula>
    </cfRule>
    <cfRule type="cellIs" dxfId="2" priority="548" operator="lessThan">
      <formula>H38</formula>
    </cfRule>
  </conditionalFormatting>
  <conditionalFormatting sqref="U40">
    <cfRule type="cellIs" dxfId="1" priority="552" operator="equal">
      <formula>0</formula>
    </cfRule>
    <cfRule type="cellIs" dxfId="2" priority="553" operator="lessThan">
      <formula>H40</formula>
    </cfRule>
  </conditionalFormatting>
  <conditionalFormatting sqref="U43">
    <cfRule type="cellIs" dxfId="1" priority="558" operator="equal">
      <formula>0</formula>
    </cfRule>
    <cfRule type="cellIs" dxfId="2" priority="559" operator="lessThan">
      <formula>H43</formula>
    </cfRule>
  </conditionalFormatting>
  <conditionalFormatting sqref="U44">
    <cfRule type="cellIs" dxfId="1" priority="564" operator="equal">
      <formula>0</formula>
    </cfRule>
    <cfRule type="cellIs" dxfId="2" priority="565" operator="lessThan">
      <formula>H44</formula>
    </cfRule>
  </conditionalFormatting>
  <conditionalFormatting sqref="U45">
    <cfRule type="cellIs" dxfId="1" priority="569" operator="equal">
      <formula>0</formula>
    </cfRule>
    <cfRule type="cellIs" dxfId="2" priority="570" operator="lessThan">
      <formula>H45</formula>
    </cfRule>
  </conditionalFormatting>
  <conditionalFormatting sqref="U46">
    <cfRule type="cellIs" dxfId="1" priority="575" operator="equal">
      <formula>0</formula>
    </cfRule>
    <cfRule type="cellIs" dxfId="2" priority="576" operator="lessThan">
      <formula>H46</formula>
    </cfRule>
  </conditionalFormatting>
  <conditionalFormatting sqref="U47">
    <cfRule type="cellIs" dxfId="1" priority="581" operator="equal">
      <formula>0</formula>
    </cfRule>
    <cfRule type="cellIs" dxfId="2" priority="582" operator="lessThan">
      <formula>H47</formula>
    </cfRule>
  </conditionalFormatting>
  <conditionalFormatting sqref="U48">
    <cfRule type="cellIs" dxfId="1" priority="586" operator="equal">
      <formula>0</formula>
    </cfRule>
    <cfRule type="cellIs" dxfId="2" priority="587" operator="lessThan">
      <formula>H48</formula>
    </cfRule>
  </conditionalFormatting>
  <conditionalFormatting sqref="U50">
    <cfRule type="cellIs" dxfId="1" priority="592" operator="equal">
      <formula>0</formula>
    </cfRule>
    <cfRule type="cellIs" dxfId="2" priority="593" operator="lessThan">
      <formula>H50</formula>
    </cfRule>
  </conditionalFormatting>
  <conditionalFormatting sqref="U7">
    <cfRule type="cellIs" dxfId="1" priority="405" operator="equal">
      <formula>0</formula>
    </cfRule>
    <cfRule type="cellIs" dxfId="2" priority="406" operator="lessThan">
      <formula>H7</formula>
    </cfRule>
  </conditionalFormatting>
  <conditionalFormatting sqref="U8">
    <cfRule type="cellIs" dxfId="1" priority="411" operator="equal">
      <formula>0</formula>
    </cfRule>
    <cfRule type="cellIs" dxfId="2" priority="412" operator="lessThan">
      <formula>H8</formula>
    </cfRule>
  </conditionalFormatting>
  <conditionalFormatting sqref="U9">
    <cfRule type="cellIs" dxfId="1" priority="417" operator="equal">
      <formula>0</formula>
    </cfRule>
    <cfRule type="cellIs" dxfId="2" priority="418" operator="lessThan">
      <formula>H9</formula>
    </cfRule>
  </conditionalFormatting>
  <conditionalFormatting sqref="V10">
    <cfRule type="expression" dxfId="3" priority="425">
      <formula>AND(V10&gt;0,V10&lt;10)</formula>
    </cfRule>
    <cfRule type="cellIs" dxfId="1" priority="426" operator="greaterThan">
      <formula>U10</formula>
    </cfRule>
  </conditionalFormatting>
  <conditionalFormatting sqref="V11">
    <cfRule type="expression" dxfId="3" priority="431">
      <formula>AND(V11&gt;0,V11&lt;10)</formula>
    </cfRule>
    <cfRule type="cellIs" dxfId="1" priority="432" operator="greaterThan">
      <formula>U11</formula>
    </cfRule>
  </conditionalFormatting>
  <conditionalFormatting sqref="V12">
    <cfRule type="expression" dxfId="3" priority="437">
      <formula>AND(V12&gt;0,V12&lt;10)</formula>
    </cfRule>
    <cfRule type="cellIs" dxfId="1" priority="438" operator="greaterThan">
      <formula>U12</formula>
    </cfRule>
  </conditionalFormatting>
  <conditionalFormatting sqref="V13">
    <cfRule type="expression" dxfId="3" priority="443">
      <formula>AND(V13&gt;0,V13&lt;10)</formula>
    </cfRule>
    <cfRule type="cellIs" dxfId="1" priority="444" operator="greaterThan">
      <formula>U13</formula>
    </cfRule>
  </conditionalFormatting>
  <conditionalFormatting sqref="V14">
    <cfRule type="expression" dxfId="3" priority="449">
      <formula>AND(V14&gt;0,V14&lt;10)</formula>
    </cfRule>
    <cfRule type="cellIs" dxfId="1" priority="450" operator="greaterThan">
      <formula>U14</formula>
    </cfRule>
  </conditionalFormatting>
  <conditionalFormatting sqref="V15">
    <cfRule type="expression" dxfId="3" priority="455">
      <formula>AND(V15&gt;0,V15&lt;5)</formula>
    </cfRule>
    <cfRule type="cellIs" dxfId="1" priority="456" operator="greaterThan">
      <formula>U15</formula>
    </cfRule>
  </conditionalFormatting>
  <conditionalFormatting sqref="V16">
    <cfRule type="expression" dxfId="3" priority="461">
      <formula>AND(V16&gt;0,V16&lt;5)</formula>
    </cfRule>
    <cfRule type="cellIs" dxfId="1" priority="462" operator="greaterThan">
      <formula>U16</formula>
    </cfRule>
  </conditionalFormatting>
  <conditionalFormatting sqref="V19">
    <cfRule type="cellIs" dxfId="1" priority="467" operator="greaterThan">
      <formula>U19</formula>
    </cfRule>
  </conditionalFormatting>
  <conditionalFormatting sqref="V20">
    <cfRule type="expression" dxfId="3" priority="472">
      <formula>AND(V20&gt;0,V20&lt;10)</formula>
    </cfRule>
    <cfRule type="cellIs" dxfId="1" priority="473" operator="greaterThan">
      <formula>U20</formula>
    </cfRule>
  </conditionalFormatting>
  <conditionalFormatting sqref="V26">
    <cfRule type="expression" dxfId="3" priority="478">
      <formula>AND(V26&gt;0,V26&lt;30000)</formula>
    </cfRule>
    <cfRule type="cellIs" dxfId="1" priority="479" operator="greaterThan">
      <formula>U26</formula>
    </cfRule>
  </conditionalFormatting>
  <conditionalFormatting sqref="V27">
    <cfRule type="expression" dxfId="3" priority="484">
      <formula>AND(V27&gt;0,V27&lt;30000)</formula>
    </cfRule>
    <cfRule type="cellIs" dxfId="1" priority="485" operator="greaterThan">
      <formula>U27</formula>
    </cfRule>
  </conditionalFormatting>
  <conditionalFormatting sqref="V28">
    <cfRule type="expression" dxfId="3" priority="490">
      <formula>AND(V28&gt;0,V28&lt;10)</formula>
    </cfRule>
    <cfRule type="cellIs" dxfId="1" priority="491" operator="greaterThan">
      <formula>U28</formula>
    </cfRule>
  </conditionalFormatting>
  <conditionalFormatting sqref="V29">
    <cfRule type="expression" dxfId="3" priority="496">
      <formula>AND(V29&gt;0,V29&lt;30000)</formula>
    </cfRule>
    <cfRule type="cellIs" dxfId="1" priority="497" operator="greaterThan">
      <formula>U29</formula>
    </cfRule>
  </conditionalFormatting>
  <conditionalFormatting sqref="V30">
    <cfRule type="expression" dxfId="3" priority="502">
      <formula>AND(V30&gt;0,V30&lt;30000)</formula>
    </cfRule>
    <cfRule type="cellIs" dxfId="1" priority="503" operator="greaterThan">
      <formula>U30</formula>
    </cfRule>
  </conditionalFormatting>
  <conditionalFormatting sqref="V31">
    <cfRule type="expression" dxfId="3" priority="508">
      <formula>AND(V31&gt;0,V31&lt;30000)</formula>
    </cfRule>
    <cfRule type="cellIs" dxfId="1" priority="509" operator="greaterThan">
      <formula>U31</formula>
    </cfRule>
  </conditionalFormatting>
  <conditionalFormatting sqref="V32">
    <cfRule type="expression" dxfId="3" priority="514">
      <formula>AND(V32&gt;0,V32&lt;30000)</formula>
    </cfRule>
    <cfRule type="cellIs" dxfId="1" priority="515" operator="greaterThan">
      <formula>U32</formula>
    </cfRule>
  </conditionalFormatting>
  <conditionalFormatting sqref="V33">
    <cfRule type="expression" dxfId="3" priority="520">
      <formula>AND(V33&gt;0,V33&lt;30000)</formula>
    </cfRule>
    <cfRule type="cellIs" dxfId="1" priority="521" operator="greaterThan">
      <formula>U33</formula>
    </cfRule>
  </conditionalFormatting>
  <conditionalFormatting sqref="V34">
    <cfRule type="expression" dxfId="3" priority="526">
      <formula>AND(V34&gt;0,V34&lt;10)</formula>
    </cfRule>
    <cfRule type="cellIs" dxfId="1" priority="527" operator="greaterThan">
      <formula>U34</formula>
    </cfRule>
  </conditionalFormatting>
  <conditionalFormatting sqref="V35">
    <cfRule type="expression" dxfId="3" priority="532">
      <formula>AND(V35&gt;0,V35&lt;10)</formula>
    </cfRule>
    <cfRule type="cellIs" dxfId="1" priority="533" operator="greaterThan">
      <formula>U35</formula>
    </cfRule>
  </conditionalFormatting>
  <conditionalFormatting sqref="V36">
    <cfRule type="expression" dxfId="3" priority="538">
      <formula>AND(V36&gt;0,V36&lt;5)</formula>
    </cfRule>
    <cfRule type="cellIs" dxfId="1" priority="539" operator="greaterThan">
      <formula>U36</formula>
    </cfRule>
  </conditionalFormatting>
  <conditionalFormatting sqref="V37">
    <cfRule type="cellIs" dxfId="1" priority="544" operator="greaterThan">
      <formula>U37</formula>
    </cfRule>
  </conditionalFormatting>
  <conditionalFormatting sqref="V38">
    <cfRule type="cellIs" dxfId="1" priority="549" operator="greaterThan">
      <formula>U38</formula>
    </cfRule>
  </conditionalFormatting>
  <conditionalFormatting sqref="V40">
    <cfRule type="expression" dxfId="3" priority="554">
      <formula>AND(V40&gt;0,V40&lt;5)</formula>
    </cfRule>
    <cfRule type="cellIs" dxfId="1" priority="555" operator="greaterThan">
      <formula>U40</formula>
    </cfRule>
  </conditionalFormatting>
  <conditionalFormatting sqref="V43">
    <cfRule type="expression" dxfId="3" priority="560">
      <formula>AND(V43&gt;0,V43&lt;5)</formula>
    </cfRule>
    <cfRule type="cellIs" dxfId="1" priority="561" operator="greaterThan">
      <formula>U43</formula>
    </cfRule>
  </conditionalFormatting>
  <conditionalFormatting sqref="V44">
    <cfRule type="cellIs" dxfId="1" priority="566" operator="greaterThan">
      <formula>U44</formula>
    </cfRule>
  </conditionalFormatting>
  <conditionalFormatting sqref="V45">
    <cfRule type="expression" dxfId="3" priority="571">
      <formula>AND(V45&gt;0,V45&lt;3000)</formula>
    </cfRule>
    <cfRule type="cellIs" dxfId="1" priority="572" operator="greaterThan">
      <formula>U45</formula>
    </cfRule>
  </conditionalFormatting>
  <conditionalFormatting sqref="V46">
    <cfRule type="expression" dxfId="3" priority="577">
      <formula>AND(V46&gt;0,V46&lt;3000)</formula>
    </cfRule>
    <cfRule type="cellIs" dxfId="1" priority="578" operator="greaterThan">
      <formula>U46</formula>
    </cfRule>
  </conditionalFormatting>
  <conditionalFormatting sqref="V47">
    <cfRule type="cellIs" dxfId="1" priority="583" operator="greaterThan">
      <formula>U47</formula>
    </cfRule>
  </conditionalFormatting>
  <conditionalFormatting sqref="V48">
    <cfRule type="expression" dxfId="3" priority="588">
      <formula>AND(V48&gt;0,V48&lt;5)</formula>
    </cfRule>
    <cfRule type="cellIs" dxfId="1" priority="589" operator="greaterThan">
      <formula>U48</formula>
    </cfRule>
  </conditionalFormatting>
  <conditionalFormatting sqref="V50">
    <cfRule type="cellIs" dxfId="1" priority="594" operator="greaterThan">
      <formula>U50</formula>
    </cfRule>
  </conditionalFormatting>
  <conditionalFormatting sqref="V7">
    <cfRule type="expression" dxfId="3" priority="407">
      <formula>AND(V7&gt;0,V7&lt;10)</formula>
    </cfRule>
    <cfRule type="cellIs" dxfId="1" priority="408" operator="greaterThan">
      <formula>U7</formula>
    </cfRule>
  </conditionalFormatting>
  <conditionalFormatting sqref="V8">
    <cfRule type="expression" dxfId="3" priority="413">
      <formula>AND(V8&gt;0,V8&lt;10)</formula>
    </cfRule>
    <cfRule type="cellIs" dxfId="1" priority="414" operator="greaterThan">
      <formula>U8</formula>
    </cfRule>
  </conditionalFormatting>
  <conditionalFormatting sqref="V9">
    <cfRule type="expression" dxfId="3" priority="419">
      <formula>AND(V9&gt;0,V9&lt;10)</formula>
    </cfRule>
    <cfRule type="cellIs" dxfId="1" priority="420" operator="greaterThan">
      <formula>U9</formula>
    </cfRule>
  </conditionalFormatting>
  <conditionalFormatting sqref="W10">
    <cfRule type="cellIs" dxfId="4" priority="428" operator="lessThanOrEqual">
      <formula>I10</formula>
    </cfRule>
  </conditionalFormatting>
  <conditionalFormatting sqref="W11">
    <cfRule type="cellIs" dxfId="4" priority="434" operator="lessThanOrEqual">
      <formula>I11</formula>
    </cfRule>
  </conditionalFormatting>
  <conditionalFormatting sqref="W12">
    <cfRule type="cellIs" dxfId="4" priority="440" operator="lessThanOrEqual">
      <formula>I12</formula>
    </cfRule>
  </conditionalFormatting>
  <conditionalFormatting sqref="W13">
    <cfRule type="cellIs" dxfId="4" priority="446" operator="lessThanOrEqual">
      <formula>I13</formula>
    </cfRule>
  </conditionalFormatting>
  <conditionalFormatting sqref="W14">
    <cfRule type="cellIs" dxfId="4" priority="452" operator="lessThanOrEqual">
      <formula>I14</formula>
    </cfRule>
  </conditionalFormatting>
  <conditionalFormatting sqref="W15">
    <cfRule type="cellIs" dxfId="4" priority="458" operator="lessThanOrEqual">
      <formula>I15</formula>
    </cfRule>
  </conditionalFormatting>
  <conditionalFormatting sqref="W16">
    <cfRule type="cellIs" dxfId="4" priority="464" operator="lessThanOrEqual">
      <formula>I16</formula>
    </cfRule>
  </conditionalFormatting>
  <conditionalFormatting sqref="W19">
    <cfRule type="cellIs" dxfId="4" priority="469" operator="lessThanOrEqual">
      <formula>I19</formula>
    </cfRule>
  </conditionalFormatting>
  <conditionalFormatting sqref="W20">
    <cfRule type="cellIs" dxfId="4" priority="475" operator="lessThanOrEqual">
      <formula>I20</formula>
    </cfRule>
  </conditionalFormatting>
  <conditionalFormatting sqref="W26">
    <cfRule type="cellIs" dxfId="4" priority="481" operator="lessThanOrEqual">
      <formula>I26</formula>
    </cfRule>
  </conditionalFormatting>
  <conditionalFormatting sqref="W27">
    <cfRule type="cellIs" dxfId="4" priority="487" operator="lessThanOrEqual">
      <formula>I27</formula>
    </cfRule>
  </conditionalFormatting>
  <conditionalFormatting sqref="W28">
    <cfRule type="cellIs" dxfId="4" priority="493" operator="lessThanOrEqual">
      <formula>I28</formula>
    </cfRule>
  </conditionalFormatting>
  <conditionalFormatting sqref="W29">
    <cfRule type="cellIs" dxfId="4" priority="499" operator="lessThanOrEqual">
      <formula>I29</formula>
    </cfRule>
  </conditionalFormatting>
  <conditionalFormatting sqref="W30">
    <cfRule type="cellIs" dxfId="4" priority="505" operator="lessThanOrEqual">
      <formula>I30</formula>
    </cfRule>
  </conditionalFormatting>
  <conditionalFormatting sqref="W31">
    <cfRule type="cellIs" dxfId="4" priority="511" operator="lessThanOrEqual">
      <formula>I31</formula>
    </cfRule>
  </conditionalFormatting>
  <conditionalFormatting sqref="W32">
    <cfRule type="cellIs" dxfId="4" priority="517" operator="lessThanOrEqual">
      <formula>I32</formula>
    </cfRule>
  </conditionalFormatting>
  <conditionalFormatting sqref="W33">
    <cfRule type="cellIs" dxfId="4" priority="523" operator="lessThanOrEqual">
      <formula>I33</formula>
    </cfRule>
  </conditionalFormatting>
  <conditionalFormatting sqref="W34">
    <cfRule type="cellIs" dxfId="4" priority="529" operator="lessThanOrEqual">
      <formula>I34</formula>
    </cfRule>
  </conditionalFormatting>
  <conditionalFormatting sqref="W35">
    <cfRule type="cellIs" dxfId="4" priority="535" operator="lessThanOrEqual">
      <formula>I35</formula>
    </cfRule>
  </conditionalFormatting>
  <conditionalFormatting sqref="W36">
    <cfRule type="cellIs" dxfId="4" priority="541" operator="lessThanOrEqual">
      <formula>I36</formula>
    </cfRule>
  </conditionalFormatting>
  <conditionalFormatting sqref="W37">
    <cfRule type="cellIs" dxfId="4" priority="546" operator="lessThanOrEqual">
      <formula>I37</formula>
    </cfRule>
  </conditionalFormatting>
  <conditionalFormatting sqref="W38">
    <cfRule type="cellIs" dxfId="4" priority="551" operator="lessThanOrEqual">
      <formula>I38</formula>
    </cfRule>
  </conditionalFormatting>
  <conditionalFormatting sqref="W40">
    <cfRule type="cellIs" dxfId="4" priority="557" operator="lessThanOrEqual">
      <formula>I40</formula>
    </cfRule>
  </conditionalFormatting>
  <conditionalFormatting sqref="W43">
    <cfRule type="cellIs" dxfId="4" priority="563" operator="lessThanOrEqual">
      <formula>I43</formula>
    </cfRule>
  </conditionalFormatting>
  <conditionalFormatting sqref="W44">
    <cfRule type="cellIs" dxfId="4" priority="568" operator="lessThanOrEqual">
      <formula>I44</formula>
    </cfRule>
  </conditionalFormatting>
  <conditionalFormatting sqref="W45">
    <cfRule type="cellIs" dxfId="4" priority="574" operator="lessThanOrEqual">
      <formula>I45</formula>
    </cfRule>
  </conditionalFormatting>
  <conditionalFormatting sqref="W46">
    <cfRule type="cellIs" dxfId="4" priority="580" operator="lessThanOrEqual">
      <formula>I46</formula>
    </cfRule>
  </conditionalFormatting>
  <conditionalFormatting sqref="W47">
    <cfRule type="cellIs" dxfId="4" priority="585" operator="lessThanOrEqual">
      <formula>I47</formula>
    </cfRule>
  </conditionalFormatting>
  <conditionalFormatting sqref="W48">
    <cfRule type="cellIs" dxfId="4" priority="591" operator="lessThanOrEqual">
      <formula>I48</formula>
    </cfRule>
  </conditionalFormatting>
  <conditionalFormatting sqref="W50">
    <cfRule type="cellIs" dxfId="4" priority="596" operator="lessThanOrEqual">
      <formula>I50</formula>
    </cfRule>
  </conditionalFormatting>
  <conditionalFormatting sqref="W7">
    <cfRule type="cellIs" dxfId="4" priority="410" operator="lessThanOrEqual">
      <formula>I7</formula>
    </cfRule>
  </conditionalFormatting>
  <conditionalFormatting sqref="W8">
    <cfRule type="cellIs" dxfId="4" priority="416" operator="lessThanOrEqual">
      <formula>I8</formula>
    </cfRule>
  </conditionalFormatting>
  <conditionalFormatting sqref="W9">
    <cfRule type="cellIs" dxfId="4" priority="422" operator="lessThanOrEqual">
      <formula>I9</formula>
    </cfRule>
  </conditionalFormatting>
  <conditionalFormatting sqref="X10">
    <cfRule type="cellIs" dxfId="4" priority="427" operator="lessThanOrEqual">
      <formula>J10</formula>
    </cfRule>
  </conditionalFormatting>
  <conditionalFormatting sqref="X11">
    <cfRule type="cellIs" dxfId="4" priority="433" operator="lessThanOrEqual">
      <formula>J11</formula>
    </cfRule>
  </conditionalFormatting>
  <conditionalFormatting sqref="X12">
    <cfRule type="cellIs" dxfId="4" priority="439" operator="lessThanOrEqual">
      <formula>J12</formula>
    </cfRule>
  </conditionalFormatting>
  <conditionalFormatting sqref="X13">
    <cfRule type="cellIs" dxfId="4" priority="445" operator="lessThanOrEqual">
      <formula>J13</formula>
    </cfRule>
  </conditionalFormatting>
  <conditionalFormatting sqref="X14">
    <cfRule type="cellIs" dxfId="4" priority="451" operator="lessThanOrEqual">
      <formula>J14</formula>
    </cfRule>
  </conditionalFormatting>
  <conditionalFormatting sqref="X15">
    <cfRule type="cellIs" dxfId="4" priority="457" operator="lessThanOrEqual">
      <formula>J15</formula>
    </cfRule>
  </conditionalFormatting>
  <conditionalFormatting sqref="X16">
    <cfRule type="cellIs" dxfId="4" priority="463" operator="lessThanOrEqual">
      <formula>J16</formula>
    </cfRule>
  </conditionalFormatting>
  <conditionalFormatting sqref="X19">
    <cfRule type="cellIs" dxfId="4" priority="468" operator="lessThanOrEqual">
      <formula>J19</formula>
    </cfRule>
  </conditionalFormatting>
  <conditionalFormatting sqref="X20">
    <cfRule type="cellIs" dxfId="4" priority="474" operator="lessThanOrEqual">
      <formula>J20</formula>
    </cfRule>
  </conditionalFormatting>
  <conditionalFormatting sqref="X26">
    <cfRule type="cellIs" dxfId="4" priority="480" operator="lessThanOrEqual">
      <formula>J26</formula>
    </cfRule>
  </conditionalFormatting>
  <conditionalFormatting sqref="X27">
    <cfRule type="cellIs" dxfId="4" priority="486" operator="lessThanOrEqual">
      <formula>J27</formula>
    </cfRule>
  </conditionalFormatting>
  <conditionalFormatting sqref="X28">
    <cfRule type="cellIs" dxfId="4" priority="492" operator="lessThanOrEqual">
      <formula>J28</formula>
    </cfRule>
  </conditionalFormatting>
  <conditionalFormatting sqref="X29">
    <cfRule type="cellIs" dxfId="4" priority="498" operator="lessThanOrEqual">
      <formula>J29</formula>
    </cfRule>
  </conditionalFormatting>
  <conditionalFormatting sqref="X30">
    <cfRule type="cellIs" dxfId="4" priority="504" operator="lessThanOrEqual">
      <formula>J30</formula>
    </cfRule>
  </conditionalFormatting>
  <conditionalFormatting sqref="X31">
    <cfRule type="cellIs" dxfId="4" priority="510" operator="lessThanOrEqual">
      <formula>J31</formula>
    </cfRule>
  </conditionalFormatting>
  <conditionalFormatting sqref="X32">
    <cfRule type="cellIs" dxfId="4" priority="516" operator="lessThanOrEqual">
      <formula>J32</formula>
    </cfRule>
  </conditionalFormatting>
  <conditionalFormatting sqref="X33">
    <cfRule type="cellIs" dxfId="4" priority="522" operator="lessThanOrEqual">
      <formula>J33</formula>
    </cfRule>
  </conditionalFormatting>
  <conditionalFormatting sqref="X34">
    <cfRule type="cellIs" dxfId="4" priority="528" operator="lessThanOrEqual">
      <formula>J34</formula>
    </cfRule>
  </conditionalFormatting>
  <conditionalFormatting sqref="X35">
    <cfRule type="cellIs" dxfId="4" priority="534" operator="lessThanOrEqual">
      <formula>J35</formula>
    </cfRule>
  </conditionalFormatting>
  <conditionalFormatting sqref="X36">
    <cfRule type="cellIs" dxfId="4" priority="540" operator="lessThanOrEqual">
      <formula>J36</formula>
    </cfRule>
  </conditionalFormatting>
  <conditionalFormatting sqref="X37">
    <cfRule type="cellIs" dxfId="4" priority="545" operator="lessThanOrEqual">
      <formula>J37</formula>
    </cfRule>
  </conditionalFormatting>
  <conditionalFormatting sqref="X38">
    <cfRule type="cellIs" dxfId="4" priority="550" operator="lessThanOrEqual">
      <formula>J38</formula>
    </cfRule>
  </conditionalFormatting>
  <conditionalFormatting sqref="X40">
    <cfRule type="cellIs" dxfId="4" priority="556" operator="lessThanOrEqual">
      <formula>J40</formula>
    </cfRule>
  </conditionalFormatting>
  <conditionalFormatting sqref="X43">
    <cfRule type="cellIs" dxfId="4" priority="562" operator="lessThanOrEqual">
      <formula>J43</formula>
    </cfRule>
  </conditionalFormatting>
  <conditionalFormatting sqref="X44">
    <cfRule type="cellIs" dxfId="4" priority="567" operator="lessThanOrEqual">
      <formula>J44</formula>
    </cfRule>
  </conditionalFormatting>
  <conditionalFormatting sqref="X45">
    <cfRule type="cellIs" dxfId="4" priority="573" operator="lessThanOrEqual">
      <formula>J45</formula>
    </cfRule>
  </conditionalFormatting>
  <conditionalFormatting sqref="X46">
    <cfRule type="cellIs" dxfId="4" priority="579" operator="lessThanOrEqual">
      <formula>J46</formula>
    </cfRule>
  </conditionalFormatting>
  <conditionalFormatting sqref="X47">
    <cfRule type="cellIs" dxfId="4" priority="584" operator="lessThanOrEqual">
      <formula>J47</formula>
    </cfRule>
  </conditionalFormatting>
  <conditionalFormatting sqref="X48">
    <cfRule type="cellIs" dxfId="4" priority="590" operator="lessThanOrEqual">
      <formula>J48</formula>
    </cfRule>
  </conditionalFormatting>
  <conditionalFormatting sqref="X50">
    <cfRule type="cellIs" dxfId="4" priority="595" operator="lessThanOrEqual">
      <formula>J50</formula>
    </cfRule>
  </conditionalFormatting>
  <conditionalFormatting sqref="X7">
    <cfRule type="cellIs" dxfId="4" priority="409" operator="lessThanOrEqual">
      <formula>J7</formula>
    </cfRule>
  </conditionalFormatting>
  <conditionalFormatting sqref="X8">
    <cfRule type="cellIs" dxfId="4" priority="415" operator="lessThanOrEqual">
      <formula>J8</formula>
    </cfRule>
  </conditionalFormatting>
  <conditionalFormatting sqref="X9">
    <cfRule type="cellIs" dxfId="4" priority="421" operator="lessThanOrEqual">
      <formula>J9</formula>
    </cfRule>
  </conditionalFormatting>
  <conditionalFormatting sqref="Z11">
    <cfRule type="cellIs" dxfId="1" priority="609" operator="equal">
      <formula>0</formula>
    </cfRule>
    <cfRule type="cellIs" dxfId="2" priority="610" operator="lessThan">
      <formula>H11</formula>
    </cfRule>
  </conditionalFormatting>
  <conditionalFormatting sqref="Z12">
    <cfRule type="cellIs" dxfId="1" priority="615" operator="equal">
      <formula>0</formula>
    </cfRule>
    <cfRule type="cellIs" dxfId="2" priority="616" operator="lessThan">
      <formula>H12</formula>
    </cfRule>
  </conditionalFormatting>
  <conditionalFormatting sqref="Z13">
    <cfRule type="cellIs" dxfId="1" priority="621" operator="equal">
      <formula>0</formula>
    </cfRule>
    <cfRule type="cellIs" dxfId="2" priority="622" operator="lessThan">
      <formula>H13</formula>
    </cfRule>
  </conditionalFormatting>
  <conditionalFormatting sqref="Z14">
    <cfRule type="cellIs" dxfId="1" priority="627" operator="equal">
      <formula>0</formula>
    </cfRule>
    <cfRule type="cellIs" dxfId="2" priority="628" operator="lessThan">
      <formula>H14</formula>
    </cfRule>
  </conditionalFormatting>
  <conditionalFormatting sqref="Z20">
    <cfRule type="cellIs" dxfId="1" priority="633" operator="equal">
      <formula>0</formula>
    </cfRule>
    <cfRule type="cellIs" dxfId="2" priority="634" operator="lessThan">
      <formula>H20</formula>
    </cfRule>
  </conditionalFormatting>
  <conditionalFormatting sqref="Z27">
    <cfRule type="cellIs" dxfId="1" priority="639" operator="equal">
      <formula>0</formula>
    </cfRule>
    <cfRule type="cellIs" dxfId="2" priority="640" operator="lessThan">
      <formula>H27</formula>
    </cfRule>
  </conditionalFormatting>
  <conditionalFormatting sqref="Z29">
    <cfRule type="cellIs" dxfId="1" priority="645" operator="equal">
      <formula>0</formula>
    </cfRule>
    <cfRule type="cellIs" dxfId="2" priority="646" operator="lessThan">
      <formula>H29</formula>
    </cfRule>
  </conditionalFormatting>
  <conditionalFormatting sqref="Z31">
    <cfRule type="cellIs" dxfId="1" priority="651" operator="equal">
      <formula>0</formula>
    </cfRule>
    <cfRule type="cellIs" dxfId="2" priority="652" operator="lessThan">
      <formula>H31</formula>
    </cfRule>
  </conditionalFormatting>
  <conditionalFormatting sqref="Z34">
    <cfRule type="cellIs" dxfId="1" priority="657" operator="equal">
      <formula>0</formula>
    </cfRule>
    <cfRule type="cellIs" dxfId="2" priority="658" operator="lessThan">
      <formula>H34</formula>
    </cfRule>
  </conditionalFormatting>
  <conditionalFormatting sqref="Z35">
    <cfRule type="cellIs" dxfId="1" priority="663" operator="equal">
      <formula>0</formula>
    </cfRule>
    <cfRule type="cellIs" dxfId="2" priority="664" operator="lessThan">
      <formula>H35</formula>
    </cfRule>
  </conditionalFormatting>
  <conditionalFormatting sqref="Z36">
    <cfRule type="cellIs" dxfId="1" priority="668" operator="equal">
      <formula>0</formula>
    </cfRule>
    <cfRule type="cellIs" dxfId="2" priority="669" operator="lessThan">
      <formula>H36</formula>
    </cfRule>
  </conditionalFormatting>
  <conditionalFormatting sqref="Z51">
    <cfRule type="cellIs" dxfId="1" priority="673" operator="equal">
      <formula>0</formula>
    </cfRule>
    <cfRule type="cellIs" dxfId="2" priority="674" operator="lessThan">
      <formula>H51</formula>
    </cfRule>
  </conditionalFormatting>
  <conditionalFormatting sqref="Z8">
    <cfRule type="cellIs" dxfId="1" priority="597" operator="equal">
      <formula>0</formula>
    </cfRule>
    <cfRule type="cellIs" dxfId="2" priority="598" operator="lessThan">
      <formula>H8</formula>
    </cfRule>
  </conditionalFormatting>
  <conditionalFormatting sqref="Z9">
    <cfRule type="cellIs" dxfId="1" priority="603" operator="equal">
      <formula>0</formula>
    </cfRule>
    <cfRule type="cellIs" dxfId="2" priority="604" operator="lessThan">
      <formula>H9</formula>
    </cfRule>
  </conditionalFormatting>
  <hyperlinks>
    <hyperlink ref="G7" r:id="rId1"/>
    <hyperlink ref="T7" r:id="rId2"/>
    <hyperlink ref="Y7" r:id="rId3"/>
    <hyperlink ref="AI7" r:id="rId4"/>
    <hyperlink ref="AN7" r:id="rId5"/>
    <hyperlink ref="G8" r:id="rId6"/>
    <hyperlink ref="T8" r:id="rId7"/>
    <hyperlink ref="Y8" r:id="rId8"/>
    <hyperlink ref="AD8" r:id="rId9"/>
    <hyperlink ref="AI8" r:id="rId10"/>
    <hyperlink ref="AN8" r:id="rId11"/>
    <hyperlink ref="G9" r:id="rId12"/>
    <hyperlink ref="T9" r:id="rId13"/>
    <hyperlink ref="Y9" r:id="rId14"/>
    <hyperlink ref="AD9" r:id="rId15"/>
    <hyperlink ref="AN9" r:id="rId16"/>
    <hyperlink ref="G10" r:id="rId17"/>
    <hyperlink ref="T10" r:id="rId18"/>
    <hyperlink ref="Y10" r:id="rId19"/>
    <hyperlink ref="AI10" r:id="rId20"/>
    <hyperlink ref="AN10" r:id="rId21"/>
    <hyperlink ref="G11" r:id="rId22"/>
    <hyperlink ref="T11" r:id="rId23"/>
    <hyperlink ref="Y11" r:id="rId24"/>
    <hyperlink ref="AD11" r:id="rId25"/>
    <hyperlink ref="AI11" r:id="rId26"/>
    <hyperlink ref="AN11" r:id="rId27"/>
    <hyperlink ref="G12" r:id="rId28"/>
    <hyperlink ref="T12" r:id="rId29"/>
    <hyperlink ref="Y12" r:id="rId30"/>
    <hyperlink ref="AD12" r:id="rId31"/>
    <hyperlink ref="AI12" r:id="rId32"/>
    <hyperlink ref="AN12" r:id="rId33"/>
    <hyperlink ref="AS12" r:id="rId34"/>
    <hyperlink ref="G13" r:id="rId35"/>
    <hyperlink ref="T13" r:id="rId36"/>
    <hyperlink ref="Y13" r:id="rId37"/>
    <hyperlink ref="AD13" r:id="rId38"/>
    <hyperlink ref="AI13" r:id="rId39"/>
    <hyperlink ref="AN13" r:id="rId40"/>
    <hyperlink ref="AS13" r:id="rId41"/>
    <hyperlink ref="G14" r:id="rId42"/>
    <hyperlink ref="T14" r:id="rId43"/>
    <hyperlink ref="Y14" r:id="rId44"/>
    <hyperlink ref="AD14" r:id="rId45"/>
    <hyperlink ref="AI14" r:id="rId46"/>
    <hyperlink ref="AN14" r:id="rId47"/>
    <hyperlink ref="G15" r:id="rId48"/>
    <hyperlink ref="T15" r:id="rId49"/>
    <hyperlink ref="Y15" r:id="rId50"/>
    <hyperlink ref="AI15" r:id="rId51"/>
    <hyperlink ref="AN15" r:id="rId52"/>
    <hyperlink ref="G16" r:id="rId53"/>
    <hyperlink ref="T16" r:id="rId54"/>
    <hyperlink ref="Y16" r:id="rId55"/>
    <hyperlink ref="AI16" r:id="rId56"/>
    <hyperlink ref="AN16" r:id="rId57"/>
    <hyperlink ref="G17" r:id="rId58"/>
    <hyperlink ref="T17" r:id="rId59"/>
    <hyperlink ref="AI17" r:id="rId60"/>
    <hyperlink ref="AN17" r:id="rId61"/>
    <hyperlink ref="AS17" r:id="rId62"/>
    <hyperlink ref="G18" r:id="rId63"/>
    <hyperlink ref="T18" r:id="rId64"/>
    <hyperlink ref="AI18" r:id="rId65"/>
    <hyperlink ref="AS18" r:id="rId66"/>
    <hyperlink ref="G19" r:id="rId67"/>
    <hyperlink ref="T19" r:id="rId68"/>
    <hyperlink ref="Y19" r:id="rId69"/>
    <hyperlink ref="AI19" r:id="rId70"/>
    <hyperlink ref="AN19" r:id="rId71"/>
    <hyperlink ref="AX19" r:id="rId72"/>
    <hyperlink ref="G20" r:id="rId73"/>
    <hyperlink ref="T20" r:id="rId74"/>
    <hyperlink ref="Y20" r:id="rId75"/>
    <hyperlink ref="AD20" r:id="rId76"/>
    <hyperlink ref="AI20" r:id="rId77"/>
    <hyperlink ref="AN20" r:id="rId78"/>
    <hyperlink ref="AS20" r:id="rId79"/>
    <hyperlink ref="AX20" r:id="rId80"/>
    <hyperlink ref="G21" r:id="rId81"/>
    <hyperlink ref="T21" r:id="rId82"/>
    <hyperlink ref="AI21" r:id="rId83"/>
    <hyperlink ref="G22" r:id="rId84"/>
    <hyperlink ref="T22" r:id="rId85"/>
    <hyperlink ref="G23" r:id="rId86"/>
    <hyperlink ref="T23" r:id="rId87"/>
    <hyperlink ref="G24" r:id="rId88"/>
    <hyperlink ref="T24" r:id="rId89"/>
    <hyperlink ref="G25" r:id="rId90"/>
    <hyperlink ref="T25" r:id="rId91"/>
    <hyperlink ref="AI25" r:id="rId92"/>
    <hyperlink ref="G26" r:id="rId93"/>
    <hyperlink ref="T26" r:id="rId94"/>
    <hyperlink ref="Y26" r:id="rId95"/>
    <hyperlink ref="AI26" r:id="rId96"/>
    <hyperlink ref="G27" r:id="rId97"/>
    <hyperlink ref="T27" r:id="rId98"/>
    <hyperlink ref="Y27" r:id="rId99"/>
    <hyperlink ref="AD27" r:id="rId100"/>
    <hyperlink ref="AI27" r:id="rId101"/>
    <hyperlink ref="AN27" r:id="rId102"/>
    <hyperlink ref="AS27" r:id="rId103"/>
    <hyperlink ref="G28" r:id="rId104"/>
    <hyperlink ref="T28" r:id="rId105"/>
    <hyperlink ref="Y28" r:id="rId106"/>
    <hyperlink ref="AI28" r:id="rId107"/>
    <hyperlink ref="AN28" r:id="rId108"/>
    <hyperlink ref="AS28" r:id="rId109"/>
    <hyperlink ref="G29" r:id="rId110"/>
    <hyperlink ref="T29" r:id="rId111"/>
    <hyperlink ref="Y29" r:id="rId112"/>
    <hyperlink ref="AD29" r:id="rId113"/>
    <hyperlink ref="AI29" r:id="rId114"/>
    <hyperlink ref="AN29" r:id="rId115"/>
    <hyperlink ref="G30" r:id="rId116"/>
    <hyperlink ref="T30" r:id="rId117"/>
    <hyperlink ref="Y30" r:id="rId118"/>
    <hyperlink ref="AI30" r:id="rId119"/>
    <hyperlink ref="AN30" r:id="rId120"/>
    <hyperlink ref="AS30" r:id="rId121"/>
    <hyperlink ref="G31" r:id="rId122"/>
    <hyperlink ref="T31" r:id="rId123"/>
    <hyperlink ref="Y31" r:id="rId124"/>
    <hyperlink ref="AD31" r:id="rId125"/>
    <hyperlink ref="AI31" r:id="rId126"/>
    <hyperlink ref="AN31" r:id="rId127"/>
    <hyperlink ref="AS31" r:id="rId128"/>
    <hyperlink ref="G32" r:id="rId129"/>
    <hyperlink ref="T32" r:id="rId130"/>
    <hyperlink ref="Y32" r:id="rId131"/>
    <hyperlink ref="AI32" r:id="rId132"/>
    <hyperlink ref="AS32" r:id="rId133"/>
    <hyperlink ref="G33" r:id="rId134"/>
    <hyperlink ref="T33" r:id="rId135"/>
    <hyperlink ref="Y33" r:id="rId136"/>
    <hyperlink ref="AI33" r:id="rId137"/>
    <hyperlink ref="AN33" r:id="rId138"/>
    <hyperlink ref="G34" r:id="rId139"/>
    <hyperlink ref="T34" r:id="rId140"/>
    <hyperlink ref="Y34" r:id="rId141"/>
    <hyperlink ref="AD34" r:id="rId142"/>
    <hyperlink ref="AI34" r:id="rId143"/>
    <hyperlink ref="AN34" r:id="rId144"/>
    <hyperlink ref="AS34" r:id="rId145"/>
    <hyperlink ref="G35" r:id="rId146"/>
    <hyperlink ref="T35" r:id="rId147"/>
    <hyperlink ref="Y35" r:id="rId148"/>
    <hyperlink ref="AD35" r:id="rId149"/>
    <hyperlink ref="AI35" r:id="rId150"/>
    <hyperlink ref="AN35" r:id="rId151"/>
    <hyperlink ref="AX35" r:id="rId152"/>
    <hyperlink ref="G36" r:id="rId153"/>
    <hyperlink ref="T36" r:id="rId154"/>
    <hyperlink ref="Y36" r:id="rId155"/>
    <hyperlink ref="AD36" r:id="rId156"/>
    <hyperlink ref="AI36" r:id="rId157"/>
    <hyperlink ref="AN36" r:id="rId158"/>
    <hyperlink ref="G37" r:id="rId159"/>
    <hyperlink ref="T37" r:id="rId160"/>
    <hyperlink ref="Y37" r:id="rId161"/>
    <hyperlink ref="AI37" r:id="rId162"/>
    <hyperlink ref="AN37" r:id="rId163"/>
    <hyperlink ref="G38" r:id="rId164"/>
    <hyperlink ref="T38" r:id="rId165"/>
    <hyperlink ref="Y38" r:id="rId166"/>
    <hyperlink ref="AI38" r:id="rId167"/>
    <hyperlink ref="AN38" r:id="rId168"/>
    <hyperlink ref="G39" r:id="rId169"/>
    <hyperlink ref="T39" r:id="rId170"/>
    <hyperlink ref="AI39" r:id="rId171"/>
    <hyperlink ref="AN39" r:id="rId172"/>
    <hyperlink ref="G40" r:id="rId173"/>
    <hyperlink ref="T40" r:id="rId174"/>
    <hyperlink ref="Y40" r:id="rId175"/>
    <hyperlink ref="AI40" r:id="rId176"/>
    <hyperlink ref="AN40" r:id="rId177"/>
    <hyperlink ref="AS40" r:id="rId178"/>
    <hyperlink ref="G41" r:id="rId179"/>
    <hyperlink ref="G42" r:id="rId180"/>
    <hyperlink ref="T42" r:id="rId181"/>
    <hyperlink ref="G43" r:id="rId182"/>
    <hyperlink ref="T43" r:id="rId183"/>
    <hyperlink ref="Y43" r:id="rId184"/>
    <hyperlink ref="AI43" r:id="rId185"/>
    <hyperlink ref="AN43" r:id="rId186"/>
    <hyperlink ref="AS43" r:id="rId187"/>
    <hyperlink ref="G44" r:id="rId188"/>
    <hyperlink ref="T44" r:id="rId189"/>
    <hyperlink ref="Y44" r:id="rId190"/>
    <hyperlink ref="AI44" r:id="rId191"/>
    <hyperlink ref="AN44" r:id="rId192"/>
    <hyperlink ref="G45" r:id="rId193"/>
    <hyperlink ref="T45" r:id="rId194"/>
    <hyperlink ref="Y45" r:id="rId195"/>
    <hyperlink ref="AI45" r:id="rId196"/>
    <hyperlink ref="AN45" r:id="rId197"/>
    <hyperlink ref="G46" r:id="rId198"/>
    <hyperlink ref="T46" r:id="rId199"/>
    <hyperlink ref="Y46" r:id="rId200"/>
    <hyperlink ref="AI46" r:id="rId201"/>
    <hyperlink ref="AN46" r:id="rId202"/>
    <hyperlink ref="G47" r:id="rId203"/>
    <hyperlink ref="T47" r:id="rId204"/>
    <hyperlink ref="Y47" r:id="rId205"/>
    <hyperlink ref="AI47" r:id="rId206"/>
    <hyperlink ref="AN47" r:id="rId207"/>
    <hyperlink ref="G48" r:id="rId208"/>
    <hyperlink ref="T48" r:id="rId209"/>
    <hyperlink ref="Y48" r:id="rId210"/>
    <hyperlink ref="AI48" r:id="rId211"/>
    <hyperlink ref="AN48" r:id="rId212"/>
    <hyperlink ref="G49" r:id="rId213"/>
    <hyperlink ref="T49" r:id="rId214"/>
    <hyperlink ref="G50" r:id="rId215"/>
    <hyperlink ref="T50" r:id="rId216"/>
    <hyperlink ref="Y50" r:id="rId217"/>
    <hyperlink ref="AI50" r:id="rId218"/>
    <hyperlink ref="AN50" r:id="rId219"/>
    <hyperlink ref="G51" r:id="rId220"/>
    <hyperlink ref="T51" r:id="rId221"/>
    <hyperlink ref="AD51" r:id="rId222"/>
    <hyperlink ref="AI51" r:id="rId223"/>
    <hyperlink ref="K53" r:id="rId224"/>
    <hyperlink ref="P53" r:id="rId225"/>
    <hyperlink ref="U53" r:id="rId226"/>
    <hyperlink ref="Z53" r:id="rId227"/>
    <hyperlink ref="AE53" r:id="rId228"/>
    <hyperlink ref="AJ53" r:id="rId229"/>
    <hyperlink ref="AO53" r:id="rId230"/>
    <hyperlink ref="AT53" r:id="rId231"/>
  </hyperlinks>
  <pageMargins left="0.7" right="0.7" top="0.75" bottom="0.75" header="0.3" footer="0.3"/>
  <legacyDrawing r:id="rId23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13</vt:i4>
      </vt:variant>
    </vt:vector>
  </HeadingPairs>
  <TitlesOfParts>
    <vt:vector size="14" baseType="lpstr">
      <vt:lpstr>reDIP-64-BOM. </vt:lpstr>
      <vt:lpstr>arrow_part_data</vt:lpstr>
      <vt:lpstr>BoardQty</vt:lpstr>
      <vt:lpstr>digikey_part_data</vt:lpstr>
      <vt:lpstr>farnell_part_data</vt:lpstr>
      <vt:lpstr>global_part_data</vt:lpstr>
      <vt:lpstr>lcsc_part_data</vt:lpstr>
      <vt:lpstr>mouser_part_data</vt:lpstr>
      <vt:lpstr>newark_part_data</vt:lpstr>
      <vt:lpstr>PURCHASE_DESCRIPTION</vt:lpstr>
      <vt:lpstr>rs_part_data</vt:lpstr>
      <vt:lpstr>tme_part_data</vt:lpstr>
      <vt:lpstr>TotalCost</vt:lpstr>
      <vt:lpstr>USD_GBP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2021-05-09T10:34:22Z</dcterms:created>
  <dcterms:modified xsi:type="dcterms:W3CDTF">2021-05-09T10:34:22Z</dcterms:modified>
</cp:coreProperties>
</file>