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64-BOM. " sheetId="1" r:id="rId1"/>
  </sheets>
  <definedNames>
    <definedName name="arrow_part_data">'reDIP-64-BOM. '!$K$5:$O$51</definedName>
    <definedName name="BoardQty">'reDIP-64-BOM. '!$J$1</definedName>
    <definedName name="digikey_part_data">'reDIP-64-BOM. '!$P$5:$T$51</definedName>
    <definedName name="farnell_part_data">'reDIP-64-BOM. '!$U$5:$Y$51</definedName>
    <definedName name="global_part_data">'reDIP-64-BOM. '!$A$5:$J$51</definedName>
    <definedName name="lcsc_part_data">'reDIP-64-BOM. '!$Z$5:$AD$51</definedName>
    <definedName name="mouser_part_data">'reDIP-64-BOM. '!$AE$5:$AI$51</definedName>
    <definedName name="newark_part_data">'reDIP-64-BOM. '!$AJ$5:$AN$51</definedName>
    <definedName name="PURCHASE_DESCRIPTION">'reDIP-64-BOM. '!$J$54</definedName>
    <definedName name="rs_part_data">'reDIP-64-BOM. '!$AO$5:$AS$51</definedName>
    <definedName name="tme_part_data">'reDIP-64-BOM. '!$AT$5:$AX$51</definedName>
    <definedName name="TotalCost">'reDIP-64-BOM. '!$J$3</definedName>
    <definedName name="USD_GBP">'reDIP-64-BOM. '!$C$54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$0.33
  1000   $0.00      $2.40
  3000   $0.00      $6.90
 10000   $0.00     $21.00
 50000   $0.00    $100.00
100000   $0.00    $200.00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$0.62
   100   $0.05      $4.94
   300   $0.05     $14.13
  1000   $0.04     $44.90
  5000   $0.04    $219.50
 10000   $0.04    $434.00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$0.38      $3.81
    50   $0.29     $14.42
   100   $0.25     $25.12
   500   $0.19     $93.04
  1000   $0.16    $158.16
  4000   $0.14    $558.20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£2.87
   100   £0.18     £17.90
   150   £0.18     £26.85
   500   £0.14     £67.50
  1000   £0.12    £116.00
  2000   £0.10    £191.20
  4000   £0.08    £318.80
 20000   £0.07  £1,366.00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$0.28      $2.76
    50   $0.28     $13.80
   100   $0.24     $24.10
  1000   $0.15    $152.00
 10000   $0.13  $1,330.00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$0.42      $4.20
    25   $0.37      $9.30
    50   $0.32     $16.20
   100   $0.28     $27.60
  4000   $0.12    $468.00
  8000   $0.11    $904.00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$0.38      $3.81
    50   $0.29     $14.42
   100   $0.25     $25.12
   500   $0.19     $93.04
  1000   $0.16    $158.16
  4000   $0.14    $558.20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£2.87
   100   £0.18     £17.90
   150   £0.18     £26.85
   500   £0.14     £67.50
  1000   £0.12    £116.00
  2000   £0.10    £191.20
  4000   £0.08    £318.80
 20000   £0.07  £1,366.00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$0.28      $2.76
    50   $0.28     $13.80
   100   $0.24     $24.10
  1000   $0.15    $152.00
 10000   $0.13  $1,330.00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$0.42      $4.20
    25   $0.37      $9.30
    50   $0.32     $16.20
   100   $0.28     $27.60
  4000   $0.12    $468.00
  8000   $0.11    $904.00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$0.34      $3.39
    50   $0.26     $12.83
   100   $0.22     $22.35
   500   $0.17     $82.76
  1000   $0.14    $140.70
  4000   $0.12    $496.60</t>
        </r>
      </text>
    </comment>
    <comment ref="U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£2.88
   100   £0.18     £18.00
   150   £0.18     £27.00
   500   £0.14     £68.00
  1000   £0.12    £116.00
  2000   £0.10    £192.00
  4000   £0.08    £320.00
 20000   £0.07  £1,372.00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$0.58
    50   $0.09      $4.64
   150   $0.09     $13.29
   500   $0.08     $42.15
  2500   $0.08    $206.00
  5000   $0.08    $407.50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$0.39      $3.90
    50   $0.39     $19.50
   100   $0.26     $25.70
  1000   $0.16    $162.00
 10000   $0.13  $1,260.00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$0.39      $3.90
    25   $0.35      $8.65
    50   $0.30     $15.05
   100   $0.26     $25.70
   250   $0.23     $57.00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U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E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$0.11      $1.10
    50   $0.11      $5.50
   100   $0.09      $9.40
  1000   $0.06     $58.00
 10000   $0.05    $510.00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$0.05    $795.00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$0.33
  1000   $0.00      $2.40
  3000   $0.00      $6.90
 10000   $0.00     $21.00
 50000   $0.00    $100.00
100000   $0.00    $200.00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P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U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$0.60
    50   $0.09      $4.40
   150   $0.08     $12.32
   500   $0.08     $38.05
  2500   $0.07    $183.50
  5000   $0.07    $360.50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$0.30      $3.00
   100   $0.17     $17.00
   500   $0.11     $56.29
  1000   $0.09     $86.31
  2000   $0.08    $150.10
  8000   $0.07    $540.32
 16000   $0.06    $991.20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£0.38      £1.90
    10   £0.26      £2.64
   100   £0.12     £12.50
   500   £0.06     £29.40
  8000   £0.05    £400.00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$0.30      $3.00
    50   $0.30     $15.00
   100   $0.17     $17.00
  1000   $0.09     $87.00
 10000   $0.06    $600.00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$0.44      $2.19
    10   $0.31      $3.08
   100   $0.16     $15.60
  8000   $0.06    $456.00
 24000   $0.06  $1,320.00
 64000   $0.05  $3,328.00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$0.47      $4.74
   100   $0.35     $35.42
   500   $0.28    $139.15
  1000   $0.22    $215.05
  3000   $0.20    $588.21
  6000   $0.19  $1,152.30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$0.40      $4.03
    50   $0.40     $20.15
   100   $0.29     $28.80
  1000   $0.17    $173.00
 10000   $0.16  $1,610.00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$0.17    $510.00
  6000   $0.17    $996.00
 12000   $0.16  $1,944.00
 18000   $0.16  $2,844.00
 30000   $0.15  $4,620.00</t>
        </r>
      </text>
    </comment>
    <comment ref="AQ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£0.09    £267.00
  6000   £0.12    £738.00
  9000   £0.12  £1,053.00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$3.36
   100   $0.21     $20.90
   500   $0.14     $71.50
  1000   $0.11    $110.00
  2000   $0.10    $198.00
  5000   $0.09    $467.50
 10000   $0.09    $852.50
 25000   $0.08  $2,087.50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$0.30      $3.05
    50   $0.30     $15.25
   100   $0.15     $15.40
  1000   $0.10     $95.00
 10000   $0.08    $820.00</t>
        </r>
      </text>
    </comment>
    <comment ref="AQ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£0.07    £330.00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$0.51      $0.51
    10   $0.38      $3.82
   100   $0.22     $21.63
   500   $0.14     $71.61
  1000   $0.11    $109.80
  2000   $0.10    $190.96
  8000   $0.09    $687.44
 16000   $0.08  $1,222.08
 24000   $0.07  $1,718.64
 56000   $0.07  $3,645.60</t>
        </r>
      </text>
    </comment>
    <comment ref="U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£0.48      £2.40
    10   £0.31      £3.11
   100   £0.16     £15.50
   500   £0.12     £59.50
  1000   £0.07     £72.50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$3.14
    50   $0.31     $15.70
   100   $0.18     $17.80
  1000   $0.10     $95.00
 10000   $0.07    $710.00</t>
        </r>
      </text>
    </comment>
    <comment ref="AJ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$0.54      $2.72
    10   $0.38      $3.80
   100   $0.18     $18.20
   500   $0.16     $81.00
  1000   $0.14    $142.00
  2500   $0.12    $310.00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$0.72      $0.72
    10   $0.48      $4.75
   100   $0.31     $31.45
  1000   $0.24    $242.82
  2000   $0.22    $438.84
  6000   $0.21  $1,242.00</t>
        </r>
      </text>
    </comment>
    <comment ref="U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$0.44      $4.41
    50   $0.44     $22.05
   100   $0.29     $28.90
  1000   $0.23    $228.00
 10000   $0.19  $1,860.00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$0.22  $2,220.00</t>
        </r>
      </text>
    </comment>
    <comment ref="AT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£0.58      £0.58
     5   £0.26      £1.31
    25   £0.20      £5.09
   100   £0.17     £17.32
   500   £0.16     £78.95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$0.79
    25   $0.07      $1.80
    50   $0.06      $3.24
   100   $0.05      $4.75
   250   $0.03      $8.64
   500   $0.03     $15.84
  1000   $0.03     $27.36
  4000   $0.02     $92.16
  8000   $0.02    $167.04
 12000   $0.02    $241.92
 28000   $0.02    $536.20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£0.42
   100   £0.03      £2.59
   150   £0.03      £3.88
   500   £0.02      £9.30
  1000   £0.02     £16.90
  2000   £0.01     £27.80
  4000   £0.01     £49.60
 20000   £0.01    £194.00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$1.06
   500   $0.02      $8.50
  1500   $0.02     $24.30
  5000   $0.02     $77.00
 25000   $0.02    $377.50
 50000   $0.01    $745.00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$0.65
    50   $0.06      $3.25
   100   $0.04      $3.90
  1000   $0.03     $29.00
 10000   $0.02    $220.00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$0.52
    25   $0.05      $1.15
    50   $0.04      $2.05
   100   $0.04      $3.50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£2.50
  1000   £0.02     £21.00
  2000   £0.02     £38.00
  5000   £0.02     £80.00
 10000   £0.02    £150.00</t>
        </r>
      </text>
    </comment>
    <comment ref="AV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£0.02      £1.07
   250   £0.01      £3.75
  1000   £0.01     £11.26
  4000   £0.01     £38.12
 12000   £0.01    £113.28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$1.78     $17.82
    25   $1.67     $41.81
    50   $1.60     $79.99
   100   $1.53    $152.71
   250   $1.38    $345.42
   500   $1.27    $636.30
  1300   $1.09  $1,418.04
  2600   $1.02  $2,647.01
  6500   $0.97  $6,286.67
  9100   $0.95  $8,602.78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10   $1.59     $15.90
    50   $1.59     $79.50
   100   $1.52    $152.00
  1000   $1.27  $1,270.00
 10000   $0.96  $9,570.00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$0.46      $4.64
    25   $0.42     $10.45
    50   $0.37     $18.58
   100   $0.36     $35.60
   250   $0.33     $81.27
   500   $0.31    $154.80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$0.45      $4.48
   100   $0.34     $34.36
   500   $0.30    $149.40
  1000   $0.25    $246.51
  5000   $0.22  $1,083.15
 10000   $0.20  $2,016.90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$0.63      $6.28
    25   $0.57     $14.13
    50   $0.50     $25.13
   100   $0.48     $48.16
   250   $0.44    $109.94
   500   $0.42    $209.40</t>
        </r>
      </text>
    </comment>
    <comment ref="P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$0.04    $353.20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£192.00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£168.00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$0.51
    50   $0.05      $2.55
   100   $0.02      $2.00
  1000   $0.01      $9.00
 10000   $0.00     $50.00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£345.00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$40.00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$60.00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$0.00      $5.00
 10000   $0.00     $40.00</t>
        </r>
      </text>
    </comment>
    <comment ref="AJ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135000   $0.00    $540.00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£0.45
   100   £0.02      £1.85
   150   £0.02      £2.78
   500   £0.01      £4.15
  2500   £0.01     £18.50
  7500   £0.01     £48.75
 15000   £0.01     £91.50
 75000   £0.01    £435.00</t>
        </r>
      </text>
    </comment>
    <comment ref="AB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$0.58
   500   $0.01      $4.50
  1500   $0.01     $12.75
  5000   $0.01     $40.00
 25000   $0.01    $195.00
 50000   $0.01    $385.00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50   $0.06      $2.90
   100   $0.02      $2.30
  1000   $0.01     $10.00
 10000   $0.01     $60.00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25   $0.05      $1.15
    50   $0.04      $1.75
   100   $0.02      $2.30
   250   $0.02      $5.00
   500   $0.02      $7.50
  1000   $0.01     $11.00
  2500   $0.01     $20.00
 15000   $0.02    $240.00</t>
        </r>
      </text>
    </comment>
    <comment ref="AQ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£1.55
    50   £0.15      £7.30
   100   £0.13     £13.30
   500   £0.12     £61.50</t>
        </r>
      </text>
    </comment>
    <comment ref="AB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$1.82
    30   $0.17      $5.15
   100   $0.16     $16.15
   500   $0.16     $78.50
  1000   $0.15    $154.80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50   $0.19      $9.70
   100   $0.17     $17.30
  1000   $0.12    $119.00
 10000   $0.12  $1,190.00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100   £0.14     £13.86
  1000   £0.10     £95.30
  3000   £0.08    £254.70
  8500   £0.08    £707.20</t>
        </r>
      </text>
    </comment>
    <comment ref="P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$1.01      $1.01
    10   $0.90      $9.01
    25   $0.85     $21.37
   100   $0.70     $70.21
   250   $0.66    $164.09
   500   $0.58    $290.02
  1000   $0.50    $504.00
  5000   $0.50  $2,520.00</t>
        </r>
      </text>
    </comment>
    <comment ref="U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£0.99      £0.99
     5   £1.09      £5.45
    10   £0.84      £8.35
   100   £0.57     £56.60
   500   £0.54    £268.00
  1000   £0.42    £417.00
  2500   £0.40  £1,010.00
  5000   £0.39  £1,940.00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$1.00      $1.00
    10   $0.90      $9.01
    50   $0.86     $42.75
   100   $0.70     $70.30
  1000   $0.46    $458.00
 10000   $0.40  $4,030.00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 5   $1.19      $5.95
    10   $1.01     $10.10
   100   $0.68     $68.40
   500   $0.65    $324.00
  1000   $0.50    $504.00
  2500   $0.49  $1,222.50
  5000   $0.39  $1,955.00
 10000   $0.39  $3,860.00
 20000   $0.38  $7,620.00
 30000   $0.38 $11,280.00
 40000   $0.37 $14,800.00
 50000   $0.36 $18,250.00
500000   $0.36 $180,000.00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$0.15    $450.45</t>
        </r>
      </text>
    </comment>
    <comment ref="U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£0.07    £223.80</t>
        </r>
      </text>
    </comment>
    <comment ref="AE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$4.28
    50   $0.43     $21.40
   100   $0.26     $26.40
  1000   $0.16    $164.00
 10000   $0.15  $1,500.00</t>
        </r>
      </text>
    </comment>
    <comment ref="AJ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$0.12    $357.00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$4.27
    25   $0.39      $9.78
   100   $0.29     $29.10
   250   $0.26     $65.94
   500   $0.22    $109.14
  1000   $0.16    $163.71
  3000   $0.15    $450.45</t>
        </r>
      </text>
    </comment>
    <comment ref="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£0.39      £1.96
    10   £0.26      £2.59
   100   £0.11     £11.20
   150   £0.11     £16.80
   500   £0.08     £41.90
  3000   £0.08    £241.50
  9000   £0.08    £696.60
 24000   £0.07  £1,778.40
 45000   £0.07  £3,190.50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$4.28
    50   $0.43     $21.40
   100   $0.26     $26.40
  1000   $0.16    $164.00
 10000   $0.13  $1,310.00</t>
        </r>
      </text>
    </comment>
    <comment ref="AL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$0.54      $2.69
    10   $0.40      $4.01
   100   $0.21     $20.60</t>
        </r>
      </text>
    </comment>
    <comment ref="AQ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£0.09    £270.00
  9000   £0.09    £801.00
 24000   £0.09  £2,112.00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$4.27
    25   $0.39      $9.78
   100   $0.29     $29.10
   250   $0.26     $65.94
   500   $0.22    $109.14
  1000   $0.16    $163.71
  3000   $0.15    $450.45</t>
        </r>
      </text>
    </comment>
    <comment ref="W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£0.51      £2.56
    10   £0.37      £3.73
   100   £0.18     £18.50
   150   £0.18     £27.75
   500   £0.12     £62.50
  3000   £0.10    £309.00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$4.28
    50   $0.43     $21.40
   100   $0.26     $26.40
  1000   $0.16    $164.00
 10000   $0.15  $1,500.00</t>
        </r>
      </text>
    </comment>
    <comment ref="AJ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$0.12    $372.00</t>
        </r>
      </text>
    </comment>
    <comment ref="P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$1.57     $15.66
    25   $1.52     $38.08
    50   $1.52     $75.77
   100   $1.35    $135.47
   250   $1.35    $337.68
   500   $1.33    $665.17
  1000   $1.27  $1,273.87
  5000   $1.19  $5,930.05</t>
        </r>
      </text>
    </comment>
    <comment ref="P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$3.63      $3.63
  5000   $3.50 $17,498.25</t>
        </r>
      </text>
    </comment>
    <comment ref="U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£3.61      £3.61
    10   £2.74     £27.40
    25   £2.69     £67.25
    50   £2.64    £132.00
   100   £2.59    £259.00</t>
        </r>
      </text>
    </comment>
    <comment ref="AE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$3.58      $3.58
    10   $3.22     $32.20
    50   $3.04    $152.00
   100   $2.64    $264.00
  1000   $2.59  $2,590.00
 10000   $2.54 $25,400.00</t>
        </r>
      </text>
    </comment>
    <comment ref="AJ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$3.53      $3.53
    10   $3.45     $34.50
  5000   $3.33 $16,650.00</t>
        </r>
      </text>
    </comment>
    <comment ref="R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$0.53      $5.27
    25   $0.49     $12.37
   100   $0.40     $40.39
   250   $0.38     $93.79
   500   $0.32    $159.64
  1000   $0.26    $263.55
  5000   $0.26  $1,317.75</t>
        </r>
      </text>
    </comment>
    <comment ref="W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£0.65      £0.65
    10   £0.51      £5.13
   100   £0.34     £34.30
   500   £0.29    £144.50
  1000   £0.22    £224.00</t>
        </r>
      </text>
    </comment>
    <comment ref="AB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$0.38      $3.82
    30   $0.36     $10.82
   100   $0.34     $33.91
   500   $0.33    $165.00
  1000   $0.32    $324.60</t>
        </r>
      </text>
    </comment>
    <comment ref="AG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$0.53      $5.27
    50   $0.53     $26.35
   100   $0.40     $40.40
  1000   $0.26    $256.00
 10000   $0.22  $2,180.00</t>
        </r>
      </text>
    </comment>
    <comment ref="AL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$0.69      $0.69
    10   $0.56      $5.55
   100   $0.36     $35.80
   500   $0.34    $170.50
  1000   $0.24    $240.00
  5000   $0.62  $3,085.00
 10000   $0.62  $6,160.00
 20000   $0.62 $12,320.00
 30000   $0.62 $18,450.00
 40000   $0.61 $24,560.00
 50000   $0.61 $30,650.00
500000   $0.61 $306,000.00</t>
        </r>
      </text>
    </comment>
    <comment ref="R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$1.99      $1.99
    10   $1.83     $18.28
  4000   $1.76  $7,054.32</t>
        </r>
      </text>
    </comment>
    <comment ref="W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£2.05      £2.05
    10   £1.56     £15.60
    50   £1.42     £71.00
   100   £1.28    £128.00
   250   £1.25    £312.50</t>
        </r>
      </text>
    </comment>
    <comment ref="AG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$2.00      $2.00
    10   $1.81     $18.10
    50   $1.70     $85.00
   100   $1.45    $145.00
  1000   $1.33  $1,330.00
 10000   $1.28 $12,800.00</t>
        </r>
      </text>
    </comment>
    <comment ref="AL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$2.14      $2.14
    10   $1.81     $18.10
    25   $1.64     $41.00
    50   $1.45     $72.50
   100   $1.28    $128.00</t>
        </r>
      </text>
    </comment>
    <comment ref="P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168  $13.46  $2,261.29</t>
        </r>
      </text>
    </comment>
    <comment ref="P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$2.39      $2.39
    25   $1.99     $49.75
   100   $1.81    $181.00</t>
        </r>
      </text>
    </comment>
    <comment ref="AE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$2.39      $2.39
    10   $2.39     $23.90
    50   $1.99     $99.50
   100   $1.81    $181.00
  1000   $1.81  $1,810.00
 10000   $1.81 $18,100.00</t>
        </r>
      </text>
    </comment>
    <comment ref="AJ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220   $1.81    $398.20</t>
        </r>
      </text>
    </comment>
    <comment ref="R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$0.64      $6.40
    25   $0.60     $15.03
   100   $0.49     $49.05
   250   $0.46    $113.90
   500   $0.39    $193.87
  1000   $0.32    $320.08
  3000   $0.32    $960.21</t>
        </r>
      </text>
    </comment>
    <comment ref="U4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4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£0.80      £3.98
    10   £0.65      £6.50
   100   £0.40     £39.80
   150   £0.40     £59.70
   500   £0.28    £140.00
  3000   £0.27    £804.00</t>
        </r>
      </text>
    </comment>
    <comment ref="AB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$0.43      $4.31
    30   $0.42     $12.71
   100   $0.41     $41.48
   500   $0.41    $207.40</t>
        </r>
      </text>
    </comment>
    <comment ref="AG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$0.64      $6.40
    50   $0.64     $32.00
   100   $0.49     $49.10
  1000   $0.31    $311.00
 10000   $0.26  $2,560.00</t>
        </r>
      </text>
    </comment>
    <comment ref="AJ4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$0.85      $4.25
    10   $0.71      $7.10
   100   $0.46     $45.80
  3000   $0.24    $714.00
  9000   $0.23  $2,097.00
 24000   $0.22  $5,184.00
 45000   $0.21  $9,450.00</t>
        </r>
      </text>
    </comment>
    <comment ref="R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$0.78      $7.82
    25   $0.74     $18.55
   100   $0.61     $60.95
   250   $0.57    $142.44
   500   $0.50    $251.75
  1000   $0.44    $437.50
  3000   $0.44  $1,312.50</t>
        </r>
      </text>
    </comment>
    <comment ref="U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£0.25    £750.00</t>
        </r>
      </text>
    </comment>
    <comment ref="AG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$0.78      $7.82
    50   $0.74     $37.10
   100   $0.61     $61.00
  1000   $0.40    $398.00
 10000   $0.35  $3,490.00</t>
        </r>
      </text>
    </comment>
    <comment ref="AJ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$0.34  $1,020.00
  6000   $0.34  $2,010.00
 12000   $0.33  $3,960.00
 18000   $0.33  $5,868.00
 24000   $0.32  $7,728.00
 30000   $0.32  $9,510.00
300000   $0.31 $93,900.00</t>
        </r>
      </text>
    </comment>
    <comment ref="R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 5   $1.45      $7.25
    10   $1.43     $14.28
    25   $1.39     $34.65
    50   $1.34     $67.20
   100   $1.30    $130.20
   250   $1.26    $315.00
   500   $1.18    $588.00
  3000   $1.18  $3,528.00</t>
        </r>
      </text>
    </comment>
    <comment ref="W4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£1.09     £10.90
    25   £1.06     £26.50
    50   £1.02     £51.00
   100   £0.99     £99.00</t>
        </r>
      </text>
    </comment>
    <comment ref="AG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50   $1.34     $67.00
   100   $1.30    $130.00
  1000   $1.15  $1,150.00
 10000   $1.15 $11,500.00</t>
        </r>
      </text>
    </comment>
    <comment ref="AL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25   $1.39     $34.75
    50   $1.34     $67.00
   100   $1.30    $130.00</t>
        </r>
      </text>
    </comment>
    <comment ref="R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 5   $1.45      $7.25
    10   $1.43     $14.28
    25   $1.39     $34.65
    50   $1.34     $67.20
   100   $1.30    $130.20
   250   $1.26    $315.00
   500   $1.18    $588.00
  3000   $1.18  $3,528.00</t>
        </r>
      </text>
    </comment>
    <comment ref="W5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£1.09     £10.90
    25   £1.06     £26.50
    50   £1.02     £51.00
   100   £0.99     £99.00</t>
        </r>
      </text>
    </comment>
    <comment ref="AG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50   $1.34     $67.00
   100   $1.30    $130.00
  1000   $1.18  $1,180.00
 10000   $1.18 $11,800.00</t>
        </r>
      </text>
    </comment>
    <comment ref="AL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25   $1.39     $34.75
    50   $1.34     $67.00
   100   $1.30    $130.00</t>
        </r>
      </text>
    </comment>
    <comment ref="P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I5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5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54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<sst xmlns="http://schemas.openxmlformats.org/spreadsheetml/2006/main" count="789" uniqueCount="420">
  <si>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</si>
  <si>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</si>
  <si>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</si>
  <si>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</si>
  <si>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</si>
  <si>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</si>
  <si>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</si>
  <si>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</si>
  <si>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</si>
  <si>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</si>
  <si>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</si>
  <si>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C11,C15,C17,C22,C23,C25-C28,C30,C31,C44,C45,C48,C49,C52-C57,C59-C61,C64,C65</t>
  </si>
  <si>
    <t>0.1uF</t>
  </si>
  <si>
    <t>CAP CER 0.22uF 6.3V 20% X5R 0201</t>
  </si>
  <si>
    <t>C_0201_0603Metric</t>
  </si>
  <si>
    <t>Murata</t>
  </si>
  <si>
    <t>GRM033R60J224KE15D</t>
  </si>
  <si>
    <t>C11,C15,C17,C22,C23,C25-C28,C30,C31,C44,C45,C48,C49,C52-C57,C59,C64,C65: 3.3V DC DERATED TO 0.1uF
C60: 1.2V DC DERATED TO 0.1uF
C61: 1.5V DC VAG DERATED TO 0.1uF</t>
  </si>
  <si>
    <t>C12,C13,C18,C19</t>
  </si>
  <si>
    <t>1uF</t>
  </si>
  <si>
    <t>CAP CER 2.2uF 16V 10% X6S 0402</t>
  </si>
  <si>
    <t>C_0402_1005Metric</t>
  </si>
  <si>
    <t>GRM155C81C225KE11D</t>
  </si>
  <si>
    <t>5V DC DERATED TO 1uF</t>
  </si>
  <si>
    <t>C32,C33</t>
  </si>
  <si>
    <t>4.7uF</t>
  </si>
  <si>
    <t>CAP CER 22uF 10V 20% X5R 0603</t>
  </si>
  <si>
    <t>C_0603_1608Metric</t>
  </si>
  <si>
    <t>GRM187R61A226ME15D</t>
  </si>
  <si>
    <t>5V DC DERATED TO 4.7uF</t>
  </si>
  <si>
    <t>C34</t>
  </si>
  <si>
    <t>10uF</t>
  </si>
  <si>
    <t>3.3V DC DERATED TO 10uF</t>
  </si>
  <si>
    <t>C35</t>
  </si>
  <si>
    <t>GRT188R61A226ME13D</t>
  </si>
  <si>
    <t>1.2V DC DERATED TO 10uF</t>
  </si>
  <si>
    <t>C39,C62,C63,C66,C67</t>
  </si>
  <si>
    <t>CAP CER 1uF 6.3V 20% X6S 0201</t>
  </si>
  <si>
    <t>GRM033C80J105ME05D</t>
  </si>
  <si>
    <t>C62,C63,C66,C67: 1.5V DC AUDIO
C39: 1.2V DC</t>
  </si>
  <si>
    <t>C1-C6</t>
  </si>
  <si>
    <t>100nF</t>
  </si>
  <si>
    <t>CAP CER 100nF 6.3V 10% X5R 0201</t>
  </si>
  <si>
    <t>C7-C10,C14,C16,C20,C21,C24,C29,C36-C38,C40-C43,C46,C47,C50,C51,C58</t>
  </si>
  <si>
    <t>CAP CER 4.7uF 6.3V 20% X5R 0201</t>
  </si>
  <si>
    <t>GRM035R60J475ME15D</t>
  </si>
  <si>
    <t>C7-C10,C14,C16,C20,C21,C24,C29,C36-C38,C42,C43,C46,C47,C50,C51,C58: 3.3V DC DERATED TO 1uF
C40: 2.5V DC DERATED TO 1uF
C41: 3.0V DC DERATED TO 1uF</t>
  </si>
  <si>
    <t>D1</t>
  </si>
  <si>
    <t>NSPU3051</t>
  </si>
  <si>
    <t>DIODE ESD VRWM 5.5V 0201</t>
  </si>
  <si>
    <t>CASE714AB_1.0x0.6mm</t>
  </si>
  <si>
    <t>ON Semiconductor</t>
  </si>
  <si>
    <t>NSPU3051N2T5G</t>
  </si>
  <si>
    <t>D2</t>
  </si>
  <si>
    <t>VESD05A6-HAF</t>
  </si>
  <si>
    <t>IC ESD ARRAY VRWM 5V LLP75-7L</t>
  </si>
  <si>
    <t>LLP75-7L</t>
  </si>
  <si>
    <t>Vishay</t>
  </si>
  <si>
    <t>VESD05A6-HAF-GS08</t>
  </si>
  <si>
    <t>D3</t>
  </si>
  <si>
    <t>D3V3F8U9LP3810</t>
  </si>
  <si>
    <t>IC ESD ARRAY VRWM 3.3V U-DFN3810-09</t>
  </si>
  <si>
    <t>U-DFN3810-9</t>
  </si>
  <si>
    <t>Diodes</t>
  </si>
  <si>
    <t>D3V3F8U9LP3810-7</t>
  </si>
  <si>
    <t>D4</t>
  </si>
  <si>
    <t>PMEG2020EPK</t>
  </si>
  <si>
    <t>DIODE SCHOTTKY 20V 2A LOW VF SOD1608</t>
  </si>
  <si>
    <t>SOD-1608</t>
  </si>
  <si>
    <t>Nexperia</t>
  </si>
  <si>
    <t>PMEG2020EPK,315</t>
  </si>
  <si>
    <t>D5</t>
  </si>
  <si>
    <t>SMD-LX0707RGB-TR</t>
  </si>
  <si>
    <t>IC LED RGB 0707</t>
  </si>
  <si>
    <t>Lumex</t>
  </si>
  <si>
    <t>REPLACEMENT PARTS: Everlight 19-C47/RSGHBHC-5V01/2T, Everlight EAST1818RGBICA0</t>
  </si>
  <si>
    <t>FB1-FB4</t>
  </si>
  <si>
    <t>BLM18KG601SN1</t>
  </si>
  <si>
    <t>FERRITE BEAD 600Ω 1.3A 0603</t>
  </si>
  <si>
    <t>L_0603_1608Metric</t>
  </si>
  <si>
    <t>BLM18KG601SN1D</t>
  </si>
  <si>
    <t>J1</t>
  </si>
  <si>
    <t>USB_C_Receptacle</t>
  </si>
  <si>
    <t>CONN USB-C</t>
  </si>
  <si>
    <t>USB_C_Receptacle_JAE_DX07S024JA1</t>
  </si>
  <si>
    <t>JAE</t>
  </si>
  <si>
    <t>DX07S024JA1R1300</t>
  </si>
  <si>
    <t>J2,J6</t>
  </si>
  <si>
    <t>Conn_01x20</t>
  </si>
  <si>
    <t>CONN HEADER 20 POS .100" GOLD MATING 5.84mm TAIL 3.05mm</t>
  </si>
  <si>
    <t>PinHeader_1x20_P2.54mm_Vertical</t>
  </si>
  <si>
    <t>Sullins</t>
  </si>
  <si>
    <t>PRPC020SAAN-RC</t>
  </si>
  <si>
    <t>J7</t>
  </si>
  <si>
    <t>Conn_02x05_Odd_Even</t>
  </si>
  <si>
    <t>CONN HEADER 2x3 POS .050" GOLD</t>
  </si>
  <si>
    <t>PinHeader_2x03_P1.27mm_Vertical</t>
  </si>
  <si>
    <t>GRPB032VWVN-RC</t>
  </si>
  <si>
    <t>J3-J5</t>
  </si>
  <si>
    <t>CONN HEADER 20 POS .100" GOLD MATING 5.84mm TAIL 8.13mm</t>
  </si>
  <si>
    <t>PinHeader_1x20_P2.54mm_Vertical_LongTail</t>
  </si>
  <si>
    <t>PRPC020SACN-RC</t>
  </si>
  <si>
    <t>Q1</t>
  </si>
  <si>
    <t>PDTA143ZMB</t>
  </si>
  <si>
    <t>TRANSISTOR PNP RET R1=4.7kΩ R2=47kΩ 100mA SOT883B</t>
  </si>
  <si>
    <t>SOT-883</t>
  </si>
  <si>
    <t>PDTA143ZMB,315</t>
  </si>
  <si>
    <t>R1</t>
  </si>
  <si>
    <t>1.5k</t>
  </si>
  <si>
    <t>RES 1.5kΩ 50mW 5% 0201</t>
  </si>
  <si>
    <t>R_0201_0603Metric</t>
  </si>
  <si>
    <t>Panasonic</t>
  </si>
  <si>
    <t>ERJ-1GNJ152C</t>
  </si>
  <si>
    <t>R13,R14</t>
  </si>
  <si>
    <t>2.2k</t>
  </si>
  <si>
    <t>RES 2.2kΩ 50mW 5% 0201</t>
  </si>
  <si>
    <t>ERJ-1GNJ222C</t>
  </si>
  <si>
    <t>R15</t>
  </si>
  <si>
    <t>453</t>
  </si>
  <si>
    <t>RES 453Ω 50mW 1% 0201</t>
  </si>
  <si>
    <t>ERJ-1GNF4530C</t>
  </si>
  <si>
    <t>R16,R17,R19,R21,R22</t>
  </si>
  <si>
    <t>4.7k</t>
  </si>
  <si>
    <t>RES 4.7kΩ 50mW 5% 0201</t>
  </si>
  <si>
    <t>ERJ-1GNJ472C</t>
  </si>
  <si>
    <t>R18</t>
  </si>
  <si>
    <t>1k</t>
  </si>
  <si>
    <t>RES 1kΩ 50mW 5% 0201</t>
  </si>
  <si>
    <t>ERJ-1GNJ102C</t>
  </si>
  <si>
    <t>R2,R3,R20</t>
  </si>
  <si>
    <t>22</t>
  </si>
  <si>
    <t>RES 22Ω 50mW 5% 0201</t>
  </si>
  <si>
    <t>ERJ-1GNJ220C</t>
  </si>
  <si>
    <t>R4,R5</t>
  </si>
  <si>
    <t>100k</t>
  </si>
  <si>
    <t>RES 100kΩ 50mW 5% 0201</t>
  </si>
  <si>
    <t>ERJ-1GNJ104C</t>
  </si>
  <si>
    <t>R10-R12</t>
  </si>
  <si>
    <t>100</t>
  </si>
  <si>
    <t>RES 100Ω 50mW 1% 0201</t>
  </si>
  <si>
    <t>ERJ-1GNF1000C</t>
  </si>
  <si>
    <t>R6-R9</t>
  </si>
  <si>
    <t>10k</t>
  </si>
  <si>
    <t>RES 10kΩ 50mW 5% 0201</t>
  </si>
  <si>
    <t>ERJ-1GNJ103C</t>
  </si>
  <si>
    <t>SW1</t>
  </si>
  <si>
    <t>KXT331LHS</t>
  </si>
  <si>
    <t>SW TACT 3.0 x 2.0 mm</t>
  </si>
  <si>
    <t>SW_SPST_CK_KXT3</t>
  </si>
  <si>
    <t>C&amp;K</t>
  </si>
  <si>
    <t>U1</t>
  </si>
  <si>
    <t>FUSB340</t>
  </si>
  <si>
    <t>IC USB SWITCH X2QFN-18</t>
  </si>
  <si>
    <t>CASE722AB_2.0x2.8mm_P0.4mm</t>
  </si>
  <si>
    <t>FUSB340TMX</t>
  </si>
  <si>
    <t>U10</t>
  </si>
  <si>
    <t>NCP163AMX120TBG</t>
  </si>
  <si>
    <t>IC REG LDO 1.2V 250mA XDFN4</t>
  </si>
  <si>
    <t>CASE711AJ_1.0x1.0mm_P0.65mm</t>
  </si>
  <si>
    <t>REPLACEMENT PART: NCV8163AMX120TBG</t>
  </si>
  <si>
    <t>U11</t>
  </si>
  <si>
    <t>NCP163AMX250TBG</t>
  </si>
  <si>
    <t>IC REG LDO 2.5V 250mA XDFN4</t>
  </si>
  <si>
    <t>REPLACEMENT PART: NCV8163AMX250TBG</t>
  </si>
  <si>
    <t>U12</t>
  </si>
  <si>
    <t>NCP163AMX300TBG</t>
  </si>
  <si>
    <t>IC REG LDO 3.0V 250mA XDFN4</t>
  </si>
  <si>
    <t>REPLACEMENT PART: NCV8163AMX300TBG</t>
  </si>
  <si>
    <t>U17</t>
  </si>
  <si>
    <t>W957A8MFYA5I</t>
  </si>
  <si>
    <t>IC HYPERRAM 128MBit TFBGA-24</t>
  </si>
  <si>
    <t>TFBGA-24_6.0x8.0mm_P1mm</t>
  </si>
  <si>
    <t>Winbond</t>
  </si>
  <si>
    <t>U18</t>
  </si>
  <si>
    <t>W25Q128JVPIM</t>
  </si>
  <si>
    <t>IC FLASH 128Mbit WSON-8</t>
  </si>
  <si>
    <t>WSON-8-1EP_6x5mm_P1.27mm_EP3.4x4.3mm</t>
  </si>
  <si>
    <t>U19</t>
  </si>
  <si>
    <t>SGTL5000XNLA3</t>
  </si>
  <si>
    <t>IC AUDIO CODEC UQFN-20</t>
  </si>
  <si>
    <t>QFN-20-1EP_3x3mm_P0.4mm_EP1.65x1.65mm</t>
  </si>
  <si>
    <t>NXP</t>
  </si>
  <si>
    <t>SGTL5000XNLA3R2</t>
  </si>
  <si>
    <t>U2</t>
  </si>
  <si>
    <t>FSUSB42UMX</t>
  </si>
  <si>
    <t>IC USB SWITCH UMLP-10</t>
  </si>
  <si>
    <t>CASE523BC_1.4x1.8_P0.4mm</t>
  </si>
  <si>
    <t>U3</t>
  </si>
  <si>
    <t>PTN5110DHQ</t>
  </si>
  <si>
    <t>IC USB PD TCPC PHY SOT1883-1</t>
  </si>
  <si>
    <t>SOT-1883-1</t>
  </si>
  <si>
    <t>PTN5110DHQZ</t>
  </si>
  <si>
    <t>U4</t>
  </si>
  <si>
    <t>LFE5UM5G-25F-8MG285C</t>
  </si>
  <si>
    <t>IC FPGA csfBGA-285</t>
  </si>
  <si>
    <t>BGA-285_10x10mm_P0.5mm</t>
  </si>
  <si>
    <t>Lattice</t>
  </si>
  <si>
    <t>U5</t>
  </si>
  <si>
    <t>DSC1103CE2-135.0000</t>
  </si>
  <si>
    <t>IC OSC LVDS VDFN-6</t>
  </si>
  <si>
    <t>Oscillator_SMD_3225-6Pin_3.2x2.5mm</t>
  </si>
  <si>
    <t>Microchip</t>
  </si>
  <si>
    <t>U6</t>
  </si>
  <si>
    <t>FPF1048</t>
  </si>
  <si>
    <t>IC LOAD SWITCH 3A WLCSP-6</t>
  </si>
  <si>
    <t>CASE567RM_1.46x0.96mm_P0.5mm</t>
  </si>
  <si>
    <t>FPF1048BUCX</t>
  </si>
  <si>
    <t>U7</t>
  </si>
  <si>
    <t>FPF2195</t>
  </si>
  <si>
    <t>IC LOAD SWITCH ADJ CUR LIM WLCSP-6</t>
  </si>
  <si>
    <t>CASE567RN_1.48x0.98mm_P0.5mm</t>
  </si>
  <si>
    <t>FPF2195BUCX</t>
  </si>
  <si>
    <t>U8</t>
  </si>
  <si>
    <t>MYRGP330100W21RA</t>
  </si>
  <si>
    <t>IC REG BUCK 3.3V 1A 2x2.5mm</t>
  </si>
  <si>
    <t>MYRGP-2.0x2.5mm</t>
  </si>
  <si>
    <t>U9</t>
  </si>
  <si>
    <t>MYRGP120100W21RA</t>
  </si>
  <si>
    <t>IC REG BUCK 1.2V 1A 2x2.5mm</t>
  </si>
  <si>
    <t>U13-U16</t>
  </si>
  <si>
    <t>SN74CBTD16211DGVR</t>
  </si>
  <si>
    <t>IC BUS SWITCH WITH LEVEL SHIFTER TVSOP-56</t>
  </si>
  <si>
    <t>Texas_TVSOP-56_4.4x11.3mm_P0.4mm</t>
  </si>
  <si>
    <t>TI</t>
  </si>
  <si>
    <t>Total Purchase:</t>
  </si>
  <si>
    <t>Purchase description:</t>
  </si>
  <si>
    <t>Used currency rates:</t>
  </si>
  <si>
    <t>USD($)/GBP(£):</t>
  </si>
  <si>
    <t>Prj:</t>
  </si>
  <si>
    <t>reDIP 64</t>
  </si>
  <si>
    <t>Co.:</t>
  </si>
  <si>
    <t>Nimrod</t>
  </si>
  <si>
    <t>Prj date:</t>
  </si>
  <si>
    <t>lø. 12. juni 2021 kl. 08.28 +0200</t>
  </si>
  <si>
    <t>Board Qty:</t>
  </si>
  <si>
    <t>Total Cost:</t>
  </si>
  <si>
    <t>Unit Cost:</t>
  </si>
  <si>
    <t>$ date:</t>
  </si>
  <si>
    <t>2021-06-12 08:28:45</t>
  </si>
  <si>
    <t>Arrow</t>
  </si>
  <si>
    <t>Avail</t>
  </si>
  <si>
    <t>Purch</t>
  </si>
  <si>
    <t>Cat#</t>
  </si>
  <si>
    <t>Buy here</t>
  </si>
  <si>
    <t>Digi-Key</t>
  </si>
  <si>
    <t>490-10406-1-ND</t>
  </si>
  <si>
    <t>490-14595-1-ND</t>
  </si>
  <si>
    <t>NonStk</t>
  </si>
  <si>
    <t>490-13243-1-ND</t>
  </si>
  <si>
    <t>490-GRT188R61A226ME13DCT-ND</t>
  </si>
  <si>
    <t>490-13218-1-ND</t>
  </si>
  <si>
    <t>490-13230-1-ND</t>
  </si>
  <si>
    <t>NSPU3051N2T5GOSCT-ND</t>
  </si>
  <si>
    <t>VESD05A6-HAF-GS08GICT-ND</t>
  </si>
  <si>
    <t>D3V3F8U9LP3810-7DICT-ND</t>
  </si>
  <si>
    <t>1727-1338-1-ND</t>
  </si>
  <si>
    <t>67-2331-1-ND</t>
  </si>
  <si>
    <t>490-5258-1-ND</t>
  </si>
  <si>
    <t>670-3104-1-ND</t>
  </si>
  <si>
    <t>S1011EC-20-ND</t>
  </si>
  <si>
    <t>S9015E-03-ND</t>
  </si>
  <si>
    <t>S1131EC-20-ND</t>
  </si>
  <si>
    <t>PDTA143ZMB,315-ND</t>
  </si>
  <si>
    <t>P123246CT-ND</t>
  </si>
  <si>
    <t>P123277CT-ND</t>
  </si>
  <si>
    <t>P123020CT-ND</t>
  </si>
  <si>
    <t>P4.7AECT-ND</t>
  </si>
  <si>
    <t>P123221CT-ND</t>
  </si>
  <si>
    <t>P123275CT-ND</t>
  </si>
  <si>
    <t>P123223CT-ND</t>
  </si>
  <si>
    <t>P122654CT-ND</t>
  </si>
  <si>
    <t>P123222CT-ND</t>
  </si>
  <si>
    <t>CKN10779CT-ND</t>
  </si>
  <si>
    <t>FUSB340TMXCT-ND</t>
  </si>
  <si>
    <t>NCP163AMX120TBG-ND</t>
  </si>
  <si>
    <t>NCP163AMX250TBGOSCT-ND</t>
  </si>
  <si>
    <t>NCP163AMX300TBGOSCT-ND</t>
  </si>
  <si>
    <t>W25Q128JVPIM-ND</t>
  </si>
  <si>
    <t>568-13255-1-ND</t>
  </si>
  <si>
    <t>FSUSB42UMXCT-ND</t>
  </si>
  <si>
    <t>568-13794-1-ND</t>
  </si>
  <si>
    <t>LFE5UM5G-25F-8MG285C-ND</t>
  </si>
  <si>
    <t>DSC1103CE2-135.0000-ND</t>
  </si>
  <si>
    <t>FPF1048BUCXCT-ND</t>
  </si>
  <si>
    <t>FPF2195BUCXCT-ND</t>
  </si>
  <si>
    <t>811-MYRGP330100W21RACT-ND</t>
  </si>
  <si>
    <t>811-MYRGP120100W21RACT-ND</t>
  </si>
  <si>
    <t>296-6475-2-ND</t>
  </si>
  <si>
    <t>Farnell</t>
  </si>
  <si>
    <t>2990684</t>
  </si>
  <si>
    <t>3581345</t>
  </si>
  <si>
    <t>3582824</t>
  </si>
  <si>
    <t>3581437</t>
  </si>
  <si>
    <t>3582762</t>
  </si>
  <si>
    <t>3238402</t>
  </si>
  <si>
    <t>3003765</t>
  </si>
  <si>
    <t>2191802</t>
  </si>
  <si>
    <t>3216559</t>
  </si>
  <si>
    <t>1781094</t>
  </si>
  <si>
    <t>3303177</t>
  </si>
  <si>
    <t>3303211</t>
  </si>
  <si>
    <t>3302968</t>
  </si>
  <si>
    <t>2799512</t>
  </si>
  <si>
    <t>3303149</t>
  </si>
  <si>
    <t>3303209</t>
  </si>
  <si>
    <t>3303151</t>
  </si>
  <si>
    <t>2302309</t>
  </si>
  <si>
    <t>3303150</t>
  </si>
  <si>
    <t>3023200</t>
  </si>
  <si>
    <t>3360109</t>
  </si>
  <si>
    <t>3611550</t>
  </si>
  <si>
    <t>2981154</t>
  </si>
  <si>
    <t>2723813</t>
  </si>
  <si>
    <t>2776032</t>
  </si>
  <si>
    <t>1495467</t>
  </si>
  <si>
    <t>3128656</t>
  </si>
  <si>
    <t>3368519</t>
  </si>
  <si>
    <t>3613473</t>
  </si>
  <si>
    <t>3407155</t>
  </si>
  <si>
    <t>3407149</t>
  </si>
  <si>
    <t>LCSC</t>
  </si>
  <si>
    <t>C76931</t>
  </si>
  <si>
    <t>C437523</t>
  </si>
  <si>
    <t>C126630</t>
  </si>
  <si>
    <t>C335103</t>
  </si>
  <si>
    <t>C85833</t>
  </si>
  <si>
    <t>C717011</t>
  </si>
  <si>
    <t>C713501</t>
  </si>
  <si>
    <t>C717000</t>
  </si>
  <si>
    <t>C242159</t>
  </si>
  <si>
    <t>C221822</t>
  </si>
  <si>
    <t>C11145</t>
  </si>
  <si>
    <t>C479722</t>
  </si>
  <si>
    <t>C2683750</t>
  </si>
  <si>
    <t>Mouser</t>
  </si>
  <si>
    <t>81GRM33R60J224KE15D</t>
  </si>
  <si>
    <t>81GRM155C81C225KE1D</t>
  </si>
  <si>
    <t>81GRM187R61A226ME5D</t>
  </si>
  <si>
    <t>81GRT188R61A226ME13</t>
  </si>
  <si>
    <t>81GRM033C80J105ME5D</t>
  </si>
  <si>
    <t>81GRM035R60J475ME5D</t>
  </si>
  <si>
    <t>863NSPU3051N2T5G</t>
  </si>
  <si>
    <t>78VESD05A6HAF</t>
  </si>
  <si>
    <t>621D3V3F8U9LP38107</t>
  </si>
  <si>
    <t>771PMEG2020EPK,315</t>
  </si>
  <si>
    <t>696SMDLX0707RGBTR</t>
  </si>
  <si>
    <t>81BLM18KG601SN1D</t>
  </si>
  <si>
    <t>656DX07S024JA1R1300</t>
  </si>
  <si>
    <t>771PDTA143ZMB315</t>
  </si>
  <si>
    <t>667ERJ1GNJ152C</t>
  </si>
  <si>
    <t>667ERJ1GNJ222C</t>
  </si>
  <si>
    <t>667ERJ1GNF4530C</t>
  </si>
  <si>
    <t>667ERJ1GNJ472C</t>
  </si>
  <si>
    <t>667ERJ1GNJ102C</t>
  </si>
  <si>
    <t>667ERJ1GNJ220C</t>
  </si>
  <si>
    <t>667ERJ1GNJ104C</t>
  </si>
  <si>
    <t>667ERJ1GNF1000C</t>
  </si>
  <si>
    <t>667ERJ1GNJ103C</t>
  </si>
  <si>
    <t>611KXT331LHS</t>
  </si>
  <si>
    <t>512FUSB340TMX</t>
  </si>
  <si>
    <t>863NCP163AMX120TBG</t>
  </si>
  <si>
    <t>863NCP163AMX250TBG</t>
  </si>
  <si>
    <t>863NCP163AMX300TBG</t>
  </si>
  <si>
    <t>841SGTL5000XNLA3R2</t>
  </si>
  <si>
    <t>512FSUSB42UMX</t>
  </si>
  <si>
    <t>771PTN5110DHQZ</t>
  </si>
  <si>
    <t>9981103CE2135.0000</t>
  </si>
  <si>
    <t>512FPF1048BUCX</t>
  </si>
  <si>
    <t>512FPF2195BUCX</t>
  </si>
  <si>
    <t>81MYRGP330100W21RA</t>
  </si>
  <si>
    <t>81MYRGP120100W21RA</t>
  </si>
  <si>
    <t>59574CBTD16211DGVR</t>
  </si>
  <si>
    <t>Newark</t>
  </si>
  <si>
    <t>94AC8892</t>
  </si>
  <si>
    <t>92AH5000</t>
  </si>
  <si>
    <t>03AJ1608</t>
  </si>
  <si>
    <t>92AH5257</t>
  </si>
  <si>
    <t>03AJ1531</t>
  </si>
  <si>
    <t>34AH0743</t>
  </si>
  <si>
    <t>07AH4421</t>
  </si>
  <si>
    <t>16AC0467</t>
  </si>
  <si>
    <t>55W4408</t>
  </si>
  <si>
    <t>02AH5948</t>
  </si>
  <si>
    <t>55R1514</t>
  </si>
  <si>
    <t>51W5799</t>
  </si>
  <si>
    <t>51W5827</t>
  </si>
  <si>
    <t>23AC4813</t>
  </si>
  <si>
    <t>51W5774</t>
  </si>
  <si>
    <t>51W5825</t>
  </si>
  <si>
    <t>80AH4125</t>
  </si>
  <si>
    <t>85Y7482</t>
  </si>
  <si>
    <t>23AC4811</t>
  </si>
  <si>
    <t>39AH6821</t>
  </si>
  <si>
    <t>24AC8637</t>
  </si>
  <si>
    <t>65AC4909</t>
  </si>
  <si>
    <t>84AC7226</t>
  </si>
  <si>
    <t>31AC0455</t>
  </si>
  <si>
    <t>31AC6932</t>
  </si>
  <si>
    <t>61M6437</t>
  </si>
  <si>
    <t>07AH4580</t>
  </si>
  <si>
    <t>70Y7842</t>
  </si>
  <si>
    <t>54AH8732</t>
  </si>
  <si>
    <t>79AH2571</t>
  </si>
  <si>
    <t>69AH8892</t>
  </si>
  <si>
    <t>69AH8886</t>
  </si>
  <si>
    <t>RS Components</t>
  </si>
  <si>
    <t>1851581</t>
  </si>
  <si>
    <t>1807476</t>
  </si>
  <si>
    <t>1826845</t>
  </si>
  <si>
    <t>7474720</t>
  </si>
  <si>
    <t>1797106</t>
  </si>
  <si>
    <t>1797111</t>
  </si>
  <si>
    <t>1797118</t>
  </si>
  <si>
    <t>1797104</t>
  </si>
  <si>
    <t>1797080</t>
  </si>
  <si>
    <t>1858067</t>
  </si>
  <si>
    <t>TME</t>
  </si>
  <si>
    <t>SMDLX0707RGBTR</t>
  </si>
  <si>
    <t>KXT331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</si>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</sst>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033R60J224KE15D" TargetMode="External"/><Relationship Id="rId2" Type="http://schemas.openxmlformats.org/officeDocument/2006/relationships/hyperlink" Target="https://octopart.com/click/track?ai=8078&amp;sig=0492ec2&amp;sid=459&amp;ppid=51454422&amp;vpid=172161550&amp;ct=offers" TargetMode="External"/><Relationship Id="rId3" Type="http://schemas.openxmlformats.org/officeDocument/2006/relationships/hyperlink" Target="https://octopart.com/click/track?ai=8078&amp;sig=0efc20f&amp;sid=819&amp;ppid=51454422&amp;vpid=528007216&amp;ct=offers" TargetMode="External"/><Relationship Id="rId4" Type="http://schemas.openxmlformats.org/officeDocument/2006/relationships/hyperlink" Target="https://octopart.com/click/track?ai=8078&amp;sig=0f2788c&amp;sid=27971&amp;ppid=51454422&amp;vpid=445986847&amp;ct=offers" TargetMode="External"/><Relationship Id="rId5" Type="http://schemas.openxmlformats.org/officeDocument/2006/relationships/hyperlink" Target="https://octopart.com/click/track?ai=8078&amp;sig=0207666&amp;sid=2401&amp;ppid=51454422&amp;vpid=178169497&amp;ct=offers" TargetMode="External"/><Relationship Id="rId6" Type="http://schemas.openxmlformats.org/officeDocument/2006/relationships/hyperlink" Target="https://octopart.com/click/track?ai=8078&amp;sig=0d37eed&amp;sid=2402&amp;ppid=51454422&amp;vpid=529126546&amp;ct=offers" TargetMode="External"/><Relationship Id="rId7" Type="http://schemas.openxmlformats.org/officeDocument/2006/relationships/hyperlink" Target="https://octopart.com/click/track?ai=8078&amp;sig=0eaea66&amp;sid=10022&amp;ppid=51454422&amp;vpid=562632808&amp;ct=offers" TargetMode="External"/><Relationship Id="rId8" Type="http://schemas.openxmlformats.org/officeDocument/2006/relationships/hyperlink" Target="https://www.murata.com/products/productdetail.aspx?partno=GRM155C81C225KE11D" TargetMode="External"/><Relationship Id="rId9" Type="http://schemas.openxmlformats.org/officeDocument/2006/relationships/hyperlink" Target="https://octopart.com/click/track?c=1&amp;ai=8078&amp;sig=0de3de3&amp;sid=459&amp;ppid=46692789&amp;vpid=410305221&amp;ct=offers" TargetMode="External"/><Relationship Id="rId10" Type="http://schemas.openxmlformats.org/officeDocument/2006/relationships/hyperlink" Target="https://octopart.com/click/track?ai=8078&amp;sig=0d9d05a&amp;sid=819&amp;ppid=46692789&amp;vpid=666721052&amp;ct=offers" TargetMode="External"/><Relationship Id="rId11" Type="http://schemas.openxmlformats.org/officeDocument/2006/relationships/hyperlink" Target="https://octopart.com/click/track?ai=8078&amp;sig=005ea9f&amp;sid=27971&amp;ppid=46692789&amp;vpid=666930444&amp;ct=offers" TargetMode="External"/><Relationship Id="rId12" Type="http://schemas.openxmlformats.org/officeDocument/2006/relationships/hyperlink" Target="https://octopart.com/click/track?c=1&amp;ai=8078&amp;sig=06521e3&amp;sid=2401&amp;ppid=46692789&amp;vpid=230758256&amp;ct=offers" TargetMode="External"/><Relationship Id="rId13" Type="http://schemas.openxmlformats.org/officeDocument/2006/relationships/hyperlink" Target="https://octopart.com/click/track?ai=8078&amp;sig=0849c23&amp;sid=2402&amp;ppid=46692789&amp;vpid=669036303&amp;ct=offers" TargetMode="External"/><Relationship Id="rId14" Type="http://schemas.openxmlformats.org/officeDocument/2006/relationships/hyperlink" Target="https://www.murata.com/products/productdetail?partno=GRM187R61A226ME15%23" TargetMode="External"/><Relationship Id="rId15" Type="http://schemas.openxmlformats.org/officeDocument/2006/relationships/hyperlink" Target="https://octopart.com/click/track?ai=8078&amp;sig=0078d42&amp;sid=459&amp;ppid=71221003&amp;vpid=252726753&amp;ct=offers" TargetMode="External"/><Relationship Id="rId16" Type="http://schemas.openxmlformats.org/officeDocument/2006/relationships/hyperlink" Target="https://octopart.com/click/track?c=1&amp;ai=8078&amp;sig=06fc4f0&amp;sid=819&amp;ppid=71221003&amp;vpid=670691954&amp;ct=offers" TargetMode="External"/><Relationship Id="rId17" Type="http://schemas.openxmlformats.org/officeDocument/2006/relationships/hyperlink" Target="https://octopart.com/click/track?ai=8078&amp;sig=05075d5&amp;sid=2401&amp;ppid=71221003&amp;vpid=269047242&amp;ct=offers" TargetMode="External"/><Relationship Id="rId18" Type="http://schemas.openxmlformats.org/officeDocument/2006/relationships/hyperlink" Target="https://octopart.com/click/track?c=1&amp;ai=8078&amp;sig=026019c&amp;sid=2402&amp;ppid=71221003&amp;vpid=671481225&amp;ct=offers" TargetMode="External"/><Relationship Id="rId19" Type="http://schemas.openxmlformats.org/officeDocument/2006/relationships/hyperlink" Target="https://www.murata.com/products/productdetail?partno=GRM187R61A226ME15%23" TargetMode="External"/><Relationship Id="rId20" Type="http://schemas.openxmlformats.org/officeDocument/2006/relationships/hyperlink" Target="https://octopart.com/click/track?ai=8078&amp;sig=0078d42&amp;sid=459&amp;ppid=71221003&amp;vpid=252726753&amp;ct=offers" TargetMode="External"/><Relationship Id="rId21" Type="http://schemas.openxmlformats.org/officeDocument/2006/relationships/hyperlink" Target="https://octopart.com/click/track?c=1&amp;ai=8078&amp;sig=06fc4f0&amp;sid=819&amp;ppid=71221003&amp;vpid=670691954&amp;ct=offers" TargetMode="External"/><Relationship Id="rId22" Type="http://schemas.openxmlformats.org/officeDocument/2006/relationships/hyperlink" Target="https://octopart.com/click/track?ai=8078&amp;sig=05075d5&amp;sid=2401&amp;ppid=71221003&amp;vpid=269047242&amp;ct=offers" TargetMode="External"/><Relationship Id="rId23" Type="http://schemas.openxmlformats.org/officeDocument/2006/relationships/hyperlink" Target="https://octopart.com/click/track?c=1&amp;ai=8078&amp;sig=026019c&amp;sid=2402&amp;ppid=71221003&amp;vpid=671481225&amp;ct=offers" TargetMode="External"/><Relationship Id="rId24" Type="http://schemas.openxmlformats.org/officeDocument/2006/relationships/hyperlink" Target="https://www.murata.com/products/productdetail.aspx?partno=GRT188R61A226ME13%23" TargetMode="External"/><Relationship Id="rId25" Type="http://schemas.openxmlformats.org/officeDocument/2006/relationships/hyperlink" Target="https://octopart.com/click/track?c=1&amp;ai=8078&amp;sig=0a7b5bd&amp;sid=459&amp;ppid=89916513&amp;vpid=697100953&amp;ct=offers" TargetMode="External"/><Relationship Id="rId26" Type="http://schemas.openxmlformats.org/officeDocument/2006/relationships/hyperlink" Target="https://octopart.com/click/track?c=1&amp;ai=8078&amp;sig=0ebcc35&amp;sid=819&amp;ppid=89916513&amp;vpid=666721387&amp;ct=offers" TargetMode="External"/><Relationship Id="rId27" Type="http://schemas.openxmlformats.org/officeDocument/2006/relationships/hyperlink" Target="https://octopart.com/click/track?ai=8078&amp;sig=0dbdff1&amp;sid=27971&amp;ppid=89916513&amp;vpid=469878495&amp;ct=offers" TargetMode="External"/><Relationship Id="rId28" Type="http://schemas.openxmlformats.org/officeDocument/2006/relationships/hyperlink" Target="https://octopart.com/click/track?c=1&amp;ai=8078&amp;sig=0ff3716&amp;sid=2401&amp;ppid=89916513&amp;vpid=469851266&amp;ct=offers" TargetMode="External"/><Relationship Id="rId29" Type="http://schemas.openxmlformats.org/officeDocument/2006/relationships/hyperlink" Target="https://octopart.com/click/track?c=1&amp;ai=8078&amp;sig=0dd99c8&amp;sid=2402&amp;ppid=89916513&amp;vpid=669036544&amp;ct=offers" TargetMode="External"/><Relationship Id="rId30" Type="http://schemas.openxmlformats.org/officeDocument/2006/relationships/hyperlink" Target="https://www.murata.com/products/productdetail.aspx?partno=GRM033C80J105ME05D" TargetMode="External"/><Relationship Id="rId31" Type="http://schemas.openxmlformats.org/officeDocument/2006/relationships/hyperlink" Target="https://octopart.com/click/track?c=1&amp;ai=8078&amp;sig=07524e2&amp;sid=459&amp;ppid=71220979&amp;vpid=252726184&amp;ct=offers" TargetMode="External"/><Relationship Id="rId32" Type="http://schemas.openxmlformats.org/officeDocument/2006/relationships/hyperlink" Target="https://octopart.com/click/track?c=1&amp;ai=8078&amp;sig=013a2f0&amp;sid=819&amp;ppid=71220979&amp;vpid=670691828&amp;ct=offers" TargetMode="External"/><Relationship Id="rId33" Type="http://schemas.openxmlformats.org/officeDocument/2006/relationships/hyperlink" Target="https://octopart.com/click/track?c=1&amp;ai=8078&amp;sig=0ba034f&amp;sid=2401&amp;ppid=71220979&amp;vpid=262231651&amp;ct=offers" TargetMode="External"/><Relationship Id="rId34" Type="http://schemas.openxmlformats.org/officeDocument/2006/relationships/hyperlink" Target="https://octopart.com/click/track?c=1&amp;ai=8078&amp;sig=0e14f17&amp;sid=2402&amp;ppid=71220979&amp;vpid=671481163&amp;ct=offers" TargetMode="External"/><Relationship Id="rId35" Type="http://schemas.openxmlformats.org/officeDocument/2006/relationships/hyperlink" Target="https://www.murata.com/products/productdetail.aspx?partno=GRM033R60J104KE19D" TargetMode="External"/><Relationship Id="rId36" Type="http://schemas.openxmlformats.org/officeDocument/2006/relationships/hyperlink" Target="https://octopart.com/click/track?ai=8078&amp;sig=0492ec2&amp;sid=459&amp;ppid=51454422&amp;vpid=172161550&amp;ct=offers" TargetMode="External"/><Relationship Id="rId37" Type="http://schemas.openxmlformats.org/officeDocument/2006/relationships/hyperlink" Target="https://octopart.com/click/track?ai=8078&amp;sig=0efc20f&amp;sid=819&amp;ppid=51454422&amp;vpid=528007216&amp;ct=offers" TargetMode="External"/><Relationship Id="rId38" Type="http://schemas.openxmlformats.org/officeDocument/2006/relationships/hyperlink" Target="https://octopart.com/click/track?ai=8078&amp;sig=0f2788c&amp;sid=27971&amp;ppid=51454422&amp;vpid=445986847&amp;ct=offers" TargetMode="External"/><Relationship Id="rId39" Type="http://schemas.openxmlformats.org/officeDocument/2006/relationships/hyperlink" Target="https://octopart.com/click/track?ai=8078&amp;sig=0207666&amp;sid=2401&amp;ppid=51454422&amp;vpid=178169497&amp;ct=offers" TargetMode="External"/><Relationship Id="rId40" Type="http://schemas.openxmlformats.org/officeDocument/2006/relationships/hyperlink" Target="https://octopart.com/click/track?ai=8078&amp;sig=0d37eed&amp;sid=2402&amp;ppid=51454422&amp;vpid=529126546&amp;ct=offers" TargetMode="External"/><Relationship Id="rId41" Type="http://schemas.openxmlformats.org/officeDocument/2006/relationships/hyperlink" Target="https://octopart.com/click/track?ai=8078&amp;sig=0eaea66&amp;sid=10022&amp;ppid=51454422&amp;vpid=562632808&amp;ct=offers" TargetMode="External"/><Relationship Id="rId42" Type="http://schemas.openxmlformats.org/officeDocument/2006/relationships/hyperlink" Target="https://www.murata.com/products/productdetail.aspx?partno=GRM035R60J475ME15D" TargetMode="External"/><Relationship Id="rId43" Type="http://schemas.openxmlformats.org/officeDocument/2006/relationships/hyperlink" Target="https://octopart.com/click/track?c=1&amp;ai=8078&amp;sig=0c3aa72&amp;sid=459&amp;ppid=67141176&amp;vpid=252726416&amp;ct=offers" TargetMode="External"/><Relationship Id="rId44" Type="http://schemas.openxmlformats.org/officeDocument/2006/relationships/hyperlink" Target="https://octopart.com/click/track?c=1&amp;ai=8078&amp;sig=0cbfc18&amp;sid=11744&amp;ppid=67141176&amp;vpid=585909672&amp;ct=offers" TargetMode="External"/><Relationship Id="rId45" Type="http://schemas.openxmlformats.org/officeDocument/2006/relationships/hyperlink" Target="https://octopart.com/click/track?ai=8078&amp;sig=0ec1763&amp;sid=27971&amp;ppid=67141176&amp;vpid=510777411&amp;ct=offers" TargetMode="External"/><Relationship Id="rId46" Type="http://schemas.openxmlformats.org/officeDocument/2006/relationships/hyperlink" Target="https://octopart.com/click/track?c=1&amp;ai=8078&amp;sig=043a876&amp;sid=2401&amp;ppid=67141176&amp;vpid=262254328&amp;ct=offers" TargetMode="External"/><Relationship Id="rId47" Type="http://schemas.openxmlformats.org/officeDocument/2006/relationships/hyperlink" Target="https://octopart.com/click/track?c=1&amp;ai=8078&amp;sig=00b605a&amp;sid=2402&amp;ppid=67141176&amp;vpid=587966703&amp;ct=offers" TargetMode="External"/><Relationship Id="rId48" Type="http://schemas.openxmlformats.org/officeDocument/2006/relationships/hyperlink" Target="https://www.onsemi.com/pdf/datasheet/nspu3051-d.pdf" TargetMode="External"/><Relationship Id="rId49" Type="http://schemas.openxmlformats.org/officeDocument/2006/relationships/hyperlink" Target="https://octopart.com/click/track?ai=8078&amp;sig=0493118&amp;sid=459&amp;ppid=88041566&amp;vpid=462080604&amp;ct=offers" TargetMode="External"/><Relationship Id="rId50" Type="http://schemas.openxmlformats.org/officeDocument/2006/relationships/hyperlink" Target="https://octopart.com/click/track?ai=8078&amp;sig=0f34133&amp;sid=819&amp;ppid=88041566&amp;vpid=549467654&amp;ct=offers" TargetMode="External"/><Relationship Id="rId51" Type="http://schemas.openxmlformats.org/officeDocument/2006/relationships/hyperlink" Target="https://octopart.com/click/track?ai=8078&amp;sig=0e4d4b1&amp;sid=2401&amp;ppid=88041566&amp;vpid=461968623&amp;ct=offers" TargetMode="External"/><Relationship Id="rId52" Type="http://schemas.openxmlformats.org/officeDocument/2006/relationships/hyperlink" Target="https://octopart.com/click/track?ai=8078&amp;sig=0e2f50a&amp;sid=2402&amp;ppid=88041566&amp;vpid=550534618&amp;ct=offers" TargetMode="External"/><Relationship Id="rId53" Type="http://schemas.openxmlformats.org/officeDocument/2006/relationships/hyperlink" Target="https://vishay.com/docs/81311/vesd05a6.pdf" TargetMode="External"/><Relationship Id="rId54" Type="http://schemas.openxmlformats.org/officeDocument/2006/relationships/hyperlink" Target="https://octopart.com/click/track?ai=8078&amp;sig=066da7a&amp;sid=459&amp;ppid=42182781&amp;vpid=159788920&amp;ct=offers" TargetMode="External"/><Relationship Id="rId55" Type="http://schemas.openxmlformats.org/officeDocument/2006/relationships/hyperlink" Target="https://octopart.com/click/track?ai=8078&amp;sig=0f8b020&amp;sid=2401&amp;ppid=42182781&amp;vpid=115161063&amp;ct=offers" TargetMode="External"/><Relationship Id="rId56" Type="http://schemas.openxmlformats.org/officeDocument/2006/relationships/hyperlink" Target="https://octopart.com/click/track?ai=8078&amp;sig=09e9550&amp;sid=2402&amp;ppid=42182781&amp;vpid=477624915&amp;ct=offers" TargetMode="External"/><Relationship Id="rId57" Type="http://schemas.openxmlformats.org/officeDocument/2006/relationships/hyperlink" Target="https://octopart.com/click/track?ai=8078&amp;sig=03c8c1d&amp;sid=10022&amp;ppid=42182781&amp;vpid=510213434&amp;ct=offers" TargetMode="External"/><Relationship Id="rId58" Type="http://schemas.openxmlformats.org/officeDocument/2006/relationships/hyperlink" Target="https://www.diodes.com/assets/Datasheets/D3V3F8U9LP3810.pdf" TargetMode="External"/><Relationship Id="rId59" Type="http://schemas.openxmlformats.org/officeDocument/2006/relationships/hyperlink" Target="https://octopart.com/click/track?ai=8078&amp;sig=02b6308&amp;sid=459&amp;ppid=91620605&amp;vpid=479893368&amp;ct=offers" TargetMode="External"/><Relationship Id="rId60" Type="http://schemas.openxmlformats.org/officeDocument/2006/relationships/hyperlink" Target="https://octopart.com/click/track?ai=8078&amp;sig=045c227&amp;sid=2401&amp;ppid=91620605&amp;vpid=478299237&amp;ct=offers" TargetMode="External"/><Relationship Id="rId61" Type="http://schemas.openxmlformats.org/officeDocument/2006/relationships/hyperlink" Target="https://octopart.com/click/track?ai=8078&amp;sig=0955bdd&amp;sid=10022&amp;ppid=91620605&amp;vpid=529868521&amp;ct=offers" TargetMode="External"/><Relationship Id="rId62" Type="http://schemas.openxmlformats.org/officeDocument/2006/relationships/hyperlink" Target="https://assets.nexperia.com/documents/data-sheet/PMEG2020EPK.pdf" TargetMode="External"/><Relationship Id="rId63" Type="http://schemas.openxmlformats.org/officeDocument/2006/relationships/hyperlink" Target="https://octopart.com/click/track?c=1&amp;ai=8078&amp;sig=098cc09&amp;sid=459&amp;ppid=78736213&amp;vpid=417205945&amp;ct=offers" TargetMode="External"/><Relationship Id="rId64" Type="http://schemas.openxmlformats.org/officeDocument/2006/relationships/hyperlink" Target="https://octopart.com/click/track?c=1&amp;ai=8078&amp;sig=067a3b7&amp;sid=11744&amp;ppid=78736213&amp;vpid=511266269&amp;ct=offers" TargetMode="External"/><Relationship Id="rId65" Type="http://schemas.openxmlformats.org/officeDocument/2006/relationships/hyperlink" Target="https://octopart.com/click/track?c=1&amp;ai=8078&amp;sig=062dd84&amp;sid=2401&amp;ppid=78736213&amp;vpid=416182027&amp;ct=offers" TargetMode="External"/><Relationship Id="rId66" Type="http://schemas.openxmlformats.org/officeDocument/2006/relationships/hyperlink" Target="https://octopart.com/click/track?c=1&amp;ai=8078&amp;sig=0df3305&amp;sid=2402&amp;ppid=78736213&amp;vpid=511382526&amp;ct=offers" TargetMode="External"/><Relationship Id="rId67" Type="http://schemas.openxmlformats.org/officeDocument/2006/relationships/hyperlink" Target="https://www.lumex.com/datasheet/SMD-LX0707RGB-TR.html" TargetMode="External"/><Relationship Id="rId68" Type="http://schemas.openxmlformats.org/officeDocument/2006/relationships/hyperlink" Target="https://octopart.com/click/track?ai=8078&amp;sig=011841b&amp;sid=459&amp;ppid=98770141&amp;vpid=527582517&amp;ct=offers" TargetMode="External"/><Relationship Id="rId69" Type="http://schemas.openxmlformats.org/officeDocument/2006/relationships/hyperlink" Target="https://octopart.com/click/track?c=1&amp;ai=8078&amp;sig=08846a9&amp;sid=819&amp;ppid=98770141&amp;vpid=575179783&amp;ct=offers" TargetMode="External"/><Relationship Id="rId70" Type="http://schemas.openxmlformats.org/officeDocument/2006/relationships/hyperlink" Target="https://octopart.com/click/track?c=1&amp;ai=8078&amp;sig=05197c4&amp;sid=2401&amp;ppid=98770141&amp;vpid=527691918&amp;ct=offers" TargetMode="External"/><Relationship Id="rId71" Type="http://schemas.openxmlformats.org/officeDocument/2006/relationships/hyperlink" Target="https://octopart.com/click/track?c=1&amp;ai=8078&amp;sig=0c78da6&amp;sid=2402&amp;ppid=98770141&amp;vpid=547451562&amp;ct=offers" TargetMode="External"/><Relationship Id="rId72" Type="http://schemas.openxmlformats.org/officeDocument/2006/relationships/hyperlink" Target="https://octopart.com/click/track?ai=8078&amp;sig=0f2b5ee&amp;sid=1532&amp;ppid=98770141&amp;vpid=709065371&amp;ct=offers" TargetMode="External"/><Relationship Id="rId73" Type="http://schemas.openxmlformats.org/officeDocument/2006/relationships/hyperlink" Target="https://www.murata.com/products/productdetail.aspx?partno=BLM18KG601SN1%23" TargetMode="External"/><Relationship Id="rId74" Type="http://schemas.openxmlformats.org/officeDocument/2006/relationships/hyperlink" Target="https://octopart.com/click/track?c=1&amp;ai=8078&amp;sig=05de17f&amp;sid=459&amp;ppid=12276433&amp;vpid=34232882&amp;ct=offers" TargetMode="External"/><Relationship Id="rId75" Type="http://schemas.openxmlformats.org/officeDocument/2006/relationships/hyperlink" Target="https://octopart.com/click/track?ai=8078&amp;sig=059ffca&amp;sid=11744&amp;ppid=12276433&amp;vpid=132490409&amp;ct=offers" TargetMode="External"/><Relationship Id="rId76" Type="http://schemas.openxmlformats.org/officeDocument/2006/relationships/hyperlink" Target="https://octopart.com/click/track?ai=8078&amp;sig=0061b01&amp;sid=27971&amp;ppid=12276433&amp;vpid=445986611&amp;ct=offers" TargetMode="External"/><Relationship Id="rId77" Type="http://schemas.openxmlformats.org/officeDocument/2006/relationships/hyperlink" Target="https://octopart.com/click/track?ai=8078&amp;sig=0ea9559&amp;sid=2401&amp;ppid=12276433&amp;vpid=37789808&amp;ct=offers" TargetMode="External"/><Relationship Id="rId78" Type="http://schemas.openxmlformats.org/officeDocument/2006/relationships/hyperlink" Target="https://octopart.com/click/track?c=1&amp;ai=8078&amp;sig=036829a&amp;sid=2402&amp;ppid=12276433&amp;vpid=21384392&amp;ct=offers" TargetMode="External"/><Relationship Id="rId79" Type="http://schemas.openxmlformats.org/officeDocument/2006/relationships/hyperlink" Target="https://octopart.com/click/track?ai=8078&amp;sig=0e360eb&amp;sid=10022&amp;ppid=12276433&amp;vpid=199071093&amp;ct=offers" TargetMode="External"/><Relationship Id="rId80" Type="http://schemas.openxmlformats.org/officeDocument/2006/relationships/hyperlink" Target="https://octopart.com/click/track?ai=8078&amp;sig=055d269&amp;sid=1532&amp;ppid=12276433&amp;vpid=709097365&amp;ct=offers" TargetMode="External"/><Relationship Id="rId81" Type="http://schemas.openxmlformats.org/officeDocument/2006/relationships/hyperlink" Target="https://www.jae.com/en/connectors/series/detail/product/id=66506" TargetMode="External"/><Relationship Id="rId82" Type="http://schemas.openxmlformats.org/officeDocument/2006/relationships/hyperlink" Target="https://octopart.com/click/track?ai=8078&amp;sig=03ad64f&amp;sid=459&amp;ppid=96774443&amp;vpid=509309983&amp;ct=offers" TargetMode="External"/><Relationship Id="rId83" Type="http://schemas.openxmlformats.org/officeDocument/2006/relationships/hyperlink" Target="https://octopart.com/click/track?ai=8078&amp;sig=0821fd6&amp;sid=2401&amp;ppid=96774443&amp;vpid=509817078&amp;ct=offers" TargetMode="External"/><Relationship Id="rId84" Type="http://schemas.openxmlformats.org/officeDocument/2006/relationships/hyperlink" Target="https://drawings-pdf.s3.amazonaws.com/11636.pdf" TargetMode="External"/><Relationship Id="rId85" Type="http://schemas.openxmlformats.org/officeDocument/2006/relationships/hyperlink" Target="https://octopart.com/click/track?c=1&amp;ai=8078&amp;sig=0121524&amp;sid=459&amp;ppid=22265840&amp;vpid=47550826&amp;ct=offers" TargetMode="External"/><Relationship Id="rId86" Type="http://schemas.openxmlformats.org/officeDocument/2006/relationships/hyperlink" Target="https://s3.amazonaws.com/catalogspreads-pdf/PAGE94-95%20.050%20MALE%20HDR%20ST%20RA%20SMT.pdf" TargetMode="External"/><Relationship Id="rId87" Type="http://schemas.openxmlformats.org/officeDocument/2006/relationships/hyperlink" Target="https://octopart.com/click/track?c=1&amp;ai=8078&amp;sig=06d94a0&amp;sid=459&amp;ppid=12650566&amp;vpid=33973679&amp;ct=offers" TargetMode="External"/><Relationship Id="rId88" Type="http://schemas.openxmlformats.org/officeDocument/2006/relationships/hyperlink" Target="https://drawings-pdf.s3.amazonaws.com/11636.pdf" TargetMode="External"/><Relationship Id="rId89" Type="http://schemas.openxmlformats.org/officeDocument/2006/relationships/hyperlink" Target="https://octopart.com/click/track?c=1&amp;ai=8078&amp;sig=008d732&amp;sid=459&amp;ppid=22265841&amp;vpid=47550827&amp;ct=offers" TargetMode="External"/><Relationship Id="rId90" Type="http://schemas.openxmlformats.org/officeDocument/2006/relationships/hyperlink" Target="https://assets.nexperia.com/documents/data-sheet/PDTA143ZMB.pdf" TargetMode="External"/><Relationship Id="rId91" Type="http://schemas.openxmlformats.org/officeDocument/2006/relationships/hyperlink" Target="https://octopart.com/click/track?c=1&amp;ai=8078&amp;sig=0944463&amp;sid=459&amp;ppid=78754604&amp;vpid=413679736&amp;ct=offers" TargetMode="External"/><Relationship Id="rId92" Type="http://schemas.openxmlformats.org/officeDocument/2006/relationships/hyperlink" Target="https://octopart.com/click/track?ai=8078&amp;sig=0d6ccfc&amp;sid=2401&amp;ppid=78754604&amp;vpid=504003500&amp;ct=offers" TargetMode="External"/><Relationship Id="rId93" Type="http://schemas.openxmlformats.org/officeDocument/2006/relationships/hyperlink" Target="https://b2b-api.panasonic.eu/file_stream/pids/fileversion/1242" TargetMode="External"/><Relationship Id="rId94" Type="http://schemas.openxmlformats.org/officeDocument/2006/relationships/hyperlink" Target="https://octopart.com/click/track?ai=8078&amp;sig=06f5537&amp;sid=459&amp;ppid=55940368&amp;vpid=465235230&amp;ct=offers" TargetMode="External"/><Relationship Id="rId95" Type="http://schemas.openxmlformats.org/officeDocument/2006/relationships/hyperlink" Target="https://octopart.com/click/track?c=1&amp;ai=8078&amp;sig=031cc2c&amp;sid=819&amp;ppid=55940368&amp;vpid=603690856&amp;ct=offers" TargetMode="External"/><Relationship Id="rId96" Type="http://schemas.openxmlformats.org/officeDocument/2006/relationships/hyperlink" Target="https://octopart.com/click/track?ai=8078&amp;sig=01a465a&amp;sid=2401&amp;ppid=55940368&amp;vpid=165486557&amp;ct=offers" TargetMode="External"/><Relationship Id="rId97" Type="http://schemas.openxmlformats.org/officeDocument/2006/relationships/hyperlink" Target="https://octopart.com/click/track?c=1&amp;ai=8078&amp;sig=0e5d5c9&amp;sid=2402&amp;ppid=55940368&amp;vpid=192308633&amp;ct=offers" TargetMode="External"/><Relationship Id="rId98" Type="http://schemas.openxmlformats.org/officeDocument/2006/relationships/hyperlink" Target="https://octopart.com/click/track?ai=8078&amp;sig=0e8e49e&amp;sid=10022&amp;ppid=55940368&amp;vpid=527534074&amp;ct=offers" TargetMode="External"/><Relationship Id="rId99" Type="http://schemas.openxmlformats.org/officeDocument/2006/relationships/hyperlink" Target="https://b2b-api.panasonic.eu/file_stream/pids/fileversion/1242" TargetMode="External"/><Relationship Id="rId100" Type="http://schemas.openxmlformats.org/officeDocument/2006/relationships/hyperlink" Target="https://octopart.com/click/track?ai=8078&amp;sig=0fe0904&amp;sid=459&amp;ppid=44403350&amp;vpid=465235292&amp;ct=offers" TargetMode="External"/><Relationship Id="rId101" Type="http://schemas.openxmlformats.org/officeDocument/2006/relationships/hyperlink" Target="https://octopart.com/click/track?c=1&amp;ai=8078&amp;sig=098df08&amp;sid=819&amp;ppid=44403350&amp;vpid=603690887&amp;ct=offers" TargetMode="External"/><Relationship Id="rId102" Type="http://schemas.openxmlformats.org/officeDocument/2006/relationships/hyperlink" Target="https://octopart.com/click/track?ai=8078&amp;sig=07d1d1b&amp;sid=2401&amp;ppid=44403350&amp;vpid=248150297&amp;ct=offers" TargetMode="External"/><Relationship Id="rId103" Type="http://schemas.openxmlformats.org/officeDocument/2006/relationships/hyperlink" Target="https://octopart.com/click/track?c=1&amp;ai=8078&amp;sig=01bc52e&amp;sid=2402&amp;ppid=44403350&amp;vpid=632042349&amp;ct=offers" TargetMode="External"/><Relationship Id="rId104" Type="http://schemas.openxmlformats.org/officeDocument/2006/relationships/hyperlink" Target="https://octopart.com/click/track?ai=8078&amp;sig=07954d2&amp;sid=10022&amp;ppid=44403350&amp;vpid=527534079&amp;ct=offers" TargetMode="External"/><Relationship Id="rId105" Type="http://schemas.openxmlformats.org/officeDocument/2006/relationships/hyperlink" Target="https://b2b-api.panasonic.eu/file_stream/pids/fileversion/1242" TargetMode="External"/><Relationship Id="rId106" Type="http://schemas.openxmlformats.org/officeDocument/2006/relationships/hyperlink" Target="https://octopart.com/click/track?ai=8078&amp;sig=0c00a8a&amp;sid=459&amp;ppid=44403143&amp;vpid=465234778&amp;ct=offers" TargetMode="External"/><Relationship Id="rId107" Type="http://schemas.openxmlformats.org/officeDocument/2006/relationships/hyperlink" Target="https://octopart.com/click/track?c=1&amp;ai=8078&amp;sig=0ede929&amp;sid=819&amp;ppid=44403143&amp;vpid=603690669&amp;ct=offers" TargetMode="External"/><Relationship Id="rId108" Type="http://schemas.openxmlformats.org/officeDocument/2006/relationships/hyperlink" Target="https://octopart.com/click/track?ai=8078&amp;sig=07904d4&amp;sid=2401&amp;ppid=44403143&amp;vpid=265582849&amp;ct=offers" TargetMode="External"/><Relationship Id="rId109" Type="http://schemas.openxmlformats.org/officeDocument/2006/relationships/hyperlink" Target="https://b2b-api.panasonic.eu/file_stream/pids/fileversion/1242" TargetMode="External"/><Relationship Id="rId110" Type="http://schemas.openxmlformats.org/officeDocument/2006/relationships/hyperlink" Target="https://octopart.com/click/track?ai=8078&amp;sig=008360a&amp;sid=459&amp;ppid=44322540&amp;vpid=118270227&amp;ct=offers" TargetMode="External"/><Relationship Id="rId111" Type="http://schemas.openxmlformats.org/officeDocument/2006/relationships/hyperlink" Target="https://octopart.com/click/track?c=1&amp;ai=8078&amp;sig=0a6d4f9&amp;sid=819&amp;ppid=44322540&amp;vpid=670693410&amp;ct=offers" TargetMode="External"/><Relationship Id="rId112" Type="http://schemas.openxmlformats.org/officeDocument/2006/relationships/hyperlink" Target="https://octopart.com/click/track?c=1&amp;ai=8078&amp;sig=0f1d18c&amp;sid=2401&amp;ppid=44322540&amp;vpid=118923340&amp;ct=offers" TargetMode="External"/><Relationship Id="rId113" Type="http://schemas.openxmlformats.org/officeDocument/2006/relationships/hyperlink" Target="https://octopart.com/click/track?ai=8078&amp;sig=00e2b4e&amp;sid=2402&amp;ppid=44322540&amp;vpid=511389189&amp;ct=offers" TargetMode="External"/><Relationship Id="rId114" Type="http://schemas.openxmlformats.org/officeDocument/2006/relationships/hyperlink" Target="https://octopart.com/click/track?ai=8078&amp;sig=05b23cf&amp;sid=10022&amp;ppid=44322540&amp;vpid=527534086&amp;ct=offers" TargetMode="External"/><Relationship Id="rId115" Type="http://schemas.openxmlformats.org/officeDocument/2006/relationships/hyperlink" Target="https://b2b-api.panasonic.eu/file_stream/pids/fileversion/1242" TargetMode="External"/><Relationship Id="rId116" Type="http://schemas.openxmlformats.org/officeDocument/2006/relationships/hyperlink" Target="https://octopart.com/click/track?ai=8078&amp;sig=0d32b30&amp;sid=459&amp;ppid=44403301&amp;vpid=465235180&amp;ct=offers" TargetMode="External"/><Relationship Id="rId117" Type="http://schemas.openxmlformats.org/officeDocument/2006/relationships/hyperlink" Target="https://octopart.com/click/track?c=1&amp;ai=8078&amp;sig=0f42eeb&amp;sid=819&amp;ppid=44403301&amp;vpid=603690831&amp;ct=offers" TargetMode="External"/><Relationship Id="rId118" Type="http://schemas.openxmlformats.org/officeDocument/2006/relationships/hyperlink" Target="https://octopart.com/click/track?ai=8078&amp;sig=026d4fd&amp;sid=27971&amp;ppid=44403301&amp;vpid=669037578&amp;ct=offers" TargetMode="External"/><Relationship Id="rId119" Type="http://schemas.openxmlformats.org/officeDocument/2006/relationships/hyperlink" Target="https://octopart.com/click/track?ai=8078&amp;sig=0460519&amp;sid=2401&amp;ppid=44403301&amp;vpid=119894523&amp;ct=offers" TargetMode="External"/><Relationship Id="rId120" Type="http://schemas.openxmlformats.org/officeDocument/2006/relationships/hyperlink" Target="https://octopart.com/click/track?c=1&amp;ai=8078&amp;sig=0a1801e&amp;sid=2402&amp;ppid=44403301&amp;vpid=252587626&amp;ct=offers" TargetMode="External"/><Relationship Id="rId121" Type="http://schemas.openxmlformats.org/officeDocument/2006/relationships/hyperlink" Target="https://b2b-api.panasonic.eu/file_stream/pids/fileversion/1242" TargetMode="External"/><Relationship Id="rId122" Type="http://schemas.openxmlformats.org/officeDocument/2006/relationships/hyperlink" Target="https://octopart.com/click/track?ai=8078&amp;sig=052dc68&amp;sid=459&amp;ppid=42505965&amp;vpid=465235288&amp;ct=offers" TargetMode="External"/><Relationship Id="rId123" Type="http://schemas.openxmlformats.org/officeDocument/2006/relationships/hyperlink" Target="https://octopart.com/click/track?c=1&amp;ai=8078&amp;sig=0433a1d&amp;sid=819&amp;ppid=42505965&amp;vpid=603690885&amp;ct=offers" TargetMode="External"/><Relationship Id="rId124" Type="http://schemas.openxmlformats.org/officeDocument/2006/relationships/hyperlink" Target="https://octopart.com/click/track?ai=8078&amp;sig=0d716f6&amp;sid=2401&amp;ppid=42505965&amp;vpid=165486571&amp;ct=offers" TargetMode="External"/><Relationship Id="rId125" Type="http://schemas.openxmlformats.org/officeDocument/2006/relationships/hyperlink" Target="https://octopart.com/click/track?c=1&amp;ai=8078&amp;sig=0965e6c&amp;sid=2402&amp;ppid=42505965&amp;vpid=524371516&amp;ct=offers" TargetMode="External"/><Relationship Id="rId126" Type="http://schemas.openxmlformats.org/officeDocument/2006/relationships/hyperlink" Target="https://b2b-api.panasonic.eu/file_stream/pids/fileversion/1242" TargetMode="External"/><Relationship Id="rId127" Type="http://schemas.openxmlformats.org/officeDocument/2006/relationships/hyperlink" Target="https://octopart.com/click/track?ai=8078&amp;sig=0ea42f0&amp;sid=459&amp;ppid=44275189&amp;vpid=465235184&amp;ct=offers" TargetMode="External"/><Relationship Id="rId128" Type="http://schemas.openxmlformats.org/officeDocument/2006/relationships/hyperlink" Target="https://octopart.com/click/track?c=1&amp;ai=8078&amp;sig=0769873&amp;sid=819&amp;ppid=44275189&amp;vpid=603690833&amp;ct=offers" TargetMode="External"/><Relationship Id="rId129" Type="http://schemas.openxmlformats.org/officeDocument/2006/relationships/hyperlink" Target="https://octopart.com/click/track?ai=8078&amp;sig=0c08398&amp;sid=27971&amp;ppid=44275189&amp;vpid=669037579&amp;ct=offers" TargetMode="External"/><Relationship Id="rId130" Type="http://schemas.openxmlformats.org/officeDocument/2006/relationships/hyperlink" Target="https://octopart.com/click/track?ai=8078&amp;sig=099c1ff&amp;sid=2401&amp;ppid=44275189&amp;vpid=118165429&amp;ct=offers" TargetMode="External"/><Relationship Id="rId131" Type="http://schemas.openxmlformats.org/officeDocument/2006/relationships/hyperlink" Target="https://octopart.com/click/track?c=1&amp;ai=8078&amp;sig=09b2488&amp;sid=2402&amp;ppid=44275189&amp;vpid=635967825&amp;ct=offers" TargetMode="External"/><Relationship Id="rId132" Type="http://schemas.openxmlformats.org/officeDocument/2006/relationships/hyperlink" Target="https://octopart.com/click/track?ai=8078&amp;sig=0eeb9da&amp;sid=10022&amp;ppid=44275189&amp;vpid=527534072&amp;ct=offers" TargetMode="External"/><Relationship Id="rId133" Type="http://schemas.openxmlformats.org/officeDocument/2006/relationships/hyperlink" Target="https://b2b-api.panasonic.eu/file_stream/pids/fileversion/1242" TargetMode="External"/><Relationship Id="rId134" Type="http://schemas.openxmlformats.org/officeDocument/2006/relationships/hyperlink" Target="https://octopart.com/click/track?c=1&amp;ai=8078&amp;sig=024bb47&amp;sid=459&amp;ppid=55419695&amp;vpid=465234046&amp;ct=offers" TargetMode="External"/><Relationship Id="rId135" Type="http://schemas.openxmlformats.org/officeDocument/2006/relationships/hyperlink" Target="https://octopart.com/click/track?ai=8078&amp;sig=0f281cc&amp;sid=819&amp;ppid=55419695&amp;vpid=139309628&amp;ct=offers" TargetMode="External"/><Relationship Id="rId136" Type="http://schemas.openxmlformats.org/officeDocument/2006/relationships/hyperlink" Target="https://octopart.com/click/track?ai=8078&amp;sig=082fe6d&amp;sid=27971&amp;ppid=55419695&amp;vpid=669037552&amp;ct=offers" TargetMode="External"/><Relationship Id="rId137" Type="http://schemas.openxmlformats.org/officeDocument/2006/relationships/hyperlink" Target="https://octopart.com/click/track?ai=8078&amp;sig=0a77d19&amp;sid=2401&amp;ppid=55419695&amp;vpid=187838583&amp;ct=offers" TargetMode="External"/><Relationship Id="rId138" Type="http://schemas.openxmlformats.org/officeDocument/2006/relationships/hyperlink" Target="https://octopart.com/click/track?ai=8078&amp;sig=0f7b406&amp;sid=2402&amp;ppid=55419695&amp;vpid=423915170&amp;ct=offers" TargetMode="External"/><Relationship Id="rId139" Type="http://schemas.openxmlformats.org/officeDocument/2006/relationships/hyperlink" Target="https://octopart.com/click/track?ai=8078&amp;sig=063e0f1&amp;sid=10022&amp;ppid=55419695&amp;vpid=527534048&amp;ct=offers" TargetMode="External"/><Relationship Id="rId140" Type="http://schemas.openxmlformats.org/officeDocument/2006/relationships/hyperlink" Target="https://b2b-api.panasonic.eu/file_stream/pids/fileversion/1242" TargetMode="External"/><Relationship Id="rId141" Type="http://schemas.openxmlformats.org/officeDocument/2006/relationships/hyperlink" Target="https://octopart.com/click/track?c=1&amp;ai=8078&amp;sig=0f22db7&amp;sid=459&amp;ppid=44322539&amp;vpid=465235182&amp;ct=offers" TargetMode="External"/><Relationship Id="rId142" Type="http://schemas.openxmlformats.org/officeDocument/2006/relationships/hyperlink" Target="https://octopart.com/click/track?c=1&amp;ai=8078&amp;sig=0fd9335&amp;sid=819&amp;ppid=44322539&amp;vpid=603690832&amp;ct=offers" TargetMode="External"/><Relationship Id="rId143" Type="http://schemas.openxmlformats.org/officeDocument/2006/relationships/hyperlink" Target="https://octopart.com/click/track?ai=8078&amp;sig=06c973b&amp;sid=27971&amp;ppid=44322539&amp;vpid=495511688&amp;ct=offers" TargetMode="External"/><Relationship Id="rId144" Type="http://schemas.openxmlformats.org/officeDocument/2006/relationships/hyperlink" Target="https://octopart.com/click/track?ai=8078&amp;sig=0a64394&amp;sid=2401&amp;ppid=44322539&amp;vpid=120580014&amp;ct=offers" TargetMode="External"/><Relationship Id="rId145" Type="http://schemas.openxmlformats.org/officeDocument/2006/relationships/hyperlink" Target="https://octopart.com/click/track?c=1&amp;ai=8078&amp;sig=07aa8d7&amp;sid=2402&amp;ppid=44322539&amp;vpid=477474193&amp;ct=offers" TargetMode="External"/><Relationship Id="rId146" Type="http://schemas.openxmlformats.org/officeDocument/2006/relationships/hyperlink" Target="https://www.ckswitches.com/media/1465/kxt3.pdf" TargetMode="External"/><Relationship Id="rId147" Type="http://schemas.openxmlformats.org/officeDocument/2006/relationships/hyperlink" Target="https://octopart.com/click/track?ai=8078&amp;sig=0d4eb4c&amp;sid=459&amp;ppid=81056066&amp;vpid=409558694&amp;ct=offers" TargetMode="External"/><Relationship Id="rId148" Type="http://schemas.openxmlformats.org/officeDocument/2006/relationships/hyperlink" Target="https://octopart.com/click/track?ai=8078&amp;sig=050d0ca&amp;sid=11744&amp;ppid=81056066&amp;vpid=573795783&amp;ct=offers" TargetMode="External"/><Relationship Id="rId149" Type="http://schemas.openxmlformats.org/officeDocument/2006/relationships/hyperlink" Target="https://octopart.com/click/track?ai=8078&amp;sig=008adb4&amp;sid=27971&amp;ppid=81056066&amp;vpid=492569844&amp;ct=offers" TargetMode="External"/><Relationship Id="rId150" Type="http://schemas.openxmlformats.org/officeDocument/2006/relationships/hyperlink" Target="https://octopart.com/click/track?ai=8078&amp;sig=025af0b&amp;sid=2401&amp;ppid=81056066&amp;vpid=418675926&amp;ct=offers" TargetMode="External"/><Relationship Id="rId151" Type="http://schemas.openxmlformats.org/officeDocument/2006/relationships/hyperlink" Target="https://octopart.com/click/track?c=1&amp;ai=8078&amp;sig=0497a32&amp;sid=2402&amp;ppid=81056066&amp;vpid=591711210&amp;ct=offers" TargetMode="External"/><Relationship Id="rId152" Type="http://schemas.openxmlformats.org/officeDocument/2006/relationships/hyperlink" Target="https://octopart.com/click/track?ai=8078&amp;sig=098c562&amp;sid=1532&amp;ppid=81056066&amp;vpid=707824130&amp;ct=offers" TargetMode="External"/><Relationship Id="rId153" Type="http://schemas.openxmlformats.org/officeDocument/2006/relationships/hyperlink" Target="https://www.onsemi.com/pub/Collateral/FUSB340-D.PDF" TargetMode="External"/><Relationship Id="rId154" Type="http://schemas.openxmlformats.org/officeDocument/2006/relationships/hyperlink" Target="https://octopart.com/click/track?c=1&amp;ai=8078&amp;sig=0f86676&amp;sid=459&amp;ppid=84328700&amp;vpid=452467737&amp;ct=offers" TargetMode="External"/><Relationship Id="rId155" Type="http://schemas.openxmlformats.org/officeDocument/2006/relationships/hyperlink" Target="https://octopart.com/click/track?c=1&amp;ai=8078&amp;sig=07afd36&amp;sid=819&amp;ppid=84328700&amp;vpid=605128911&amp;ct=offers" TargetMode="External"/><Relationship Id="rId156" Type="http://schemas.openxmlformats.org/officeDocument/2006/relationships/hyperlink" Target="https://octopart.com/click/track?c=1&amp;ai=8078&amp;sig=0a2158e&amp;sid=2401&amp;ppid=84328700&amp;vpid=438584370&amp;ct=offers" TargetMode="External"/><Relationship Id="rId157" Type="http://schemas.openxmlformats.org/officeDocument/2006/relationships/hyperlink" Target="https://octopart.com/click/track?c=1&amp;ai=8078&amp;sig=00834ef&amp;sid=2402&amp;ppid=84328700&amp;vpid=440582772&amp;ct=offers" TargetMode="External"/><Relationship Id="rId158" Type="http://schemas.openxmlformats.org/officeDocument/2006/relationships/hyperlink" Target="https://www.onsemi.com/pub/Collateral/NCP163-D.PDF" TargetMode="External"/><Relationship Id="rId159" Type="http://schemas.openxmlformats.org/officeDocument/2006/relationships/hyperlink" Target="https://octopart.com/click/track?c=1&amp;ai=8078&amp;sig=003992c&amp;sid=459&amp;ppid=85189370&amp;vpid=480804443&amp;ct=offers" TargetMode="External"/><Relationship Id="rId160" Type="http://schemas.openxmlformats.org/officeDocument/2006/relationships/hyperlink" Target="https://octopart.com/click/track?c=1&amp;ai=8078&amp;sig=05d5745&amp;sid=819&amp;ppid=85189370&amp;vpid=679567311&amp;ct=offers" TargetMode="External"/><Relationship Id="rId161" Type="http://schemas.openxmlformats.org/officeDocument/2006/relationships/hyperlink" Target="https://octopart.com/click/track?c=1&amp;ai=8078&amp;sig=008dcf0&amp;sid=2401&amp;ppid=85189370&amp;vpid=458432971&amp;ct=offers" TargetMode="External"/><Relationship Id="rId162" Type="http://schemas.openxmlformats.org/officeDocument/2006/relationships/hyperlink" Target="https://octopart.com/click/track?c=1&amp;ai=8078&amp;sig=02e0072&amp;sid=2402&amp;ppid=85189370&amp;vpid=508722815&amp;ct=offers" TargetMode="External"/><Relationship Id="rId163" Type="http://schemas.openxmlformats.org/officeDocument/2006/relationships/hyperlink" Target="https://www.onsemi.com/pub/Collateral/NCP163-D.PDF" TargetMode="External"/><Relationship Id="rId164" Type="http://schemas.openxmlformats.org/officeDocument/2006/relationships/hyperlink" Target="https://octopart.com/click/track?ai=8078&amp;sig=0fb810d&amp;sid=459&amp;ppid=85189372&amp;vpid=510801579&amp;ct=offers" TargetMode="External"/><Relationship Id="rId165" Type="http://schemas.openxmlformats.org/officeDocument/2006/relationships/hyperlink" Target="https://octopart.com/click/track?ai=8078&amp;sig=0d53afa&amp;sid=819&amp;ppid=85189372&amp;vpid=521259807&amp;ct=offers" TargetMode="External"/><Relationship Id="rId166" Type="http://schemas.openxmlformats.org/officeDocument/2006/relationships/hyperlink" Target="https://octopart.com/click/track?ai=8078&amp;sig=0d88058&amp;sid=2401&amp;ppid=85189372&amp;vpid=457168827&amp;ct=offers" TargetMode="External"/><Relationship Id="rId167" Type="http://schemas.openxmlformats.org/officeDocument/2006/relationships/hyperlink" Target="https://octopart.com/click/track?ai=8078&amp;sig=0ea4658&amp;sid=2402&amp;ppid=85189372&amp;vpid=532298591&amp;ct=offers" TargetMode="External"/><Relationship Id="rId168" Type="http://schemas.openxmlformats.org/officeDocument/2006/relationships/hyperlink" Target="https://octopart.com/click/track?ai=8078&amp;sig=061f543&amp;sid=10022&amp;ppid=85189372&amp;vpid=562641307&amp;ct=offers" TargetMode="External"/><Relationship Id="rId169" Type="http://schemas.openxmlformats.org/officeDocument/2006/relationships/hyperlink" Target="https://www.onsemi.com/pub/Collateral/NCP163-D.PDF" TargetMode="External"/><Relationship Id="rId170" Type="http://schemas.openxmlformats.org/officeDocument/2006/relationships/hyperlink" Target="https://octopart.com/click/track?ai=8078&amp;sig=07c1942&amp;sid=459&amp;ppid=76379051&amp;vpid=417229427&amp;ct=offers" TargetMode="External"/><Relationship Id="rId171" Type="http://schemas.openxmlformats.org/officeDocument/2006/relationships/hyperlink" Target="https://octopart.com/click/track?c=1&amp;ai=8078&amp;sig=0ca7150&amp;sid=11744&amp;ppid=76379051&amp;vpid=424030194&amp;ct=offers" TargetMode="External"/><Relationship Id="rId172" Type="http://schemas.openxmlformats.org/officeDocument/2006/relationships/hyperlink" Target="https://octopart.com/click/track?ai=8078&amp;sig=053b221&amp;sid=2401&amp;ppid=76379051&amp;vpid=417833962&amp;ct=offers" TargetMode="External"/><Relationship Id="rId173" Type="http://schemas.openxmlformats.org/officeDocument/2006/relationships/hyperlink" Target="https://octopart.com/click/track?c=1&amp;ai=8078&amp;sig=008ac7c&amp;sid=2402&amp;ppid=76379051&amp;vpid=462365890&amp;ct=offers" TargetMode="External"/><Relationship Id="rId174" Type="http://schemas.openxmlformats.org/officeDocument/2006/relationships/hyperlink" Target="https://www.winbond.com/resource-files/W957x8MFYA_128Mb_HyperRAM_TFBGA24_DDP_datasheet_A01-001_20200903.pdf" TargetMode="External"/><Relationship Id="rId175" Type="http://schemas.openxmlformats.org/officeDocument/2006/relationships/hyperlink" Target="https://www.winbond.com/resource-files/w25q128jv%20revf%2003272018%20plus.pdf" TargetMode="External"/><Relationship Id="rId176" Type="http://schemas.openxmlformats.org/officeDocument/2006/relationships/hyperlink" Target="https://octopart.com/click/track?c=1&amp;ai=8078&amp;sig=027d369&amp;sid=459&amp;ppid=81762594&amp;vpid=420816932&amp;ct=offers" TargetMode="External"/><Relationship Id="rId177" Type="http://schemas.openxmlformats.org/officeDocument/2006/relationships/hyperlink" Target="https://www.nxp.com/docs/en/data-sheet/SGTL5000.pdf" TargetMode="External"/><Relationship Id="rId178" Type="http://schemas.openxmlformats.org/officeDocument/2006/relationships/hyperlink" Target="https://octopart.com/click/track?c=1&amp;ai=8078&amp;sig=04c3e2a&amp;sid=459&amp;ppid=70302734&amp;vpid=355515742&amp;ct=offers" TargetMode="External"/><Relationship Id="rId179" Type="http://schemas.openxmlformats.org/officeDocument/2006/relationships/hyperlink" Target="https://octopart.com/click/track?c=1&amp;ai=8078&amp;sig=0d7c468&amp;sid=11744&amp;ppid=70302734&amp;vpid=441891567&amp;ct=offers" TargetMode="External"/><Relationship Id="rId180" Type="http://schemas.openxmlformats.org/officeDocument/2006/relationships/hyperlink" Target="https://octopart.com/click/track?c=1&amp;ai=8078&amp;sig=0914646&amp;sid=2401&amp;ppid=70302734&amp;vpid=251555961&amp;ct=offers" TargetMode="External"/><Relationship Id="rId181" Type="http://schemas.openxmlformats.org/officeDocument/2006/relationships/hyperlink" Target="https://octopart.com/click/track?c=1&amp;ai=8078&amp;sig=0682eb5&amp;sid=2402&amp;ppid=70302734&amp;vpid=444018517&amp;ct=offers" TargetMode="External"/><Relationship Id="rId182" Type="http://schemas.openxmlformats.org/officeDocument/2006/relationships/hyperlink" Target="https://www.onsemi.com/pub/Collateral/FSUSB42-D.PDF" TargetMode="External"/><Relationship Id="rId183" Type="http://schemas.openxmlformats.org/officeDocument/2006/relationships/hyperlink" Target="https://octopart.com/click/track?ai=8078&amp;sig=01fc62d&amp;sid=459&amp;ppid=84328636&amp;vpid=452467551&amp;ct=offers" TargetMode="External"/><Relationship Id="rId184" Type="http://schemas.openxmlformats.org/officeDocument/2006/relationships/hyperlink" Target="https://octopart.com/click/track?ai=8078&amp;sig=0d82084&amp;sid=819&amp;ppid=84328636&amp;vpid=464889456&amp;ct=offers" TargetMode="External"/><Relationship Id="rId185" Type="http://schemas.openxmlformats.org/officeDocument/2006/relationships/hyperlink" Target="https://octopart.com/click/track?ai=8078&amp;sig=0f3df4d&amp;sid=27971&amp;ppid=84328636&amp;vpid=481523941&amp;ct=offers" TargetMode="External"/><Relationship Id="rId186" Type="http://schemas.openxmlformats.org/officeDocument/2006/relationships/hyperlink" Target="https://octopart.com/click/track?ai=8078&amp;sig=00997b4&amp;sid=2401&amp;ppid=84328636&amp;vpid=438584306&amp;ct=offers" TargetMode="External"/><Relationship Id="rId187" Type="http://schemas.openxmlformats.org/officeDocument/2006/relationships/hyperlink" Target="https://octopart.com/click/track?ai=8078&amp;sig=0e279be&amp;sid=2402&amp;ppid=84328636&amp;vpid=504806070&amp;ct=offers" TargetMode="External"/><Relationship Id="rId188" Type="http://schemas.openxmlformats.org/officeDocument/2006/relationships/hyperlink" Target="https://www.nxp.com/docs/en/data-sheet/PTN5110_DS.pdf" TargetMode="External"/><Relationship Id="rId189" Type="http://schemas.openxmlformats.org/officeDocument/2006/relationships/hyperlink" Target="https://octopart.com/click/track?ai=8078&amp;sig=0765b83&amp;sid=459&amp;ppid=80980773&amp;vpid=462850817&amp;ct=offers" TargetMode="External"/><Relationship Id="rId190" Type="http://schemas.openxmlformats.org/officeDocument/2006/relationships/hyperlink" Target="https://octopart.com/click/track?ai=8078&amp;sig=0a3a182&amp;sid=11744&amp;ppid=80980773&amp;vpid=549545250&amp;ct=offers" TargetMode="External"/><Relationship Id="rId191" Type="http://schemas.openxmlformats.org/officeDocument/2006/relationships/hyperlink" Target="https://octopart.com/click/track?ai=8078&amp;sig=0876157&amp;sid=2401&amp;ppid=80980773&amp;vpid=456197818&amp;ct=offers" TargetMode="External"/><Relationship Id="rId192" Type="http://schemas.openxmlformats.org/officeDocument/2006/relationships/hyperlink" Target="https://octopart.com/click/track?ai=8078&amp;sig=0672985&amp;sid=2402&amp;ppid=80980773&amp;vpid=551449682&amp;ct=offers" TargetMode="External"/><Relationship Id="rId193" Type="http://schemas.openxmlformats.org/officeDocument/2006/relationships/hyperlink" Target="https://www.latticesemi.com/view_document?document_id=50461" TargetMode="External"/><Relationship Id="rId194" Type="http://schemas.openxmlformats.org/officeDocument/2006/relationships/hyperlink" Target="https://octopart.com/click/track?c=1&amp;ai=8078&amp;sig=007a1b1&amp;sid=459&amp;ppid=75367160&amp;vpid=271186289&amp;ct=offers" TargetMode="External"/><Relationship Id="rId195" Type="http://schemas.openxmlformats.org/officeDocument/2006/relationships/hyperlink" Target="https://ww1.microchip.com/downloads/en/DeviceDoc/DSC1103-23-Low-Jitter-Precision-LVDS-Oscillator-DS20005745C.pdf" TargetMode="External"/><Relationship Id="rId196" Type="http://schemas.openxmlformats.org/officeDocument/2006/relationships/hyperlink" Target="https://octopart.com/click/track?c=1&amp;ai=8078&amp;sig=0bd1298&amp;sid=459&amp;ppid=66645726&amp;vpid=240065704&amp;ct=offers" TargetMode="External"/><Relationship Id="rId197" Type="http://schemas.openxmlformats.org/officeDocument/2006/relationships/hyperlink" Target="https://octopart.com/click/track?c=1&amp;ai=8078&amp;sig=02ae754&amp;sid=2401&amp;ppid=66645726&amp;vpid=248137995&amp;ct=offers" TargetMode="External"/><Relationship Id="rId198" Type="http://schemas.openxmlformats.org/officeDocument/2006/relationships/hyperlink" Target="https://octopart.com/click/track?c=1&amp;ai=8078&amp;sig=0cfbb5f&amp;sid=2402&amp;ppid=66645726&amp;vpid=252546613&amp;ct=offers" TargetMode="External"/><Relationship Id="rId199" Type="http://schemas.openxmlformats.org/officeDocument/2006/relationships/hyperlink" Target="https://www.onsemi.com/pub/Collateral/FPF1048-D.pdf" TargetMode="External"/><Relationship Id="rId200" Type="http://schemas.openxmlformats.org/officeDocument/2006/relationships/hyperlink" Target="https://octopart.com/click/track?ai=8078&amp;sig=04eaa45&amp;sid=459&amp;ppid=84327717&amp;vpid=452465952&amp;ct=offers" TargetMode="External"/><Relationship Id="rId201" Type="http://schemas.openxmlformats.org/officeDocument/2006/relationships/hyperlink" Target="https://octopart.com/click/track?c=1&amp;ai=8078&amp;sig=06485e0&amp;sid=11744&amp;ppid=84327717&amp;vpid=613623065&amp;ct=offers" TargetMode="External"/><Relationship Id="rId202" Type="http://schemas.openxmlformats.org/officeDocument/2006/relationships/hyperlink" Target="https://octopart.com/click/track?ai=8078&amp;sig=0ee8727&amp;sid=27971&amp;ppid=84327717&amp;vpid=609063482&amp;ct=offers" TargetMode="External"/><Relationship Id="rId203" Type="http://schemas.openxmlformats.org/officeDocument/2006/relationships/hyperlink" Target="https://octopart.com/click/track?ai=8078&amp;sig=097e5b6&amp;sid=2401&amp;ppid=84327717&amp;vpid=438583537&amp;ct=offers" TargetMode="External"/><Relationship Id="rId204" Type="http://schemas.openxmlformats.org/officeDocument/2006/relationships/hyperlink" Target="https://octopart.com/click/track?c=1&amp;ai=8078&amp;sig=0807c21&amp;sid=2402&amp;ppid=84327717&amp;vpid=610637249&amp;ct=offers" TargetMode="External"/><Relationship Id="rId205" Type="http://schemas.openxmlformats.org/officeDocument/2006/relationships/hyperlink" Target="https://www.onsemi.com/pub/Collateral/FPF2194-D.PDF" TargetMode="External"/><Relationship Id="rId206" Type="http://schemas.openxmlformats.org/officeDocument/2006/relationships/hyperlink" Target="https://octopart.com/click/track?ai=8078&amp;sig=0dd6896&amp;sid=459&amp;ppid=84327776&amp;vpid=452466110&amp;ct=offers" TargetMode="External"/><Relationship Id="rId207" Type="http://schemas.openxmlformats.org/officeDocument/2006/relationships/hyperlink" Target="https://octopart.com/click/track?c=1&amp;ai=8078&amp;sig=087667e&amp;sid=819&amp;ppid=84327776&amp;vpid=679563947&amp;ct=offers" TargetMode="External"/><Relationship Id="rId208" Type="http://schemas.openxmlformats.org/officeDocument/2006/relationships/hyperlink" Target="https://octopart.com/click/track?ai=8078&amp;sig=0f59aca&amp;sid=2401&amp;ppid=84327776&amp;vpid=438583592&amp;ct=offers" TargetMode="External"/><Relationship Id="rId209" Type="http://schemas.openxmlformats.org/officeDocument/2006/relationships/hyperlink" Target="https://octopart.com/click/track?c=1&amp;ai=8078&amp;sig=09db032&amp;sid=2402&amp;ppid=84327776&amp;vpid=635965928&amp;ct=offers" TargetMode="External"/><Relationship Id="rId210" Type="http://schemas.openxmlformats.org/officeDocument/2006/relationships/hyperlink" Target="https://www.murata.com/en-global/products/productdetail?partno=MYRGP330100W21RA" TargetMode="External"/><Relationship Id="rId211" Type="http://schemas.openxmlformats.org/officeDocument/2006/relationships/hyperlink" Target="https://octopart.com/click/track?ai=8078&amp;sig=080665d&amp;sid=459&amp;ppid=106811493&amp;vpid=600526601&amp;ct=offers" TargetMode="External"/><Relationship Id="rId212" Type="http://schemas.openxmlformats.org/officeDocument/2006/relationships/hyperlink" Target="https://octopart.com/click/track?ai=8078&amp;sig=0398a82&amp;sid=819&amp;ppid=106811493&amp;vpid=619584506&amp;ct=offers" TargetMode="External"/><Relationship Id="rId213" Type="http://schemas.openxmlformats.org/officeDocument/2006/relationships/hyperlink" Target="https://octopart.com/click/track?ai=8078&amp;sig=0957b0e&amp;sid=2401&amp;ppid=106811493&amp;vpid=600765065&amp;ct=offers" TargetMode="External"/><Relationship Id="rId214" Type="http://schemas.openxmlformats.org/officeDocument/2006/relationships/hyperlink" Target="https://octopart.com/click/track?ai=8078&amp;sig=04c5ef7&amp;sid=2402&amp;ppid=106811493&amp;vpid=664868951&amp;ct=offers" TargetMode="External"/><Relationship Id="rId215" Type="http://schemas.openxmlformats.org/officeDocument/2006/relationships/hyperlink" Target="https://www.murata.com/en-global/products/productdetail?partno=MYRGP330100W21RA" TargetMode="External"/><Relationship Id="rId216" Type="http://schemas.openxmlformats.org/officeDocument/2006/relationships/hyperlink" Target="https://octopart.com/click/track?ai=8078&amp;sig=01b00f8&amp;sid=459&amp;ppid=106811485&amp;vpid=600526589&amp;ct=offers" TargetMode="External"/><Relationship Id="rId217" Type="http://schemas.openxmlformats.org/officeDocument/2006/relationships/hyperlink" Target="https://octopart.com/click/track?ai=8078&amp;sig=030c5e6&amp;sid=11744&amp;ppid=106811485&amp;vpid=619947126&amp;ct=offers" TargetMode="External"/><Relationship Id="rId218" Type="http://schemas.openxmlformats.org/officeDocument/2006/relationships/hyperlink" Target="https://octopart.com/click/track?ai=8078&amp;sig=08f853e&amp;sid=2401&amp;ppid=106811485&amp;vpid=600765057&amp;ct=offers" TargetMode="External"/><Relationship Id="rId219" Type="http://schemas.openxmlformats.org/officeDocument/2006/relationships/hyperlink" Target="https://octopart.com/click/track?ai=8078&amp;sig=0fd6954&amp;sid=2402&amp;ppid=106811485&amp;vpid=664868948&amp;ct=offers" TargetMode="External"/><Relationship Id="rId220" Type="http://schemas.openxmlformats.org/officeDocument/2006/relationships/hyperlink" Target="https://www.ti.com/lit/ds/symlink/sn74cbtd16211.pdf" TargetMode="External"/><Relationship Id="rId221" Type="http://schemas.openxmlformats.org/officeDocument/2006/relationships/hyperlink" Target="https://octopart.com/click/track?c=1&amp;ai=8078&amp;sig=0aac5c3&amp;sid=459&amp;ppid=472676&amp;vpid=1588405&amp;ct=offers" TargetMode="External"/><Relationship Id="rId222" Type="http://schemas.openxmlformats.org/officeDocument/2006/relationships/hyperlink" Target="https://octopart.com/click/track?ai=8078&amp;sig=0221cb4&amp;sid=27971&amp;ppid=472676&amp;vpid=696942338&amp;ct=offers" TargetMode="External"/><Relationship Id="rId223" Type="http://schemas.openxmlformats.org/officeDocument/2006/relationships/hyperlink" Target="https://octopart.com/click/track?ai=8078&amp;sig=0681b00&amp;sid=2401&amp;ppid=472676&amp;vpid=46887142&amp;ct=offers" TargetMode="External"/><Relationship Id="rId224" Type="http://schemas.openxmlformats.org/officeDocument/2006/relationships/hyperlink" Target="https://www.arrow.com/en/bom-tool/" TargetMode="External"/><Relationship Id="rId225" Type="http://schemas.openxmlformats.org/officeDocument/2006/relationships/hyperlink" Target="https://www.digikey.com/ordering/shoppingcart" TargetMode="External"/><Relationship Id="rId226" Type="http://schemas.openxmlformats.org/officeDocument/2006/relationships/hyperlink" Target="https://www.newark.com/quick-order?isQuickPaste=true" TargetMode="External"/><Relationship Id="rId227" Type="http://schemas.openxmlformats.org/officeDocument/2006/relationships/hyperlink" Target="https://lcsc.com/bom.html" TargetMode="External"/><Relationship Id="rId228" Type="http://schemas.openxmlformats.org/officeDocument/2006/relationships/hyperlink" Target="https://mouser.com/bom/" TargetMode="External"/><Relationship Id="rId229" Type="http://schemas.openxmlformats.org/officeDocument/2006/relationships/hyperlink" Target="https://www.newark.com/quick-order?isQuickPaste=true" TargetMode="External"/><Relationship Id="rId230" Type="http://schemas.openxmlformats.org/officeDocument/2006/relationships/hyperlink" Target="https://uk.rs-online.com/web/mylists/manualQuotes.html?method=showEnquiryCreationPage&amp;mode=new" TargetMode="External"/><Relationship Id="rId231" Type="http://schemas.openxmlformats.org/officeDocument/2006/relationships/hyperlink" Target="https://www.tme.eu/en/Profile/QuickBuy/load.html" TargetMode="External"/><Relationship Id="rId232" Type="http://schemas.openxmlformats.org/officeDocument/2006/relationships/vmlDrawing" Target="../drawings/vmlDrawing1.vml"/><Relationship Id="rId23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99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228</v>
      </c>
      <c r="B1" s="2" t="s">
        <v>229</v>
      </c>
      <c r="I1" s="3" t="s">
        <v>234</v>
      </c>
      <c r="J1" s="3">
        <v>100</v>
      </c>
    </row>
    <row r="2" spans="1:50">
      <c r="A2" s="1" t="s">
        <v>230</v>
      </c>
      <c r="B2" s="2" t="s">
        <v>231</v>
      </c>
      <c r="I2" s="1" t="s">
        <v>236</v>
      </c>
      <c r="J2" s="4">
        <f>TotalCost/BoardQty</f>
        <v>0</v>
      </c>
    </row>
    <row r="3" spans="1:50">
      <c r="A3" s="1" t="s">
        <v>232</v>
      </c>
      <c r="B3" s="2" t="s">
        <v>233</v>
      </c>
      <c r="I3" s="1" t="s">
        <v>235</v>
      </c>
      <c r="J3" s="5">
        <f>SUM(J7:J51)</f>
        <v>0</v>
      </c>
      <c r="N3" s="5">
        <f>SUM(N7:N51)</f>
        <v>0</v>
      </c>
      <c r="O3" s="6">
        <f>(COUNTA(N7:N51)&amp;" of "&amp;ROWS(N7:N51)&amp;" parts found")</f>
        <v>0</v>
      </c>
      <c r="S3" s="5">
        <f>SUM(S7:S51)</f>
        <v>0</v>
      </c>
      <c r="T3" s="6">
        <f>(COUNTA(S7:S51)&amp;" of "&amp;ROWS(S7:S51)&amp;" parts found")</f>
        <v>0</v>
      </c>
      <c r="X3" s="5">
        <f>SUM(X7:X51)</f>
        <v>0</v>
      </c>
      <c r="Y3" s="6">
        <f>(COUNTA(X7:X51)&amp;" of "&amp;ROWS(X7:X51)&amp;" parts found")</f>
        <v>0</v>
      </c>
      <c r="AC3" s="5">
        <f>SUM(AC7:AC51)</f>
        <v>0</v>
      </c>
      <c r="AD3" s="6">
        <f>(COUNTA(AC7:AC51)&amp;" of "&amp;ROWS(AC7:AC51)&amp;" parts found")</f>
        <v>0</v>
      </c>
      <c r="AH3" s="5">
        <f>SUM(AH7:AH51)</f>
        <v>0</v>
      </c>
      <c r="AI3" s="6">
        <f>(COUNTA(AH7:AH51)&amp;" of "&amp;ROWS(AH7:AH51)&amp;" parts found")</f>
        <v>0</v>
      </c>
      <c r="AM3" s="5">
        <f>SUM(AM7:AM51)</f>
        <v>0</v>
      </c>
      <c r="AN3" s="6">
        <f>(COUNTA(AM7:AM51)&amp;" of "&amp;ROWS(AM7:AM51)&amp;" parts found")</f>
        <v>0</v>
      </c>
      <c r="AR3" s="5">
        <f>SUM(AR7:AR51)</f>
        <v>0</v>
      </c>
      <c r="AS3" s="6">
        <f>(COUNTA(AR7:AR51)&amp;" of "&amp;ROWS(AR7:AR51)&amp;" parts found")</f>
        <v>0</v>
      </c>
      <c r="AW3" s="5">
        <f>SUM(AW7:AW51)</f>
        <v>0</v>
      </c>
      <c r="AX3" s="6">
        <f>(COUNTA(AW7:AW51)&amp;" of "&amp;ROWS(AW7:AW51)&amp;" parts found")</f>
        <v>0</v>
      </c>
    </row>
    <row r="4" spans="1:50">
      <c r="A4" s="1" t="s">
        <v>237</v>
      </c>
      <c r="B4" s="2" t="s">
        <v>238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239</v>
      </c>
      <c r="L5" s="8"/>
      <c r="M5" s="8"/>
      <c r="N5" s="8"/>
      <c r="O5" s="8"/>
      <c r="P5" s="9" t="s">
        <v>244</v>
      </c>
      <c r="Q5" s="9"/>
      <c r="R5" s="9"/>
      <c r="S5" s="9"/>
      <c r="T5" s="9"/>
      <c r="U5" s="10" t="s">
        <v>288</v>
      </c>
      <c r="V5" s="10"/>
      <c r="W5" s="10"/>
      <c r="X5" s="10"/>
      <c r="Y5" s="10"/>
      <c r="Z5" s="11" t="s">
        <v>320</v>
      </c>
      <c r="AA5" s="11"/>
      <c r="AB5" s="11"/>
      <c r="AC5" s="11"/>
      <c r="AD5" s="11"/>
      <c r="AE5" s="12" t="s">
        <v>334</v>
      </c>
      <c r="AF5" s="12"/>
      <c r="AG5" s="12"/>
      <c r="AH5" s="12"/>
      <c r="AI5" s="12"/>
      <c r="AJ5" s="13" t="s">
        <v>372</v>
      </c>
      <c r="AK5" s="13"/>
      <c r="AL5" s="13"/>
      <c r="AM5" s="13"/>
      <c r="AN5" s="13"/>
      <c r="AO5" s="14" t="s">
        <v>405</v>
      </c>
      <c r="AP5" s="14"/>
      <c r="AQ5" s="14"/>
      <c r="AR5" s="14"/>
      <c r="AS5" s="14"/>
      <c r="AT5" s="15" t="s">
        <v>416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240</v>
      </c>
      <c r="L6" s="16" t="s">
        <v>241</v>
      </c>
      <c r="M6" s="16" t="s">
        <v>8</v>
      </c>
      <c r="N6" s="16" t="s">
        <v>9</v>
      </c>
      <c r="O6" s="16" t="s">
        <v>242</v>
      </c>
      <c r="P6" s="16" t="s">
        <v>240</v>
      </c>
      <c r="Q6" s="16" t="s">
        <v>241</v>
      </c>
      <c r="R6" s="16" t="s">
        <v>8</v>
      </c>
      <c r="S6" s="16" t="s">
        <v>9</v>
      </c>
      <c r="T6" s="16" t="s">
        <v>242</v>
      </c>
      <c r="U6" s="16" t="s">
        <v>240</v>
      </c>
      <c r="V6" s="16" t="s">
        <v>241</v>
      </c>
      <c r="W6" s="16" t="s">
        <v>8</v>
      </c>
      <c r="X6" s="16" t="s">
        <v>9</v>
      </c>
      <c r="Y6" s="16" t="s">
        <v>242</v>
      </c>
      <c r="Z6" s="16" t="s">
        <v>240</v>
      </c>
      <c r="AA6" s="16" t="s">
        <v>241</v>
      </c>
      <c r="AB6" s="16" t="s">
        <v>8</v>
      </c>
      <c r="AC6" s="16" t="s">
        <v>9</v>
      </c>
      <c r="AD6" s="16" t="s">
        <v>242</v>
      </c>
      <c r="AE6" s="16" t="s">
        <v>240</v>
      </c>
      <c r="AF6" s="16" t="s">
        <v>241</v>
      </c>
      <c r="AG6" s="16" t="s">
        <v>8</v>
      </c>
      <c r="AH6" s="16" t="s">
        <v>9</v>
      </c>
      <c r="AI6" s="16" t="s">
        <v>242</v>
      </c>
      <c r="AJ6" s="16" t="s">
        <v>240</v>
      </c>
      <c r="AK6" s="16" t="s">
        <v>241</v>
      </c>
      <c r="AL6" s="16" t="s">
        <v>8</v>
      </c>
      <c r="AM6" s="16" t="s">
        <v>9</v>
      </c>
      <c r="AN6" s="16" t="s">
        <v>242</v>
      </c>
      <c r="AO6" s="16" t="s">
        <v>240</v>
      </c>
      <c r="AP6" s="16" t="s">
        <v>241</v>
      </c>
      <c r="AQ6" s="16" t="s">
        <v>8</v>
      </c>
      <c r="AR6" s="16" t="s">
        <v>9</v>
      </c>
      <c r="AS6" s="16" t="s">
        <v>242</v>
      </c>
      <c r="AT6" s="16" t="s">
        <v>240</v>
      </c>
      <c r="AU6" s="16" t="s">
        <v>241</v>
      </c>
      <c r="AV6" s="16" t="s">
        <v>8</v>
      </c>
      <c r="AW6" s="16" t="s">
        <v>9</v>
      </c>
      <c r="AX6" s="16" t="s">
        <v>242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BoardQty*26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2579801</v>
      </c>
      <c r="R7" s="18">
        <f>iferror(lookup(if(Q7="",H7,Q7),{0,1,10,50,100,500,1000,2500,5000,15000},{0.0,0.1,0.034,0.0186,0.0152,0.01086,0.00854,0.00776,0.00714,0.00621}),"")</f>
        <v>0</v>
      </c>
      <c r="S7" s="18">
        <f>iferror(if(Q7="",H7,Q7)*R7,"")</f>
        <v>0</v>
      </c>
      <c r="T7" s="19" t="s">
        <v>245</v>
      </c>
      <c r="U7" s="17">
        <v>120000</v>
      </c>
      <c r="W7" s="18">
        <f>iferror(USD_GBP*lookup(if(V7="",H7,V7),{0,1,10,100,150,500,2500,7500,15000,75000},{0.0,0.0202,0.0202,0.0159,0.0159,0.0076,0.0059,0.0058,0.004,0.0039}),"")</f>
        <v>0</v>
      </c>
      <c r="X7" s="18">
        <f>iferror(if(V7="",H7,V7)*W7,"")</f>
        <v>0</v>
      </c>
      <c r="Y7" s="19" t="s">
        <v>289</v>
      </c>
      <c r="Z7" s="17">
        <v>25800</v>
      </c>
      <c r="AB7" s="18">
        <f>iferror(lookup(if(AA7="",H7,AA7),{0,1,100,1000,3000,10000,50000,100000},{0.0,0.0033,0.0033,0.0024,0.0023,0.0021,0.002,0.002}),"")</f>
        <v>0</v>
      </c>
      <c r="AC7" s="18">
        <f>iferror(if(AA7="",H7,AA7)*AB7,"")</f>
        <v>0</v>
      </c>
      <c r="AD7" s="19" t="s">
        <v>321</v>
      </c>
      <c r="AE7" s="17">
        <v>920775</v>
      </c>
      <c r="AG7" s="18">
        <f>iferror(lookup(if(AF7="",H7,AF7),{0,1,10,50,100,1000,10000},{0.0,0.1,0.018,0.018,0.015,0.009,0.007}),"")</f>
        <v>0</v>
      </c>
      <c r="AH7" s="18">
        <f>iferror(if(AF7="",H7,AF7)*AG7,"")</f>
        <v>0</v>
      </c>
      <c r="AI7" s="19" t="s">
        <v>335</v>
      </c>
      <c r="AJ7" s="17">
        <v>120000</v>
      </c>
      <c r="AL7" s="18">
        <f>iferror(lookup(if(AK7="",H7,AK7),{0,1,10,25,50,100,15000},{0.0,0.034,0.034,0.028,0.021,0.015,0.005}),"")</f>
        <v>0</v>
      </c>
      <c r="AM7" s="18">
        <f>iferror(if(AK7="",H7,AK7)*AL7,"")</f>
        <v>0</v>
      </c>
      <c r="AN7" s="19" t="s">
        <v>373</v>
      </c>
      <c r="AO7" s="17">
        <v>7000</v>
      </c>
      <c r="AQ7" s="18">
        <f>iferror(USD_GBP*lookup(if(AP7="",H7,AP7),{0,1,15000,60000},{0.0,0.004,0.004,0.004}),"")</f>
        <v>0</v>
      </c>
      <c r="AR7" s="18">
        <f>iferror(if(AP7="",H7,AP7)*AQ7,"")</f>
        <v>0</v>
      </c>
      <c r="AS7" s="19" t="s">
        <v>406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21</v>
      </c>
      <c r="F8" s="17" t="s">
        <v>15</v>
      </c>
      <c r="G8" s="17" t="s">
        <v>22</v>
      </c>
      <c r="H8" s="17">
        <f>BoardQty*4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247</v>
      </c>
      <c r="R8" s="18">
        <f>iferror(lookup(if(Q8="",H8,Q8),{0,1,10,50,100,500,1000,2500,5000,10000},{0.0,0.29,0.198,0.119,0.1005,0.06876,0.06084,0.05819,0.0529,0.05026}),"")</f>
        <v>0</v>
      </c>
      <c r="S8" s="18">
        <f>iferror(if(Q8="",H8,Q8)*R8,"")</f>
        <v>0</v>
      </c>
      <c r="T8" s="19" t="s">
        <v>246</v>
      </c>
      <c r="U8" s="17">
        <v>4340</v>
      </c>
      <c r="W8" s="18">
        <f>iferror(USD_GBP*lookup(if(V8="",H8,V8),{0,1,10,100,150,500,2500,5000,10000,50000},{0.0,0.128,0.128,0.0638,0.0638,0.0495,0.0319,0.0292,0.0264,0.022}),"")</f>
        <v>0</v>
      </c>
      <c r="X8" s="18">
        <f>iferror(if(V8="",H8,V8)*W8,"")</f>
        <v>0</v>
      </c>
      <c r="Y8" s="19" t="s">
        <v>290</v>
      </c>
      <c r="Z8" s="17">
        <v>9720</v>
      </c>
      <c r="AB8" s="18">
        <f>iferror(lookup(if(AA8="",H8,AA8),{0,1,10,100,300,1000,5000,10000},{0.0,0.0617,0.0617,0.0494,0.0471,0.0449,0.0439,0.0434}),"")</f>
        <v>0</v>
      </c>
      <c r="AC8" s="18">
        <f>iferror(if(AA8="",H8,AA8)*AB8,"")</f>
        <v>0</v>
      </c>
      <c r="AD8" s="19" t="s">
        <v>322</v>
      </c>
      <c r="AE8" s="20" t="s">
        <v>247</v>
      </c>
      <c r="AG8" s="18">
        <f>iferror(lookup(if(AF8="",H8,AF8),{0,1,10,50,100,1000,10000},{0.0,0.26,0.174,0.174,0.099,0.061,0.043}),"")</f>
        <v>0</v>
      </c>
      <c r="AH8" s="18">
        <f>iferror(if(AF8="",H8,AF8)*AG8,"")</f>
        <v>0</v>
      </c>
      <c r="AI8" s="19" t="s">
        <v>336</v>
      </c>
      <c r="AJ8" s="17">
        <v>4340</v>
      </c>
      <c r="AL8" s="18">
        <f>iferror(lookup(if(AK8="",H8,AK8),{0,1,10,25,50,100},{0.0,0.174,0.174,0.149,0.124,0.099}),"")</f>
        <v>0</v>
      </c>
      <c r="AM8" s="18">
        <f>iferror(if(AK8="",H8,AK8)*AL8,"")</f>
        <v>0</v>
      </c>
      <c r="AN8" s="19" t="s">
        <v>374</v>
      </c>
    </row>
    <row r="9" spans="1:50">
      <c r="A9" s="17" t="s">
        <v>24</v>
      </c>
      <c r="B9" s="17" t="s">
        <v>25</v>
      </c>
      <c r="C9" s="17" t="s">
        <v>26</v>
      </c>
      <c r="D9" s="17" t="s">
        <v>29</v>
      </c>
      <c r="E9" s="17" t="s">
        <v>27</v>
      </c>
      <c r="F9" s="17" t="s">
        <v>15</v>
      </c>
      <c r="G9" s="17" t="s">
        <v>28</v>
      </c>
      <c r="H9" s="17">
        <f>BoardQty*2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623451</v>
      </c>
      <c r="R9" s="18">
        <f>iferror(lookup(if(Q9="",H9,Q9),{0,1,10,50,100,500,1000,4000},{0.0,0.54,0.381,0.2884,0.2512,0.18608,0.15816,0.13955}),"")</f>
        <v>0</v>
      </c>
      <c r="S9" s="18">
        <f>iferror(if(Q9="",H9,Q9)*R9,"")</f>
        <v>0</v>
      </c>
      <c r="T9" s="19" t="s">
        <v>248</v>
      </c>
      <c r="U9" s="20" t="s">
        <v>247</v>
      </c>
      <c r="W9" s="18">
        <f>iferror(USD_GBP*lookup(if(V9="",H9,V9),{0,1,10,100,150,500,1000,2000,4000,20000},{0.0,0.287,0.287,0.179,0.179,0.135,0.116,0.0956,0.0797,0.0683}),"")</f>
        <v>0</v>
      </c>
      <c r="X9" s="18">
        <f>iferror(if(V9="",H9,V9)*W9,"")</f>
        <v>0</v>
      </c>
      <c r="Y9" s="19" t="s">
        <v>291</v>
      </c>
      <c r="AE9" s="17">
        <v>901015</v>
      </c>
      <c r="AG9" s="18">
        <f>iferror(lookup(if(AF9="",H9,AF9),{0,1,10,50,100,1000,10000},{0.0,0.52,0.276,0.276,0.241,0.152,0.133}),"")</f>
        <v>0</v>
      </c>
      <c r="AH9" s="18">
        <f>iferror(if(AF9="",H9,AF9)*AG9,"")</f>
        <v>0</v>
      </c>
      <c r="AI9" s="19" t="s">
        <v>337</v>
      </c>
      <c r="AJ9" s="20" t="s">
        <v>247</v>
      </c>
      <c r="AL9" s="18">
        <f>iferror(lookup(if(AK9="",H9,AK9),{0,1,10,25,50,100,4000,8000},{0.0,0.42,0.42,0.372,0.324,0.276,0.117,0.113}),"")</f>
        <v>0</v>
      </c>
      <c r="AM9" s="18">
        <f>iferror(if(AK9="",H9,AK9)*AL9,"")</f>
        <v>0</v>
      </c>
      <c r="AN9" s="19" t="s">
        <v>375</v>
      </c>
    </row>
    <row r="10" spans="1:50">
      <c r="A10" s="17" t="s">
        <v>30</v>
      </c>
      <c r="B10" s="17" t="s">
        <v>31</v>
      </c>
      <c r="C10" s="17" t="s">
        <v>26</v>
      </c>
      <c r="D10" s="17" t="s">
        <v>32</v>
      </c>
      <c r="E10" s="17" t="s">
        <v>27</v>
      </c>
      <c r="F10" s="17" t="s">
        <v>15</v>
      </c>
      <c r="G10" s="17" t="s">
        <v>28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623451</v>
      </c>
      <c r="R10" s="18">
        <f>iferror(lookup(if(Q10="",H10,Q10),{0,1,10,50,100,500,1000,4000},{0.0,0.54,0.381,0.2884,0.2512,0.18608,0.15816,0.13955}),"")</f>
        <v>0</v>
      </c>
      <c r="S10" s="18">
        <f>iferror(if(Q10="",H10,Q10)*R10,"")</f>
        <v>0</v>
      </c>
      <c r="T10" s="19" t="s">
        <v>248</v>
      </c>
      <c r="U10" s="20" t="s">
        <v>247</v>
      </c>
      <c r="W10" s="18">
        <f>iferror(USD_GBP*lookup(if(V10="",H10,V10),{0,1,10,100,150,500,1000,2000,4000,20000},{0.0,0.287,0.287,0.179,0.179,0.135,0.116,0.0956,0.0797,0.0683}),"")</f>
        <v>0</v>
      </c>
      <c r="X10" s="18">
        <f>iferror(if(V10="",H10,V10)*W10,"")</f>
        <v>0</v>
      </c>
      <c r="Y10" s="19" t="s">
        <v>291</v>
      </c>
      <c r="AE10" s="17">
        <v>901015</v>
      </c>
      <c r="AG10" s="18">
        <f>iferror(lookup(if(AF10="",H10,AF10),{0,1,10,50,100,1000,10000},{0.0,0.52,0.276,0.276,0.241,0.152,0.133}),"")</f>
        <v>0</v>
      </c>
      <c r="AH10" s="18">
        <f>iferror(if(AF10="",H10,AF10)*AG10,"")</f>
        <v>0</v>
      </c>
      <c r="AI10" s="19" t="s">
        <v>337</v>
      </c>
      <c r="AJ10" s="20" t="s">
        <v>247</v>
      </c>
      <c r="AL10" s="18">
        <f>iferror(lookup(if(AK10="",H10,AK10),{0,1,10,25,50,100,4000,8000},{0.0,0.42,0.42,0.372,0.324,0.276,0.117,0.113}),"")</f>
        <v>0</v>
      </c>
      <c r="AM10" s="18">
        <f>iferror(if(AK10="",H10,AK10)*AL10,"")</f>
        <v>0</v>
      </c>
      <c r="AN10" s="19" t="s">
        <v>375</v>
      </c>
    </row>
    <row r="11" spans="1:50">
      <c r="A11" s="17" t="s">
        <v>33</v>
      </c>
      <c r="B11" s="17" t="s">
        <v>31</v>
      </c>
      <c r="C11" s="17" t="s">
        <v>26</v>
      </c>
      <c r="D11" s="17" t="s">
        <v>35</v>
      </c>
      <c r="E11" s="17" t="s">
        <v>27</v>
      </c>
      <c r="F11" s="17" t="s">
        <v>15</v>
      </c>
      <c r="G11" s="17" t="s">
        <v>34</v>
      </c>
      <c r="H11" s="17">
        <f>BoardQty*1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20" t="s">
        <v>247</v>
      </c>
      <c r="R11" s="18">
        <f>iferror(lookup(if(Q11="",H11,Q11),{0,1,10,50,100,500,1000,4000},{0.0,0.48,0.339,0.2566,0.2235,0.16552,0.1407,0.12415}),"")</f>
        <v>0</v>
      </c>
      <c r="S11" s="18">
        <f>iferror(if(Q11="",H11,Q11)*R11,"")</f>
        <v>0</v>
      </c>
      <c r="T11" s="19" t="s">
        <v>249</v>
      </c>
      <c r="U11" s="20" t="s">
        <v>247</v>
      </c>
      <c r="W11" s="18">
        <f>iferror(USD_GBP*lookup(if(V11="",H11,V11),{0,1,10,100,150,500,1000,2000,4000,20000},{0.0,0.288,0.288,0.18,0.18,0.136,0.116,0.096,0.08,0.0686}),"")</f>
        <v>0</v>
      </c>
      <c r="X11" s="18">
        <f>iferror(if(V11="",H11,V11)*W11,"")</f>
        <v>0</v>
      </c>
      <c r="Y11" s="19" t="s">
        <v>292</v>
      </c>
      <c r="Z11" s="17">
        <v>7140</v>
      </c>
      <c r="AB11" s="18">
        <f>iferror(lookup(if(AA11="",H11,AA11),{0,1,5,50,150,500,2500,5000},{0.0,0.116,0.116,0.0928,0.0886,0.0843,0.0824,0.0815}),"")</f>
        <v>0</v>
      </c>
      <c r="AC11" s="18">
        <f>iferror(if(AA11="",H11,AA11)*AB11,"")</f>
        <v>0</v>
      </c>
      <c r="AD11" s="19" t="s">
        <v>323</v>
      </c>
      <c r="AE11" s="20" t="s">
        <v>247</v>
      </c>
      <c r="AG11" s="18">
        <f>iferror(lookup(if(AF11="",H11,AF11),{0,1,10,50,100,1000,10000},{0.0,0.54,0.39,0.39,0.257,0.162,0.126}),"")</f>
        <v>0</v>
      </c>
      <c r="AH11" s="18">
        <f>iferror(if(AF11="",H11,AF11)*AG11,"")</f>
        <v>0</v>
      </c>
      <c r="AI11" s="19" t="s">
        <v>338</v>
      </c>
      <c r="AJ11" s="20" t="s">
        <v>247</v>
      </c>
      <c r="AL11" s="18">
        <f>iferror(lookup(if(AK11="",H11,AK11),{0,1,10,25,50,100,250},{0.0,0.39,0.39,0.346,0.301,0.257,0.228}),"")</f>
        <v>0</v>
      </c>
      <c r="AM11" s="18">
        <f>iferror(if(AK11="",H11,AK11)*AL11,"")</f>
        <v>0</v>
      </c>
      <c r="AN11" s="19" t="s">
        <v>376</v>
      </c>
    </row>
    <row r="12" spans="1:50">
      <c r="A12" s="17" t="s">
        <v>36</v>
      </c>
      <c r="B12" s="17" t="s">
        <v>19</v>
      </c>
      <c r="C12" s="17" t="s">
        <v>37</v>
      </c>
      <c r="D12" s="17" t="s">
        <v>39</v>
      </c>
      <c r="E12" s="17" t="s">
        <v>14</v>
      </c>
      <c r="F12" s="17" t="s">
        <v>15</v>
      </c>
      <c r="G12" s="17" t="s">
        <v>38</v>
      </c>
      <c r="H12" s="17">
        <f>BoardQty*5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20" t="s">
        <v>247</v>
      </c>
      <c r="R12" s="18">
        <f>iferror(lookup(if(Q12="",H12,Q12),{0,1,10,50,100,500,1000,2500,5000,15000},{0.0,0.25,0.172,0.115,0.0978,0.069,0.06038,0.0575,0.05319,0.04773}),"")</f>
        <v>0</v>
      </c>
      <c r="S12" s="18">
        <f>iferror(if(Q12="",H12,Q12)*R12,"")</f>
        <v>0</v>
      </c>
      <c r="T12" s="19" t="s">
        <v>250</v>
      </c>
      <c r="U12" s="20" t="s">
        <v>247</v>
      </c>
      <c r="W12" s="18">
        <f>iferror(USD_GBP*lookup(if(V12="",H12,V12),{0,1,10,100,150,500,2500,7500,15000,75000},{0.0,0.218,0.218,0.137,0.137,0.103,0.0727,0.0606,0.0594,0.051}),"")</f>
        <v>0</v>
      </c>
      <c r="X12" s="18">
        <f>iferror(if(V12="",H12,V12)*W12,"")</f>
        <v>0</v>
      </c>
      <c r="Y12" s="19" t="s">
        <v>293</v>
      </c>
      <c r="AE12" s="20" t="s">
        <v>247</v>
      </c>
      <c r="AG12" s="18">
        <f>iferror(lookup(if(AF12="",H12,AF12),{0,1,10,50,100,1000,10000},{0.0,0.24,0.11,0.11,0.094,0.058,0.051}),"")</f>
        <v>0</v>
      </c>
      <c r="AH12" s="18">
        <f>iferror(if(AF12="",H12,AF12)*AG12,"")</f>
        <v>0</v>
      </c>
      <c r="AI12" s="19" t="s">
        <v>339</v>
      </c>
      <c r="AJ12" s="20" t="s">
        <v>247</v>
      </c>
      <c r="AL12" s="18">
        <f>iferror(lookup(if(AK12="",H12,AK12),{0,1,10,25,50,100,15000},{0.0,0.121,0.121,0.113,0.105,0.097,0.053}),"")</f>
        <v>0</v>
      </c>
      <c r="AM12" s="18">
        <f>iferror(if(AK12="",H12,AK12)*AL12,"")</f>
        <v>0</v>
      </c>
      <c r="AN12" s="19" t="s">
        <v>377</v>
      </c>
    </row>
    <row r="13" spans="1:50">
      <c r="A13" s="17" t="s">
        <v>40</v>
      </c>
      <c r="B13" s="17" t="s">
        <v>41</v>
      </c>
      <c r="C13" s="17" t="s">
        <v>42</v>
      </c>
      <c r="E13" s="17" t="s">
        <v>14</v>
      </c>
      <c r="F13" s="17" t="s">
        <v>15</v>
      </c>
      <c r="G13" s="17" t="s">
        <v>16</v>
      </c>
      <c r="H13" s="17">
        <f>BoardQty*6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2579801</v>
      </c>
      <c r="R13" s="18">
        <f>iferror(lookup(if(Q13="",H13,Q13),{0,1,10,50,100,500,1000,2500,5000,15000},{0.0,0.1,0.034,0.0186,0.0152,0.01086,0.00854,0.00776,0.00714,0.00621}),"")</f>
        <v>0</v>
      </c>
      <c r="S13" s="18">
        <f>iferror(if(Q13="",H13,Q13)*R13,"")</f>
        <v>0</v>
      </c>
      <c r="T13" s="19" t="s">
        <v>245</v>
      </c>
      <c r="U13" s="17">
        <v>120000</v>
      </c>
      <c r="W13" s="18">
        <f>iferror(USD_GBP*lookup(if(V13="",H13,V13),{0,1,10,100,150,500,2500,7500,15000,75000},{0.0,0.0202,0.0202,0.0159,0.0159,0.0076,0.0059,0.0058,0.004,0.0039}),"")</f>
        <v>0</v>
      </c>
      <c r="X13" s="18">
        <f>iferror(if(V13="",H13,V13)*W13,"")</f>
        <v>0</v>
      </c>
      <c r="Y13" s="19" t="s">
        <v>289</v>
      </c>
      <c r="Z13" s="17">
        <v>25800</v>
      </c>
      <c r="AB13" s="18">
        <f>iferror(lookup(if(AA13="",H13,AA13),{0,1,100,1000,3000,10000,50000,100000},{0.0,0.0033,0.0033,0.0024,0.0023,0.0021,0.002,0.002}),"")</f>
        <v>0</v>
      </c>
      <c r="AC13" s="18">
        <f>iferror(if(AA13="",H13,AA13)*AB13,"")</f>
        <v>0</v>
      </c>
      <c r="AD13" s="19" t="s">
        <v>321</v>
      </c>
      <c r="AE13" s="17">
        <v>920775</v>
      </c>
      <c r="AG13" s="18">
        <f>iferror(lookup(if(AF13="",H13,AF13),{0,1,10,50,100,1000,10000},{0.0,0.1,0.018,0.018,0.015,0.009,0.007}),"")</f>
        <v>0</v>
      </c>
      <c r="AH13" s="18">
        <f>iferror(if(AF13="",H13,AF13)*AG13,"")</f>
        <v>0</v>
      </c>
      <c r="AI13" s="19" t="s">
        <v>335</v>
      </c>
      <c r="AJ13" s="17">
        <v>120000</v>
      </c>
      <c r="AL13" s="18">
        <f>iferror(lookup(if(AK13="",H13,AK13),{0,1,10,25,50,100,15000},{0.0,0.034,0.034,0.028,0.021,0.015,0.005}),"")</f>
        <v>0</v>
      </c>
      <c r="AM13" s="18">
        <f>iferror(if(AK13="",H13,AK13)*AL13,"")</f>
        <v>0</v>
      </c>
      <c r="AN13" s="19" t="s">
        <v>373</v>
      </c>
      <c r="AO13" s="17">
        <v>7000</v>
      </c>
      <c r="AQ13" s="18">
        <f>iferror(USD_GBP*lookup(if(AP13="",H13,AP13),{0,1,15000,60000},{0.0,0.004,0.004,0.004}),"")</f>
        <v>0</v>
      </c>
      <c r="AR13" s="18">
        <f>iferror(if(AP13="",H13,AP13)*AQ13,"")</f>
        <v>0</v>
      </c>
      <c r="AS13" s="19" t="s">
        <v>406</v>
      </c>
    </row>
    <row r="14" spans="1:50">
      <c r="A14" s="17" t="s">
        <v>43</v>
      </c>
      <c r="B14" s="17" t="s">
        <v>19</v>
      </c>
      <c r="C14" s="17" t="s">
        <v>44</v>
      </c>
      <c r="D14" s="17" t="s">
        <v>46</v>
      </c>
      <c r="E14" s="17" t="s">
        <v>14</v>
      </c>
      <c r="F14" s="17" t="s">
        <v>15</v>
      </c>
      <c r="G14" s="17" t="s">
        <v>45</v>
      </c>
      <c r="H14" s="17">
        <f>BoardQty*22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20" t="s">
        <v>247</v>
      </c>
      <c r="R14" s="18">
        <f>iferror(lookup(if(Q14="",H14,Q14),{0,1,10,50,100,500,1000,2500,5000,10000},{0.0,0.44,0.307,0.215,0.1842,0.13818,0.11668,0.11054,0.1044,0.09826}),"")</f>
        <v>0</v>
      </c>
      <c r="S14" s="18">
        <f>iferror(if(Q14="",H14,Q14)*R14,"")</f>
        <v>0</v>
      </c>
      <c r="T14" s="19" t="s">
        <v>251</v>
      </c>
      <c r="U14" s="20" t="s">
        <v>247</v>
      </c>
      <c r="W14" s="18">
        <f>iferror(USD_GBP*lookup(if(V14="",H14,V14),{0,1,10,100,150,500,2500,5000,10000,50000},{0.0,0.187,0.187,0.151,0.151,0.0842,0.0797,0.074,0.0718,0.0615}),"")</f>
        <v>0</v>
      </c>
      <c r="X14" s="18">
        <f>iferror(if(V14="",H14,V14)*W14,"")</f>
        <v>0</v>
      </c>
      <c r="Y14" s="19" t="s">
        <v>294</v>
      </c>
      <c r="Z14" s="17">
        <v>267315</v>
      </c>
      <c r="AB14" s="18">
        <f>iferror(lookup(if(AA14="",H14,AA14),{0,1,5,50,150,500,2500,5000},{0.0,0.1209,0.1209,0.0881,0.0821,0.0761,0.0734,0.0721}),"")</f>
        <v>0</v>
      </c>
      <c r="AC14" s="18">
        <f>iferror(if(AA14="",H14,AA14)*AB14,"")</f>
        <v>0</v>
      </c>
      <c r="AD14" s="19" t="s">
        <v>324</v>
      </c>
      <c r="AE14" s="20" t="s">
        <v>247</v>
      </c>
      <c r="AG14" s="18">
        <f>iferror(lookup(if(AF14="",H14,AF14),{0,1,10,50,100,1000,10000},{0.0,0.42,0.206,0.206,0.177,0.112,0.094}),"")</f>
        <v>0</v>
      </c>
      <c r="AH14" s="18">
        <f>iferror(if(AF14="",H14,AF14)*AG14,"")</f>
        <v>0</v>
      </c>
      <c r="AI14" s="19" t="s">
        <v>340</v>
      </c>
      <c r="AJ14" s="20" t="s">
        <v>247</v>
      </c>
      <c r="AL14" s="18">
        <f>iferror(lookup(if(AK14="",H14,AK14),{0,1,10,25,50,100,10000},{0.0,0.227,0.227,0.216,0.205,0.194,0.11}),"")</f>
        <v>0</v>
      </c>
      <c r="AM14" s="18">
        <f>iferror(if(AK14="",H14,AK14)*AL14,"")</f>
        <v>0</v>
      </c>
      <c r="AN14" s="19" t="s">
        <v>378</v>
      </c>
    </row>
    <row r="15" spans="1:50">
      <c r="A15" s="17" t="s">
        <v>47</v>
      </c>
      <c r="B15" s="17" t="s">
        <v>48</v>
      </c>
      <c r="C15" s="17" t="s">
        <v>49</v>
      </c>
      <c r="E15" s="17" t="s">
        <v>50</v>
      </c>
      <c r="F15" s="17" t="s">
        <v>51</v>
      </c>
      <c r="G15" s="17" t="s">
        <v>52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8452</v>
      </c>
      <c r="R15" s="18">
        <f>iferror(lookup(if(Q15="",H15,Q15),{0,1,10,100,500,1000,2000,8000,16000},{0.0,0.4,0.3,0.17,0.11258,0.08631,0.07505,0.06754,0.06195}),"")</f>
        <v>0</v>
      </c>
      <c r="S15" s="18">
        <f>iferror(if(Q15="",H15,Q15)*R15,"")</f>
        <v>0</v>
      </c>
      <c r="T15" s="19" t="s">
        <v>252</v>
      </c>
      <c r="U15" s="17">
        <v>7740</v>
      </c>
      <c r="W15" s="18">
        <f>iferror(USD_GBP*lookup(if(V15="",H15,V15),{0,1,5,10,100,500,8000},{0.0,0.381,0.381,0.264,0.125,0.0588,0.05}),"")</f>
        <v>0</v>
      </c>
      <c r="X15" s="18">
        <f>iferror(if(V15="",H15,V15)*W15,"")</f>
        <v>0</v>
      </c>
      <c r="Y15" s="19" t="s">
        <v>295</v>
      </c>
      <c r="AE15" s="17">
        <v>6160</v>
      </c>
      <c r="AG15" s="18">
        <f>iferror(lookup(if(AF15="",H15,AF15),{0,1,10,50,100,1000,10000},{0.0,0.4,0.3,0.3,0.17,0.087,0.06}),"")</f>
        <v>0</v>
      </c>
      <c r="AH15" s="18">
        <f>iferror(if(AF15="",H15,AF15)*AG15,"")</f>
        <v>0</v>
      </c>
      <c r="AI15" s="19" t="s">
        <v>341</v>
      </c>
      <c r="AJ15" s="17">
        <v>7740</v>
      </c>
      <c r="AL15" s="18">
        <f>iferror(lookup(if(AK15="",H15,AK15),{0,1,5,10,100,8000,24000,64000},{0.0,0.438,0.438,0.308,0.156,0.057,0.055,0.052}),"")</f>
        <v>0</v>
      </c>
      <c r="AM15" s="18">
        <f>iferror(if(AK15="",H15,AK15)*AL15,"")</f>
        <v>0</v>
      </c>
      <c r="AN15" s="19" t="s">
        <v>379</v>
      </c>
    </row>
    <row r="16" spans="1:50">
      <c r="A16" s="17" t="s">
        <v>53</v>
      </c>
      <c r="B16" s="17" t="s">
        <v>54</v>
      </c>
      <c r="C16" s="17" t="s">
        <v>55</v>
      </c>
      <c r="E16" s="17" t="s">
        <v>56</v>
      </c>
      <c r="F16" s="17" t="s">
        <v>57</v>
      </c>
      <c r="G16" s="17" t="s">
        <v>58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3000</v>
      </c>
      <c r="R16" s="18">
        <f>iferror(lookup(if(Q16="",H16,Q16),{0,1,10,100,500,1000,3000,6000},{0.0,0.55,0.474,0.3542,0.2783,0.21505,0.19607,0.19205}),"")</f>
        <v>0</v>
      </c>
      <c r="S16" s="18">
        <f>iferror(if(Q16="",H16,Q16)*R16,"")</f>
        <v>0</v>
      </c>
      <c r="T16" s="19" t="s">
        <v>253</v>
      </c>
      <c r="AE16" s="17">
        <v>2192</v>
      </c>
      <c r="AG16" s="18">
        <f>iferror(lookup(if(AF16="",H16,AF16),{0,1,10,50,100,1000,10000},{0.0,0.5,0.403,0.403,0.288,0.173,0.161}),"")</f>
        <v>0</v>
      </c>
      <c r="AH16" s="18">
        <f>iferror(if(AF16="",H16,AF16)*AG16,"")</f>
        <v>0</v>
      </c>
      <c r="AI16" s="19" t="s">
        <v>342</v>
      </c>
      <c r="AJ16" s="17">
        <v>9000</v>
      </c>
      <c r="AL16" s="18">
        <f>iferror(lookup(if(AK16="",H16,AK16),{0,1,3000,6000,12000,18000,30000},{0.0,0.17,0.17,0.166,0.162,0.158,0.154}),"")</f>
        <v>0</v>
      </c>
      <c r="AM16" s="18">
        <f>iferror(if(AK16="",H16,AK16)*AL16,"")</f>
        <v>0</v>
      </c>
      <c r="AN16" s="19" t="s">
        <v>380</v>
      </c>
      <c r="AO16" s="17">
        <v>10820</v>
      </c>
      <c r="AQ16" s="18">
        <f>iferror(USD_GBP*lookup(if(AP16="",H16,AP16),{0,1,3000,6000,9000},{0.0,0.089,0.089,0.123,0.117}),"")</f>
        <v>0</v>
      </c>
      <c r="AR16" s="18">
        <f>iferror(if(AP16="",H16,AP16)*AQ16,"")</f>
        <v>0</v>
      </c>
      <c r="AS16" s="19" t="s">
        <v>407</v>
      </c>
    </row>
    <row r="17" spans="1:50">
      <c r="A17" s="17" t="s">
        <v>59</v>
      </c>
      <c r="B17" s="17" t="s">
        <v>60</v>
      </c>
      <c r="C17" s="17" t="s">
        <v>61</v>
      </c>
      <c r="E17" s="17" t="s">
        <v>62</v>
      </c>
      <c r="F17" s="17" t="s">
        <v>63</v>
      </c>
      <c r="G17" s="17" t="s">
        <v>64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24969</v>
      </c>
      <c r="R17" s="18">
        <f>iferror(lookup(if(Q17="",H17,Q17),{0,1,10,100,500,1000,2000,5000,10000,25000},{0.0,0.45,0.336,0.209,0.143,0.11,0.099,0.0935,0.08525,0.0835}),"")</f>
        <v>0</v>
      </c>
      <c r="S17" s="18">
        <f>iferror(if(Q17="",H17,Q17)*R17,"")</f>
        <v>0</v>
      </c>
      <c r="T17" s="19" t="s">
        <v>254</v>
      </c>
      <c r="AE17" s="17">
        <v>12139</v>
      </c>
      <c r="AG17" s="18">
        <f>iferror(lookup(if(AF17="",H17,AF17),{0,1,10,50,100,1000,10000},{0.0,0.43,0.305,0.305,0.154,0.095,0.082}),"")</f>
        <v>0</v>
      </c>
      <c r="AH17" s="18">
        <f>iferror(if(AF17="",H17,AF17)*AG17,"")</f>
        <v>0</v>
      </c>
      <c r="AI17" s="19" t="s">
        <v>343</v>
      </c>
      <c r="AO17" s="17">
        <v>4800</v>
      </c>
      <c r="AQ17" s="18">
        <f>iferror(USD_GBP*lookup(if(AP17="",H17,AP17),{0,1,5000},{0.0,0.066,0.066}),"")</f>
        <v>0</v>
      </c>
      <c r="AR17" s="18">
        <f>iferror(if(AP17="",H17,AP17)*AQ17,"")</f>
        <v>0</v>
      </c>
      <c r="AS17" s="19" t="s">
        <v>408</v>
      </c>
    </row>
    <row r="18" spans="1:50">
      <c r="A18" s="17" t="s">
        <v>65</v>
      </c>
      <c r="B18" s="17" t="s">
        <v>66</v>
      </c>
      <c r="C18" s="17" t="s">
        <v>67</v>
      </c>
      <c r="E18" s="17" t="s">
        <v>68</v>
      </c>
      <c r="F18" s="17" t="s">
        <v>69</v>
      </c>
      <c r="G18" s="17" t="s">
        <v>70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20" t="s">
        <v>247</v>
      </c>
      <c r="R18" s="18">
        <f>iferror(lookup(if(Q18="",H18,Q18),{0,1,10,100,500,1000,2000,8000,16000,24000,56000},{0.0,0.51,0.382,0.2163,0.14322,0.1098,0.09548,0.08593,0.07638,0.07161,0.0651}),"")</f>
        <v>0</v>
      </c>
      <c r="S18" s="18">
        <f>iferror(if(Q18="",H18,Q18)*R18,"")</f>
        <v>0</v>
      </c>
      <c r="T18" s="19" t="s">
        <v>255</v>
      </c>
      <c r="U18" s="20" t="s">
        <v>247</v>
      </c>
      <c r="W18" s="18">
        <f>iferror(USD_GBP*lookup(if(V18="",H18,V18),{0,1,5,10,100,500,1000},{0.0,0.481,0.481,0.311,0.155,0.119,0.0725}),"")</f>
        <v>0</v>
      </c>
      <c r="X18" s="18">
        <f>iferror(if(V18="",H18,V18)*W18,"")</f>
        <v>0</v>
      </c>
      <c r="Y18" s="19" t="s">
        <v>296</v>
      </c>
      <c r="AE18" s="20" t="s">
        <v>247</v>
      </c>
      <c r="AG18" s="18">
        <f>iferror(lookup(if(AF18="",H18,AF18),{0,1,10,50,100,1000,10000},{0.0,0.44,0.314,0.314,0.178,0.095,0.071}),"")</f>
        <v>0</v>
      </c>
      <c r="AH18" s="18">
        <f>iferror(if(AF18="",H18,AF18)*AG18,"")</f>
        <v>0</v>
      </c>
      <c r="AI18" s="19" t="s">
        <v>344</v>
      </c>
      <c r="AJ18" s="20" t="s">
        <v>247</v>
      </c>
      <c r="AL18" s="18">
        <f>iferror(lookup(if(AK18="",H18,AK18),{0,1,5,10,100,500,1000,2500},{0.0,0.544,0.544,0.38,0.182,0.162,0.142,0.124}),"")</f>
        <v>0</v>
      </c>
      <c r="AM18" s="18">
        <f>iferror(if(AK18="",H18,AK18)*AL18,"")</f>
        <v>0</v>
      </c>
      <c r="AN18" s="19" t="s">
        <v>381</v>
      </c>
    </row>
    <row r="19" spans="1:50">
      <c r="A19" s="17" t="s">
        <v>71</v>
      </c>
      <c r="B19" s="17" t="s">
        <v>72</v>
      </c>
      <c r="C19" s="17" t="s">
        <v>73</v>
      </c>
      <c r="D19" s="17" t="s">
        <v>75</v>
      </c>
      <c r="E19" s="17" t="s">
        <v>72</v>
      </c>
      <c r="F19" s="17" t="s">
        <v>74</v>
      </c>
      <c r="G19" s="17" t="s">
        <v>72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17423</v>
      </c>
      <c r="R19" s="18">
        <f>iferror(lookup(if(Q19="",H19,Q19),{0,1,10,100,1000,2000,6000},{0.0,0.72,0.475,0.3145,0.24282,0.21942,0.207}),"")</f>
        <v>0</v>
      </c>
      <c r="S19" s="18">
        <f>iferror(if(Q19="",H19,Q19)*R19,"")</f>
        <v>0</v>
      </c>
      <c r="T19" s="19" t="s">
        <v>256</v>
      </c>
      <c r="U19" s="20" t="s">
        <v>247</v>
      </c>
      <c r="W19" s="18">
        <f>iferror(USD_GBP*lookup(if(V19="",H19,V19),{0,1,10,100,500},{0.0,0.683,0.451,0.347,0.299}),"")</f>
        <v>0</v>
      </c>
      <c r="X19" s="18">
        <f>iferror(if(V19="",H19,V19)*W19,"")</f>
        <v>0</v>
      </c>
      <c r="Y19" s="19" t="s">
        <v>297</v>
      </c>
      <c r="AE19" s="20" t="s">
        <v>247</v>
      </c>
      <c r="AG19" s="18">
        <f>iferror(lookup(if(AF19="",H19,AF19),{0,1,10,50,100,1000,10000},{0.0,0.68,0.441,0.441,0.289,0.228,0.186}),"")</f>
        <v>0</v>
      </c>
      <c r="AH19" s="18">
        <f>iferror(if(AF19="",H19,AF19)*AG19,"")</f>
        <v>0</v>
      </c>
      <c r="AI19" s="19" t="s">
        <v>345</v>
      </c>
      <c r="AJ19" s="20" t="s">
        <v>247</v>
      </c>
      <c r="AL19" s="18">
        <f>iferror(lookup(if(AK19="",H19,AK19),{0,1,10000},{0.0,0.222,0.222}),"")</f>
        <v>0</v>
      </c>
      <c r="AM19" s="18">
        <f>iferror(if(AK19="",H19,AK19)*AL19,"")</f>
        <v>0</v>
      </c>
      <c r="AN19" s="19" t="s">
        <v>382</v>
      </c>
      <c r="AT19" s="20" t="s">
        <v>247</v>
      </c>
      <c r="AV19" s="18">
        <f>iferror(USD_GBP*lookup(if(AU19="",H19,AU19),{0,1,5,25,100,500},{0.0,0.5821,0.2619,0.2037,0.1732,0.1579}),"")</f>
        <v>0</v>
      </c>
      <c r="AW19" s="18">
        <f>iferror(if(AU19="",H19,AU19)*AV19,"")</f>
        <v>0</v>
      </c>
      <c r="AX19" s="19" t="s">
        <v>417</v>
      </c>
    </row>
    <row r="20" spans="1:50">
      <c r="A20" s="17" t="s">
        <v>76</v>
      </c>
      <c r="B20" s="17" t="s">
        <v>77</v>
      </c>
      <c r="C20" s="17" t="s">
        <v>78</v>
      </c>
      <c r="E20" s="17" t="s">
        <v>79</v>
      </c>
      <c r="F20" s="17" t="s">
        <v>15</v>
      </c>
      <c r="G20" s="17" t="s">
        <v>80</v>
      </c>
      <c r="H20" s="17">
        <f>BoardQty*4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20" t="s">
        <v>247</v>
      </c>
      <c r="R20" s="18">
        <f>iferror(lookup(if(Q20="",H20,Q20),{0,1,10,25,50,100,250,500,1000,4000,8000,12000,28000},{0.0,0.1,0.079,0.072,0.0648,0.0475,0.03456,0.03168,0.02736,0.02304,0.02088,0.02016,0.01915}),"")</f>
        <v>0</v>
      </c>
      <c r="S20" s="18">
        <f>iferror(if(Q20="",H20,Q20)*R20,"")</f>
        <v>0</v>
      </c>
      <c r="T20" s="19" t="s">
        <v>257</v>
      </c>
      <c r="U20" s="17">
        <v>4729</v>
      </c>
      <c r="W20" s="18">
        <f>iferror(USD_GBP*lookup(if(V20="",H20,V20),{0,1,10,100,150,500,1000,2000,4000,20000},{0.0,0.0417,0.0417,0.0259,0.0259,0.0186,0.0169,0.0139,0.0124,0.0097}),"")</f>
        <v>0</v>
      </c>
      <c r="X20" s="18">
        <f>iferror(if(V20="",H20,V20)*W20,"")</f>
        <v>0</v>
      </c>
      <c r="Y20" s="19" t="s">
        <v>298</v>
      </c>
      <c r="Z20" s="17">
        <v>56350</v>
      </c>
      <c r="AB20" s="18">
        <f>iferror(lookup(if(AA20="",H20,AA20),{0,1,50,500,1500,5000,25000,50000},{0.0,0.0212,0.0212,0.017,0.0162,0.0154,0.0151,0.0149}),"")</f>
        <v>0</v>
      </c>
      <c r="AC20" s="18">
        <f>iferror(if(AA20="",H20,AA20)*AB20,"")</f>
        <v>0</v>
      </c>
      <c r="AD20" s="19" t="s">
        <v>325</v>
      </c>
      <c r="AE20" s="17">
        <v>6945</v>
      </c>
      <c r="AG20" s="18">
        <f>iferror(lookup(if(AF20="",H20,AF20),{0,1,10,50,100,1000,10000},{0.0,0.1,0.065,0.065,0.039,0.029,0.022}),"")</f>
        <v>0</v>
      </c>
      <c r="AH20" s="18">
        <f>iferror(if(AF20="",H20,AF20)*AG20,"")</f>
        <v>0</v>
      </c>
      <c r="AI20" s="19" t="s">
        <v>346</v>
      </c>
      <c r="AJ20" s="20" t="s">
        <v>247</v>
      </c>
      <c r="AL20" s="18">
        <f>iferror(lookup(if(AK20="",H20,AK20),{0,1,10,25,50,100},{0.0,0.1,0.052,0.046,0.041,0.035}),"")</f>
        <v>0</v>
      </c>
      <c r="AM20" s="18">
        <f>iferror(if(AK20="",H20,AK20)*AL20,"")</f>
        <v>0</v>
      </c>
      <c r="AN20" s="19" t="s">
        <v>383</v>
      </c>
      <c r="AO20" s="17">
        <v>6500</v>
      </c>
      <c r="AQ20" s="18">
        <f>iferror(USD_GBP*lookup(if(AP20="",H20,AP20),{0,1,100,1000,2000,5000,10000},{0.0,0.025,0.025,0.021,0.019,0.016,0.015}),"")</f>
        <v>0</v>
      </c>
      <c r="AR20" s="18">
        <f>iferror(if(AP20="",H20,AP20)*AQ20,"")</f>
        <v>0</v>
      </c>
      <c r="AS20" s="19" t="s">
        <v>409</v>
      </c>
      <c r="AT20" s="17">
        <v>1000</v>
      </c>
      <c r="AV20" s="18">
        <f>iferror(USD_GBP*lookup(if(AU20="",H20,AU20),{0,1,50,250,1000,4000,12000},{0.0,0.02148,0.02148,0.01499,0.01126,0.00953,0.00944}),"")</f>
        <v>0</v>
      </c>
      <c r="AW20" s="18">
        <f>iferror(if(AU20="",H20,AU20)*AV20,"")</f>
        <v>0</v>
      </c>
      <c r="AX20" s="19" t="s">
        <v>80</v>
      </c>
    </row>
    <row r="21" spans="1:50">
      <c r="A21" s="17" t="s">
        <v>81</v>
      </c>
      <c r="B21" s="17" t="s">
        <v>82</v>
      </c>
      <c r="C21" s="17" t="s">
        <v>83</v>
      </c>
      <c r="E21" s="17" t="s">
        <v>84</v>
      </c>
      <c r="F21" s="17" t="s">
        <v>85</v>
      </c>
      <c r="G21" s="17" t="s">
        <v>86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1267</v>
      </c>
      <c r="R21" s="18">
        <f>iferror(lookup(if(Q21="",H21,Q21),{0,1,10,25,50,100,250,500,1300,2600,6500,9100},{0.0,1.96,1.782,1.6724,1.5998,1.5271,1.38168,1.2726,1.0908,1.01808,0.96718,0.94536}),"")</f>
        <v>0</v>
      </c>
      <c r="S21" s="18">
        <f>iferror(if(Q21="",H21,Q21)*R21,"")</f>
        <v>0</v>
      </c>
      <c r="T21" s="19" t="s">
        <v>258</v>
      </c>
      <c r="AE21" s="17">
        <v>453</v>
      </c>
      <c r="AG21" s="18">
        <f>iferror(lookup(if(AF21="",H21,AF21),{0,1,10,50,100,1000,10000},{0.0,1.95,1.59,1.59,1.52,1.27,0.957}),"")</f>
        <v>0</v>
      </c>
      <c r="AH21" s="18">
        <f>iferror(if(AF21="",H21,AF21)*AG21,"")</f>
        <v>0</v>
      </c>
      <c r="AI21" s="19" t="s">
        <v>347</v>
      </c>
    </row>
    <row r="22" spans="1:50">
      <c r="A22" s="17" t="s">
        <v>87</v>
      </c>
      <c r="B22" s="17" t="s">
        <v>88</v>
      </c>
      <c r="C22" s="17" t="s">
        <v>89</v>
      </c>
      <c r="E22" s="17" t="s">
        <v>90</v>
      </c>
      <c r="F22" s="17" t="s">
        <v>91</v>
      </c>
      <c r="G22" s="17" t="s">
        <v>92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964</v>
      </c>
      <c r="R22" s="18">
        <f>iferror(lookup(if(Q22="",H22,Q22),{0,1,10,25,50,100,250,500},{0.0,0.5,0.464,0.418,0.3716,0.356,0.32508,0.3096}),"")</f>
        <v>0</v>
      </c>
      <c r="S22" s="18">
        <f>iferror(if(Q22="",H22,Q22)*R22,"")</f>
        <v>0</v>
      </c>
      <c r="T22" s="19" t="s">
        <v>259</v>
      </c>
    </row>
    <row r="23" spans="1:50">
      <c r="A23" s="17" t="s">
        <v>93</v>
      </c>
      <c r="B23" s="17" t="s">
        <v>94</v>
      </c>
      <c r="C23" s="17" t="s">
        <v>95</v>
      </c>
      <c r="E23" s="17" t="s">
        <v>96</v>
      </c>
      <c r="F23" s="17" t="s">
        <v>91</v>
      </c>
      <c r="G23" s="17" t="s">
        <v>97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14355</v>
      </c>
      <c r="R23" s="18">
        <f>iferror(lookup(if(Q23="",H23,Q23),{0,1,10,100,500,1000,5000,10000},{0.0,0.48,0.448,0.3436,0.2988,0.24651,0.21663,0.20169}),"")</f>
        <v>0</v>
      </c>
      <c r="S23" s="18">
        <f>iferror(if(Q23="",H23,Q23)*R23,"")</f>
        <v>0</v>
      </c>
      <c r="T23" s="19" t="s">
        <v>260</v>
      </c>
    </row>
    <row r="24" spans="1:50">
      <c r="A24" s="17" t="s">
        <v>98</v>
      </c>
      <c r="B24" s="17" t="s">
        <v>88</v>
      </c>
      <c r="C24" s="17" t="s">
        <v>99</v>
      </c>
      <c r="E24" s="17" t="s">
        <v>100</v>
      </c>
      <c r="F24" s="17" t="s">
        <v>91</v>
      </c>
      <c r="G24" s="17" t="s">
        <v>101</v>
      </c>
      <c r="H24" s="17">
        <f>BoardQty*3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3186</v>
      </c>
      <c r="R24" s="18">
        <f>iferror(lookup(if(Q24="",H24,Q24),{0,1,10,25,50,100,250,500},{0.0,0.67,0.628,0.5652,0.5026,0.4816,0.43976,0.4188}),"")</f>
        <v>0</v>
      </c>
      <c r="S24" s="18">
        <f>iferror(if(Q24="",H24,Q24)*R24,"")</f>
        <v>0</v>
      </c>
      <c r="T24" s="19" t="s">
        <v>261</v>
      </c>
    </row>
    <row r="25" spans="1:50">
      <c r="A25" s="17" t="s">
        <v>102</v>
      </c>
      <c r="B25" s="17" t="s">
        <v>103</v>
      </c>
      <c r="C25" s="17" t="s">
        <v>104</v>
      </c>
      <c r="E25" s="17" t="s">
        <v>105</v>
      </c>
      <c r="F25" s="17" t="s">
        <v>69</v>
      </c>
      <c r="G25" s="17" t="s">
        <v>106</v>
      </c>
      <c r="H25" s="17">
        <f>BoardQty*1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20" t="s">
        <v>247</v>
      </c>
      <c r="R25" s="18">
        <f>iferror(lookup(if(Q25="",H25,Q25),{0,1,10000},{0.0,0.03532,0.03532}),"")</f>
        <v>0</v>
      </c>
      <c r="S25" s="18">
        <f>iferror(if(Q25="",H25,Q25)*R25,"")</f>
        <v>0</v>
      </c>
      <c r="T25" s="19" t="s">
        <v>262</v>
      </c>
      <c r="AE25" s="17">
        <v>10000</v>
      </c>
      <c r="AG25" s="18">
        <f>iferror(lookup(if(AF25="",H25,AF25),{0,1,10,50,100,1000,10000},{0.0,0.35,0.243,0.243,0.102,0.069,0.046}),"")</f>
        <v>0</v>
      </c>
      <c r="AH25" s="18">
        <f>iferror(if(AF25="",H25,AF25)*AG25,"")</f>
        <v>0</v>
      </c>
      <c r="AI25" s="19" t="s">
        <v>348</v>
      </c>
    </row>
    <row r="26" spans="1:50">
      <c r="A26" s="17" t="s">
        <v>107</v>
      </c>
      <c r="B26" s="17" t="s">
        <v>108</v>
      </c>
      <c r="C26" s="17" t="s">
        <v>109</v>
      </c>
      <c r="E26" s="17" t="s">
        <v>110</v>
      </c>
      <c r="F26" s="17" t="s">
        <v>111</v>
      </c>
      <c r="G26" s="17" t="s">
        <v>112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105720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19" t="s">
        <v>263</v>
      </c>
      <c r="U26" s="20" t="s">
        <v>247</v>
      </c>
      <c r="W26" s="18">
        <f>iferror(USD_GBP*lookup(if(V26="",H26,V26),{0,1,30000},{0.0,0.0064,0.0064}),"")</f>
        <v>0</v>
      </c>
      <c r="X26" s="18">
        <f>iferror(if(V26="",H26,V26)*W26,"")</f>
        <v>0</v>
      </c>
      <c r="Y26" s="19" t="s">
        <v>299</v>
      </c>
      <c r="AE26" s="17">
        <v>80005</v>
      </c>
      <c r="AG26" s="18">
        <f>iferror(lookup(if(AF26="",H26,AF26),{0,1,10,50,100,1000,10000},{0.0,0.1,0.028,0.028,0.012,0.006,0.003}),"")</f>
        <v>0</v>
      </c>
      <c r="AH26" s="18">
        <f>iferror(if(AF26="",H26,AF26)*AG26,"")</f>
        <v>0</v>
      </c>
      <c r="AI26" s="19" t="s">
        <v>349</v>
      </c>
      <c r="AJ26" s="20" t="s">
        <v>247</v>
      </c>
      <c r="AN26" s="19" t="s">
        <v>384</v>
      </c>
      <c r="AO26" s="17">
        <v>28000</v>
      </c>
      <c r="AQ26" s="18">
        <f>iferror(USD_GBP*lookup(if(AP26="",H26,AP26),{0,1,15000},{0.0,0.004,0.004}),"")</f>
        <v>0</v>
      </c>
      <c r="AR26" s="18">
        <f>iferror(if(AP26="",H26,AP26)*AQ26,"")</f>
        <v>0</v>
      </c>
      <c r="AS26" s="19" t="s">
        <v>410</v>
      </c>
    </row>
    <row r="27" spans="1:50">
      <c r="A27" s="17" t="s">
        <v>113</v>
      </c>
      <c r="B27" s="17" t="s">
        <v>114</v>
      </c>
      <c r="C27" s="17" t="s">
        <v>115</v>
      </c>
      <c r="E27" s="17" t="s">
        <v>110</v>
      </c>
      <c r="F27" s="17" t="s">
        <v>111</v>
      </c>
      <c r="G27" s="17" t="s">
        <v>116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130664</v>
      </c>
      <c r="R27" s="18">
        <f>iferror(lookup(if(Q27="",H27,Q27),{0,1,10,100,1000,2500,5000,15000},{0.0,0.1,0.028,0.0115,0.00518,0.0045,0.00371,0.00323}),"")</f>
        <v>0</v>
      </c>
      <c r="S27" s="18">
        <f>iferror(if(Q27="",H27,Q27)*R27,"")</f>
        <v>0</v>
      </c>
      <c r="T27" s="19" t="s">
        <v>264</v>
      </c>
      <c r="U27" s="20" t="s">
        <v>247</v>
      </c>
      <c r="W27" s="18">
        <f>iferror(USD_GBP*lookup(if(V27="",H27,V27),{0,1,30000},{0.0,0.0046,0.0046}),"")</f>
        <v>0</v>
      </c>
      <c r="X27" s="18">
        <f>iferror(if(V27="",H27,V27)*W27,"")</f>
        <v>0</v>
      </c>
      <c r="Y27" s="19" t="s">
        <v>300</v>
      </c>
      <c r="AE27" s="17">
        <v>24546</v>
      </c>
      <c r="AG27" s="18">
        <f>iferror(lookup(if(AF27="",H27,AF27),{0,1,10,50,100,1000,10000},{0.0,0.1,0.031,0.031,0.014,0.007,0.005}),"")</f>
        <v>0</v>
      </c>
      <c r="AH27" s="18">
        <f>iferror(if(AF27="",H27,AF27)*AG27,"")</f>
        <v>0</v>
      </c>
      <c r="AI27" s="19" t="s">
        <v>350</v>
      </c>
      <c r="AJ27" s="20" t="s">
        <v>247</v>
      </c>
      <c r="AL27" s="18">
        <f>iferror(lookup(if(AK27="",H27,AK27),{0,1,15000,30000},{0.0,0.005,0.005,0.004}),"")</f>
        <v>0</v>
      </c>
      <c r="AM27" s="18">
        <f>iferror(if(AK27="",H27,AK27)*AL27,"")</f>
        <v>0</v>
      </c>
      <c r="AN27" s="19" t="s">
        <v>385</v>
      </c>
      <c r="AO27" s="17">
        <v>38000</v>
      </c>
      <c r="AQ27" s="18">
        <f>iferror(USD_GBP*lookup(if(AP27="",H27,AP27),{0,1,15000},{0.0,0.004,0.004}),"")</f>
        <v>0</v>
      </c>
      <c r="AR27" s="18">
        <f>iferror(if(AP27="",H27,AP27)*AQ27,"")</f>
        <v>0</v>
      </c>
      <c r="AS27" s="19" t="s">
        <v>411</v>
      </c>
    </row>
    <row r="28" spans="1:50">
      <c r="A28" s="17" t="s">
        <v>117</v>
      </c>
      <c r="B28" s="17" t="s">
        <v>118</v>
      </c>
      <c r="C28" s="17" t="s">
        <v>119</v>
      </c>
      <c r="E28" s="17" t="s">
        <v>110</v>
      </c>
      <c r="F28" s="17" t="s">
        <v>111</v>
      </c>
      <c r="G28" s="17" t="s">
        <v>120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5870</v>
      </c>
      <c r="R28" s="18">
        <f>iferror(lookup(if(Q28="",H28,Q28),{0,1,10,100,1000,2500,5000,15000},{0.0,0.1,0.053,0.0217,0.00975,0.00846,0.00699,0.00607}),"")</f>
        <v>0</v>
      </c>
      <c r="S28" s="18">
        <f>iferror(if(Q28="",H28,Q28)*R28,"")</f>
        <v>0</v>
      </c>
      <c r="T28" s="19" t="s">
        <v>265</v>
      </c>
      <c r="U28" s="20" t="s">
        <v>247</v>
      </c>
      <c r="W28" s="18">
        <f>iferror(USD_GBP*lookup(if(V28="",H28,V28),{0,1,30000},{0.0,0.0056,0.0056}),"")</f>
        <v>0</v>
      </c>
      <c r="X28" s="18">
        <f>iferror(if(V28="",H28,V28)*W28,"")</f>
        <v>0</v>
      </c>
      <c r="Y28" s="19" t="s">
        <v>301</v>
      </c>
      <c r="AE28" s="17">
        <v>63697</v>
      </c>
      <c r="AG28" s="18">
        <f>iferror(lookup(if(AF28="",H28,AF28),{0,1,10,50,100,1000,10000},{0.0,0.1,0.051,0.051,0.02,0.009,0.005}),"")</f>
        <v>0</v>
      </c>
      <c r="AH28" s="18">
        <f>iferror(if(AF28="",H28,AF28)*AG28,"")</f>
        <v>0</v>
      </c>
      <c r="AI28" s="19" t="s">
        <v>351</v>
      </c>
    </row>
    <row r="29" spans="1:50">
      <c r="A29" s="17" t="s">
        <v>121</v>
      </c>
      <c r="B29" s="17" t="s">
        <v>122</v>
      </c>
      <c r="C29" s="17" t="s">
        <v>123</v>
      </c>
      <c r="E29" s="17" t="s">
        <v>110</v>
      </c>
      <c r="F29" s="17" t="s">
        <v>111</v>
      </c>
      <c r="G29" s="17" t="s">
        <v>124</v>
      </c>
      <c r="H29" s="17">
        <f>BoardQty*5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115863</v>
      </c>
      <c r="R29" s="18">
        <f>iferror(lookup(if(Q29="",H29,Q29),{0,1,10,100,1000,2500,5000,15000},{0.0,0.1,0.028,0.0115,0.00518,0.0045,0.00371,0.00323}),"")</f>
        <v>0</v>
      </c>
      <c r="S29" s="18">
        <f>iferror(if(Q29="",H29,Q29)*R29,"")</f>
        <v>0</v>
      </c>
      <c r="T29" s="19" t="s">
        <v>266</v>
      </c>
      <c r="U29" s="20" t="s">
        <v>247</v>
      </c>
      <c r="W29" s="18">
        <f>iferror(USD_GBP*lookup(if(V29="",H29,V29),{0,1,10,100,150,500,2500,7500,15000,75000},{0.0,0.04,0.04,0.024,0.024,0.018,0.012,0.009,0.007,0.0046}),"")</f>
        <v>0</v>
      </c>
      <c r="X29" s="18">
        <f>iferror(if(V29="",H29,V29)*W29,"")</f>
        <v>0</v>
      </c>
      <c r="Y29" s="19" t="s">
        <v>302</v>
      </c>
      <c r="AE29" s="20" t="s">
        <v>247</v>
      </c>
      <c r="AG29" s="18">
        <f>iferror(lookup(if(AF29="",H29,AF29),{0,1,10,50,100,1000,10000},{0.0,0.1,0.028,0.028,0.012,0.006,0.004}),"")</f>
        <v>0</v>
      </c>
      <c r="AH29" s="18">
        <f>iferror(if(AF29="",H29,AF29)*AG29,"")</f>
        <v>0</v>
      </c>
      <c r="AI29" s="19" t="s">
        <v>352</v>
      </c>
      <c r="AJ29" s="17">
        <v>60000</v>
      </c>
      <c r="AL29" s="18">
        <f>iferror(lookup(if(AK29="",H29,AK29),{0,1,15000},{0.0,0.004,0.004}),"")</f>
        <v>0</v>
      </c>
      <c r="AM29" s="18">
        <f>iferror(if(AK29="",H29,AK29)*AL29,"")</f>
        <v>0</v>
      </c>
      <c r="AN29" s="19" t="s">
        <v>386</v>
      </c>
      <c r="AO29" s="17">
        <v>24000</v>
      </c>
      <c r="AQ29" s="18">
        <f>iferror(USD_GBP*lookup(if(AP29="",H29,AP29),{0,1,15000},{0.0,0.004,0.004}),"")</f>
        <v>0</v>
      </c>
      <c r="AR29" s="18">
        <f>iferror(if(AP29="",H29,AP29)*AQ29,"")</f>
        <v>0</v>
      </c>
      <c r="AS29" s="19" t="s">
        <v>412</v>
      </c>
    </row>
    <row r="30" spans="1:50">
      <c r="A30" s="17" t="s">
        <v>125</v>
      </c>
      <c r="B30" s="17" t="s">
        <v>126</v>
      </c>
      <c r="C30" s="17" t="s">
        <v>127</v>
      </c>
      <c r="E30" s="17" t="s">
        <v>110</v>
      </c>
      <c r="F30" s="17" t="s">
        <v>111</v>
      </c>
      <c r="G30" s="17" t="s">
        <v>128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290752</v>
      </c>
      <c r="R30" s="18">
        <f>iferror(lookup(if(Q30="",H30,Q30),{0,1,10,100,1000,2500,5000,15000},{0.0,0.1,0.028,0.0115,0.00518,0.0045,0.00371,0.00323}),"")</f>
        <v>0</v>
      </c>
      <c r="S30" s="18">
        <f>iferror(if(Q30="",H30,Q30)*R30,"")</f>
        <v>0</v>
      </c>
      <c r="T30" s="19" t="s">
        <v>267</v>
      </c>
      <c r="U30" s="20" t="s">
        <v>247</v>
      </c>
      <c r="W30" s="18">
        <f>iferror(USD_GBP*lookup(if(V30="",H30,V30),{0,1,30000},{0.0,0.0046,0.0046}),"")</f>
        <v>0</v>
      </c>
      <c r="X30" s="18">
        <f>iferror(if(V30="",H30,V30)*W30,"")</f>
        <v>0</v>
      </c>
      <c r="Y30" s="19" t="s">
        <v>303</v>
      </c>
      <c r="Z30" s="17">
        <v>14450</v>
      </c>
      <c r="AB30" s="18">
        <f>iferror(lookup(if(AA30="",H30,AA30),{0,1,50,500,1500,5000,25000,50000},{0.0,0.0063,0.0063,0.0048,0.0045,0.0042,0.0041,0.004}),"")</f>
        <v>0</v>
      </c>
      <c r="AC30" s="18">
        <f>iferror(if(AA30="",H30,AA30)*AB30,"")</f>
        <v>0</v>
      </c>
      <c r="AD30" s="19" t="s">
        <v>326</v>
      </c>
      <c r="AE30" s="17">
        <v>7006</v>
      </c>
      <c r="AG30" s="18">
        <f>iferror(lookup(if(AF30="",H30,AF30),{0,1,10,50,100,1000,10000},{0.0,0.1,0.028,0.028,0.012,0.005,0.004}),"")</f>
        <v>0</v>
      </c>
      <c r="AH30" s="18">
        <f>iferror(if(AF30="",H30,AF30)*AG30,"")</f>
        <v>0</v>
      </c>
      <c r="AI30" s="19" t="s">
        <v>353</v>
      </c>
      <c r="AJ30" s="20" t="s">
        <v>247</v>
      </c>
      <c r="AN30" s="19" t="s">
        <v>387</v>
      </c>
    </row>
    <row r="31" spans="1:50">
      <c r="A31" s="17" t="s">
        <v>129</v>
      </c>
      <c r="B31" s="17" t="s">
        <v>130</v>
      </c>
      <c r="C31" s="17" t="s">
        <v>131</v>
      </c>
      <c r="E31" s="17" t="s">
        <v>110</v>
      </c>
      <c r="F31" s="17" t="s">
        <v>111</v>
      </c>
      <c r="G31" s="17" t="s">
        <v>132</v>
      </c>
      <c r="H31" s="17">
        <f>BoardQty*3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27170</v>
      </c>
      <c r="R31" s="18">
        <f>iferror(lookup(if(Q31="",H31,Q31),{0,1,10,100,1000,2500,5000,15000},{0.0,0.1,0.028,0.0115,0.00518,0.0045,0.00371,0.00323}),"")</f>
        <v>0</v>
      </c>
      <c r="S31" s="18">
        <f>iferror(if(Q31="",H31,Q31)*R31,"")</f>
        <v>0</v>
      </c>
      <c r="T31" s="19" t="s">
        <v>268</v>
      </c>
      <c r="U31" s="20" t="s">
        <v>247</v>
      </c>
      <c r="W31" s="18">
        <f>iferror(USD_GBP*lookup(if(V31="",H31,V31),{0,1,30000},{0.0,0.0046,0.0046}),"")</f>
        <v>0</v>
      </c>
      <c r="X31" s="18">
        <f>iferror(if(V31="",H31,V31)*W31,"")</f>
        <v>0</v>
      </c>
      <c r="Y31" s="19" t="s">
        <v>304</v>
      </c>
      <c r="AE31" s="17">
        <v>3126</v>
      </c>
      <c r="AG31" s="18">
        <f>iferror(lookup(if(AF31="",H31,AF31),{0,1,10,50,100,1000,10000},{0.0,0.1,0.031,0.031,0.014,0.007,0.005}),"")</f>
        <v>0</v>
      </c>
      <c r="AH31" s="18">
        <f>iferror(if(AF31="",H31,AF31)*AG31,"")</f>
        <v>0</v>
      </c>
      <c r="AI31" s="19" t="s">
        <v>354</v>
      </c>
      <c r="AJ31" s="20" t="s">
        <v>247</v>
      </c>
      <c r="AL31" s="18">
        <f>iferror(lookup(if(AK31="",H31,AK31),{0,1,15000},{0.0,0.006,0.006}),"")</f>
        <v>0</v>
      </c>
      <c r="AM31" s="18">
        <f>iferror(if(AK31="",H31,AK31)*AL31,"")</f>
        <v>0</v>
      </c>
      <c r="AN31" s="19" t="s">
        <v>388</v>
      </c>
    </row>
    <row r="32" spans="1:50">
      <c r="A32" s="17" t="s">
        <v>133</v>
      </c>
      <c r="B32" s="17" t="s">
        <v>134</v>
      </c>
      <c r="C32" s="17" t="s">
        <v>135</v>
      </c>
      <c r="E32" s="17" t="s">
        <v>110</v>
      </c>
      <c r="F32" s="17" t="s">
        <v>111</v>
      </c>
      <c r="G32" s="17" t="s">
        <v>136</v>
      </c>
      <c r="H32" s="17">
        <f>BoardQty*2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64589</v>
      </c>
      <c r="R32" s="18">
        <f>iferror(lookup(if(Q32="",H32,Q32),{0,1,10,100,1000,2500,5000,15000},{0.0,0.1,0.028,0.0115,0.00518,0.0045,0.00371,0.00323}),"")</f>
        <v>0</v>
      </c>
      <c r="S32" s="18">
        <f>iferror(if(Q32="",H32,Q32)*R32,"")</f>
        <v>0</v>
      </c>
      <c r="T32" s="19" t="s">
        <v>269</v>
      </c>
      <c r="U32" s="20" t="s">
        <v>247</v>
      </c>
      <c r="W32" s="18">
        <f>iferror(USD_GBP*lookup(if(V32="",H32,V32),{0,1,30000},{0.0,0.0046,0.0046}),"")</f>
        <v>0</v>
      </c>
      <c r="X32" s="18">
        <f>iferror(if(V32="",H32,V32)*W32,"")</f>
        <v>0</v>
      </c>
      <c r="Y32" s="19" t="s">
        <v>305</v>
      </c>
      <c r="Z32" s="17">
        <v>14500</v>
      </c>
      <c r="AB32" s="18">
        <f>iferror(lookup(if(AA32="",H32,AA32),{0,1,50,500,1500,5000,25000,50000},{0.0,0.0063,0.0063,0.0048,0.0045,0.0042,0.0041,0.004}),"")</f>
        <v>0</v>
      </c>
      <c r="AC32" s="18">
        <f>iferror(if(AA32="",H32,AA32)*AB32,"")</f>
        <v>0</v>
      </c>
      <c r="AD32" s="19" t="s">
        <v>327</v>
      </c>
      <c r="AE32" s="17">
        <v>22648</v>
      </c>
      <c r="AG32" s="18">
        <f>iferror(lookup(if(AF32="",H32,AF32),{0,1,10,50,100,1000,10000},{0.0,0.1,0.028,0.028,0.012,0.006,0.003}),"")</f>
        <v>0</v>
      </c>
      <c r="AH32" s="18">
        <f>iferror(if(AF32="",H32,AF32)*AG32,"")</f>
        <v>0</v>
      </c>
      <c r="AI32" s="19" t="s">
        <v>355</v>
      </c>
      <c r="AJ32" s="20" t="s">
        <v>247</v>
      </c>
      <c r="AL32" s="18">
        <f>iferror(lookup(if(AK32="",H32,AK32),{0,1,135000},{0.0,0.004,0.004}),"")</f>
        <v>0</v>
      </c>
      <c r="AM32" s="18">
        <f>iferror(if(AK32="",H32,AK32)*AL32,"")</f>
        <v>0</v>
      </c>
      <c r="AN32" s="19" t="s">
        <v>389</v>
      </c>
      <c r="AO32" s="17">
        <v>19000</v>
      </c>
      <c r="AQ32" s="18">
        <f>iferror(USD_GBP*lookup(if(AP32="",H32,AP32),{0,1,15000},{0.0,0.004,0.004}),"")</f>
        <v>0</v>
      </c>
      <c r="AR32" s="18">
        <f>iferror(if(AP32="",H32,AP32)*AQ32,"")</f>
        <v>0</v>
      </c>
      <c r="AS32" s="19" t="s">
        <v>413</v>
      </c>
    </row>
    <row r="33" spans="1:50">
      <c r="A33" s="17" t="s">
        <v>137</v>
      </c>
      <c r="B33" s="17" t="s">
        <v>138</v>
      </c>
      <c r="C33" s="17" t="s">
        <v>139</v>
      </c>
      <c r="E33" s="17" t="s">
        <v>110</v>
      </c>
      <c r="F33" s="17" t="s">
        <v>111</v>
      </c>
      <c r="G33" s="17" t="s">
        <v>140</v>
      </c>
      <c r="H33" s="17">
        <f>BoardQty*3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247</v>
      </c>
      <c r="R33" s="18">
        <f>iferror(lookup(if(Q33="",H33,Q33),{0,1,10,100,1000,2500,5000,15000},{0.0,0.1,0.053,0.0217,0.00975,0.00846,0.00699,0.00607}),"")</f>
        <v>0</v>
      </c>
      <c r="S33" s="18">
        <f>iferror(if(Q33="",H33,Q33)*R33,"")</f>
        <v>0</v>
      </c>
      <c r="T33" s="19" t="s">
        <v>270</v>
      </c>
      <c r="U33" s="17">
        <v>1646</v>
      </c>
      <c r="W33" s="18">
        <f>iferror(USD_GBP*lookup(if(V33="",H33,V33),{0,1,10,100,150,500,2500,7500,15000,75000},{0.0,0.0454,0.0454,0.0185,0.0185,0.0083,0.0074,0.0065,0.0061,0.0058}),"")</f>
        <v>0</v>
      </c>
      <c r="X33" s="18">
        <f>iferror(if(V33="",H33,V33)*W33,"")</f>
        <v>0</v>
      </c>
      <c r="Y33" s="19" t="s">
        <v>306</v>
      </c>
      <c r="Z33" s="17">
        <v>50</v>
      </c>
      <c r="AB33" s="18">
        <f>iferror(lookup(if(AA33="",H33,AA33),{0,1,50,500,1500,5000,25000,50000},{0.0,0.0117,0.0117,0.009,0.0085,0.008,0.0078,0.0077}),"")</f>
        <v>0</v>
      </c>
      <c r="AC33" s="18">
        <f>iferror(if(AA33="",H33,AA33)*AB33,"")</f>
        <v>0</v>
      </c>
      <c r="AD33" s="19" t="s">
        <v>328</v>
      </c>
      <c r="AE33" s="17">
        <v>5370</v>
      </c>
      <c r="AG33" s="18">
        <f>iferror(lookup(if(AF33="",H33,AF33),{0,1,10,50,100,1000,10000},{0.0,0.1,0.058,0.058,0.023,0.01,0.006}),"")</f>
        <v>0</v>
      </c>
      <c r="AH33" s="18">
        <f>iferror(if(AF33="",H33,AF33)*AG33,"")</f>
        <v>0</v>
      </c>
      <c r="AI33" s="19" t="s">
        <v>356</v>
      </c>
      <c r="AJ33" s="17">
        <v>881</v>
      </c>
      <c r="AL33" s="18">
        <f>iferror(lookup(if(AK33="",H33,AK33),{0,1,10,25,50,100,250,500,1000,2500,15000},{0.0,0.101,0.058,0.046,0.035,0.023,0.02,0.015,0.011,0.008,0.016}),"")</f>
        <v>0</v>
      </c>
      <c r="AM33" s="18">
        <f>iferror(if(AK33="",H33,AK33)*AL33,"")</f>
        <v>0</v>
      </c>
      <c r="AN33" s="19" t="s">
        <v>390</v>
      </c>
      <c r="AO33" s="17">
        <v>26000</v>
      </c>
      <c r="AQ33" s="18">
        <f>iferror(USD_GBP*lookup(if(AP33="",H33,AP33),{0,1,15000},{0.0,0.006,0.006}),"")</f>
        <v>0</v>
      </c>
      <c r="AR33" s="18">
        <f>iferror(if(AP33="",H33,AP33)*AQ33,"")</f>
        <v>0</v>
      </c>
      <c r="AS33" s="19" t="s">
        <v>414</v>
      </c>
    </row>
    <row r="34" spans="1:50">
      <c r="A34" s="17" t="s">
        <v>141</v>
      </c>
      <c r="B34" s="17" t="s">
        <v>142</v>
      </c>
      <c r="C34" s="17" t="s">
        <v>143</v>
      </c>
      <c r="E34" s="17" t="s">
        <v>110</v>
      </c>
      <c r="F34" s="17" t="s">
        <v>111</v>
      </c>
      <c r="G34" s="17" t="s">
        <v>144</v>
      </c>
      <c r="H34" s="17">
        <f>BoardQty*4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247</v>
      </c>
      <c r="R34" s="18">
        <f>iferror(lookup(if(Q34="",H34,Q34),{0,1,10,100,1000,2500,5000,15000},{0.0,0.1,0.028,0.0115,0.00518,0.0045,0.00371,0.00323}),"")</f>
        <v>0</v>
      </c>
      <c r="S34" s="18">
        <f>iferror(if(Q34="",H34,Q34)*R34,"")</f>
        <v>0</v>
      </c>
      <c r="T34" s="19" t="s">
        <v>271</v>
      </c>
      <c r="U34" s="20" t="s">
        <v>247</v>
      </c>
      <c r="W34" s="18">
        <f>iferror(USD_GBP*lookup(if(V34="",H34,V34),{0,1,30000},{0.0,0.0046,0.0046}),"")</f>
        <v>0</v>
      </c>
      <c r="X34" s="18">
        <f>iferror(if(V34="",H34,V34)*W34,"")</f>
        <v>0</v>
      </c>
      <c r="Y34" s="19" t="s">
        <v>307</v>
      </c>
      <c r="Z34" s="17">
        <v>3200</v>
      </c>
      <c r="AB34" s="18">
        <f>iferror(lookup(if(AA34="",H34,AA34),{0,1,50,500,1500,5000,25000,50000},{0.0,0.0197,0.0197,0.0151,0.0143,0.0135,0.0131,0.0129}),"")</f>
        <v>0</v>
      </c>
      <c r="AC34" s="18">
        <f>iferror(if(AA34="",H34,AA34)*AB34,"")</f>
        <v>0</v>
      </c>
      <c r="AD34" s="19" t="s">
        <v>329</v>
      </c>
      <c r="AE34" s="17">
        <v>47058</v>
      </c>
      <c r="AG34" s="18">
        <f>iferror(lookup(if(AF34="",H34,AF34),{0,1,10,50,100,1000,10000},{0.0,0.1,0.028,0.028,0.012,0.006,0.003}),"")</f>
        <v>0</v>
      </c>
      <c r="AH34" s="18">
        <f>iferror(if(AF34="",H34,AF34)*AG34,"")</f>
        <v>0</v>
      </c>
      <c r="AI34" s="19" t="s">
        <v>357</v>
      </c>
      <c r="AJ34" s="20" t="s">
        <v>247</v>
      </c>
      <c r="AL34" s="18">
        <f>iferror(lookup(if(AK34="",H34,AK34),{0,1,45000},{0.0,0.004,0.004}),"")</f>
        <v>0</v>
      </c>
      <c r="AM34" s="18">
        <f>iferror(if(AK34="",H34,AK34)*AL34,"")</f>
        <v>0</v>
      </c>
      <c r="AN34" s="19" t="s">
        <v>391</v>
      </c>
    </row>
    <row r="35" spans="1:50">
      <c r="A35" s="17" t="s">
        <v>145</v>
      </c>
      <c r="B35" s="17" t="s">
        <v>146</v>
      </c>
      <c r="C35" s="17" t="s">
        <v>147</v>
      </c>
      <c r="E35" s="17" t="s">
        <v>148</v>
      </c>
      <c r="F35" s="17" t="s">
        <v>149</v>
      </c>
      <c r="G35" s="17" t="s">
        <v>146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35626</v>
      </c>
      <c r="R35" s="18">
        <f>iferror(lookup(if(Q35="",H35,Q35),{0,1,10,25,100,250,500,1000,2500,8500,17000},{0.0,0.22,0.211,0.2,0.1819,0.171,0.15644,0.13097,0.12733,0.12005,0.11278}),"")</f>
        <v>0</v>
      </c>
      <c r="S35" s="18">
        <f>iferror(if(Q35="",H35,Q35)*R35,"")</f>
        <v>0</v>
      </c>
      <c r="T35" s="19" t="s">
        <v>272</v>
      </c>
      <c r="U35" s="17">
        <v>679</v>
      </c>
      <c r="W35" s="18">
        <f>iferror(USD_GBP*lookup(if(V35="",H35,V35),{0,1,10,50,100,500},{0.0,0.155,0.155,0.146,0.133,0.123}),"")</f>
        <v>0</v>
      </c>
      <c r="X35" s="18">
        <f>iferror(if(V35="",H35,V35)*W35,"")</f>
        <v>0</v>
      </c>
      <c r="Y35" s="19" t="s">
        <v>308</v>
      </c>
      <c r="Z35" s="17">
        <v>18022</v>
      </c>
      <c r="AB35" s="18">
        <f>iferror(lookup(if(AA35="",H35,AA35),{0,1,10,30,100,500,1000},{0.0,0.2363,0.1816,0.1715,0.1615,0.157,0.1548}),"")</f>
        <v>0</v>
      </c>
      <c r="AC35" s="18">
        <f>iferror(if(AA35="",H35,AA35)*AB35,"")</f>
        <v>0</v>
      </c>
      <c r="AD35" s="19" t="s">
        <v>330</v>
      </c>
      <c r="AE35" s="17">
        <v>11251</v>
      </c>
      <c r="AG35" s="18">
        <f>iferror(lookup(if(AF35="",H35,AF35),{0,1,10,50,100,1000,10000},{0.0,0.22,0.211,0.194,0.173,0.119,0.119}),"")</f>
        <v>0</v>
      </c>
      <c r="AH35" s="18">
        <f>iferror(if(AF35="",H35,AF35)*AG35,"")</f>
        <v>0</v>
      </c>
      <c r="AI35" s="19" t="s">
        <v>358</v>
      </c>
      <c r="AJ35" s="17">
        <v>7019</v>
      </c>
      <c r="AL35" s="18">
        <f>iferror(lookup(if(AK35="",H35,AK35),{0,1,8500,100000},{0.0,0.148,0.162,0.136}),"")</f>
        <v>0</v>
      </c>
      <c r="AM35" s="18">
        <f>iferror(if(AK35="",H35,AK35)*AL35,"")</f>
        <v>0</v>
      </c>
      <c r="AN35" s="19" t="s">
        <v>392</v>
      </c>
      <c r="AT35" s="17">
        <v>2875</v>
      </c>
      <c r="AV35" s="18">
        <f>iferror(USD_GBP*lookup(if(AU35="",H35,AU35),{0,1,5,100,1000,3000,8500},{0.0,0.1646,0.1646,0.1386,0.0953,0.0849,0.0832}),"")</f>
        <v>0</v>
      </c>
      <c r="AW35" s="18">
        <f>iferror(if(AU35="",H35,AU35)*AV35,"")</f>
        <v>0</v>
      </c>
      <c r="AX35" s="19" t="s">
        <v>418</v>
      </c>
    </row>
    <row r="36" spans="1:50">
      <c r="A36" s="17" t="s">
        <v>150</v>
      </c>
      <c r="B36" s="17" t="s">
        <v>151</v>
      </c>
      <c r="C36" s="17" t="s">
        <v>152</v>
      </c>
      <c r="E36" s="17" t="s">
        <v>153</v>
      </c>
      <c r="F36" s="17" t="s">
        <v>51</v>
      </c>
      <c r="G36" s="17" t="s">
        <v>154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20" t="s">
        <v>247</v>
      </c>
      <c r="R36" s="18">
        <f>iferror(lookup(if(Q36="",H36,Q36),{0,1,10,25,100,250,500,1000,5000},{0.0,1.01,0.901,0.8548,0.7021,0.65636,0.58004,0.504,0.504}),"")</f>
        <v>0</v>
      </c>
      <c r="S36" s="18">
        <f>iferror(if(Q36="",H36,Q36)*R36,"")</f>
        <v>0</v>
      </c>
      <c r="T36" s="19" t="s">
        <v>273</v>
      </c>
      <c r="U36" s="20" t="s">
        <v>247</v>
      </c>
      <c r="W36" s="18">
        <f>iferror(USD_GBP*lookup(if(V36="",H36,V36),{0,1,5,10,100,500,1000,2500,5000},{0.0,0.986,1.09,0.835,0.566,0.536,0.417,0.404,0.388}),"")</f>
        <v>0</v>
      </c>
      <c r="X36" s="18">
        <f>iferror(if(V36="",H36,V36)*W36,"")</f>
        <v>0</v>
      </c>
      <c r="Y36" s="19" t="s">
        <v>309</v>
      </c>
      <c r="AE36" s="20" t="s">
        <v>247</v>
      </c>
      <c r="AG36" s="18">
        <f>iferror(lookup(if(AF36="",H36,AF36),{0,1,10,50,100,1000,10000},{0.0,1.0,0.901,0.855,0.703,0.458,0.403}),"")</f>
        <v>0</v>
      </c>
      <c r="AH36" s="18">
        <f>iferror(if(AF36="",H36,AF36)*AG36,"")</f>
        <v>0</v>
      </c>
      <c r="AI36" s="19" t="s">
        <v>359</v>
      </c>
      <c r="AJ36" s="20" t="s">
        <v>247</v>
      </c>
      <c r="AL36" s="18">
        <f>iferror(lookup(if(AK36="",H36,AK36),{0,1,5,10,100,500,1000,2500,5000,10000,20000,30000,40000,50000,500000},{0.0,1.19,1.19,1.01,0.684,0.648,0.504,0.489,0.391,0.386,0.381,0.376,0.37,0.365,0.36}),"")</f>
        <v>0</v>
      </c>
      <c r="AM36" s="18">
        <f>iferror(if(AK36="",H36,AK36)*AL36,"")</f>
        <v>0</v>
      </c>
      <c r="AN36" s="19" t="s">
        <v>393</v>
      </c>
    </row>
    <row r="37" spans="1:50">
      <c r="A37" s="17" t="s">
        <v>155</v>
      </c>
      <c r="B37" s="17" t="s">
        <v>156</v>
      </c>
      <c r="C37" s="17" t="s">
        <v>157</v>
      </c>
      <c r="D37" s="17" t="s">
        <v>159</v>
      </c>
      <c r="E37" s="17" t="s">
        <v>158</v>
      </c>
      <c r="F37" s="17" t="s">
        <v>51</v>
      </c>
      <c r="G37" s="17" t="s">
        <v>156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20" t="s">
        <v>247</v>
      </c>
      <c r="R37" s="18">
        <f>iferror(lookup(if(Q37="",H37,Q37),{0,1,3000},{0.0,0.15015,0.15015}),"")</f>
        <v>0</v>
      </c>
      <c r="S37" s="18">
        <f>iferror(if(Q37="",H37,Q37)*R37,"")</f>
        <v>0</v>
      </c>
      <c r="T37" s="19" t="s">
        <v>274</v>
      </c>
      <c r="U37" s="20" t="s">
        <v>247</v>
      </c>
      <c r="W37" s="18">
        <f>iferror(USD_GBP*lookup(if(V37="",H37,V37),{0,1,3000},{0.0,0.0746,0.0746}),"")</f>
        <v>0</v>
      </c>
      <c r="X37" s="18">
        <f>iferror(if(V37="",H37,V37)*W37,"")</f>
        <v>0</v>
      </c>
      <c r="Y37" s="19" t="s">
        <v>310</v>
      </c>
      <c r="AE37" s="20" t="s">
        <v>247</v>
      </c>
      <c r="AG37" s="18">
        <f>iferror(lookup(if(AF37="",H37,AF37),{0,1,10,50,100,1000,10000},{0.0,0.53,0.428,0.428,0.264,0.164,0.15}),"")</f>
        <v>0</v>
      </c>
      <c r="AH37" s="18">
        <f>iferror(if(AF37="",H37,AF37)*AG37,"")</f>
        <v>0</v>
      </c>
      <c r="AI37" s="19" t="s">
        <v>360</v>
      </c>
      <c r="AJ37" s="20" t="s">
        <v>247</v>
      </c>
      <c r="AL37" s="18">
        <f>iferror(lookup(if(AK37="",H37,AK37),{0,1,3000},{0.0,0.119,0.119}),"")</f>
        <v>0</v>
      </c>
      <c r="AM37" s="18">
        <f>iferror(if(AK37="",H37,AK37)*AL37,"")</f>
        <v>0</v>
      </c>
      <c r="AN37" s="19" t="s">
        <v>394</v>
      </c>
    </row>
    <row r="38" spans="1:50">
      <c r="A38" s="17" t="s">
        <v>160</v>
      </c>
      <c r="B38" s="17" t="s">
        <v>161</v>
      </c>
      <c r="C38" s="17" t="s">
        <v>162</v>
      </c>
      <c r="D38" s="17" t="s">
        <v>163</v>
      </c>
      <c r="E38" s="17" t="s">
        <v>158</v>
      </c>
      <c r="F38" s="17" t="s">
        <v>51</v>
      </c>
      <c r="G38" s="17" t="s">
        <v>161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17">
        <v>636</v>
      </c>
      <c r="R38" s="18">
        <f>iferror(lookup(if(Q38="",H38,Q38),{0,1,10,25,100,250,500,1000,3000},{0.0,0.53,0.427,0.3912,0.291,0.26376,0.21828,0.16371,0.15015}),"")</f>
        <v>0</v>
      </c>
      <c r="S38" s="18">
        <f>iferror(if(Q38="",H38,Q38)*R38,"")</f>
        <v>0</v>
      </c>
      <c r="T38" s="19" t="s">
        <v>275</v>
      </c>
      <c r="U38" s="17">
        <v>1444</v>
      </c>
      <c r="W38" s="18">
        <f>iferror(USD_GBP*lookup(if(V38="",H38,V38),{0,1,5,10,100,150,500,3000,9000,24000,45000},{0.0,0.392,0.392,0.259,0.112,0.112,0.0838,0.0805,0.0774,0.0741,0.0709}),"")</f>
        <v>0</v>
      </c>
      <c r="X38" s="18">
        <f>iferror(if(V38="",H38,V38)*W38,"")</f>
        <v>0</v>
      </c>
      <c r="Y38" s="19" t="s">
        <v>311</v>
      </c>
      <c r="AE38" s="17">
        <v>4209</v>
      </c>
      <c r="AG38" s="18">
        <f>iferror(lookup(if(AF38="",H38,AF38),{0,1,10,50,100,1000,10000},{0.0,0.53,0.428,0.428,0.264,0.164,0.131}),"")</f>
        <v>0</v>
      </c>
      <c r="AH38" s="18">
        <f>iferror(if(AF38="",H38,AF38)*AG38,"")</f>
        <v>0</v>
      </c>
      <c r="AI38" s="19" t="s">
        <v>361</v>
      </c>
      <c r="AJ38" s="17">
        <v>1444</v>
      </c>
      <c r="AL38" s="18">
        <f>iferror(lookup(if(AK38="",H38,AK38),{0,1,5,10,100},{0.0,0.538,0.538,0.401,0.206}),"")</f>
        <v>0</v>
      </c>
      <c r="AM38" s="18">
        <f>iferror(if(AK38="",H38,AK38)*AL38,"")</f>
        <v>0</v>
      </c>
      <c r="AN38" s="19" t="s">
        <v>395</v>
      </c>
      <c r="AO38" s="17">
        <v>2960</v>
      </c>
      <c r="AQ38" s="18">
        <f>iferror(USD_GBP*lookup(if(AP38="",H38,AP38),{0,1,3000,9000,24000},{0.0,0.09,0.09,0.089,0.088}),"")</f>
        <v>0</v>
      </c>
      <c r="AR38" s="18">
        <f>iferror(if(AP38="",H38,AP38)*AQ38,"")</f>
        <v>0</v>
      </c>
      <c r="AS38" s="19" t="s">
        <v>415</v>
      </c>
    </row>
    <row r="39" spans="1:50">
      <c r="A39" s="17" t="s">
        <v>164</v>
      </c>
      <c r="B39" s="17" t="s">
        <v>165</v>
      </c>
      <c r="C39" s="17" t="s">
        <v>166</v>
      </c>
      <c r="D39" s="17" t="s">
        <v>167</v>
      </c>
      <c r="E39" s="17" t="s">
        <v>158</v>
      </c>
      <c r="F39" s="17" t="s">
        <v>51</v>
      </c>
      <c r="G39" s="17" t="s">
        <v>165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7">
        <v>9000</v>
      </c>
      <c r="R39" s="18">
        <f>iferror(lookup(if(Q39="",H39,Q39),{0,1,10,25,100,250,500,1000,3000},{0.0,0.53,0.427,0.3912,0.291,0.26376,0.21828,0.16371,0.15015}),"")</f>
        <v>0</v>
      </c>
      <c r="S39" s="18">
        <f>iferror(if(Q39="",H39,Q39)*R39,"")</f>
        <v>0</v>
      </c>
      <c r="T39" s="19" t="s">
        <v>276</v>
      </c>
      <c r="U39" s="17">
        <v>10</v>
      </c>
      <c r="W39" s="18">
        <f>iferror(USD_GBP*lookup(if(V39="",H39,V39),{0,1,5,10,100,150,500,3000},{0.0,0.513,0.513,0.373,0.185,0.185,0.125,0.103}),"")</f>
        <v>0</v>
      </c>
      <c r="X39" s="18">
        <f>iferror(if(V39="",H39,V39)*W39,"")</f>
        <v>0</v>
      </c>
      <c r="Y39" s="19" t="s">
        <v>312</v>
      </c>
      <c r="AE39" s="17">
        <v>1300</v>
      </c>
      <c r="AG39" s="18">
        <f>iferror(lookup(if(AF39="",H39,AF39),{0,1,10,50,100,1000,10000},{0.0,0.53,0.428,0.428,0.264,0.164,0.15}),"")</f>
        <v>0</v>
      </c>
      <c r="AH39" s="18">
        <f>iferror(if(AF39="",H39,AF39)*AG39,"")</f>
        <v>0</v>
      </c>
      <c r="AI39" s="19" t="s">
        <v>362</v>
      </c>
      <c r="AJ39" s="20" t="s">
        <v>247</v>
      </c>
      <c r="AL39" s="18">
        <f>iferror(lookup(if(AK39="",H39,AK39),{0,1,3000},{0.0,0.124,0.124}),"")</f>
        <v>0</v>
      </c>
      <c r="AM39" s="18">
        <f>iferror(if(AK39="",H39,AK39)*AL39,"")</f>
        <v>0</v>
      </c>
      <c r="AN39" s="19" t="s">
        <v>396</v>
      </c>
    </row>
    <row r="40" spans="1:50">
      <c r="A40" s="17" t="s">
        <v>168</v>
      </c>
      <c r="B40" s="17" t="s">
        <v>169</v>
      </c>
      <c r="C40" s="17" t="s">
        <v>170</v>
      </c>
      <c r="E40" s="17" t="s">
        <v>171</v>
      </c>
      <c r="F40" s="17" t="s">
        <v>172</v>
      </c>
      <c r="G40" s="17" t="s">
        <v>169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</row>
    <row r="41" spans="1:50">
      <c r="A41" s="17" t="s">
        <v>173</v>
      </c>
      <c r="B41" s="17" t="s">
        <v>174</v>
      </c>
      <c r="C41" s="17" t="s">
        <v>175</v>
      </c>
      <c r="E41" s="17" t="s">
        <v>176</v>
      </c>
      <c r="F41" s="17" t="s">
        <v>172</v>
      </c>
      <c r="G41" s="17" t="s">
        <v>174</v>
      </c>
      <c r="H41" s="17">
        <f>BoardQty*1</f>
        <v>0</v>
      </c>
      <c r="I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1" s="18">
        <f>iferror(H41*I41,"")</f>
        <v>0</v>
      </c>
      <c r="P41" s="20" t="s">
        <v>247</v>
      </c>
      <c r="R41" s="18">
        <f>iferror(lookup(if(Q41="",H41,Q41),{0,1,10,25,50,100,250,500,1000,5000},{0.0,1.72,1.566,1.5232,1.5154,1.3547,1.35072,1.33034,1.27387,1.18601}),"")</f>
        <v>0</v>
      </c>
      <c r="S41" s="18">
        <f>iferror(if(Q41="",H41,Q41)*R41,"")</f>
        <v>0</v>
      </c>
      <c r="T41" s="19" t="s">
        <v>277</v>
      </c>
    </row>
    <row r="42" spans="1:50">
      <c r="A42" s="17" t="s">
        <v>177</v>
      </c>
      <c r="B42" s="17" t="s">
        <v>178</v>
      </c>
      <c r="C42" s="17" t="s">
        <v>179</v>
      </c>
      <c r="E42" s="17" t="s">
        <v>180</v>
      </c>
      <c r="F42" s="17" t="s">
        <v>181</v>
      </c>
      <c r="G42" s="17" t="s">
        <v>182</v>
      </c>
      <c r="H42" s="17">
        <f>BoardQty*1</f>
        <v>0</v>
      </c>
      <c r="I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2" s="18">
        <f>iferror(H42*I42,"")</f>
        <v>0</v>
      </c>
      <c r="P42" s="20" t="s">
        <v>247</v>
      </c>
      <c r="R42" s="18">
        <f>iferror(lookup(if(Q42="",H42,Q42),{0,1,5000},{0.0,3.63,3.49965}),"")</f>
        <v>0</v>
      </c>
      <c r="S42" s="18">
        <f>iferror(if(Q42="",H42,Q42)*R42,"")</f>
        <v>0</v>
      </c>
      <c r="T42" s="19" t="s">
        <v>278</v>
      </c>
      <c r="U42" s="20" t="s">
        <v>247</v>
      </c>
      <c r="W42" s="18">
        <f>iferror(USD_GBP*lookup(if(V42="",H42,V42),{0,1,10,25,50,100},{0.0,3.61,2.74,2.69,2.64,2.59}),"")</f>
        <v>0</v>
      </c>
      <c r="X42" s="18">
        <f>iferror(if(V42="",H42,V42)*W42,"")</f>
        <v>0</v>
      </c>
      <c r="Y42" s="19" t="s">
        <v>313</v>
      </c>
      <c r="AE42" s="20" t="s">
        <v>247</v>
      </c>
      <c r="AG42" s="18">
        <f>iferror(lookup(if(AF42="",H42,AF42),{0,1,10,50,100,1000,10000},{0.0,3.58,3.22,3.04,2.64,2.59,2.54}),"")</f>
        <v>0</v>
      </c>
      <c r="AH42" s="18">
        <f>iferror(if(AF42="",H42,AF42)*AG42,"")</f>
        <v>0</v>
      </c>
      <c r="AI42" s="19" t="s">
        <v>363</v>
      </c>
      <c r="AJ42" s="20" t="s">
        <v>247</v>
      </c>
      <c r="AL42" s="18">
        <f>iferror(lookup(if(AK42="",H42,AK42),{0,1,10,5000},{0.0,3.53,3.45,3.33}),"")</f>
        <v>0</v>
      </c>
      <c r="AM42" s="18">
        <f>iferror(if(AK42="",H42,AK42)*AL42,"")</f>
        <v>0</v>
      </c>
      <c r="AN42" s="19" t="s">
        <v>397</v>
      </c>
    </row>
    <row r="43" spans="1:50">
      <c r="A43" s="17" t="s">
        <v>183</v>
      </c>
      <c r="B43" s="17" t="s">
        <v>184</v>
      </c>
      <c r="C43" s="17" t="s">
        <v>185</v>
      </c>
      <c r="E43" s="17" t="s">
        <v>186</v>
      </c>
      <c r="F43" s="17" t="s">
        <v>51</v>
      </c>
      <c r="G43" s="17" t="s">
        <v>184</v>
      </c>
      <c r="H43" s="17">
        <f>BoardQty*1</f>
        <v>0</v>
      </c>
      <c r="I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3" s="18">
        <f>iferror(H43*I43,"")</f>
        <v>0</v>
      </c>
      <c r="P43" s="17">
        <v>36076</v>
      </c>
      <c r="R43" s="18">
        <f>iferror(lookup(if(Q43="",H43,Q43),{0,1,10,25,100,250,500,1000,5000},{0.0,0.6,0.527,0.4948,0.4039,0.37516,0.31928,0.26355,0.26355}),"")</f>
        <v>0</v>
      </c>
      <c r="S43" s="18">
        <f>iferror(if(Q43="",H43,Q43)*R43,"")</f>
        <v>0</v>
      </c>
      <c r="T43" s="19" t="s">
        <v>279</v>
      </c>
      <c r="U43" s="17">
        <v>3893</v>
      </c>
      <c r="W43" s="18">
        <f>iferror(USD_GBP*lookup(if(V43="",H43,V43),{0,1,10,100,500,1000},{0.0,0.654,0.513,0.343,0.289,0.224}),"")</f>
        <v>0</v>
      </c>
      <c r="X43" s="18">
        <f>iferror(if(V43="",H43,V43)*W43,"")</f>
        <v>0</v>
      </c>
      <c r="Y43" s="19" t="s">
        <v>314</v>
      </c>
      <c r="Z43" s="17">
        <v>452</v>
      </c>
      <c r="AB43" s="18">
        <f>iferror(lookup(if(AA43="",H43,AA43),{0,1,10,30,100,500,1000},{0.0,0.5014,0.3823,0.3607,0.3391,0.33,0.3246}),"")</f>
        <v>0</v>
      </c>
      <c r="AC43" s="18">
        <f>iferror(if(AA43="",H43,AA43)*AB43,"")</f>
        <v>0</v>
      </c>
      <c r="AD43" s="19" t="s">
        <v>331</v>
      </c>
      <c r="AE43" s="17">
        <v>506</v>
      </c>
      <c r="AG43" s="18">
        <f>iferror(lookup(if(AF43="",H43,AF43),{0,1,10,50,100,1000,10000},{0.0,0.6,0.527,0.527,0.404,0.256,0.218}),"")</f>
        <v>0</v>
      </c>
      <c r="AH43" s="18">
        <f>iferror(if(AF43="",H43,AF43)*AG43,"")</f>
        <v>0</v>
      </c>
      <c r="AI43" s="19" t="s">
        <v>364</v>
      </c>
      <c r="AJ43" s="17">
        <v>100</v>
      </c>
      <c r="AL43" s="18">
        <f>iferror(lookup(if(AK43="",H43,AK43),{0,1,10,100,500,1000,5000,10000,20000,30000,40000,50000,500000},{0.0,0.688,0.555,0.358,0.341,0.24,0.617,0.616,0.616,0.615,0.614,0.613,0.612}),"")</f>
        <v>0</v>
      </c>
      <c r="AM43" s="18">
        <f>iferror(if(AK43="",H43,AK43)*AL43,"")</f>
        <v>0</v>
      </c>
      <c r="AN43" s="19" t="s">
        <v>398</v>
      </c>
    </row>
    <row r="44" spans="1:50">
      <c r="A44" s="17" t="s">
        <v>187</v>
      </c>
      <c r="B44" s="17" t="s">
        <v>188</v>
      </c>
      <c r="C44" s="17" t="s">
        <v>189</v>
      </c>
      <c r="E44" s="17" t="s">
        <v>190</v>
      </c>
      <c r="F44" s="17" t="s">
        <v>181</v>
      </c>
      <c r="G44" s="17" t="s">
        <v>191</v>
      </c>
      <c r="H44" s="17">
        <f>BoardQty*1</f>
        <v>0</v>
      </c>
      <c r="I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4" s="18">
        <f>iferror(H44*I44,"")</f>
        <v>0</v>
      </c>
      <c r="P44" s="17">
        <v>1393</v>
      </c>
      <c r="R44" s="18">
        <f>iferror(lookup(if(Q44="",H44,Q44),{0,1,10,4000},{0.0,1.99,1.828,1.76358}),"")</f>
        <v>0</v>
      </c>
      <c r="S44" s="18">
        <f>iferror(if(Q44="",H44,Q44)*R44,"")</f>
        <v>0</v>
      </c>
      <c r="T44" s="19" t="s">
        <v>280</v>
      </c>
      <c r="U44" s="17">
        <v>3487</v>
      </c>
      <c r="W44" s="18">
        <f>iferror(USD_GBP*lookup(if(V44="",H44,V44),{0,1,10,50,100,250},{0.0,2.05,1.56,1.42,1.28,1.25}),"")</f>
        <v>0</v>
      </c>
      <c r="X44" s="18">
        <f>iferror(if(V44="",H44,V44)*W44,"")</f>
        <v>0</v>
      </c>
      <c r="Y44" s="19" t="s">
        <v>315</v>
      </c>
      <c r="AE44" s="17">
        <v>4611</v>
      </c>
      <c r="AG44" s="18">
        <f>iferror(lookup(if(AF44="",H44,AF44),{0,1,10,50,100,1000,10000},{0.0,2.0,1.81,1.7,1.45,1.33,1.28}),"")</f>
        <v>0</v>
      </c>
      <c r="AH44" s="18">
        <f>iferror(if(AF44="",H44,AF44)*AG44,"")</f>
        <v>0</v>
      </c>
      <c r="AI44" s="19" t="s">
        <v>365</v>
      </c>
      <c r="AJ44" s="17">
        <v>3487</v>
      </c>
      <c r="AL44" s="18">
        <f>iferror(lookup(if(AK44="",H44,AK44),{0,1,10,25,50,100},{0.0,2.14,1.81,1.64,1.45,1.28}),"")</f>
        <v>0</v>
      </c>
      <c r="AM44" s="18">
        <f>iferror(if(AK44="",H44,AK44)*AL44,"")</f>
        <v>0</v>
      </c>
      <c r="AN44" s="19" t="s">
        <v>399</v>
      </c>
    </row>
    <row r="45" spans="1:50">
      <c r="A45" s="17" t="s">
        <v>192</v>
      </c>
      <c r="B45" s="17" t="s">
        <v>193</v>
      </c>
      <c r="C45" s="17" t="s">
        <v>194</v>
      </c>
      <c r="E45" s="17" t="s">
        <v>195</v>
      </c>
      <c r="F45" s="17" t="s">
        <v>196</v>
      </c>
      <c r="G45" s="17" t="s">
        <v>193</v>
      </c>
      <c r="H45" s="17">
        <f>BoardQty*1</f>
        <v>0</v>
      </c>
      <c r="I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5" s="18">
        <f>iferror(H45*I45,"")</f>
        <v>0</v>
      </c>
      <c r="P45" s="20" t="s">
        <v>247</v>
      </c>
      <c r="R45" s="18">
        <f>iferror(lookup(if(Q45="",H45,Q45),{0,1,168},{0.0,13.46006,13.46006}),"")</f>
        <v>0</v>
      </c>
      <c r="S45" s="18">
        <f>iferror(if(Q45="",H45,Q45)*R45,"")</f>
        <v>0</v>
      </c>
      <c r="T45" s="19" t="s">
        <v>281</v>
      </c>
    </row>
    <row r="46" spans="1:50">
      <c r="A46" s="17" t="s">
        <v>197</v>
      </c>
      <c r="B46" s="17" t="s">
        <v>198</v>
      </c>
      <c r="C46" s="17" t="s">
        <v>199</v>
      </c>
      <c r="E46" s="17" t="s">
        <v>200</v>
      </c>
      <c r="F46" s="17" t="s">
        <v>201</v>
      </c>
      <c r="G46" s="17" t="s">
        <v>198</v>
      </c>
      <c r="H46" s="17">
        <f>BoardQty*1</f>
        <v>0</v>
      </c>
      <c r="I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6" s="18">
        <f>iferror(H46*I46,"")</f>
        <v>0</v>
      </c>
      <c r="P46" s="20" t="s">
        <v>247</v>
      </c>
      <c r="R46" s="18">
        <f>iferror(lookup(if(Q46="",H46,Q46),{0,1,25,100},{0.0,2.39,1.99,1.81}),"")</f>
        <v>0</v>
      </c>
      <c r="S46" s="18">
        <f>iferror(if(Q46="",H46,Q46)*R46,"")</f>
        <v>0</v>
      </c>
      <c r="T46" s="19" t="s">
        <v>282</v>
      </c>
      <c r="AE46" s="20" t="s">
        <v>247</v>
      </c>
      <c r="AG46" s="18">
        <f>iferror(lookup(if(AF46="",H46,AF46),{0,1,10,50,100,1000,10000},{0.0,2.39,2.39,1.99,1.81,1.81,1.81}),"")</f>
        <v>0</v>
      </c>
      <c r="AH46" s="18">
        <f>iferror(if(AF46="",H46,AF46)*AG46,"")</f>
        <v>0</v>
      </c>
      <c r="AI46" s="19" t="s">
        <v>366</v>
      </c>
      <c r="AJ46" s="20" t="s">
        <v>247</v>
      </c>
      <c r="AL46" s="18">
        <f>iferror(lookup(if(AK46="",H46,AK46),{0,1,220},{0.0,1.81,1.81}),"")</f>
        <v>0</v>
      </c>
      <c r="AM46" s="18">
        <f>iferror(if(AK46="",H46,AK46)*AL46,"")</f>
        <v>0</v>
      </c>
      <c r="AN46" s="19" t="s">
        <v>400</v>
      </c>
    </row>
    <row r="47" spans="1:50">
      <c r="A47" s="17" t="s">
        <v>202</v>
      </c>
      <c r="B47" s="17" t="s">
        <v>203</v>
      </c>
      <c r="C47" s="17" t="s">
        <v>204</v>
      </c>
      <c r="E47" s="17" t="s">
        <v>205</v>
      </c>
      <c r="F47" s="17" t="s">
        <v>51</v>
      </c>
      <c r="G47" s="17" t="s">
        <v>206</v>
      </c>
      <c r="H47" s="17">
        <f>BoardQty*1</f>
        <v>0</v>
      </c>
      <c r="I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7" s="18">
        <f>iferror(H47*I47,"")</f>
        <v>0</v>
      </c>
      <c r="P47" s="17">
        <v>5815</v>
      </c>
      <c r="R47" s="18">
        <f>iferror(lookup(if(Q47="",H47,Q47),{0,1,10,25,100,250,500,1000,3000},{0.0,0.73,0.64,0.6012,0.4905,0.4556,0.38774,0.32008,0.32007}),"")</f>
        <v>0</v>
      </c>
      <c r="S47" s="18">
        <f>iferror(if(Q47="",H47,Q47)*R47,"")</f>
        <v>0</v>
      </c>
      <c r="T47" s="19" t="s">
        <v>283</v>
      </c>
      <c r="U47" s="20" t="s">
        <v>247</v>
      </c>
      <c r="W47" s="18">
        <f>iferror(USD_GBP*lookup(if(V47="",H47,V47),{0,1,5,10,100,150,500,3000},{0.0,0.795,0.795,0.65,0.398,0.398,0.28,0.268}),"")</f>
        <v>0</v>
      </c>
      <c r="X47" s="18">
        <f>iferror(if(V47="",H47,V47)*W47,"")</f>
        <v>0</v>
      </c>
      <c r="Y47" s="19" t="s">
        <v>316</v>
      </c>
      <c r="Z47" s="17">
        <v>6</v>
      </c>
      <c r="AB47" s="18">
        <f>iferror(lookup(if(AA47="",H47,AA47),{0,1,10,30,100,500},{0.0,0.4437,0.431,0.4238,0.4148,0.4148}),"")</f>
        <v>0</v>
      </c>
      <c r="AC47" s="18">
        <f>iferror(if(AA47="",H47,AA47)*AB47,"")</f>
        <v>0</v>
      </c>
      <c r="AD47" s="19" t="s">
        <v>332</v>
      </c>
      <c r="AE47" s="17">
        <v>2920</v>
      </c>
      <c r="AG47" s="18">
        <f>iferror(lookup(if(AF47="",H47,AF47),{0,1,10,50,100,1000,10000},{0.0,0.73,0.64,0.64,0.491,0.311,0.256}),"")</f>
        <v>0</v>
      </c>
      <c r="AH47" s="18">
        <f>iferror(if(AF47="",H47,AF47)*AG47,"")</f>
        <v>0</v>
      </c>
      <c r="AI47" s="19" t="s">
        <v>367</v>
      </c>
      <c r="AJ47" s="20" t="s">
        <v>247</v>
      </c>
      <c r="AL47" s="18">
        <f>iferror(lookup(if(AK47="",H47,AK47),{0,1,5,10,100,3000,9000,24000,45000},{0.0,0.85,0.85,0.71,0.458,0.238,0.233,0.216,0.21}),"")</f>
        <v>0</v>
      </c>
      <c r="AM47" s="18">
        <f>iferror(if(AK47="",H47,AK47)*AL47,"")</f>
        <v>0</v>
      </c>
      <c r="AN47" s="19" t="s">
        <v>401</v>
      </c>
    </row>
    <row r="48" spans="1:50">
      <c r="A48" s="17" t="s">
        <v>207</v>
      </c>
      <c r="B48" s="17" t="s">
        <v>208</v>
      </c>
      <c r="C48" s="17" t="s">
        <v>209</v>
      </c>
      <c r="E48" s="17" t="s">
        <v>210</v>
      </c>
      <c r="F48" s="17" t="s">
        <v>51</v>
      </c>
      <c r="G48" s="17" t="s">
        <v>211</v>
      </c>
      <c r="H48" s="17">
        <f>BoardQty*1</f>
        <v>0</v>
      </c>
      <c r="I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8" s="18">
        <f>iferror(H48*I48,"")</f>
        <v>0</v>
      </c>
      <c r="P48" s="17">
        <v>5678</v>
      </c>
      <c r="R48" s="18">
        <f>iferror(lookup(if(Q48="",H48,Q48),{0,1,10,25,100,250,500,1000,3000},{0.0,0.87,0.782,0.742,0.6095,0.56976,0.5035,0.4375,0.4375}),"")</f>
        <v>0</v>
      </c>
      <c r="S48" s="18">
        <f>iferror(if(Q48="",H48,Q48)*R48,"")</f>
        <v>0</v>
      </c>
      <c r="T48" s="19" t="s">
        <v>284</v>
      </c>
      <c r="U48" s="20" t="s">
        <v>247</v>
      </c>
      <c r="W48" s="18">
        <f>iferror(USD_GBP*lookup(if(V48="",H48,V48),{0,1,3000},{0.0,0.25,0.25}),"")</f>
        <v>0</v>
      </c>
      <c r="X48" s="18">
        <f>iferror(if(V48="",H48,V48)*W48,"")</f>
        <v>0</v>
      </c>
      <c r="Y48" s="19" t="s">
        <v>317</v>
      </c>
      <c r="AE48" s="17">
        <v>982</v>
      </c>
      <c r="AG48" s="18">
        <f>iferror(lookup(if(AF48="",H48,AF48),{0,1,10,50,100,1000,10000},{0.0,0.87,0.782,0.742,0.61,0.398,0.349}),"")</f>
        <v>0</v>
      </c>
      <c r="AH48" s="18">
        <f>iferror(if(AF48="",H48,AF48)*AG48,"")</f>
        <v>0</v>
      </c>
      <c r="AI48" s="19" t="s">
        <v>368</v>
      </c>
      <c r="AJ48" s="20" t="s">
        <v>247</v>
      </c>
      <c r="AL48" s="18">
        <f>iferror(lookup(if(AK48="",H48,AK48),{0,1,3000,6000,12000,18000,24000,30000,300000},{0.0,0.34,0.34,0.335,0.33,0.326,0.322,0.317,0.313}),"")</f>
        <v>0</v>
      </c>
      <c r="AM48" s="18">
        <f>iferror(if(AK48="",H48,AK48)*AL48,"")</f>
        <v>0</v>
      </c>
      <c r="AN48" s="19" t="s">
        <v>402</v>
      </c>
    </row>
    <row r="49" spans="1:49">
      <c r="A49" s="17" t="s">
        <v>212</v>
      </c>
      <c r="B49" s="17" t="s">
        <v>213</v>
      </c>
      <c r="C49" s="17" t="s">
        <v>214</v>
      </c>
      <c r="E49" s="17" t="s">
        <v>215</v>
      </c>
      <c r="F49" s="17" t="s">
        <v>15</v>
      </c>
      <c r="G49" s="17" t="s">
        <v>213</v>
      </c>
      <c r="H49" s="17">
        <f>BoardQty*1</f>
        <v>0</v>
      </c>
      <c r="I4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9" s="18">
        <f>iferror(H49*I49,"")</f>
        <v>0</v>
      </c>
      <c r="P49" s="17">
        <v>3</v>
      </c>
      <c r="R49" s="18">
        <f>iferror(lookup(if(Q49="",H49,Q49),{0,1,5,10,25,50,100,250,500,3000},{0.0,1.47,1.45,1.428,1.386,1.344,1.302,1.26,1.176,1.176}),"")</f>
        <v>0</v>
      </c>
      <c r="S49" s="18">
        <f>iferror(if(Q49="",H49,Q49)*R49,"")</f>
        <v>0</v>
      </c>
      <c r="T49" s="19" t="s">
        <v>285</v>
      </c>
      <c r="U49" s="17">
        <v>490</v>
      </c>
      <c r="W49" s="18">
        <f>iferror(USD_GBP*lookup(if(V49="",H49,V49),{0,1,10,25,50,100},{0.0,1.11,1.09,1.06,1.02,0.99}),"")</f>
        <v>0</v>
      </c>
      <c r="X49" s="18">
        <f>iferror(if(V49="",H49,V49)*W49,"")</f>
        <v>0</v>
      </c>
      <c r="Y49" s="19" t="s">
        <v>318</v>
      </c>
      <c r="AE49" s="17">
        <v>13</v>
      </c>
      <c r="AG49" s="18">
        <f>iferror(lookup(if(AF49="",H49,AF49),{0,1,10,50,100,1000,10000},{0.0,1.47,1.43,1.34,1.3,1.15,1.15}),"")</f>
        <v>0</v>
      </c>
      <c r="AH49" s="18">
        <f>iferror(if(AF49="",H49,AF49)*AG49,"")</f>
        <v>0</v>
      </c>
      <c r="AI49" s="19" t="s">
        <v>369</v>
      </c>
      <c r="AJ49" s="17">
        <v>490</v>
      </c>
      <c r="AL49" s="18">
        <f>iferror(lookup(if(AK49="",H49,AK49),{0,1,10,25,50,100},{0.0,1.47,1.43,1.39,1.34,1.3}),"")</f>
        <v>0</v>
      </c>
      <c r="AM49" s="18">
        <f>iferror(if(AK49="",H49,AK49)*AL49,"")</f>
        <v>0</v>
      </c>
      <c r="AN49" s="19" t="s">
        <v>403</v>
      </c>
    </row>
    <row r="50" spans="1:49">
      <c r="A50" s="17" t="s">
        <v>216</v>
      </c>
      <c r="B50" s="17" t="s">
        <v>217</v>
      </c>
      <c r="C50" s="17" t="s">
        <v>218</v>
      </c>
      <c r="E50" s="17" t="s">
        <v>215</v>
      </c>
      <c r="F50" s="17" t="s">
        <v>15</v>
      </c>
      <c r="G50" s="17" t="s">
        <v>217</v>
      </c>
      <c r="H50" s="17">
        <f>BoardQty*1</f>
        <v>0</v>
      </c>
      <c r="I5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50" s="18">
        <f>iferror(H50*I50,"")</f>
        <v>0</v>
      </c>
      <c r="P50" s="17">
        <v>500</v>
      </c>
      <c r="R50" s="18">
        <f>iferror(lookup(if(Q50="",H50,Q50),{0,1,5,10,25,50,100,250,500,3000},{0.0,1.47,1.45,1.428,1.386,1.344,1.302,1.26,1.176,1.176}),"")</f>
        <v>0</v>
      </c>
      <c r="S50" s="18">
        <f>iferror(if(Q50="",H50,Q50)*R50,"")</f>
        <v>0</v>
      </c>
      <c r="T50" s="19" t="s">
        <v>286</v>
      </c>
      <c r="U50" s="17">
        <v>500</v>
      </c>
      <c r="W50" s="18">
        <f>iferror(USD_GBP*lookup(if(V50="",H50,V50),{0,1,10,25,50,100},{0.0,1.11,1.09,1.06,1.02,0.99}),"")</f>
        <v>0</v>
      </c>
      <c r="X50" s="18">
        <f>iferror(if(V50="",H50,V50)*W50,"")</f>
        <v>0</v>
      </c>
      <c r="Y50" s="19" t="s">
        <v>319</v>
      </c>
      <c r="AE50" s="17">
        <v>475</v>
      </c>
      <c r="AG50" s="18">
        <f>iferror(lookup(if(AF50="",H50,AF50),{0,1,10,50,100,1000,10000},{0.0,1.47,1.43,1.34,1.3,1.18,1.18}),"")</f>
        <v>0</v>
      </c>
      <c r="AH50" s="18">
        <f>iferror(if(AF50="",H50,AF50)*AG50,"")</f>
        <v>0</v>
      </c>
      <c r="AI50" s="19" t="s">
        <v>370</v>
      </c>
      <c r="AJ50" s="17">
        <v>500</v>
      </c>
      <c r="AL50" s="18">
        <f>iferror(lookup(if(AK50="",H50,AK50),{0,1,10,25,50,100},{0.0,1.47,1.43,1.39,1.34,1.3}),"")</f>
        <v>0</v>
      </c>
      <c r="AM50" s="18">
        <f>iferror(if(AK50="",H50,AK50)*AL50,"")</f>
        <v>0</v>
      </c>
      <c r="AN50" s="19" t="s">
        <v>404</v>
      </c>
    </row>
    <row r="51" spans="1:49">
      <c r="A51" s="17" t="s">
        <v>219</v>
      </c>
      <c r="B51" s="17" t="s">
        <v>220</v>
      </c>
      <c r="C51" s="17" t="s">
        <v>221</v>
      </c>
      <c r="E51" s="17" t="s">
        <v>222</v>
      </c>
      <c r="F51" s="17" t="s">
        <v>223</v>
      </c>
      <c r="G51" s="17" t="s">
        <v>220</v>
      </c>
      <c r="H51" s="17">
        <f>BoardQty*4</f>
        <v>0</v>
      </c>
      <c r="I5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51" s="18">
        <f>iferror(H51*I51,"")</f>
        <v>0</v>
      </c>
      <c r="P51" s="20" t="s">
        <v>247</v>
      </c>
      <c r="R51" s="18">
        <f>iferror(lookup(if(Q51="",H51,Q51),{0,1,2000},{0.0,1.336,1.336}),"")</f>
        <v>0</v>
      </c>
      <c r="S51" s="18">
        <f>iferror(if(Q51="",H51,Q51)*R51,"")</f>
        <v>0</v>
      </c>
      <c r="T51" s="19" t="s">
        <v>287</v>
      </c>
      <c r="Z51" s="17">
        <v>1990</v>
      </c>
      <c r="AB51" s="18">
        <f>iferror(lookup(if(AA51="",H51,AA51),{0,1,10,30,100,500,1000},{0.0,1.4156,1.0496,0.9828,0.9161,0.8855,0.871}),"")</f>
        <v>0</v>
      </c>
      <c r="AC51" s="18">
        <f>iferror(if(AA51="",H51,AA51)*AB51,"")</f>
        <v>0</v>
      </c>
      <c r="AD51" s="19" t="s">
        <v>333</v>
      </c>
      <c r="AE51" s="17">
        <v>594</v>
      </c>
      <c r="AG51" s="18">
        <f>iferror(lookup(if(AF51="",H51,AF51),{0,1,10,50,100,1000,10000},{0.0,2.5,2.25,2.12,1.61,1.3,1.11}),"")</f>
        <v>0</v>
      </c>
      <c r="AH51" s="18">
        <f>iferror(if(AF51="",H51,AF51)*AG51,"")</f>
        <v>0</v>
      </c>
      <c r="AI51" s="19" t="s">
        <v>371</v>
      </c>
    </row>
    <row r="53" spans="1:49">
      <c r="B53" s="21" t="s">
        <v>226</v>
      </c>
      <c r="I53" s="1" t="s">
        <v>224</v>
      </c>
      <c r="J53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53" s="19" t="s">
        <v>243</v>
      </c>
      <c r="L53" s="6">
        <f>IFERROR(IF(OR(L7:L51),COUNTIFS(L7:L51,"&gt;0",N7:N51,"&lt;&gt;")&amp;" of "&amp;(ROWS(N7:N51)-COUNTBLANK(N7:N51))&amp;" parts purchased",""),"")</f>
        <v>0</v>
      </c>
      <c r="N53" s="5">
        <f>SUMIF(L7:L51,"&gt;0",N7:N51)</f>
        <v>0</v>
      </c>
      <c r="P53" s="19" t="s">
        <v>243</v>
      </c>
      <c r="Q53" s="6">
        <f>IFERROR(IF(OR(Q7:Q51),COUNTIFS(Q7:Q51,"&gt;0",S7:S51,"&lt;&gt;")&amp;" of "&amp;(ROWS(S7:S51)-COUNTBLANK(S7:S51))&amp;" parts purchased",""),"")</f>
        <v>0</v>
      </c>
      <c r="S53" s="5">
        <f>SUMIF(Q7:Q51,"&gt;0",S7:S51)</f>
        <v>0</v>
      </c>
      <c r="U53" s="19" t="s">
        <v>243</v>
      </c>
      <c r="V53" s="6">
        <f>IFERROR(IF(OR(V7:V51),COUNTIFS(V7:V51,"&gt;0",X7:X51,"&lt;&gt;")&amp;" of "&amp;(ROWS(X7:X51)-COUNTBLANK(X7:X51))&amp;" parts purchased",""),"")</f>
        <v>0</v>
      </c>
      <c r="X53" s="5">
        <f>SUMIF(V7:V51,"&gt;0",X7:X51)</f>
        <v>0</v>
      </c>
      <c r="Z53" s="19" t="s">
        <v>243</v>
      </c>
      <c r="AA53" s="6">
        <f>IFERROR(IF(OR(AA7:AA51),COUNTIFS(AA7:AA51,"&gt;0",AC7:AC51,"&lt;&gt;")&amp;" of "&amp;(ROWS(AC7:AC51)-COUNTBLANK(AC7:AC51))&amp;" parts purchased",""),"")</f>
        <v>0</v>
      </c>
      <c r="AC53" s="5">
        <f>SUMIF(AA7:AA51,"&gt;0",AC7:AC51)</f>
        <v>0</v>
      </c>
      <c r="AE53" s="19" t="s">
        <v>243</v>
      </c>
      <c r="AF53" s="6">
        <f>IFERROR(IF(OR(AF7:AF51),COUNTIFS(AF7:AF51,"&gt;0",AH7:AH51,"&lt;&gt;")&amp;" of "&amp;(ROWS(AH7:AH51)-COUNTBLANK(AH7:AH51))&amp;" parts purchased",""),"")</f>
        <v>0</v>
      </c>
      <c r="AH53" s="5">
        <f>SUMIF(AF7:AF51,"&gt;0",AH7:AH51)</f>
        <v>0</v>
      </c>
      <c r="AJ53" s="19" t="s">
        <v>243</v>
      </c>
      <c r="AK53" s="6">
        <f>IFERROR(IF(OR(AK7:AK51),COUNTIFS(AK7:AK51,"&gt;0",AM7:AM51,"&lt;&gt;")&amp;" of "&amp;(ROWS(AM7:AM51)-COUNTBLANK(AM7:AM51))&amp;" parts purchased",""),"")</f>
        <v>0</v>
      </c>
      <c r="AM53" s="5">
        <f>SUMIF(AK7:AK51,"&gt;0",AM7:AM51)</f>
        <v>0</v>
      </c>
      <c r="AO53" s="19" t="s">
        <v>243</v>
      </c>
      <c r="AP53" s="6">
        <f>IFERROR(IF(OR(AP7:AP51),COUNTIFS(AP7:AP51,"&gt;0",AR7:AR51,"&lt;&gt;")&amp;" of "&amp;(ROWS(AR7:AR51)-COUNTBLANK(AR7:AR51))&amp;" parts purchased",""),"")</f>
        <v>0</v>
      </c>
      <c r="AR53" s="5">
        <f>SUMIF(AP7:AP51,"&gt;0",AR7:AR51)</f>
        <v>0</v>
      </c>
      <c r="AT53" s="19" t="s">
        <v>243</v>
      </c>
      <c r="AU53" s="6">
        <f>IFERROR(IF(OR(AU7:AU51),COUNTIFS(AU7:AU51,"&gt;0",AW7:AW51,"&lt;&gt;")&amp;" of "&amp;(ROWS(AW7:AW51)-COUNTBLANK(AW7:AW51))&amp;" parts purchased",""),"")</f>
        <v>0</v>
      </c>
      <c r="AW53" s="5">
        <f>SUMIF(AU7:AU51,"&gt;0",AW7:AW51)</f>
        <v>0</v>
      </c>
    </row>
    <row r="54" spans="1:49">
      <c r="B54" s="21" t="s">
        <v>227</v>
      </c>
      <c r="C54">
        <v>1.293904700565222</v>
      </c>
      <c r="I54" s="21" t="s">
        <v>225</v>
      </c>
      <c r="L54">
        <f t="array" ref="L5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4">
        <f t="array" ref="Q5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4">
        <f t="array" ref="V5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4" s="6">
        <f>IFERROR(IF(COUNTIFS(AA7:AA51,"&gt;0",AC7:AC51,"&lt;&gt;")&gt;0,"Quantity,Comment,Designator,Footprint,LCSC Part #(optional)",""),"")</f>
        <v>0</v>
      </c>
      <c r="AF54">
        <f t="array" ref="AF5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4">
        <f t="array" ref="AK5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4">
        <f t="array" ref="AP5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4">
        <f t="array" ref="AU5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5" spans="1:49">
      <c r="L55">
        <f t="array" ref="L5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5">
        <f t="array" ref="Q5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5">
        <f t="array" ref="V5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5">
        <f t="array" ref="AA5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5">
        <f t="array" ref="AF5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5">
        <f t="array" ref="AK5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5">
        <f t="array" ref="AP5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5">
        <f t="array" ref="AU5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6" spans="1:49">
      <c r="A56" s="2" t="s">
        <v>419</v>
      </c>
      <c r="L56">
        <f t="array" ref="L5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6">
        <f t="array" ref="Q5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6">
        <f t="array" ref="V5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6">
        <f t="array" ref="AA5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6">
        <f t="array" ref="AF5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6">
        <f t="array" ref="AK5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6">
        <f t="array" ref="AP5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6">
        <f t="array" ref="AU5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7" spans="1:49">
      <c r="L57">
        <f t="array" ref="L5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7">
        <f t="array" ref="Q5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7">
        <f t="array" ref="V5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7">
        <f t="array" ref="AA5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7">
        <f t="array" ref="AF5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7">
        <f t="array" ref="AK5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7">
        <f t="array" ref="AP5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7">
        <f t="array" ref="AU5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8" spans="1:49">
      <c r="L58">
        <f t="array" ref="L5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8">
        <f t="array" ref="Q5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8">
        <f t="array" ref="V5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8">
        <f t="array" ref="AA5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8">
        <f t="array" ref="AF5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8">
        <f t="array" ref="AK5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8">
        <f t="array" ref="AP5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8">
        <f t="array" ref="AU5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9" spans="1:49">
      <c r="L59">
        <f t="array" ref="L5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9">
        <f t="array" ref="Q5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9">
        <f t="array" ref="V5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9">
        <f t="array" ref="AA5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9">
        <f t="array" ref="AF5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9">
        <f t="array" ref="AK5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9">
        <f t="array" ref="AP5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9">
        <f t="array" ref="AU5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0" spans="1:49">
      <c r="L60">
        <f t="array" ref="L6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0">
        <f t="array" ref="Q6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0">
        <f t="array" ref="V6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0">
        <f t="array" ref="AA6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0">
        <f t="array" ref="AF6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0">
        <f t="array" ref="AK6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0">
        <f t="array" ref="AP6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0">
        <f t="array" ref="AU6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1" spans="1:49">
      <c r="L61">
        <f t="array" ref="L6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1">
        <f t="array" ref="Q6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1">
        <f t="array" ref="V6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1">
        <f t="array" ref="AA6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1">
        <f t="array" ref="AF6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1">
        <f t="array" ref="AK6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1">
        <f t="array" ref="AP6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1">
        <f t="array" ref="AU6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2" spans="1:49">
      <c r="L62">
        <f t="array" ref="L6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2">
        <f t="array" ref="Q6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2">
        <f t="array" ref="V6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2">
        <f t="array" ref="AA6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2">
        <f t="array" ref="AF6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2">
        <f t="array" ref="AK6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2">
        <f t="array" ref="AP6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2">
        <f t="array" ref="AU6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3" spans="1:49">
      <c r="L63">
        <f t="array" ref="L6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3">
        <f t="array" ref="Q6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3">
        <f t="array" ref="V6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3">
        <f t="array" ref="AA6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3">
        <f t="array" ref="AF6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3">
        <f t="array" ref="AK6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3">
        <f t="array" ref="AP6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3">
        <f t="array" ref="AU6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4" spans="1:49">
      <c r="L64">
        <f t="array" ref="L6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4">
        <f t="array" ref="Q6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4">
        <f t="array" ref="V6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4">
        <f t="array" ref="AA6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4">
        <f t="array" ref="AF6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4">
        <f t="array" ref="AK6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4">
        <f t="array" ref="AP6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4">
        <f t="array" ref="AU6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5" spans="12:47">
      <c r="L65">
        <f t="array" ref="L6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5">
        <f t="array" ref="Q6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5">
        <f t="array" ref="V6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5">
        <f t="array" ref="AA6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5">
        <f t="array" ref="AF6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5">
        <f t="array" ref="AK6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5">
        <f t="array" ref="AP6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5">
        <f t="array" ref="AU6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6" spans="12:47">
      <c r="L66">
        <f t="array" ref="L6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6">
        <f t="array" ref="Q6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6">
        <f t="array" ref="V6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6">
        <f t="array" ref="AA6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6">
        <f t="array" ref="AF6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6">
        <f t="array" ref="AK6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6">
        <f t="array" ref="AP6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6">
        <f t="array" ref="AU6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7" spans="12:47">
      <c r="L67">
        <f t="array" ref="L6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7">
        <f t="array" ref="Q6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7">
        <f t="array" ref="V6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7">
        <f t="array" ref="AA6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7">
        <f t="array" ref="AF6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7">
        <f t="array" ref="AK6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7">
        <f t="array" ref="AP6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7">
        <f t="array" ref="AU6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8" spans="12:47">
      <c r="L68">
        <f t="array" ref="L6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8">
        <f t="array" ref="Q6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8">
        <f t="array" ref="V6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8">
        <f t="array" ref="AA6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8">
        <f t="array" ref="AF6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8">
        <f t="array" ref="AK6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8">
        <f t="array" ref="AP6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8">
        <f t="array" ref="AU6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9" spans="12:47">
      <c r="L69">
        <f t="array" ref="L6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9">
        <f t="array" ref="Q6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9">
        <f t="array" ref="V6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9">
        <f t="array" ref="AA6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9">
        <f t="array" ref="AF6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9">
        <f t="array" ref="AK6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9">
        <f t="array" ref="AP6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9">
        <f t="array" ref="AU6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0" spans="12:47">
      <c r="L70">
        <f t="array" ref="L7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0">
        <f t="array" ref="Q7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0">
        <f t="array" ref="V7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0">
        <f t="array" ref="AA7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0">
        <f t="array" ref="AF7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0">
        <f t="array" ref="AK7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0">
        <f t="array" ref="AP7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0">
        <f t="array" ref="AU7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1" spans="12:47">
      <c r="L71">
        <f t="array" ref="L7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1">
        <f t="array" ref="Q7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1">
        <f t="array" ref="V7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1">
        <f t="array" ref="AA7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1">
        <f t="array" ref="AF7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1">
        <f t="array" ref="AK7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1">
        <f t="array" ref="AP7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1">
        <f t="array" ref="AU7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2" spans="12:47">
      <c r="L72">
        <f t="array" ref="L7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2">
        <f t="array" ref="Q7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2">
        <f t="array" ref="V7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2">
        <f t="array" ref="AA7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2">
        <f t="array" ref="AF7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2">
        <f t="array" ref="AK7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2">
        <f t="array" ref="AP7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2">
        <f t="array" ref="AU7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3" spans="12:47">
      <c r="L73">
        <f t="array" ref="L7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3">
        <f t="array" ref="Q7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3">
        <f t="array" ref="V7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3">
        <f t="array" ref="AA7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3">
        <f t="array" ref="AF7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3">
        <f t="array" ref="AK7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3">
        <f t="array" ref="AP7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3">
        <f t="array" ref="AU7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4" spans="12:47">
      <c r="L74">
        <f t="array" ref="L7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4">
        <f t="array" ref="Q7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4">
        <f t="array" ref="V7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4">
        <f t="array" ref="AA7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4">
        <f t="array" ref="AF7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4">
        <f t="array" ref="AK7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4">
        <f t="array" ref="AP7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4">
        <f t="array" ref="AU7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5" spans="12:47">
      <c r="L75">
        <f t="array" ref="L7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5">
        <f t="array" ref="Q7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5">
        <f t="array" ref="V7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5">
        <f t="array" ref="AA7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5">
        <f t="array" ref="AF7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5">
        <f t="array" ref="AK7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5">
        <f t="array" ref="AP7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5">
        <f t="array" ref="AU7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6" spans="12:47">
      <c r="L76">
        <f t="array" ref="L7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6">
        <f t="array" ref="Q7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6">
        <f t="array" ref="V7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6">
        <f t="array" ref="AA7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6">
        <f t="array" ref="AF7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6">
        <f t="array" ref="AK7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6">
        <f t="array" ref="AP7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6">
        <f t="array" ref="AU7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7" spans="12:47">
      <c r="L77">
        <f t="array" ref="L7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7">
        <f t="array" ref="Q7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7">
        <f t="array" ref="V7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7">
        <f t="array" ref="AA7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7">
        <f t="array" ref="AF7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7">
        <f t="array" ref="AK7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7">
        <f t="array" ref="AP7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7">
        <f t="array" ref="AU7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8" spans="12:47">
      <c r="L78">
        <f t="array" ref="L7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8">
        <f t="array" ref="Q7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8">
        <f t="array" ref="V7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8">
        <f t="array" ref="AA7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8">
        <f t="array" ref="AF7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8">
        <f t="array" ref="AK7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8">
        <f t="array" ref="AP7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8">
        <f t="array" ref="AU7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9" spans="12:47">
      <c r="L79">
        <f t="array" ref="L7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9">
        <f t="array" ref="Q7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9">
        <f t="array" ref="V7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9">
        <f t="array" ref="AA7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9">
        <f t="array" ref="AF7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9">
        <f t="array" ref="AK7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9">
        <f t="array" ref="AP7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9">
        <f t="array" ref="AU7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0" spans="12:47">
      <c r="L80">
        <f t="array" ref="L8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0">
        <f t="array" ref="Q8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0">
        <f t="array" ref="V8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0">
        <f t="array" ref="AA8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0">
        <f t="array" ref="AF8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0">
        <f t="array" ref="AK8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0">
        <f t="array" ref="AP8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0">
        <f t="array" ref="AU8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1" spans="12:47">
      <c r="L81">
        <f t="array" ref="L8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1">
        <f t="array" ref="Q8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1">
        <f t="array" ref="V8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1">
        <f t="array" ref="AA8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1">
        <f t="array" ref="AF8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1">
        <f t="array" ref="AK8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1">
        <f t="array" ref="AP8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1">
        <f t="array" ref="AU8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2" spans="12:47">
      <c r="L82">
        <f t="array" ref="L8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2">
        <f t="array" ref="Q8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2">
        <f t="array" ref="V8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2">
        <f t="array" ref="AA8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2">
        <f t="array" ref="AF8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2">
        <f t="array" ref="AK8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2">
        <f t="array" ref="AP8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2">
        <f t="array" ref="AU8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3" spans="12:47">
      <c r="L83">
        <f t="array" ref="L8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3">
        <f t="array" ref="Q8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3">
        <f t="array" ref="V8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3">
        <f t="array" ref="AA8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3">
        <f t="array" ref="AF8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3">
        <f t="array" ref="AK8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3">
        <f t="array" ref="AP8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3">
        <f t="array" ref="AU8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4" spans="12:47">
      <c r="L84">
        <f t="array" ref="L8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4">
        <f t="array" ref="Q8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4">
        <f t="array" ref="V8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4">
        <f t="array" ref="AA8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4">
        <f t="array" ref="AF8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4">
        <f t="array" ref="AK8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4">
        <f t="array" ref="AP8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4">
        <f t="array" ref="AU8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5" spans="12:47">
      <c r="L85">
        <f t="array" ref="L8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5">
        <f t="array" ref="Q8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5">
        <f t="array" ref="V8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5">
        <f t="array" ref="AA8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5">
        <f t="array" ref="AF8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5">
        <f t="array" ref="AK8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5">
        <f t="array" ref="AP8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5">
        <f t="array" ref="AU8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6" spans="12:47">
      <c r="L86">
        <f t="array" ref="L8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6">
        <f t="array" ref="Q8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6">
        <f t="array" ref="V8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6">
        <f t="array" ref="AA8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6">
        <f t="array" ref="AF8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6">
        <f t="array" ref="AK8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6">
        <f t="array" ref="AP8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6">
        <f t="array" ref="AU8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7" spans="12:47">
      <c r="L87">
        <f t="array" ref="L8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7">
        <f t="array" ref="Q8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7">
        <f t="array" ref="V8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7">
        <f t="array" ref="AA8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7">
        <f t="array" ref="AF8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7">
        <f t="array" ref="AK8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7">
        <f t="array" ref="AP8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7">
        <f t="array" ref="AU8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8" spans="12:47">
      <c r="L88">
        <f t="array" ref="L8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8">
        <f t="array" ref="Q8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8">
        <f t="array" ref="V8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8">
        <f t="array" ref="AA8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8">
        <f t="array" ref="AF8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8">
        <f t="array" ref="AK8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8">
        <f t="array" ref="AP8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8">
        <f t="array" ref="AU8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9" spans="12:47">
      <c r="L89">
        <f t="array" ref="L8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9">
        <f t="array" ref="Q8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9">
        <f t="array" ref="V8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9">
        <f t="array" ref="AA8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9">
        <f t="array" ref="AF8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9">
        <f t="array" ref="AK8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9">
        <f t="array" ref="AP8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9">
        <f t="array" ref="AU8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0" spans="12:47">
      <c r="L90">
        <f t="array" ref="L9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0">
        <f t="array" ref="Q9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0">
        <f t="array" ref="V9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0">
        <f t="array" ref="AA9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0">
        <f t="array" ref="AF9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0">
        <f t="array" ref="AK9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0">
        <f t="array" ref="AP9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0">
        <f t="array" ref="AU9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1" spans="12:47">
      <c r="L91">
        <f t="array" ref="L9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1">
        <f t="array" ref="Q9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1">
        <f t="array" ref="V9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1">
        <f t="array" ref="AA9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1">
        <f t="array" ref="AF9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1">
        <f t="array" ref="AK9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1">
        <f t="array" ref="AP9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1">
        <f t="array" ref="AU9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2" spans="12:47">
      <c r="L92">
        <f t="array" ref="L9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2">
        <f t="array" ref="Q9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2">
        <f t="array" ref="V9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2">
        <f t="array" ref="AA9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2">
        <f t="array" ref="AF9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2">
        <f t="array" ref="AK9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2">
        <f t="array" ref="AP9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2">
        <f t="array" ref="AU9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3" spans="12:47">
      <c r="L93">
        <f t="array" ref="L9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3">
        <f t="array" ref="Q9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3">
        <f t="array" ref="V9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3">
        <f t="array" ref="AA9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3">
        <f t="array" ref="AF9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3">
        <f t="array" ref="AK9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3">
        <f t="array" ref="AP9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3">
        <f t="array" ref="AU9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4" spans="12:47">
      <c r="L94">
        <f t="array" ref="L9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4">
        <f t="array" ref="Q9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4">
        <f t="array" ref="V9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4">
        <f t="array" ref="AA9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4">
        <f t="array" ref="AF9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4">
        <f t="array" ref="AK9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4">
        <f t="array" ref="AP9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4">
        <f t="array" ref="AU9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5" spans="12:47">
      <c r="L95">
        <f t="array" ref="L9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5">
        <f t="array" ref="Q9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5">
        <f t="array" ref="V9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5">
        <f t="array" ref="AA9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5">
        <f t="array" ref="AF9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5">
        <f t="array" ref="AK9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5">
        <f t="array" ref="AP9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5">
        <f t="array" ref="AU9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6" spans="12:47">
      <c r="L96">
        <f t="array" ref="L9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6">
        <f t="array" ref="Q9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6">
        <f t="array" ref="V9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6">
        <f t="array" ref="AA9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6">
        <f t="array" ref="AF9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6">
        <f t="array" ref="AK9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6">
        <f t="array" ref="AP9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6">
        <f t="array" ref="AU9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7" spans="12:47">
      <c r="L97">
        <f t="array" ref="L9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7">
        <f t="array" ref="Q9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7">
        <f t="array" ref="V9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7">
        <f t="array" ref="AA9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7">
        <f t="array" ref="AF9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7">
        <f t="array" ref="AK9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7">
        <f t="array" ref="AP9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7">
        <f t="array" ref="AU9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8" spans="12:47">
      <c r="L98">
        <f t="array" ref="L9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8">
        <f t="array" ref="Q9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8">
        <f t="array" ref="V9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8">
        <f t="array" ref="AA9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8">
        <f t="array" ref="AF9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8">
        <f t="array" ref="AK9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8">
        <f t="array" ref="AP9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8">
        <f t="array" ref="AU9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9" spans="12:47">
      <c r="AA99">
        <f t="array" ref="AA9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1">
    <cfRule type="expression" dxfId="3" priority="610">
      <formula>AND(AA11&gt;0,AA11&lt;5)</formula>
    </cfRule>
    <cfRule type="cellIs" dxfId="1" priority="611" operator="greaterThan">
      <formula>Z11</formula>
    </cfRule>
  </conditionalFormatting>
  <conditionalFormatting sqref="AA13">
    <cfRule type="expression" dxfId="3" priority="616">
      <formula>AND(AA13&gt;0,AA13&lt;100)</formula>
    </cfRule>
    <cfRule type="cellIs" dxfId="1" priority="617" operator="greaterThan">
      <formula>Z13</formula>
    </cfRule>
  </conditionalFormatting>
  <conditionalFormatting sqref="AA14">
    <cfRule type="expression" dxfId="3" priority="622">
      <formula>AND(AA14&gt;0,AA14&lt;5)</formula>
    </cfRule>
    <cfRule type="cellIs" dxfId="1" priority="623" operator="greaterThan">
      <formula>Z14</formula>
    </cfRule>
  </conditionalFormatting>
  <conditionalFormatting sqref="AA20">
    <cfRule type="expression" dxfId="3" priority="628">
      <formula>AND(AA20&gt;0,AA20&lt;50)</formula>
    </cfRule>
    <cfRule type="cellIs" dxfId="1" priority="629" operator="greaterThan">
      <formula>Z20</formula>
    </cfRule>
  </conditionalFormatting>
  <conditionalFormatting sqref="AA30">
    <cfRule type="expression" dxfId="3" priority="634">
      <formula>AND(AA30&gt;0,AA30&lt;50)</formula>
    </cfRule>
    <cfRule type="cellIs" dxfId="1" priority="635" operator="greaterThan">
      <formula>Z30</formula>
    </cfRule>
  </conditionalFormatting>
  <conditionalFormatting sqref="AA32">
    <cfRule type="expression" dxfId="3" priority="640">
      <formula>AND(AA32&gt;0,AA32&lt;50)</formula>
    </cfRule>
    <cfRule type="cellIs" dxfId="1" priority="641" operator="greaterThan">
      <formula>Z32</formula>
    </cfRule>
  </conditionalFormatting>
  <conditionalFormatting sqref="AA33">
    <cfRule type="expression" dxfId="3" priority="646">
      <formula>AND(AA33&gt;0,AA33&lt;50)</formula>
    </cfRule>
    <cfRule type="cellIs" dxfId="1" priority="647" operator="greaterThan">
      <formula>Z33</formula>
    </cfRule>
  </conditionalFormatting>
  <conditionalFormatting sqref="AA34">
    <cfRule type="expression" dxfId="3" priority="652">
      <formula>AND(AA34&gt;0,AA34&lt;50)</formula>
    </cfRule>
    <cfRule type="cellIs" dxfId="1" priority="653" operator="greaterThan">
      <formula>Z34</formula>
    </cfRule>
  </conditionalFormatting>
  <conditionalFormatting sqref="AA35">
    <cfRule type="cellIs" dxfId="1" priority="658" operator="greaterThan">
      <formula>Z35</formula>
    </cfRule>
  </conditionalFormatting>
  <conditionalFormatting sqref="AA43">
    <cfRule type="cellIs" dxfId="1" priority="663" operator="greaterThan">
      <formula>Z43</formula>
    </cfRule>
  </conditionalFormatting>
  <conditionalFormatting sqref="AA47">
    <cfRule type="cellIs" dxfId="1" priority="668" operator="greaterThan">
      <formula>Z47</formula>
    </cfRule>
  </conditionalFormatting>
  <conditionalFormatting sqref="AA51">
    <cfRule type="cellIs" dxfId="1" priority="673" operator="greaterThan">
      <formula>Z51</formula>
    </cfRule>
  </conditionalFormatting>
  <conditionalFormatting sqref="AA7">
    <cfRule type="expression" dxfId="3" priority="598">
      <formula>AND(AA7&gt;0,AA7&lt;100)</formula>
    </cfRule>
    <cfRule type="cellIs" dxfId="1" priority="599" operator="greaterThan">
      <formula>Z7</formula>
    </cfRule>
  </conditionalFormatting>
  <conditionalFormatting sqref="AA8">
    <cfRule type="expression" dxfId="3" priority="604">
      <formula>AND(AA8&gt;0,AA8&lt;10)</formula>
    </cfRule>
    <cfRule type="cellIs" dxfId="1" priority="605" operator="greaterThan">
      <formula>Z8</formula>
    </cfRule>
  </conditionalFormatting>
  <conditionalFormatting sqref="AB11">
    <cfRule type="cellIs" dxfId="4" priority="613" operator="lessThanOrEqual">
      <formula>I11</formula>
    </cfRule>
  </conditionalFormatting>
  <conditionalFormatting sqref="AB13">
    <cfRule type="cellIs" dxfId="4" priority="619" operator="lessThanOrEqual">
      <formula>I13</formula>
    </cfRule>
  </conditionalFormatting>
  <conditionalFormatting sqref="AB14">
    <cfRule type="cellIs" dxfId="4" priority="625" operator="lessThanOrEqual">
      <formula>I14</formula>
    </cfRule>
  </conditionalFormatting>
  <conditionalFormatting sqref="AB20">
    <cfRule type="cellIs" dxfId="4" priority="631" operator="lessThanOrEqual">
      <formula>I20</formula>
    </cfRule>
  </conditionalFormatting>
  <conditionalFormatting sqref="AB30">
    <cfRule type="cellIs" dxfId="4" priority="637" operator="lessThanOrEqual">
      <formula>I30</formula>
    </cfRule>
  </conditionalFormatting>
  <conditionalFormatting sqref="AB32">
    <cfRule type="cellIs" dxfId="4" priority="643" operator="lessThanOrEqual">
      <formula>I32</formula>
    </cfRule>
  </conditionalFormatting>
  <conditionalFormatting sqref="AB33">
    <cfRule type="cellIs" dxfId="4" priority="649" operator="lessThanOrEqual">
      <formula>I33</formula>
    </cfRule>
  </conditionalFormatting>
  <conditionalFormatting sqref="AB34">
    <cfRule type="cellIs" dxfId="4" priority="655" operator="lessThanOrEqual">
      <formula>I34</formula>
    </cfRule>
  </conditionalFormatting>
  <conditionalFormatting sqref="AB35">
    <cfRule type="cellIs" dxfId="4" priority="660" operator="lessThanOrEqual">
      <formula>I35</formula>
    </cfRule>
  </conditionalFormatting>
  <conditionalFormatting sqref="AB43">
    <cfRule type="cellIs" dxfId="4" priority="665" operator="lessThanOrEqual">
      <formula>I43</formula>
    </cfRule>
  </conditionalFormatting>
  <conditionalFormatting sqref="AB47">
    <cfRule type="cellIs" dxfId="4" priority="670" operator="lessThanOrEqual">
      <formula>I47</formula>
    </cfRule>
  </conditionalFormatting>
  <conditionalFormatting sqref="AB51">
    <cfRule type="cellIs" dxfId="4" priority="675" operator="lessThanOrEqual">
      <formula>I51</formula>
    </cfRule>
  </conditionalFormatting>
  <conditionalFormatting sqref="AB7">
    <cfRule type="cellIs" dxfId="4" priority="601" operator="lessThanOrEqual">
      <formula>I7</formula>
    </cfRule>
  </conditionalFormatting>
  <conditionalFormatting sqref="AB8">
    <cfRule type="cellIs" dxfId="4" priority="607" operator="lessThanOrEqual">
      <formula>I8</formula>
    </cfRule>
  </conditionalFormatting>
  <conditionalFormatting sqref="AC11">
    <cfRule type="cellIs" dxfId="4" priority="612" operator="lessThanOrEqual">
      <formula>J11</formula>
    </cfRule>
  </conditionalFormatting>
  <conditionalFormatting sqref="AC13">
    <cfRule type="cellIs" dxfId="4" priority="618" operator="lessThanOrEqual">
      <formula>J13</formula>
    </cfRule>
  </conditionalFormatting>
  <conditionalFormatting sqref="AC14">
    <cfRule type="cellIs" dxfId="4" priority="624" operator="lessThanOrEqual">
      <formula>J14</formula>
    </cfRule>
  </conditionalFormatting>
  <conditionalFormatting sqref="AC20">
    <cfRule type="cellIs" dxfId="4" priority="630" operator="lessThanOrEqual">
      <formula>J20</formula>
    </cfRule>
  </conditionalFormatting>
  <conditionalFormatting sqref="AC30">
    <cfRule type="cellIs" dxfId="4" priority="636" operator="lessThanOrEqual">
      <formula>J30</formula>
    </cfRule>
  </conditionalFormatting>
  <conditionalFormatting sqref="AC32">
    <cfRule type="cellIs" dxfId="4" priority="642" operator="lessThanOrEqual">
      <formula>J32</formula>
    </cfRule>
  </conditionalFormatting>
  <conditionalFormatting sqref="AC33">
    <cfRule type="cellIs" dxfId="4" priority="648" operator="lessThanOrEqual">
      <formula>J33</formula>
    </cfRule>
  </conditionalFormatting>
  <conditionalFormatting sqref="AC34">
    <cfRule type="cellIs" dxfId="4" priority="654" operator="lessThanOrEqual">
      <formula>J34</formula>
    </cfRule>
  </conditionalFormatting>
  <conditionalFormatting sqref="AC35">
    <cfRule type="cellIs" dxfId="4" priority="659" operator="lessThanOrEqual">
      <formula>J35</formula>
    </cfRule>
  </conditionalFormatting>
  <conditionalFormatting sqref="AC43">
    <cfRule type="cellIs" dxfId="4" priority="664" operator="lessThanOrEqual">
      <formula>J43</formula>
    </cfRule>
  </conditionalFormatting>
  <conditionalFormatting sqref="AC47">
    <cfRule type="cellIs" dxfId="4" priority="669" operator="lessThanOrEqual">
      <formula>J47</formula>
    </cfRule>
  </conditionalFormatting>
  <conditionalFormatting sqref="AC51">
    <cfRule type="cellIs" dxfId="4" priority="674" operator="lessThanOrEqual">
      <formula>J51</formula>
    </cfRule>
  </conditionalFormatting>
  <conditionalFormatting sqref="AC7">
    <cfRule type="cellIs" dxfId="4" priority="600" operator="lessThanOrEqual">
      <formula>J7</formula>
    </cfRule>
  </conditionalFormatting>
  <conditionalFormatting sqref="AC8">
    <cfRule type="cellIs" dxfId="4" priority="606" operator="lessThanOrEqual">
      <formula>J8</formula>
    </cfRule>
  </conditionalFormatting>
  <conditionalFormatting sqref="AE10">
    <cfRule type="cellIs" dxfId="1" priority="691" operator="equal">
      <formula>0</formula>
    </cfRule>
    <cfRule type="cellIs" dxfId="2" priority="692" operator="lessThan">
      <formula>H10</formula>
    </cfRule>
  </conditionalFormatting>
  <conditionalFormatting sqref="AE11">
    <cfRule type="cellIs" dxfId="1" priority="696" operator="equal">
      <formula>0</formula>
    </cfRule>
    <cfRule type="cellIs" dxfId="2" priority="697" operator="lessThan">
      <formula>H11</formula>
    </cfRule>
  </conditionalFormatting>
  <conditionalFormatting sqref="AE12">
    <cfRule type="cellIs" dxfId="1" priority="701" operator="equal">
      <formula>0</formula>
    </cfRule>
    <cfRule type="cellIs" dxfId="2" priority="702" operator="lessThan">
      <formula>H12</formula>
    </cfRule>
  </conditionalFormatting>
  <conditionalFormatting sqref="AE13">
    <cfRule type="cellIs" dxfId="1" priority="706" operator="equal">
      <formula>0</formula>
    </cfRule>
    <cfRule type="cellIs" dxfId="2" priority="707" operator="lessThan">
      <formula>H13</formula>
    </cfRule>
  </conditionalFormatting>
  <conditionalFormatting sqref="AE14">
    <cfRule type="cellIs" dxfId="1" priority="711" operator="equal">
      <formula>0</formula>
    </cfRule>
    <cfRule type="cellIs" dxfId="2" priority="712" operator="lessThan">
      <formula>H14</formula>
    </cfRule>
  </conditionalFormatting>
  <conditionalFormatting sqref="AE15">
    <cfRule type="cellIs" dxfId="1" priority="716" operator="equal">
      <formula>0</formula>
    </cfRule>
    <cfRule type="cellIs" dxfId="2" priority="717" operator="lessThan">
      <formula>H15</formula>
    </cfRule>
  </conditionalFormatting>
  <conditionalFormatting sqref="AE16">
    <cfRule type="cellIs" dxfId="1" priority="721" operator="equal">
      <formula>0</formula>
    </cfRule>
    <cfRule type="cellIs" dxfId="2" priority="722" operator="lessThan">
      <formula>H16</formula>
    </cfRule>
  </conditionalFormatting>
  <conditionalFormatting sqref="AE17">
    <cfRule type="cellIs" dxfId="1" priority="726" operator="equal">
      <formula>0</formula>
    </cfRule>
    <cfRule type="cellIs" dxfId="2" priority="727" operator="lessThan">
      <formula>H17</formula>
    </cfRule>
  </conditionalFormatting>
  <conditionalFormatting sqref="AE18">
    <cfRule type="cellIs" dxfId="1" priority="731" operator="equal">
      <formula>0</formula>
    </cfRule>
    <cfRule type="cellIs" dxfId="2" priority="732" operator="lessThan">
      <formula>H18</formula>
    </cfRule>
  </conditionalFormatting>
  <conditionalFormatting sqref="AE19">
    <cfRule type="cellIs" dxfId="1" priority="736" operator="equal">
      <formula>0</formula>
    </cfRule>
    <cfRule type="cellIs" dxfId="2" priority="737" operator="lessThan">
      <formula>H19</formula>
    </cfRule>
  </conditionalFormatting>
  <conditionalFormatting sqref="AE20">
    <cfRule type="cellIs" dxfId="1" priority="741" operator="equal">
      <formula>0</formula>
    </cfRule>
    <cfRule type="cellIs" dxfId="2" priority="742" operator="lessThan">
      <formula>H20</formula>
    </cfRule>
  </conditionalFormatting>
  <conditionalFormatting sqref="AE21">
    <cfRule type="cellIs" dxfId="1" priority="746" operator="equal">
      <formula>0</formula>
    </cfRule>
    <cfRule type="cellIs" dxfId="2" priority="747" operator="lessThan">
      <formula>H21</formula>
    </cfRule>
  </conditionalFormatting>
  <conditionalFormatting sqref="AE25">
    <cfRule type="cellIs" dxfId="1" priority="751" operator="equal">
      <formula>0</formula>
    </cfRule>
    <cfRule type="cellIs" dxfId="2" priority="752" operator="lessThan">
      <formula>H25</formula>
    </cfRule>
  </conditionalFormatting>
  <conditionalFormatting sqref="AE26">
    <cfRule type="cellIs" dxfId="1" priority="756" operator="equal">
      <formula>0</formula>
    </cfRule>
    <cfRule type="cellIs" dxfId="2" priority="757" operator="lessThan">
      <formula>H26</formula>
    </cfRule>
  </conditionalFormatting>
  <conditionalFormatting sqref="AE27">
    <cfRule type="cellIs" dxfId="1" priority="761" operator="equal">
      <formula>0</formula>
    </cfRule>
    <cfRule type="cellIs" dxfId="2" priority="762" operator="lessThan">
      <formula>H27</formula>
    </cfRule>
  </conditionalFormatting>
  <conditionalFormatting sqref="AE28">
    <cfRule type="cellIs" dxfId="1" priority="766" operator="equal">
      <formula>0</formula>
    </cfRule>
    <cfRule type="cellIs" dxfId="2" priority="767" operator="lessThan">
      <formula>H28</formula>
    </cfRule>
  </conditionalFormatting>
  <conditionalFormatting sqref="AE29">
    <cfRule type="cellIs" dxfId="1" priority="771" operator="equal">
      <formula>0</formula>
    </cfRule>
    <cfRule type="cellIs" dxfId="2" priority="772" operator="lessThan">
      <formula>H29</formula>
    </cfRule>
  </conditionalFormatting>
  <conditionalFormatting sqref="AE30">
    <cfRule type="cellIs" dxfId="1" priority="776" operator="equal">
      <formula>0</formula>
    </cfRule>
    <cfRule type="cellIs" dxfId="2" priority="777" operator="lessThan">
      <formula>H30</formula>
    </cfRule>
  </conditionalFormatting>
  <conditionalFormatting sqref="AE31">
    <cfRule type="cellIs" dxfId="1" priority="781" operator="equal">
      <formula>0</formula>
    </cfRule>
    <cfRule type="cellIs" dxfId="2" priority="782" operator="lessThan">
      <formula>H31</formula>
    </cfRule>
  </conditionalFormatting>
  <conditionalFormatting sqref="AE32">
    <cfRule type="cellIs" dxfId="1" priority="786" operator="equal">
      <formula>0</formula>
    </cfRule>
    <cfRule type="cellIs" dxfId="2" priority="787" operator="lessThan">
      <formula>H32</formula>
    </cfRule>
  </conditionalFormatting>
  <conditionalFormatting sqref="AE33">
    <cfRule type="cellIs" dxfId="1" priority="791" operator="equal">
      <formula>0</formula>
    </cfRule>
    <cfRule type="cellIs" dxfId="2" priority="792" operator="lessThan">
      <formula>H33</formula>
    </cfRule>
  </conditionalFormatting>
  <conditionalFormatting sqref="AE34">
    <cfRule type="cellIs" dxfId="1" priority="796" operator="equal">
      <formula>0</formula>
    </cfRule>
    <cfRule type="cellIs" dxfId="2" priority="797" operator="lessThan">
      <formula>H34</formula>
    </cfRule>
  </conditionalFormatting>
  <conditionalFormatting sqref="AE35">
    <cfRule type="cellIs" dxfId="1" priority="801" operator="equal">
      <formula>0</formula>
    </cfRule>
    <cfRule type="cellIs" dxfId="2" priority="802" operator="lessThan">
      <formula>H35</formula>
    </cfRule>
  </conditionalFormatting>
  <conditionalFormatting sqref="AE36">
    <cfRule type="cellIs" dxfId="1" priority="806" operator="equal">
      <formula>0</formula>
    </cfRule>
    <cfRule type="cellIs" dxfId="2" priority="807" operator="lessThan">
      <formula>H36</formula>
    </cfRule>
  </conditionalFormatting>
  <conditionalFormatting sqref="AE37">
    <cfRule type="cellIs" dxfId="1" priority="811" operator="equal">
      <formula>0</formula>
    </cfRule>
    <cfRule type="cellIs" dxfId="2" priority="812" operator="lessThan">
      <formula>H37</formula>
    </cfRule>
  </conditionalFormatting>
  <conditionalFormatting sqref="AE38">
    <cfRule type="cellIs" dxfId="1" priority="816" operator="equal">
      <formula>0</formula>
    </cfRule>
    <cfRule type="cellIs" dxfId="2" priority="817" operator="lessThan">
      <formula>H38</formula>
    </cfRule>
  </conditionalFormatting>
  <conditionalFormatting sqref="AE39">
    <cfRule type="cellIs" dxfId="1" priority="821" operator="equal">
      <formula>0</formula>
    </cfRule>
    <cfRule type="cellIs" dxfId="2" priority="822" operator="lessThan">
      <formula>H39</formula>
    </cfRule>
  </conditionalFormatting>
  <conditionalFormatting sqref="AE42">
    <cfRule type="cellIs" dxfId="1" priority="826" operator="equal">
      <formula>0</formula>
    </cfRule>
    <cfRule type="cellIs" dxfId="2" priority="827" operator="lessThan">
      <formula>H42</formula>
    </cfRule>
  </conditionalFormatting>
  <conditionalFormatting sqref="AE43">
    <cfRule type="cellIs" dxfId="1" priority="831" operator="equal">
      <formula>0</formula>
    </cfRule>
    <cfRule type="cellIs" dxfId="2" priority="832" operator="lessThan">
      <formula>H43</formula>
    </cfRule>
  </conditionalFormatting>
  <conditionalFormatting sqref="AE44">
    <cfRule type="cellIs" dxfId="1" priority="836" operator="equal">
      <formula>0</formula>
    </cfRule>
    <cfRule type="cellIs" dxfId="2" priority="837" operator="lessThan">
      <formula>H44</formula>
    </cfRule>
  </conditionalFormatting>
  <conditionalFormatting sqref="AE46">
    <cfRule type="cellIs" dxfId="1" priority="841" operator="equal">
      <formula>0</formula>
    </cfRule>
    <cfRule type="cellIs" dxfId="2" priority="842" operator="lessThan">
      <formula>H46</formula>
    </cfRule>
  </conditionalFormatting>
  <conditionalFormatting sqref="AE47">
    <cfRule type="cellIs" dxfId="1" priority="846" operator="equal">
      <formula>0</formula>
    </cfRule>
    <cfRule type="cellIs" dxfId="2" priority="847" operator="lessThan">
      <formula>H47</formula>
    </cfRule>
  </conditionalFormatting>
  <conditionalFormatting sqref="AE48">
    <cfRule type="cellIs" dxfId="1" priority="851" operator="equal">
      <formula>0</formula>
    </cfRule>
    <cfRule type="cellIs" dxfId="2" priority="852" operator="lessThan">
      <formula>H48</formula>
    </cfRule>
  </conditionalFormatting>
  <conditionalFormatting sqref="AE49">
    <cfRule type="cellIs" dxfId="1" priority="856" operator="equal">
      <formula>0</formula>
    </cfRule>
    <cfRule type="cellIs" dxfId="2" priority="857" operator="lessThan">
      <formula>H49</formula>
    </cfRule>
  </conditionalFormatting>
  <conditionalFormatting sqref="AE50">
    <cfRule type="cellIs" dxfId="1" priority="861" operator="equal">
      <formula>0</formula>
    </cfRule>
    <cfRule type="cellIs" dxfId="2" priority="862" operator="lessThan">
      <formula>H50</formula>
    </cfRule>
  </conditionalFormatting>
  <conditionalFormatting sqref="AE51">
    <cfRule type="cellIs" dxfId="1" priority="866" operator="equal">
      <formula>0</formula>
    </cfRule>
    <cfRule type="cellIs" dxfId="2" priority="867" operator="lessThan">
      <formula>H51</formula>
    </cfRule>
  </conditionalFormatting>
  <conditionalFormatting sqref="AE7">
    <cfRule type="cellIs" dxfId="1" priority="676" operator="equal">
      <formula>0</formula>
    </cfRule>
    <cfRule type="cellIs" dxfId="2" priority="677" operator="lessThan">
      <formula>H7</formula>
    </cfRule>
  </conditionalFormatting>
  <conditionalFormatting sqref="AE8">
    <cfRule type="cellIs" dxfId="1" priority="681" operator="equal">
      <formula>0</formula>
    </cfRule>
    <cfRule type="cellIs" dxfId="2" priority="682" operator="lessThan">
      <formula>H8</formula>
    </cfRule>
  </conditionalFormatting>
  <conditionalFormatting sqref="AE9">
    <cfRule type="cellIs" dxfId="1" priority="686" operator="equal">
      <formula>0</formula>
    </cfRule>
    <cfRule type="cellIs" dxfId="2" priority="687" operator="lessThan">
      <formula>H9</formula>
    </cfRule>
  </conditionalFormatting>
  <conditionalFormatting sqref="AF10">
    <cfRule type="cellIs" dxfId="1" priority="693" operator="greaterThan">
      <formula>AE10</formula>
    </cfRule>
  </conditionalFormatting>
  <conditionalFormatting sqref="AF11">
    <cfRule type="cellIs" dxfId="1" priority="698" operator="greaterThan">
      <formula>AE11</formula>
    </cfRule>
  </conditionalFormatting>
  <conditionalFormatting sqref="AF12">
    <cfRule type="cellIs" dxfId="1" priority="703" operator="greaterThan">
      <formula>AE12</formula>
    </cfRule>
  </conditionalFormatting>
  <conditionalFormatting sqref="AF13">
    <cfRule type="cellIs" dxfId="1" priority="708" operator="greaterThan">
      <formula>AE13</formula>
    </cfRule>
  </conditionalFormatting>
  <conditionalFormatting sqref="AF14">
    <cfRule type="cellIs" dxfId="1" priority="713" operator="greaterThan">
      <formula>AE14</formula>
    </cfRule>
  </conditionalFormatting>
  <conditionalFormatting sqref="AF15">
    <cfRule type="cellIs" dxfId="1" priority="718" operator="greaterThan">
      <formula>AE15</formula>
    </cfRule>
  </conditionalFormatting>
  <conditionalFormatting sqref="AF16">
    <cfRule type="cellIs" dxfId="1" priority="723" operator="greaterThan">
      <formula>AE16</formula>
    </cfRule>
  </conditionalFormatting>
  <conditionalFormatting sqref="AF17">
    <cfRule type="cellIs" dxfId="1" priority="728" operator="greaterThan">
      <formula>AE17</formula>
    </cfRule>
  </conditionalFormatting>
  <conditionalFormatting sqref="AF18">
    <cfRule type="cellIs" dxfId="1" priority="733" operator="greaterThan">
      <formula>AE18</formula>
    </cfRule>
  </conditionalFormatting>
  <conditionalFormatting sqref="AF19">
    <cfRule type="cellIs" dxfId="1" priority="738" operator="greaterThan">
      <formula>AE19</formula>
    </cfRule>
  </conditionalFormatting>
  <conditionalFormatting sqref="AF20">
    <cfRule type="cellIs" dxfId="1" priority="743" operator="greaterThan">
      <formula>AE20</formula>
    </cfRule>
  </conditionalFormatting>
  <conditionalFormatting sqref="AF21">
    <cfRule type="cellIs" dxfId="1" priority="748" operator="greaterThan">
      <formula>AE21</formula>
    </cfRule>
  </conditionalFormatting>
  <conditionalFormatting sqref="AF25">
    <cfRule type="cellIs" dxfId="1" priority="753" operator="greaterThan">
      <formula>AE25</formula>
    </cfRule>
  </conditionalFormatting>
  <conditionalFormatting sqref="AF26">
    <cfRule type="cellIs" dxfId="1" priority="758" operator="greaterThan">
      <formula>AE26</formula>
    </cfRule>
  </conditionalFormatting>
  <conditionalFormatting sqref="AF27">
    <cfRule type="cellIs" dxfId="1" priority="763" operator="greaterThan">
      <formula>AE27</formula>
    </cfRule>
  </conditionalFormatting>
  <conditionalFormatting sqref="AF28">
    <cfRule type="cellIs" dxfId="1" priority="768" operator="greaterThan">
      <formula>AE28</formula>
    </cfRule>
  </conditionalFormatting>
  <conditionalFormatting sqref="AF29">
    <cfRule type="cellIs" dxfId="1" priority="773" operator="greaterThan">
      <formula>AE29</formula>
    </cfRule>
  </conditionalFormatting>
  <conditionalFormatting sqref="AF30">
    <cfRule type="cellIs" dxfId="1" priority="778" operator="greaterThan">
      <formula>AE30</formula>
    </cfRule>
  </conditionalFormatting>
  <conditionalFormatting sqref="AF31">
    <cfRule type="cellIs" dxfId="1" priority="783" operator="greaterThan">
      <formula>AE31</formula>
    </cfRule>
  </conditionalFormatting>
  <conditionalFormatting sqref="AF32">
    <cfRule type="cellIs" dxfId="1" priority="788" operator="greaterThan">
      <formula>AE32</formula>
    </cfRule>
  </conditionalFormatting>
  <conditionalFormatting sqref="AF33">
    <cfRule type="cellIs" dxfId="1" priority="793" operator="greaterThan">
      <formula>AE33</formula>
    </cfRule>
  </conditionalFormatting>
  <conditionalFormatting sqref="AF34">
    <cfRule type="cellIs" dxfId="1" priority="798" operator="greaterThan">
      <formula>AE34</formula>
    </cfRule>
  </conditionalFormatting>
  <conditionalFormatting sqref="AF35">
    <cfRule type="cellIs" dxfId="1" priority="803" operator="greaterThan">
      <formula>AE35</formula>
    </cfRule>
  </conditionalFormatting>
  <conditionalFormatting sqref="AF36">
    <cfRule type="cellIs" dxfId="1" priority="808" operator="greaterThan">
      <formula>AE36</formula>
    </cfRule>
  </conditionalFormatting>
  <conditionalFormatting sqref="AF37">
    <cfRule type="cellIs" dxfId="1" priority="813" operator="greaterThan">
      <formula>AE37</formula>
    </cfRule>
  </conditionalFormatting>
  <conditionalFormatting sqref="AF38">
    <cfRule type="cellIs" dxfId="1" priority="818" operator="greaterThan">
      <formula>AE38</formula>
    </cfRule>
  </conditionalFormatting>
  <conditionalFormatting sqref="AF39">
    <cfRule type="cellIs" dxfId="1" priority="823" operator="greaterThan">
      <formula>AE39</formula>
    </cfRule>
  </conditionalFormatting>
  <conditionalFormatting sqref="AF42">
    <cfRule type="cellIs" dxfId="1" priority="828" operator="greaterThan">
      <formula>AE42</formula>
    </cfRule>
  </conditionalFormatting>
  <conditionalFormatting sqref="AF43">
    <cfRule type="cellIs" dxfId="1" priority="833" operator="greaterThan">
      <formula>AE43</formula>
    </cfRule>
  </conditionalFormatting>
  <conditionalFormatting sqref="AF44">
    <cfRule type="cellIs" dxfId="1" priority="838" operator="greaterThan">
      <formula>AE44</formula>
    </cfRule>
  </conditionalFormatting>
  <conditionalFormatting sqref="AF46">
    <cfRule type="cellIs" dxfId="1" priority="843" operator="greaterThan">
      <formula>AE46</formula>
    </cfRule>
  </conditionalFormatting>
  <conditionalFormatting sqref="AF47">
    <cfRule type="cellIs" dxfId="1" priority="848" operator="greaterThan">
      <formula>AE47</formula>
    </cfRule>
  </conditionalFormatting>
  <conditionalFormatting sqref="AF48">
    <cfRule type="cellIs" dxfId="1" priority="853" operator="greaterThan">
      <formula>AE48</formula>
    </cfRule>
  </conditionalFormatting>
  <conditionalFormatting sqref="AF49">
    <cfRule type="cellIs" dxfId="1" priority="858" operator="greaterThan">
      <formula>AE49</formula>
    </cfRule>
  </conditionalFormatting>
  <conditionalFormatting sqref="AF50">
    <cfRule type="cellIs" dxfId="1" priority="863" operator="greaterThan">
      <formula>AE50</formula>
    </cfRule>
  </conditionalFormatting>
  <conditionalFormatting sqref="AF51">
    <cfRule type="cellIs" dxfId="1" priority="868" operator="greaterThan">
      <formula>AE51</formula>
    </cfRule>
  </conditionalFormatting>
  <conditionalFormatting sqref="AF7">
    <cfRule type="cellIs" dxfId="1" priority="678" operator="greaterThan">
      <formula>AE7</formula>
    </cfRule>
  </conditionalFormatting>
  <conditionalFormatting sqref="AF8">
    <cfRule type="cellIs" dxfId="1" priority="683" operator="greaterThan">
      <formula>AE8</formula>
    </cfRule>
  </conditionalFormatting>
  <conditionalFormatting sqref="AF9">
    <cfRule type="cellIs" dxfId="1" priority="688" operator="greaterThan">
      <formula>AE9</formula>
    </cfRule>
  </conditionalFormatting>
  <conditionalFormatting sqref="AG10">
    <cfRule type="cellIs" dxfId="4" priority="695" operator="lessThanOrEqual">
      <formula>I10</formula>
    </cfRule>
  </conditionalFormatting>
  <conditionalFormatting sqref="AG11">
    <cfRule type="cellIs" dxfId="4" priority="700" operator="lessThanOrEqual">
      <formula>I11</formula>
    </cfRule>
  </conditionalFormatting>
  <conditionalFormatting sqref="AG12">
    <cfRule type="cellIs" dxfId="4" priority="705" operator="lessThanOrEqual">
      <formula>I12</formula>
    </cfRule>
  </conditionalFormatting>
  <conditionalFormatting sqref="AG13">
    <cfRule type="cellIs" dxfId="4" priority="710" operator="lessThanOrEqual">
      <formula>I13</formula>
    </cfRule>
  </conditionalFormatting>
  <conditionalFormatting sqref="AG14">
    <cfRule type="cellIs" dxfId="4" priority="715" operator="lessThanOrEqual">
      <formula>I14</formula>
    </cfRule>
  </conditionalFormatting>
  <conditionalFormatting sqref="AG15">
    <cfRule type="cellIs" dxfId="4" priority="720" operator="lessThanOrEqual">
      <formula>I15</formula>
    </cfRule>
  </conditionalFormatting>
  <conditionalFormatting sqref="AG16">
    <cfRule type="cellIs" dxfId="4" priority="725" operator="lessThanOrEqual">
      <formula>I16</formula>
    </cfRule>
  </conditionalFormatting>
  <conditionalFormatting sqref="AG17">
    <cfRule type="cellIs" dxfId="4" priority="730" operator="lessThanOrEqual">
      <formula>I17</formula>
    </cfRule>
  </conditionalFormatting>
  <conditionalFormatting sqref="AG18">
    <cfRule type="cellIs" dxfId="4" priority="735" operator="lessThanOrEqual">
      <formula>I18</formula>
    </cfRule>
  </conditionalFormatting>
  <conditionalFormatting sqref="AG19">
    <cfRule type="cellIs" dxfId="4" priority="740" operator="lessThanOrEqual">
      <formula>I19</formula>
    </cfRule>
  </conditionalFormatting>
  <conditionalFormatting sqref="AG20">
    <cfRule type="cellIs" dxfId="4" priority="745" operator="lessThanOrEqual">
      <formula>I20</formula>
    </cfRule>
  </conditionalFormatting>
  <conditionalFormatting sqref="AG21">
    <cfRule type="cellIs" dxfId="4" priority="750" operator="lessThanOrEqual">
      <formula>I21</formula>
    </cfRule>
  </conditionalFormatting>
  <conditionalFormatting sqref="AG25">
    <cfRule type="cellIs" dxfId="4" priority="755" operator="lessThanOrEqual">
      <formula>I25</formula>
    </cfRule>
  </conditionalFormatting>
  <conditionalFormatting sqref="AG26">
    <cfRule type="cellIs" dxfId="4" priority="760" operator="lessThanOrEqual">
      <formula>I26</formula>
    </cfRule>
  </conditionalFormatting>
  <conditionalFormatting sqref="AG27">
    <cfRule type="cellIs" dxfId="4" priority="765" operator="lessThanOrEqual">
      <formula>I27</formula>
    </cfRule>
  </conditionalFormatting>
  <conditionalFormatting sqref="AG28">
    <cfRule type="cellIs" dxfId="4" priority="770" operator="lessThanOrEqual">
      <formula>I28</formula>
    </cfRule>
  </conditionalFormatting>
  <conditionalFormatting sqref="AG29">
    <cfRule type="cellIs" dxfId="4" priority="775" operator="lessThanOrEqual">
      <formula>I29</formula>
    </cfRule>
  </conditionalFormatting>
  <conditionalFormatting sqref="AG30">
    <cfRule type="cellIs" dxfId="4" priority="780" operator="lessThanOrEqual">
      <formula>I30</formula>
    </cfRule>
  </conditionalFormatting>
  <conditionalFormatting sqref="AG31">
    <cfRule type="cellIs" dxfId="4" priority="785" operator="lessThanOrEqual">
      <formula>I31</formula>
    </cfRule>
  </conditionalFormatting>
  <conditionalFormatting sqref="AG32">
    <cfRule type="cellIs" dxfId="4" priority="790" operator="lessThanOrEqual">
      <formula>I32</formula>
    </cfRule>
  </conditionalFormatting>
  <conditionalFormatting sqref="AG33">
    <cfRule type="cellIs" dxfId="4" priority="795" operator="lessThanOrEqual">
      <formula>I33</formula>
    </cfRule>
  </conditionalFormatting>
  <conditionalFormatting sqref="AG34">
    <cfRule type="cellIs" dxfId="4" priority="800" operator="lessThanOrEqual">
      <formula>I34</formula>
    </cfRule>
  </conditionalFormatting>
  <conditionalFormatting sqref="AG35">
    <cfRule type="cellIs" dxfId="4" priority="805" operator="lessThanOrEqual">
      <formula>I35</formula>
    </cfRule>
  </conditionalFormatting>
  <conditionalFormatting sqref="AG36">
    <cfRule type="cellIs" dxfId="4" priority="810" operator="lessThanOrEqual">
      <formula>I36</formula>
    </cfRule>
  </conditionalFormatting>
  <conditionalFormatting sqref="AG37">
    <cfRule type="cellIs" dxfId="4" priority="815" operator="lessThanOrEqual">
      <formula>I37</formula>
    </cfRule>
  </conditionalFormatting>
  <conditionalFormatting sqref="AG38">
    <cfRule type="cellIs" dxfId="4" priority="820" operator="lessThanOrEqual">
      <formula>I38</formula>
    </cfRule>
  </conditionalFormatting>
  <conditionalFormatting sqref="AG39">
    <cfRule type="cellIs" dxfId="4" priority="825" operator="lessThanOrEqual">
      <formula>I39</formula>
    </cfRule>
  </conditionalFormatting>
  <conditionalFormatting sqref="AG42">
    <cfRule type="cellIs" dxfId="4" priority="830" operator="lessThanOrEqual">
      <formula>I42</formula>
    </cfRule>
  </conditionalFormatting>
  <conditionalFormatting sqref="AG43">
    <cfRule type="cellIs" dxfId="4" priority="835" operator="lessThanOrEqual">
      <formula>I43</formula>
    </cfRule>
  </conditionalFormatting>
  <conditionalFormatting sqref="AG44">
    <cfRule type="cellIs" dxfId="4" priority="840" operator="lessThanOrEqual">
      <formula>I44</formula>
    </cfRule>
  </conditionalFormatting>
  <conditionalFormatting sqref="AG46">
    <cfRule type="cellIs" dxfId="4" priority="845" operator="lessThanOrEqual">
      <formula>I46</formula>
    </cfRule>
  </conditionalFormatting>
  <conditionalFormatting sqref="AG47">
    <cfRule type="cellIs" dxfId="4" priority="850" operator="lessThanOrEqual">
      <formula>I47</formula>
    </cfRule>
  </conditionalFormatting>
  <conditionalFormatting sqref="AG48">
    <cfRule type="cellIs" dxfId="4" priority="855" operator="lessThanOrEqual">
      <formula>I48</formula>
    </cfRule>
  </conditionalFormatting>
  <conditionalFormatting sqref="AG49">
    <cfRule type="cellIs" dxfId="4" priority="860" operator="lessThanOrEqual">
      <formula>I49</formula>
    </cfRule>
  </conditionalFormatting>
  <conditionalFormatting sqref="AG50">
    <cfRule type="cellIs" dxfId="4" priority="865" operator="lessThanOrEqual">
      <formula>I50</formula>
    </cfRule>
  </conditionalFormatting>
  <conditionalFormatting sqref="AG51">
    <cfRule type="cellIs" dxfId="4" priority="870" operator="lessThanOrEqual">
      <formula>I51</formula>
    </cfRule>
  </conditionalFormatting>
  <conditionalFormatting sqref="AG7">
    <cfRule type="cellIs" dxfId="4" priority="680" operator="lessThanOrEqual">
      <formula>I7</formula>
    </cfRule>
  </conditionalFormatting>
  <conditionalFormatting sqref="AG8">
    <cfRule type="cellIs" dxfId="4" priority="685" operator="lessThanOrEqual">
      <formula>I8</formula>
    </cfRule>
  </conditionalFormatting>
  <conditionalFormatting sqref="AG9">
    <cfRule type="cellIs" dxfId="4" priority="690" operator="lessThanOrEqual">
      <formula>I9</formula>
    </cfRule>
  </conditionalFormatting>
  <conditionalFormatting sqref="AH10">
    <cfRule type="cellIs" dxfId="4" priority="694" operator="lessThanOrEqual">
      <formula>J10</formula>
    </cfRule>
  </conditionalFormatting>
  <conditionalFormatting sqref="AH11">
    <cfRule type="cellIs" dxfId="4" priority="699" operator="lessThanOrEqual">
      <formula>J11</formula>
    </cfRule>
  </conditionalFormatting>
  <conditionalFormatting sqref="AH12">
    <cfRule type="cellIs" dxfId="4" priority="704" operator="lessThanOrEqual">
      <formula>J12</formula>
    </cfRule>
  </conditionalFormatting>
  <conditionalFormatting sqref="AH13">
    <cfRule type="cellIs" dxfId="4" priority="709" operator="lessThanOrEqual">
      <formula>J13</formula>
    </cfRule>
  </conditionalFormatting>
  <conditionalFormatting sqref="AH14">
    <cfRule type="cellIs" dxfId="4" priority="714" operator="lessThanOrEqual">
      <formula>J14</formula>
    </cfRule>
  </conditionalFormatting>
  <conditionalFormatting sqref="AH15">
    <cfRule type="cellIs" dxfId="4" priority="719" operator="lessThanOrEqual">
      <formula>J15</formula>
    </cfRule>
  </conditionalFormatting>
  <conditionalFormatting sqref="AH16">
    <cfRule type="cellIs" dxfId="4" priority="724" operator="lessThanOrEqual">
      <formula>J16</formula>
    </cfRule>
  </conditionalFormatting>
  <conditionalFormatting sqref="AH17">
    <cfRule type="cellIs" dxfId="4" priority="729" operator="lessThanOrEqual">
      <formula>J17</formula>
    </cfRule>
  </conditionalFormatting>
  <conditionalFormatting sqref="AH18">
    <cfRule type="cellIs" dxfId="4" priority="734" operator="lessThanOrEqual">
      <formula>J18</formula>
    </cfRule>
  </conditionalFormatting>
  <conditionalFormatting sqref="AH19">
    <cfRule type="cellIs" dxfId="4" priority="739" operator="lessThanOrEqual">
      <formula>J19</formula>
    </cfRule>
  </conditionalFormatting>
  <conditionalFormatting sqref="AH20">
    <cfRule type="cellIs" dxfId="4" priority="744" operator="lessThanOrEqual">
      <formula>J20</formula>
    </cfRule>
  </conditionalFormatting>
  <conditionalFormatting sqref="AH21">
    <cfRule type="cellIs" dxfId="4" priority="749" operator="lessThanOrEqual">
      <formula>J21</formula>
    </cfRule>
  </conditionalFormatting>
  <conditionalFormatting sqref="AH25">
    <cfRule type="cellIs" dxfId="4" priority="754" operator="lessThanOrEqual">
      <formula>J25</formula>
    </cfRule>
  </conditionalFormatting>
  <conditionalFormatting sqref="AH26">
    <cfRule type="cellIs" dxfId="4" priority="759" operator="lessThanOrEqual">
      <formula>J26</formula>
    </cfRule>
  </conditionalFormatting>
  <conditionalFormatting sqref="AH27">
    <cfRule type="cellIs" dxfId="4" priority="764" operator="lessThanOrEqual">
      <formula>J27</formula>
    </cfRule>
  </conditionalFormatting>
  <conditionalFormatting sqref="AH28">
    <cfRule type="cellIs" dxfId="4" priority="769" operator="lessThanOrEqual">
      <formula>J28</formula>
    </cfRule>
  </conditionalFormatting>
  <conditionalFormatting sqref="AH29">
    <cfRule type="cellIs" dxfId="4" priority="774" operator="lessThanOrEqual">
      <formula>J29</formula>
    </cfRule>
  </conditionalFormatting>
  <conditionalFormatting sqref="AH30">
    <cfRule type="cellIs" dxfId="4" priority="779" operator="lessThanOrEqual">
      <formula>J30</formula>
    </cfRule>
  </conditionalFormatting>
  <conditionalFormatting sqref="AH31">
    <cfRule type="cellIs" dxfId="4" priority="784" operator="lessThanOrEqual">
      <formula>J31</formula>
    </cfRule>
  </conditionalFormatting>
  <conditionalFormatting sqref="AH32">
    <cfRule type="cellIs" dxfId="4" priority="789" operator="lessThanOrEqual">
      <formula>J32</formula>
    </cfRule>
  </conditionalFormatting>
  <conditionalFormatting sqref="AH33">
    <cfRule type="cellIs" dxfId="4" priority="794" operator="lessThanOrEqual">
      <formula>J33</formula>
    </cfRule>
  </conditionalFormatting>
  <conditionalFormatting sqref="AH34">
    <cfRule type="cellIs" dxfId="4" priority="799" operator="lessThanOrEqual">
      <formula>J34</formula>
    </cfRule>
  </conditionalFormatting>
  <conditionalFormatting sqref="AH35">
    <cfRule type="cellIs" dxfId="4" priority="804" operator="lessThanOrEqual">
      <formula>J35</formula>
    </cfRule>
  </conditionalFormatting>
  <conditionalFormatting sqref="AH36">
    <cfRule type="cellIs" dxfId="4" priority="809" operator="lessThanOrEqual">
      <formula>J36</formula>
    </cfRule>
  </conditionalFormatting>
  <conditionalFormatting sqref="AH37">
    <cfRule type="cellIs" dxfId="4" priority="814" operator="lessThanOrEqual">
      <formula>J37</formula>
    </cfRule>
  </conditionalFormatting>
  <conditionalFormatting sqref="AH38">
    <cfRule type="cellIs" dxfId="4" priority="819" operator="lessThanOrEqual">
      <formula>J38</formula>
    </cfRule>
  </conditionalFormatting>
  <conditionalFormatting sqref="AH39">
    <cfRule type="cellIs" dxfId="4" priority="824" operator="lessThanOrEqual">
      <formula>J39</formula>
    </cfRule>
  </conditionalFormatting>
  <conditionalFormatting sqref="AH42">
    <cfRule type="cellIs" dxfId="4" priority="829" operator="lessThanOrEqual">
      <formula>J42</formula>
    </cfRule>
  </conditionalFormatting>
  <conditionalFormatting sqref="AH43">
    <cfRule type="cellIs" dxfId="4" priority="834" operator="lessThanOrEqual">
      <formula>J43</formula>
    </cfRule>
  </conditionalFormatting>
  <conditionalFormatting sqref="AH44">
    <cfRule type="cellIs" dxfId="4" priority="839" operator="lessThanOrEqual">
      <formula>J44</formula>
    </cfRule>
  </conditionalFormatting>
  <conditionalFormatting sqref="AH46">
    <cfRule type="cellIs" dxfId="4" priority="844" operator="lessThanOrEqual">
      <formula>J46</formula>
    </cfRule>
  </conditionalFormatting>
  <conditionalFormatting sqref="AH47">
    <cfRule type="cellIs" dxfId="4" priority="849" operator="lessThanOrEqual">
      <formula>J47</formula>
    </cfRule>
  </conditionalFormatting>
  <conditionalFormatting sqref="AH48">
    <cfRule type="cellIs" dxfId="4" priority="854" operator="lessThanOrEqual">
      <formula>J48</formula>
    </cfRule>
  </conditionalFormatting>
  <conditionalFormatting sqref="AH49">
    <cfRule type="cellIs" dxfId="4" priority="859" operator="lessThanOrEqual">
      <formula>J49</formula>
    </cfRule>
  </conditionalFormatting>
  <conditionalFormatting sqref="AH50">
    <cfRule type="cellIs" dxfId="4" priority="864" operator="lessThanOrEqual">
      <formula>J50</formula>
    </cfRule>
  </conditionalFormatting>
  <conditionalFormatting sqref="AH51">
    <cfRule type="cellIs" dxfId="4" priority="869" operator="lessThanOrEqual">
      <formula>J51</formula>
    </cfRule>
  </conditionalFormatting>
  <conditionalFormatting sqref="AH7">
    <cfRule type="cellIs" dxfId="4" priority="679" operator="lessThanOrEqual">
      <formula>J7</formula>
    </cfRule>
  </conditionalFormatting>
  <conditionalFormatting sqref="AH8">
    <cfRule type="cellIs" dxfId="4" priority="684" operator="lessThanOrEqual">
      <formula>J8</formula>
    </cfRule>
  </conditionalFormatting>
  <conditionalFormatting sqref="AH9">
    <cfRule type="cellIs" dxfId="4" priority="689" operator="lessThanOrEqual">
      <formula>J9</formula>
    </cfRule>
  </conditionalFormatting>
  <conditionalFormatting sqref="AJ10">
    <cfRule type="cellIs" dxfId="1" priority="889" operator="equal">
      <formula>0</formula>
    </cfRule>
    <cfRule type="cellIs" dxfId="2" priority="890" operator="lessThan">
      <formula>H10</formula>
    </cfRule>
  </conditionalFormatting>
  <conditionalFormatting sqref="AJ11">
    <cfRule type="cellIs" dxfId="1" priority="895" operator="equal">
      <formula>0</formula>
    </cfRule>
    <cfRule type="cellIs" dxfId="2" priority="896" operator="lessThan">
      <formula>H11</formula>
    </cfRule>
  </conditionalFormatting>
  <conditionalFormatting sqref="AJ12">
    <cfRule type="cellIs" dxfId="1" priority="901" operator="equal">
      <formula>0</formula>
    </cfRule>
    <cfRule type="cellIs" dxfId="2" priority="902" operator="lessThan">
      <formula>H12</formula>
    </cfRule>
  </conditionalFormatting>
  <conditionalFormatting sqref="AJ13">
    <cfRule type="cellIs" dxfId="1" priority="907" operator="equal">
      <formula>0</formula>
    </cfRule>
    <cfRule type="cellIs" dxfId="2" priority="908" operator="lessThan">
      <formula>H13</formula>
    </cfRule>
  </conditionalFormatting>
  <conditionalFormatting sqref="AJ14">
    <cfRule type="cellIs" dxfId="1" priority="913" operator="equal">
      <formula>0</formula>
    </cfRule>
    <cfRule type="cellIs" dxfId="2" priority="914" operator="lessThan">
      <formula>H14</formula>
    </cfRule>
  </conditionalFormatting>
  <conditionalFormatting sqref="AJ15">
    <cfRule type="cellIs" dxfId="1" priority="919" operator="equal">
      <formula>0</formula>
    </cfRule>
    <cfRule type="cellIs" dxfId="2" priority="920" operator="lessThan">
      <formula>H15</formula>
    </cfRule>
  </conditionalFormatting>
  <conditionalFormatting sqref="AJ16">
    <cfRule type="cellIs" dxfId="1" priority="925" operator="equal">
      <formula>0</formula>
    </cfRule>
    <cfRule type="cellIs" dxfId="2" priority="926" operator="lessThan">
      <formula>H16</formula>
    </cfRule>
  </conditionalFormatting>
  <conditionalFormatting sqref="AJ18">
    <cfRule type="cellIs" dxfId="1" priority="931" operator="equal">
      <formula>0</formula>
    </cfRule>
    <cfRule type="cellIs" dxfId="2" priority="932" operator="lessThan">
      <formula>H18</formula>
    </cfRule>
  </conditionalFormatting>
  <conditionalFormatting sqref="AJ19">
    <cfRule type="cellIs" dxfId="1" priority="937" operator="equal">
      <formula>0</formula>
    </cfRule>
    <cfRule type="cellIs" dxfId="2" priority="938" operator="lessThan">
      <formula>H19</formula>
    </cfRule>
  </conditionalFormatting>
  <conditionalFormatting sqref="AJ20">
    <cfRule type="cellIs" dxfId="1" priority="943" operator="equal">
      <formula>0</formula>
    </cfRule>
    <cfRule type="cellIs" dxfId="2" priority="944" operator="lessThan">
      <formula>H20</formula>
    </cfRule>
  </conditionalFormatting>
  <conditionalFormatting sqref="AJ27">
    <cfRule type="cellIs" dxfId="1" priority="948" operator="equal">
      <formula>0</formula>
    </cfRule>
    <cfRule type="cellIs" dxfId="2" priority="949" operator="lessThan">
      <formula>H27</formula>
    </cfRule>
  </conditionalFormatting>
  <conditionalFormatting sqref="AJ29">
    <cfRule type="cellIs" dxfId="1" priority="954" operator="equal">
      <formula>0</formula>
    </cfRule>
    <cfRule type="cellIs" dxfId="2" priority="955" operator="lessThan">
      <formula>H29</formula>
    </cfRule>
  </conditionalFormatting>
  <conditionalFormatting sqref="AJ31">
    <cfRule type="cellIs" dxfId="1" priority="960" operator="equal">
      <formula>0</formula>
    </cfRule>
    <cfRule type="cellIs" dxfId="2" priority="961" operator="lessThan">
      <formula>H31</formula>
    </cfRule>
  </conditionalFormatting>
  <conditionalFormatting sqref="AJ32">
    <cfRule type="cellIs" dxfId="1" priority="966" operator="equal">
      <formula>0</formula>
    </cfRule>
    <cfRule type="cellIs" dxfId="2" priority="967" operator="lessThan">
      <formula>H32</formula>
    </cfRule>
  </conditionalFormatting>
  <conditionalFormatting sqref="AJ33">
    <cfRule type="cellIs" dxfId="1" priority="972" operator="equal">
      <formula>0</formula>
    </cfRule>
    <cfRule type="cellIs" dxfId="2" priority="973" operator="lessThan">
      <formula>H33</formula>
    </cfRule>
  </conditionalFormatting>
  <conditionalFormatting sqref="AJ34">
    <cfRule type="cellIs" dxfId="1" priority="977" operator="equal">
      <formula>0</formula>
    </cfRule>
    <cfRule type="cellIs" dxfId="2" priority="978" operator="lessThan">
      <formula>H34</formula>
    </cfRule>
  </conditionalFormatting>
  <conditionalFormatting sqref="AJ35">
    <cfRule type="cellIs" dxfId="1" priority="983" operator="equal">
      <formula>0</formula>
    </cfRule>
    <cfRule type="cellIs" dxfId="2" priority="984" operator="lessThan">
      <formula>H35</formula>
    </cfRule>
  </conditionalFormatting>
  <conditionalFormatting sqref="AJ36">
    <cfRule type="cellIs" dxfId="1" priority="988" operator="equal">
      <formula>0</formula>
    </cfRule>
    <cfRule type="cellIs" dxfId="2" priority="989" operator="lessThan">
      <formula>H36</formula>
    </cfRule>
  </conditionalFormatting>
  <conditionalFormatting sqref="AJ37">
    <cfRule type="cellIs" dxfId="1" priority="993" operator="equal">
      <formula>0</formula>
    </cfRule>
    <cfRule type="cellIs" dxfId="2" priority="994" operator="lessThan">
      <formula>H37</formula>
    </cfRule>
  </conditionalFormatting>
  <conditionalFormatting sqref="AJ38">
    <cfRule type="cellIs" dxfId="1" priority="999" operator="equal">
      <formula>0</formula>
    </cfRule>
    <cfRule type="cellIs" dxfId="2" priority="1000" operator="lessThan">
      <formula>H38</formula>
    </cfRule>
  </conditionalFormatting>
  <conditionalFormatting sqref="AJ39">
    <cfRule type="cellIs" dxfId="1" priority="1005" operator="equal">
      <formula>0</formula>
    </cfRule>
    <cfRule type="cellIs" dxfId="2" priority="1006" operator="lessThan">
      <formula>H39</formula>
    </cfRule>
  </conditionalFormatting>
  <conditionalFormatting sqref="AJ42">
    <cfRule type="cellIs" dxfId="1" priority="1011" operator="equal">
      <formula>0</formula>
    </cfRule>
    <cfRule type="cellIs" dxfId="2" priority="1012" operator="lessThan">
      <formula>H42</formula>
    </cfRule>
  </conditionalFormatting>
  <conditionalFormatting sqref="AJ43">
    <cfRule type="cellIs" dxfId="1" priority="1016" operator="equal">
      <formula>0</formula>
    </cfRule>
    <cfRule type="cellIs" dxfId="2" priority="1017" operator="lessThan">
      <formula>H43</formula>
    </cfRule>
  </conditionalFormatting>
  <conditionalFormatting sqref="AJ44">
    <cfRule type="cellIs" dxfId="1" priority="1021" operator="equal">
      <formula>0</formula>
    </cfRule>
    <cfRule type="cellIs" dxfId="2" priority="1022" operator="lessThan">
      <formula>H44</formula>
    </cfRule>
  </conditionalFormatting>
  <conditionalFormatting sqref="AJ46">
    <cfRule type="cellIs" dxfId="1" priority="1026" operator="equal">
      <formula>0</formula>
    </cfRule>
    <cfRule type="cellIs" dxfId="2" priority="1027" operator="lessThan">
      <formula>H46</formula>
    </cfRule>
  </conditionalFormatting>
  <conditionalFormatting sqref="AJ47">
    <cfRule type="cellIs" dxfId="1" priority="1032" operator="equal">
      <formula>0</formula>
    </cfRule>
    <cfRule type="cellIs" dxfId="2" priority="1033" operator="lessThan">
      <formula>H47</formula>
    </cfRule>
  </conditionalFormatting>
  <conditionalFormatting sqref="AJ48">
    <cfRule type="cellIs" dxfId="1" priority="1038" operator="equal">
      <formula>0</formula>
    </cfRule>
    <cfRule type="cellIs" dxfId="2" priority="1039" operator="lessThan">
      <formula>H48</formula>
    </cfRule>
  </conditionalFormatting>
  <conditionalFormatting sqref="AJ49">
    <cfRule type="cellIs" dxfId="1" priority="1044" operator="equal">
      <formula>0</formula>
    </cfRule>
    <cfRule type="cellIs" dxfId="2" priority="1045" operator="lessThan">
      <formula>H49</formula>
    </cfRule>
  </conditionalFormatting>
  <conditionalFormatting sqref="AJ50">
    <cfRule type="cellIs" dxfId="1" priority="1049" operator="equal">
      <formula>0</formula>
    </cfRule>
    <cfRule type="cellIs" dxfId="2" priority="1050" operator="lessThan">
      <formula>H50</formula>
    </cfRule>
  </conditionalFormatting>
  <conditionalFormatting sqref="AJ7">
    <cfRule type="cellIs" dxfId="1" priority="871" operator="equal">
      <formula>0</formula>
    </cfRule>
    <cfRule type="cellIs" dxfId="2" priority="872" operator="lessThan">
      <formula>H7</formula>
    </cfRule>
  </conditionalFormatting>
  <conditionalFormatting sqref="AJ8">
    <cfRule type="cellIs" dxfId="1" priority="877" operator="equal">
      <formula>0</formula>
    </cfRule>
    <cfRule type="cellIs" dxfId="2" priority="878" operator="lessThan">
      <formula>H8</formula>
    </cfRule>
  </conditionalFormatting>
  <conditionalFormatting sqref="AJ9">
    <cfRule type="cellIs" dxfId="1" priority="883" operator="equal">
      <formula>0</formula>
    </cfRule>
    <cfRule type="cellIs" dxfId="2" priority="884" operator="lessThan">
      <formula>H9</formula>
    </cfRule>
  </conditionalFormatting>
  <conditionalFormatting sqref="AK10">
    <cfRule type="expression" dxfId="3" priority="891">
      <formula>AND(AK10&gt;0,AK10&lt;10)</formula>
    </cfRule>
    <cfRule type="cellIs" dxfId="1" priority="892" operator="greaterThan">
      <formula>AJ10</formula>
    </cfRule>
  </conditionalFormatting>
  <conditionalFormatting sqref="AK11">
    <cfRule type="expression" dxfId="3" priority="897">
      <formula>AND(AK11&gt;0,AK11&lt;10)</formula>
    </cfRule>
    <cfRule type="cellIs" dxfId="1" priority="898" operator="greaterThan">
      <formula>AJ11</formula>
    </cfRule>
  </conditionalFormatting>
  <conditionalFormatting sqref="AK12">
    <cfRule type="expression" dxfId="3" priority="903">
      <formula>AND(AK12&gt;0,AK12&lt;10)</formula>
    </cfRule>
    <cfRule type="cellIs" dxfId="1" priority="904" operator="greaterThan">
      <formula>AJ12</formula>
    </cfRule>
  </conditionalFormatting>
  <conditionalFormatting sqref="AK13">
    <cfRule type="expression" dxfId="3" priority="909">
      <formula>AND(AK13&gt;0,AK13&lt;10)</formula>
    </cfRule>
    <cfRule type="cellIs" dxfId="1" priority="910" operator="greaterThan">
      <formula>AJ13</formula>
    </cfRule>
  </conditionalFormatting>
  <conditionalFormatting sqref="AK14">
    <cfRule type="expression" dxfId="3" priority="915">
      <formula>AND(AK14&gt;0,AK14&lt;10)</formula>
    </cfRule>
    <cfRule type="cellIs" dxfId="1" priority="916" operator="greaterThan">
      <formula>AJ14</formula>
    </cfRule>
  </conditionalFormatting>
  <conditionalFormatting sqref="AK15">
    <cfRule type="expression" dxfId="3" priority="921">
      <formula>AND(AK15&gt;0,AK15&lt;5)</formula>
    </cfRule>
    <cfRule type="cellIs" dxfId="1" priority="922" operator="greaterThan">
      <formula>AJ15</formula>
    </cfRule>
  </conditionalFormatting>
  <conditionalFormatting sqref="AK16">
    <cfRule type="expression" dxfId="3" priority="927">
      <formula>AND(AK16&gt;0,AK16&lt;3000)</formula>
    </cfRule>
    <cfRule type="cellIs" dxfId="1" priority="928" operator="greaterThan">
      <formula>AJ16</formula>
    </cfRule>
  </conditionalFormatting>
  <conditionalFormatting sqref="AK18">
    <cfRule type="expression" dxfId="3" priority="933">
      <formula>AND(AK18&gt;0,AK18&lt;5)</formula>
    </cfRule>
    <cfRule type="cellIs" dxfId="1" priority="934" operator="greaterThan">
      <formula>AJ18</formula>
    </cfRule>
  </conditionalFormatting>
  <conditionalFormatting sqref="AK19">
    <cfRule type="expression" dxfId="3" priority="939">
      <formula>AND(AK19&gt;0,AK19&lt;10000)</formula>
    </cfRule>
    <cfRule type="cellIs" dxfId="1" priority="940" operator="greaterThan">
      <formula>AJ19</formula>
    </cfRule>
  </conditionalFormatting>
  <conditionalFormatting sqref="AK20">
    <cfRule type="cellIs" dxfId="1" priority="945" operator="greaterThan">
      <formula>AJ20</formula>
    </cfRule>
  </conditionalFormatting>
  <conditionalFormatting sqref="AK27">
    <cfRule type="expression" dxfId="3" priority="950">
      <formula>AND(AK27&gt;0,AK27&lt;15000)</formula>
    </cfRule>
    <cfRule type="cellIs" dxfId="1" priority="951" operator="greaterThan">
      <formula>AJ27</formula>
    </cfRule>
  </conditionalFormatting>
  <conditionalFormatting sqref="AK29">
    <cfRule type="expression" dxfId="3" priority="956">
      <formula>AND(AK29&gt;0,AK29&lt;15000)</formula>
    </cfRule>
    <cfRule type="cellIs" dxfId="1" priority="957" operator="greaterThan">
      <formula>AJ29</formula>
    </cfRule>
  </conditionalFormatting>
  <conditionalFormatting sqref="AK31">
    <cfRule type="expression" dxfId="3" priority="962">
      <formula>AND(AK31&gt;0,AK31&lt;15000)</formula>
    </cfRule>
    <cfRule type="cellIs" dxfId="1" priority="963" operator="greaterThan">
      <formula>AJ31</formula>
    </cfRule>
  </conditionalFormatting>
  <conditionalFormatting sqref="AK32">
    <cfRule type="expression" dxfId="3" priority="968">
      <formula>AND(AK32&gt;0,AK32&lt;135000)</formula>
    </cfRule>
    <cfRule type="cellIs" dxfId="1" priority="969" operator="greaterThan">
      <formula>AJ32</formula>
    </cfRule>
  </conditionalFormatting>
  <conditionalFormatting sqref="AK33">
    <cfRule type="cellIs" dxfId="1" priority="974" operator="greaterThan">
      <formula>AJ33</formula>
    </cfRule>
  </conditionalFormatting>
  <conditionalFormatting sqref="AK34">
    <cfRule type="expression" dxfId="3" priority="979">
      <formula>AND(AK34&gt;0,AK34&lt;45000)</formula>
    </cfRule>
    <cfRule type="cellIs" dxfId="1" priority="980" operator="greaterThan">
      <formula>AJ34</formula>
    </cfRule>
  </conditionalFormatting>
  <conditionalFormatting sqref="AK35">
    <cfRule type="cellIs" dxfId="1" priority="985" operator="greaterThan">
      <formula>AJ35</formula>
    </cfRule>
  </conditionalFormatting>
  <conditionalFormatting sqref="AK36">
    <cfRule type="cellIs" dxfId="1" priority="990" operator="greaterThan">
      <formula>AJ36</formula>
    </cfRule>
  </conditionalFormatting>
  <conditionalFormatting sqref="AK37">
    <cfRule type="expression" dxfId="3" priority="995">
      <formula>AND(AK37&gt;0,AK37&lt;3000)</formula>
    </cfRule>
    <cfRule type="cellIs" dxfId="1" priority="996" operator="greaterThan">
      <formula>AJ37</formula>
    </cfRule>
  </conditionalFormatting>
  <conditionalFormatting sqref="AK38">
    <cfRule type="expression" dxfId="3" priority="1001">
      <formula>AND(AK38&gt;0,AK38&lt;5)</formula>
    </cfRule>
    <cfRule type="cellIs" dxfId="1" priority="1002" operator="greaterThan">
      <formula>AJ38</formula>
    </cfRule>
  </conditionalFormatting>
  <conditionalFormatting sqref="AK39">
    <cfRule type="expression" dxfId="3" priority="1007">
      <formula>AND(AK39&gt;0,AK39&lt;3000)</formula>
    </cfRule>
    <cfRule type="cellIs" dxfId="1" priority="1008" operator="greaterThan">
      <formula>AJ39</formula>
    </cfRule>
  </conditionalFormatting>
  <conditionalFormatting sqref="AK42">
    <cfRule type="cellIs" dxfId="1" priority="1013" operator="greaterThan">
      <formula>AJ42</formula>
    </cfRule>
  </conditionalFormatting>
  <conditionalFormatting sqref="AK43">
    <cfRule type="cellIs" dxfId="1" priority="1018" operator="greaterThan">
      <formula>AJ43</formula>
    </cfRule>
  </conditionalFormatting>
  <conditionalFormatting sqref="AK44">
    <cfRule type="cellIs" dxfId="1" priority="1023" operator="greaterThan">
      <formula>AJ44</formula>
    </cfRule>
  </conditionalFormatting>
  <conditionalFormatting sqref="AK46">
    <cfRule type="expression" dxfId="3" priority="1028">
      <formula>AND(AK46&gt;0,AK46&lt;220)</formula>
    </cfRule>
    <cfRule type="cellIs" dxfId="1" priority="1029" operator="greaterThan">
      <formula>AJ46</formula>
    </cfRule>
  </conditionalFormatting>
  <conditionalFormatting sqref="AK47">
    <cfRule type="expression" dxfId="3" priority="1034">
      <formula>AND(AK47&gt;0,AK47&lt;5)</formula>
    </cfRule>
    <cfRule type="cellIs" dxfId="1" priority="1035" operator="greaterThan">
      <formula>AJ47</formula>
    </cfRule>
  </conditionalFormatting>
  <conditionalFormatting sqref="AK48">
    <cfRule type="expression" dxfId="3" priority="1040">
      <formula>AND(AK48&gt;0,AK48&lt;3000)</formula>
    </cfRule>
    <cfRule type="cellIs" dxfId="1" priority="1041" operator="greaterThan">
      <formula>AJ48</formula>
    </cfRule>
  </conditionalFormatting>
  <conditionalFormatting sqref="AK49">
    <cfRule type="cellIs" dxfId="1" priority="1046" operator="greaterThan">
      <formula>AJ49</formula>
    </cfRule>
  </conditionalFormatting>
  <conditionalFormatting sqref="AK50">
    <cfRule type="cellIs" dxfId="1" priority="1051" operator="greaterThan">
      <formula>AJ50</formula>
    </cfRule>
  </conditionalFormatting>
  <conditionalFormatting sqref="AK7">
    <cfRule type="expression" dxfId="3" priority="873">
      <formula>AND(AK7&gt;0,AK7&lt;10)</formula>
    </cfRule>
    <cfRule type="cellIs" dxfId="1" priority="874" operator="greaterThan">
      <formula>AJ7</formula>
    </cfRule>
  </conditionalFormatting>
  <conditionalFormatting sqref="AK8">
    <cfRule type="expression" dxfId="3" priority="879">
      <formula>AND(AK8&gt;0,AK8&lt;10)</formula>
    </cfRule>
    <cfRule type="cellIs" dxfId="1" priority="880" operator="greaterThan">
      <formula>AJ8</formula>
    </cfRule>
  </conditionalFormatting>
  <conditionalFormatting sqref="AK9">
    <cfRule type="expression" dxfId="3" priority="885">
      <formula>AND(AK9&gt;0,AK9&lt;10)</formula>
    </cfRule>
    <cfRule type="cellIs" dxfId="1" priority="886" operator="greaterThan">
      <formula>AJ9</formula>
    </cfRule>
  </conditionalFormatting>
  <conditionalFormatting sqref="AL10">
    <cfRule type="cellIs" dxfId="4" priority="894" operator="lessThanOrEqual">
      <formula>I10</formula>
    </cfRule>
  </conditionalFormatting>
  <conditionalFormatting sqref="AL11">
    <cfRule type="cellIs" dxfId="4" priority="900" operator="lessThanOrEqual">
      <formula>I11</formula>
    </cfRule>
  </conditionalFormatting>
  <conditionalFormatting sqref="AL12">
    <cfRule type="cellIs" dxfId="4" priority="906" operator="lessThanOrEqual">
      <formula>I12</formula>
    </cfRule>
  </conditionalFormatting>
  <conditionalFormatting sqref="AL13">
    <cfRule type="cellIs" dxfId="4" priority="912" operator="lessThanOrEqual">
      <formula>I13</formula>
    </cfRule>
  </conditionalFormatting>
  <conditionalFormatting sqref="AL14">
    <cfRule type="cellIs" dxfId="4" priority="918" operator="lessThanOrEqual">
      <formula>I14</formula>
    </cfRule>
  </conditionalFormatting>
  <conditionalFormatting sqref="AL15">
    <cfRule type="cellIs" dxfId="4" priority="924" operator="lessThanOrEqual">
      <formula>I15</formula>
    </cfRule>
  </conditionalFormatting>
  <conditionalFormatting sqref="AL16">
    <cfRule type="cellIs" dxfId="4" priority="930" operator="lessThanOrEqual">
      <formula>I16</formula>
    </cfRule>
  </conditionalFormatting>
  <conditionalFormatting sqref="AL18">
    <cfRule type="cellIs" dxfId="4" priority="936" operator="lessThanOrEqual">
      <formula>I18</formula>
    </cfRule>
  </conditionalFormatting>
  <conditionalFormatting sqref="AL19">
    <cfRule type="cellIs" dxfId="4" priority="942" operator="lessThanOrEqual">
      <formula>I19</formula>
    </cfRule>
  </conditionalFormatting>
  <conditionalFormatting sqref="AL20">
    <cfRule type="cellIs" dxfId="4" priority="947" operator="lessThanOrEqual">
      <formula>I20</formula>
    </cfRule>
  </conditionalFormatting>
  <conditionalFormatting sqref="AL27">
    <cfRule type="cellIs" dxfId="4" priority="953" operator="lessThanOrEqual">
      <formula>I27</formula>
    </cfRule>
  </conditionalFormatting>
  <conditionalFormatting sqref="AL29">
    <cfRule type="cellIs" dxfId="4" priority="959" operator="lessThanOrEqual">
      <formula>I29</formula>
    </cfRule>
  </conditionalFormatting>
  <conditionalFormatting sqref="AL31">
    <cfRule type="cellIs" dxfId="4" priority="965" operator="lessThanOrEqual">
      <formula>I31</formula>
    </cfRule>
  </conditionalFormatting>
  <conditionalFormatting sqref="AL32">
    <cfRule type="cellIs" dxfId="4" priority="971" operator="lessThanOrEqual">
      <formula>I32</formula>
    </cfRule>
  </conditionalFormatting>
  <conditionalFormatting sqref="AL33">
    <cfRule type="cellIs" dxfId="4" priority="976" operator="lessThanOrEqual">
      <formula>I33</formula>
    </cfRule>
  </conditionalFormatting>
  <conditionalFormatting sqref="AL34">
    <cfRule type="cellIs" dxfId="4" priority="982" operator="lessThanOrEqual">
      <formula>I34</formula>
    </cfRule>
  </conditionalFormatting>
  <conditionalFormatting sqref="AL35">
    <cfRule type="cellIs" dxfId="4" priority="987" operator="lessThanOrEqual">
      <formula>I35</formula>
    </cfRule>
  </conditionalFormatting>
  <conditionalFormatting sqref="AL36">
    <cfRule type="cellIs" dxfId="4" priority="992" operator="lessThanOrEqual">
      <formula>I36</formula>
    </cfRule>
  </conditionalFormatting>
  <conditionalFormatting sqref="AL37">
    <cfRule type="cellIs" dxfId="4" priority="998" operator="lessThanOrEqual">
      <formula>I37</formula>
    </cfRule>
  </conditionalFormatting>
  <conditionalFormatting sqref="AL38">
    <cfRule type="cellIs" dxfId="4" priority="1004" operator="lessThanOrEqual">
      <formula>I38</formula>
    </cfRule>
  </conditionalFormatting>
  <conditionalFormatting sqref="AL39">
    <cfRule type="cellIs" dxfId="4" priority="1010" operator="lessThanOrEqual">
      <formula>I39</formula>
    </cfRule>
  </conditionalFormatting>
  <conditionalFormatting sqref="AL42">
    <cfRule type="cellIs" dxfId="4" priority="1015" operator="lessThanOrEqual">
      <formula>I42</formula>
    </cfRule>
  </conditionalFormatting>
  <conditionalFormatting sqref="AL43">
    <cfRule type="cellIs" dxfId="4" priority="1020" operator="lessThanOrEqual">
      <formula>I43</formula>
    </cfRule>
  </conditionalFormatting>
  <conditionalFormatting sqref="AL44">
    <cfRule type="cellIs" dxfId="4" priority="1025" operator="lessThanOrEqual">
      <formula>I44</formula>
    </cfRule>
  </conditionalFormatting>
  <conditionalFormatting sqref="AL46">
    <cfRule type="cellIs" dxfId="4" priority="1031" operator="lessThanOrEqual">
      <formula>I46</formula>
    </cfRule>
  </conditionalFormatting>
  <conditionalFormatting sqref="AL47">
    <cfRule type="cellIs" dxfId="4" priority="1037" operator="lessThanOrEqual">
      <formula>I47</formula>
    </cfRule>
  </conditionalFormatting>
  <conditionalFormatting sqref="AL48">
    <cfRule type="cellIs" dxfId="4" priority="1043" operator="lessThanOrEqual">
      <formula>I48</formula>
    </cfRule>
  </conditionalFormatting>
  <conditionalFormatting sqref="AL49">
    <cfRule type="cellIs" dxfId="4" priority="1048" operator="lessThanOrEqual">
      <formula>I49</formula>
    </cfRule>
  </conditionalFormatting>
  <conditionalFormatting sqref="AL50">
    <cfRule type="cellIs" dxfId="4" priority="1053" operator="lessThanOrEqual">
      <formula>I50</formula>
    </cfRule>
  </conditionalFormatting>
  <conditionalFormatting sqref="AL7">
    <cfRule type="cellIs" dxfId="4" priority="876" operator="lessThanOrEqual">
      <formula>I7</formula>
    </cfRule>
  </conditionalFormatting>
  <conditionalFormatting sqref="AL8">
    <cfRule type="cellIs" dxfId="4" priority="882" operator="lessThanOrEqual">
      <formula>I8</formula>
    </cfRule>
  </conditionalFormatting>
  <conditionalFormatting sqref="AL9">
    <cfRule type="cellIs" dxfId="4" priority="888" operator="lessThanOrEqual">
      <formula>I9</formula>
    </cfRule>
  </conditionalFormatting>
  <conditionalFormatting sqref="AM10">
    <cfRule type="cellIs" dxfId="4" priority="893" operator="lessThanOrEqual">
      <formula>J10</formula>
    </cfRule>
  </conditionalFormatting>
  <conditionalFormatting sqref="AM11">
    <cfRule type="cellIs" dxfId="4" priority="899" operator="lessThanOrEqual">
      <formula>J11</formula>
    </cfRule>
  </conditionalFormatting>
  <conditionalFormatting sqref="AM12">
    <cfRule type="cellIs" dxfId="4" priority="905" operator="lessThanOrEqual">
      <formula>J12</formula>
    </cfRule>
  </conditionalFormatting>
  <conditionalFormatting sqref="AM13">
    <cfRule type="cellIs" dxfId="4" priority="911" operator="lessThanOrEqual">
      <formula>J13</formula>
    </cfRule>
  </conditionalFormatting>
  <conditionalFormatting sqref="AM14">
    <cfRule type="cellIs" dxfId="4" priority="917" operator="lessThanOrEqual">
      <formula>J14</formula>
    </cfRule>
  </conditionalFormatting>
  <conditionalFormatting sqref="AM15">
    <cfRule type="cellIs" dxfId="4" priority="923" operator="lessThanOrEqual">
      <formula>J15</formula>
    </cfRule>
  </conditionalFormatting>
  <conditionalFormatting sqref="AM16">
    <cfRule type="cellIs" dxfId="4" priority="929" operator="lessThanOrEqual">
      <formula>J16</formula>
    </cfRule>
  </conditionalFormatting>
  <conditionalFormatting sqref="AM18">
    <cfRule type="cellIs" dxfId="4" priority="935" operator="lessThanOrEqual">
      <formula>J18</formula>
    </cfRule>
  </conditionalFormatting>
  <conditionalFormatting sqref="AM19">
    <cfRule type="cellIs" dxfId="4" priority="941" operator="lessThanOrEqual">
      <formula>J19</formula>
    </cfRule>
  </conditionalFormatting>
  <conditionalFormatting sqref="AM20">
    <cfRule type="cellIs" dxfId="4" priority="946" operator="lessThanOrEqual">
      <formula>J20</formula>
    </cfRule>
  </conditionalFormatting>
  <conditionalFormatting sqref="AM27">
    <cfRule type="cellIs" dxfId="4" priority="952" operator="lessThanOrEqual">
      <formula>J27</formula>
    </cfRule>
  </conditionalFormatting>
  <conditionalFormatting sqref="AM29">
    <cfRule type="cellIs" dxfId="4" priority="958" operator="lessThanOrEqual">
      <formula>J29</formula>
    </cfRule>
  </conditionalFormatting>
  <conditionalFormatting sqref="AM31">
    <cfRule type="cellIs" dxfId="4" priority="964" operator="lessThanOrEqual">
      <formula>J31</formula>
    </cfRule>
  </conditionalFormatting>
  <conditionalFormatting sqref="AM32">
    <cfRule type="cellIs" dxfId="4" priority="970" operator="lessThanOrEqual">
      <formula>J32</formula>
    </cfRule>
  </conditionalFormatting>
  <conditionalFormatting sqref="AM33">
    <cfRule type="cellIs" dxfId="4" priority="975" operator="lessThanOrEqual">
      <formula>J33</formula>
    </cfRule>
  </conditionalFormatting>
  <conditionalFormatting sqref="AM34">
    <cfRule type="cellIs" dxfId="4" priority="981" operator="lessThanOrEqual">
      <formula>J34</formula>
    </cfRule>
  </conditionalFormatting>
  <conditionalFormatting sqref="AM35">
    <cfRule type="cellIs" dxfId="4" priority="986" operator="lessThanOrEqual">
      <formula>J35</formula>
    </cfRule>
  </conditionalFormatting>
  <conditionalFormatting sqref="AM36">
    <cfRule type="cellIs" dxfId="4" priority="991" operator="lessThanOrEqual">
      <formula>J36</formula>
    </cfRule>
  </conditionalFormatting>
  <conditionalFormatting sqref="AM37">
    <cfRule type="cellIs" dxfId="4" priority="997" operator="lessThanOrEqual">
      <formula>J37</formula>
    </cfRule>
  </conditionalFormatting>
  <conditionalFormatting sqref="AM38">
    <cfRule type="cellIs" dxfId="4" priority="1003" operator="lessThanOrEqual">
      <formula>J38</formula>
    </cfRule>
  </conditionalFormatting>
  <conditionalFormatting sqref="AM39">
    <cfRule type="cellIs" dxfId="4" priority="1009" operator="lessThanOrEqual">
      <formula>J39</formula>
    </cfRule>
  </conditionalFormatting>
  <conditionalFormatting sqref="AM42">
    <cfRule type="cellIs" dxfId="4" priority="1014" operator="lessThanOrEqual">
      <formula>J42</formula>
    </cfRule>
  </conditionalFormatting>
  <conditionalFormatting sqref="AM43">
    <cfRule type="cellIs" dxfId="4" priority="1019" operator="lessThanOrEqual">
      <formula>J43</formula>
    </cfRule>
  </conditionalFormatting>
  <conditionalFormatting sqref="AM44">
    <cfRule type="cellIs" dxfId="4" priority="1024" operator="lessThanOrEqual">
      <formula>J44</formula>
    </cfRule>
  </conditionalFormatting>
  <conditionalFormatting sqref="AM46">
    <cfRule type="cellIs" dxfId="4" priority="1030" operator="lessThanOrEqual">
      <formula>J46</formula>
    </cfRule>
  </conditionalFormatting>
  <conditionalFormatting sqref="AM47">
    <cfRule type="cellIs" dxfId="4" priority="1036" operator="lessThanOrEqual">
      <formula>J47</formula>
    </cfRule>
  </conditionalFormatting>
  <conditionalFormatting sqref="AM48">
    <cfRule type="cellIs" dxfId="4" priority="1042" operator="lessThanOrEqual">
      <formula>J48</formula>
    </cfRule>
  </conditionalFormatting>
  <conditionalFormatting sqref="AM49">
    <cfRule type="cellIs" dxfId="4" priority="1047" operator="lessThanOrEqual">
      <formula>J49</formula>
    </cfRule>
  </conditionalFormatting>
  <conditionalFormatting sqref="AM50">
    <cfRule type="cellIs" dxfId="4" priority="1052" operator="lessThanOrEqual">
      <formula>J50</formula>
    </cfRule>
  </conditionalFormatting>
  <conditionalFormatting sqref="AM7">
    <cfRule type="cellIs" dxfId="4" priority="875" operator="lessThanOrEqual">
      <formula>J7</formula>
    </cfRule>
  </conditionalFormatting>
  <conditionalFormatting sqref="AM8">
    <cfRule type="cellIs" dxfId="4" priority="881" operator="lessThanOrEqual">
      <formula>J8</formula>
    </cfRule>
  </conditionalFormatting>
  <conditionalFormatting sqref="AM9">
    <cfRule type="cellIs" dxfId="4" priority="887" operator="lessThanOrEqual">
      <formula>J9</formula>
    </cfRule>
  </conditionalFormatting>
  <conditionalFormatting sqref="AO13">
    <cfRule type="cellIs" dxfId="1" priority="1060" operator="equal">
      <formula>0</formula>
    </cfRule>
    <cfRule type="cellIs" dxfId="2" priority="1061" operator="lessThan">
      <formula>H13</formula>
    </cfRule>
  </conditionalFormatting>
  <conditionalFormatting sqref="AO16">
    <cfRule type="cellIs" dxfId="1" priority="1066" operator="equal">
      <formula>0</formula>
    </cfRule>
    <cfRule type="cellIs" dxfId="2" priority="1067" operator="lessThan">
      <formula>H16</formula>
    </cfRule>
  </conditionalFormatting>
  <conditionalFormatting sqref="AO17">
    <cfRule type="cellIs" dxfId="1" priority="1072" operator="equal">
      <formula>0</formula>
    </cfRule>
    <cfRule type="cellIs" dxfId="2" priority="1073" operator="lessThan">
      <formula>H17</formula>
    </cfRule>
  </conditionalFormatting>
  <conditionalFormatting sqref="AO20">
    <cfRule type="cellIs" dxfId="1" priority="1078" operator="equal">
      <formula>0</formula>
    </cfRule>
    <cfRule type="cellIs" dxfId="2" priority="1079" operator="lessThan">
      <formula>H20</formula>
    </cfRule>
  </conditionalFormatting>
  <conditionalFormatting sqref="AO26">
    <cfRule type="cellIs" dxfId="1" priority="1084" operator="equal">
      <formula>0</formula>
    </cfRule>
    <cfRule type="cellIs" dxfId="2" priority="1085" operator="lessThan">
      <formula>H26</formula>
    </cfRule>
  </conditionalFormatting>
  <conditionalFormatting sqref="AO27">
    <cfRule type="cellIs" dxfId="1" priority="1090" operator="equal">
      <formula>0</formula>
    </cfRule>
    <cfRule type="cellIs" dxfId="2" priority="1091" operator="lessThan">
      <formula>H27</formula>
    </cfRule>
  </conditionalFormatting>
  <conditionalFormatting sqref="AO29">
    <cfRule type="cellIs" dxfId="1" priority="1096" operator="equal">
      <formula>0</formula>
    </cfRule>
    <cfRule type="cellIs" dxfId="2" priority="1097" operator="lessThan">
      <formula>H29</formula>
    </cfRule>
  </conditionalFormatting>
  <conditionalFormatting sqref="AO32">
    <cfRule type="cellIs" dxfId="1" priority="1102" operator="equal">
      <formula>0</formula>
    </cfRule>
    <cfRule type="cellIs" dxfId="2" priority="1103" operator="lessThan">
      <formula>H32</formula>
    </cfRule>
  </conditionalFormatting>
  <conditionalFormatting sqref="AO33">
    <cfRule type="cellIs" dxfId="1" priority="1108" operator="equal">
      <formula>0</formula>
    </cfRule>
    <cfRule type="cellIs" dxfId="2" priority="1109" operator="lessThan">
      <formula>H33</formula>
    </cfRule>
  </conditionalFormatting>
  <conditionalFormatting sqref="AO38">
    <cfRule type="cellIs" dxfId="1" priority="1114" operator="equal">
      <formula>0</formula>
    </cfRule>
    <cfRule type="cellIs" dxfId="2" priority="1115" operator="lessThan">
      <formula>H38</formula>
    </cfRule>
  </conditionalFormatting>
  <conditionalFormatting sqref="AO7">
    <cfRule type="cellIs" dxfId="1" priority="1054" operator="equal">
      <formula>0</formula>
    </cfRule>
    <cfRule type="cellIs" dxfId="2" priority="1055" operator="lessThan">
      <formula>H7</formula>
    </cfRule>
  </conditionalFormatting>
  <conditionalFormatting sqref="AP13">
    <cfRule type="expression" dxfId="3" priority="1062">
      <formula>AND(AP13&gt;0,AP13&lt;15000)</formula>
    </cfRule>
    <cfRule type="cellIs" dxfId="1" priority="1063" operator="greaterThan">
      <formula>AO13</formula>
    </cfRule>
  </conditionalFormatting>
  <conditionalFormatting sqref="AP16">
    <cfRule type="expression" dxfId="3" priority="1068">
      <formula>AND(AP16&gt;0,AP16&lt;3000)</formula>
    </cfRule>
    <cfRule type="cellIs" dxfId="1" priority="1069" operator="greaterThan">
      <formula>AO16</formula>
    </cfRule>
  </conditionalFormatting>
  <conditionalFormatting sqref="AP17">
    <cfRule type="expression" dxfId="3" priority="1074">
      <formula>AND(AP17&gt;0,AP17&lt;5000)</formula>
    </cfRule>
    <cfRule type="cellIs" dxfId="1" priority="1075" operator="greaterThan">
      <formula>AO17</formula>
    </cfRule>
  </conditionalFormatting>
  <conditionalFormatting sqref="AP20">
    <cfRule type="expression" dxfId="3" priority="1080">
      <formula>AND(AP20&gt;0,AP20&lt;100)</formula>
    </cfRule>
    <cfRule type="cellIs" dxfId="1" priority="1081" operator="greaterThan">
      <formula>AO20</formula>
    </cfRule>
  </conditionalFormatting>
  <conditionalFormatting sqref="AP26">
    <cfRule type="expression" dxfId="3" priority="1086">
      <formula>AND(AP26&gt;0,AP26&lt;15000)</formula>
    </cfRule>
    <cfRule type="cellIs" dxfId="1" priority="1087" operator="greaterThan">
      <formula>AO26</formula>
    </cfRule>
  </conditionalFormatting>
  <conditionalFormatting sqref="AP27">
    <cfRule type="expression" dxfId="3" priority="1092">
      <formula>AND(AP27&gt;0,AP27&lt;15000)</formula>
    </cfRule>
    <cfRule type="cellIs" dxfId="1" priority="1093" operator="greaterThan">
      <formula>AO27</formula>
    </cfRule>
  </conditionalFormatting>
  <conditionalFormatting sqref="AP29">
    <cfRule type="expression" dxfId="3" priority="1098">
      <formula>AND(AP29&gt;0,AP29&lt;15000)</formula>
    </cfRule>
    <cfRule type="cellIs" dxfId="1" priority="1099" operator="greaterThan">
      <formula>AO29</formula>
    </cfRule>
  </conditionalFormatting>
  <conditionalFormatting sqref="AP32">
    <cfRule type="expression" dxfId="3" priority="1104">
      <formula>AND(AP32&gt;0,AP32&lt;15000)</formula>
    </cfRule>
    <cfRule type="cellIs" dxfId="1" priority="1105" operator="greaterThan">
      <formula>AO32</formula>
    </cfRule>
  </conditionalFormatting>
  <conditionalFormatting sqref="AP33">
    <cfRule type="expression" dxfId="3" priority="1110">
      <formula>AND(AP33&gt;0,AP33&lt;15000)</formula>
    </cfRule>
    <cfRule type="cellIs" dxfId="1" priority="1111" operator="greaterThan">
      <formula>AO33</formula>
    </cfRule>
  </conditionalFormatting>
  <conditionalFormatting sqref="AP38">
    <cfRule type="expression" dxfId="3" priority="1116">
      <formula>AND(AP38&gt;0,AP38&lt;3000)</formula>
    </cfRule>
    <cfRule type="cellIs" dxfId="1" priority="1117" operator="greaterThan">
      <formula>AO38</formula>
    </cfRule>
  </conditionalFormatting>
  <conditionalFormatting sqref="AP7">
    <cfRule type="expression" dxfId="3" priority="1056">
      <formula>AND(AP7&gt;0,AP7&lt;15000)</formula>
    </cfRule>
    <cfRule type="cellIs" dxfId="1" priority="1057" operator="greaterThan">
      <formula>AO7</formula>
    </cfRule>
  </conditionalFormatting>
  <conditionalFormatting sqref="AQ13">
    <cfRule type="cellIs" dxfId="4" priority="1065" operator="lessThanOrEqual">
      <formula>I13</formula>
    </cfRule>
  </conditionalFormatting>
  <conditionalFormatting sqref="AQ16">
    <cfRule type="cellIs" dxfId="4" priority="1071" operator="lessThanOrEqual">
      <formula>I16</formula>
    </cfRule>
  </conditionalFormatting>
  <conditionalFormatting sqref="AQ17">
    <cfRule type="cellIs" dxfId="4" priority="1077" operator="lessThanOrEqual">
      <formula>I17</formula>
    </cfRule>
  </conditionalFormatting>
  <conditionalFormatting sqref="AQ20">
    <cfRule type="cellIs" dxfId="4" priority="1083" operator="lessThanOrEqual">
      <formula>I20</formula>
    </cfRule>
  </conditionalFormatting>
  <conditionalFormatting sqref="AQ26">
    <cfRule type="cellIs" dxfId="4" priority="1089" operator="lessThanOrEqual">
      <formula>I26</formula>
    </cfRule>
  </conditionalFormatting>
  <conditionalFormatting sqref="AQ27">
    <cfRule type="cellIs" dxfId="4" priority="1095" operator="lessThanOrEqual">
      <formula>I27</formula>
    </cfRule>
  </conditionalFormatting>
  <conditionalFormatting sqref="AQ29">
    <cfRule type="cellIs" dxfId="4" priority="1101" operator="lessThanOrEqual">
      <formula>I29</formula>
    </cfRule>
  </conditionalFormatting>
  <conditionalFormatting sqref="AQ32">
    <cfRule type="cellIs" dxfId="4" priority="1107" operator="lessThanOrEqual">
      <formula>I32</formula>
    </cfRule>
  </conditionalFormatting>
  <conditionalFormatting sqref="AQ33">
    <cfRule type="cellIs" dxfId="4" priority="1113" operator="lessThanOrEqual">
      <formula>I33</formula>
    </cfRule>
  </conditionalFormatting>
  <conditionalFormatting sqref="AQ38">
    <cfRule type="cellIs" dxfId="4" priority="1119" operator="lessThanOrEqual">
      <formula>I38</formula>
    </cfRule>
  </conditionalFormatting>
  <conditionalFormatting sqref="AQ7">
    <cfRule type="cellIs" dxfId="4" priority="1059" operator="lessThanOrEqual">
      <formula>I7</formula>
    </cfRule>
  </conditionalFormatting>
  <conditionalFormatting sqref="AR13">
    <cfRule type="cellIs" dxfId="4" priority="1064" operator="lessThanOrEqual">
      <formula>J13</formula>
    </cfRule>
  </conditionalFormatting>
  <conditionalFormatting sqref="AR16">
    <cfRule type="cellIs" dxfId="4" priority="1070" operator="lessThanOrEqual">
      <formula>J16</formula>
    </cfRule>
  </conditionalFormatting>
  <conditionalFormatting sqref="AR17">
    <cfRule type="cellIs" dxfId="4" priority="1076" operator="lessThanOrEqual">
      <formula>J17</formula>
    </cfRule>
  </conditionalFormatting>
  <conditionalFormatting sqref="AR20">
    <cfRule type="cellIs" dxfId="4" priority="1082" operator="lessThanOrEqual">
      <formula>J20</formula>
    </cfRule>
  </conditionalFormatting>
  <conditionalFormatting sqref="AR26">
    <cfRule type="cellIs" dxfId="4" priority="1088" operator="lessThanOrEqual">
      <formula>J26</formula>
    </cfRule>
  </conditionalFormatting>
  <conditionalFormatting sqref="AR27">
    <cfRule type="cellIs" dxfId="4" priority="1094" operator="lessThanOrEqual">
      <formula>J27</formula>
    </cfRule>
  </conditionalFormatting>
  <conditionalFormatting sqref="AR29">
    <cfRule type="cellIs" dxfId="4" priority="1100" operator="lessThanOrEqual">
      <formula>J29</formula>
    </cfRule>
  </conditionalFormatting>
  <conditionalFormatting sqref="AR32">
    <cfRule type="cellIs" dxfId="4" priority="1106" operator="lessThanOrEqual">
      <formula>J32</formula>
    </cfRule>
  </conditionalFormatting>
  <conditionalFormatting sqref="AR33">
    <cfRule type="cellIs" dxfId="4" priority="1112" operator="lessThanOrEqual">
      <formula>J33</formula>
    </cfRule>
  </conditionalFormatting>
  <conditionalFormatting sqref="AR38">
    <cfRule type="cellIs" dxfId="4" priority="1118" operator="lessThanOrEqual">
      <formula>J38</formula>
    </cfRule>
  </conditionalFormatting>
  <conditionalFormatting sqref="AR7">
    <cfRule type="cellIs" dxfId="4" priority="1058" operator="lessThanOrEqual">
      <formula>J7</formula>
    </cfRule>
  </conditionalFormatting>
  <conditionalFormatting sqref="AT19">
    <cfRule type="cellIs" dxfId="1" priority="1120" operator="equal">
      <formula>0</formula>
    </cfRule>
    <cfRule type="cellIs" dxfId="2" priority="1121" operator="lessThan">
      <formula>H19</formula>
    </cfRule>
  </conditionalFormatting>
  <conditionalFormatting sqref="AT20">
    <cfRule type="cellIs" dxfId="1" priority="1125" operator="equal">
      <formula>0</formula>
    </cfRule>
    <cfRule type="cellIs" dxfId="2" priority="1126" operator="lessThan">
      <formula>H20</formula>
    </cfRule>
  </conditionalFormatting>
  <conditionalFormatting sqref="AT35">
    <cfRule type="cellIs" dxfId="1" priority="1131" operator="equal">
      <formula>0</formula>
    </cfRule>
    <cfRule type="cellIs" dxfId="2" priority="1132" operator="lessThan">
      <formula>H35</formula>
    </cfRule>
  </conditionalFormatting>
  <conditionalFormatting sqref="AU19">
    <cfRule type="cellIs" dxfId="1" priority="1122" operator="greaterThan">
      <formula>AT19</formula>
    </cfRule>
  </conditionalFormatting>
  <conditionalFormatting sqref="AU20">
    <cfRule type="expression" dxfId="3" priority="1127">
      <formula>AND(AU20&gt;0,AU20&lt;50)</formula>
    </cfRule>
    <cfRule type="cellIs" dxfId="1" priority="1128" operator="greaterThan">
      <formula>AT20</formula>
    </cfRule>
  </conditionalFormatting>
  <conditionalFormatting sqref="AU35">
    <cfRule type="expression" dxfId="3" priority="1133">
      <formula>AND(AU35&gt;0,AU35&lt;5)</formula>
    </cfRule>
    <cfRule type="cellIs" dxfId="1" priority="1134" operator="greaterThan">
      <formula>AT35</formula>
    </cfRule>
  </conditionalFormatting>
  <conditionalFormatting sqref="AV19">
    <cfRule type="cellIs" dxfId="4" priority="1124" operator="lessThanOrEqual">
      <formula>I19</formula>
    </cfRule>
  </conditionalFormatting>
  <conditionalFormatting sqref="AV20">
    <cfRule type="cellIs" dxfId="4" priority="1130" operator="lessThanOrEqual">
      <formula>I20</formula>
    </cfRule>
  </conditionalFormatting>
  <conditionalFormatting sqref="AV35">
    <cfRule type="cellIs" dxfId="4" priority="1136" operator="lessThanOrEqual">
      <formula>I35</formula>
    </cfRule>
  </conditionalFormatting>
  <conditionalFormatting sqref="AW19">
    <cfRule type="cellIs" dxfId="4" priority="1123" operator="lessThanOrEqual">
      <formula>J19</formula>
    </cfRule>
  </conditionalFormatting>
  <conditionalFormatting sqref="AW20">
    <cfRule type="cellIs" dxfId="4" priority="1129" operator="lessThanOrEqual">
      <formula>J20</formula>
    </cfRule>
  </conditionalFormatting>
  <conditionalFormatting sqref="AW35">
    <cfRule type="cellIs" dxfId="4" priority="1135" operator="lessThanOrEqual">
      <formula>J35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1">
    <cfRule type="expression" dxfId="0" priority="137">
      <formula>AND(ISBLANK(G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2">
    <cfRule type="expression" dxfId="0" priority="141">
      <formula>AND(ISBLANK(G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3">
    <cfRule type="expression" dxfId="0" priority="145">
      <formula>AND(ISBLANK(G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4">
    <cfRule type="expression" dxfId="0" priority="149">
      <formula>AND(ISBLANK(G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5">
    <cfRule type="expression" dxfId="0" priority="153">
      <formula>AND(ISBLANK(G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6">
    <cfRule type="expression" dxfId="0" priority="157">
      <formula>AND(ISBLANK(G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7">
    <cfRule type="expression" dxfId="0" priority="161">
      <formula>AND(ISBLANK(G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8">
    <cfRule type="expression" dxfId="0" priority="165">
      <formula>AND(ISBLANK(G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9">
    <cfRule type="expression" dxfId="0" priority="169">
      <formula>AND(ISBLANK(G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50">
    <cfRule type="expression" dxfId="0" priority="173">
      <formula>AND(ISBLANK(G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51">
    <cfRule type="expression" dxfId="0" priority="177">
      <formula>AND(ISBLANK(G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96" operator="equal">
      <formula>0</formula>
    </cfRule>
    <cfRule type="cellIs" dxfId="2" priority="197" operator="lessThan">
      <formula>H10</formula>
    </cfRule>
  </conditionalFormatting>
  <conditionalFormatting sqref="P11">
    <cfRule type="cellIs" dxfId="1" priority="201" operator="equal">
      <formula>0</formula>
    </cfRule>
    <cfRule type="cellIs" dxfId="2" priority="202" operator="lessThan">
      <formula>H11</formula>
    </cfRule>
  </conditionalFormatting>
  <conditionalFormatting sqref="P12">
    <cfRule type="cellIs" dxfId="1" priority="206" operator="equal">
      <formula>0</formula>
    </cfRule>
    <cfRule type="cellIs" dxfId="2" priority="207" operator="lessThan">
      <formula>H12</formula>
    </cfRule>
  </conditionalFormatting>
  <conditionalFormatting sqref="P13">
    <cfRule type="cellIs" dxfId="1" priority="211" operator="equal">
      <formula>0</formula>
    </cfRule>
    <cfRule type="cellIs" dxfId="2" priority="212" operator="lessThan">
      <formula>H13</formula>
    </cfRule>
  </conditionalFormatting>
  <conditionalFormatting sqref="P14">
    <cfRule type="cellIs" dxfId="1" priority="216" operator="equal">
      <formula>0</formula>
    </cfRule>
    <cfRule type="cellIs" dxfId="2" priority="217" operator="lessThan">
      <formula>H14</formula>
    </cfRule>
  </conditionalFormatting>
  <conditionalFormatting sqref="P15">
    <cfRule type="cellIs" dxfId="1" priority="221" operator="equal">
      <formula>0</formula>
    </cfRule>
    <cfRule type="cellIs" dxfId="2" priority="222" operator="lessThan">
      <formula>H15</formula>
    </cfRule>
  </conditionalFormatting>
  <conditionalFormatting sqref="P16">
    <cfRule type="cellIs" dxfId="1" priority="226" operator="equal">
      <formula>0</formula>
    </cfRule>
    <cfRule type="cellIs" dxfId="2" priority="227" operator="lessThan">
      <formula>H16</formula>
    </cfRule>
  </conditionalFormatting>
  <conditionalFormatting sqref="P17">
    <cfRule type="cellIs" dxfId="1" priority="231" operator="equal">
      <formula>0</formula>
    </cfRule>
    <cfRule type="cellIs" dxfId="2" priority="232" operator="lessThan">
      <formula>H17</formula>
    </cfRule>
  </conditionalFormatting>
  <conditionalFormatting sqref="P18">
    <cfRule type="cellIs" dxfId="1" priority="236" operator="equal">
      <formula>0</formula>
    </cfRule>
    <cfRule type="cellIs" dxfId="2" priority="237" operator="lessThan">
      <formula>H18</formula>
    </cfRule>
  </conditionalFormatting>
  <conditionalFormatting sqref="P19">
    <cfRule type="cellIs" dxfId="1" priority="241" operator="equal">
      <formula>0</formula>
    </cfRule>
    <cfRule type="cellIs" dxfId="2" priority="242" operator="lessThan">
      <formula>H19</formula>
    </cfRule>
  </conditionalFormatting>
  <conditionalFormatting sqref="P20">
    <cfRule type="cellIs" dxfId="1" priority="246" operator="equal">
      <formula>0</formula>
    </cfRule>
    <cfRule type="cellIs" dxfId="2" priority="247" operator="lessThan">
      <formula>H20</formula>
    </cfRule>
  </conditionalFormatting>
  <conditionalFormatting sqref="P21">
    <cfRule type="cellIs" dxfId="1" priority="251" operator="equal">
      <formula>0</formula>
    </cfRule>
    <cfRule type="cellIs" dxfId="2" priority="252" operator="lessThan">
      <formula>H21</formula>
    </cfRule>
  </conditionalFormatting>
  <conditionalFormatting sqref="P22">
    <cfRule type="cellIs" dxfId="1" priority="256" operator="equal">
      <formula>0</formula>
    </cfRule>
    <cfRule type="cellIs" dxfId="2" priority="257" operator="lessThan">
      <formula>H22</formula>
    </cfRule>
  </conditionalFormatting>
  <conditionalFormatting sqref="P23">
    <cfRule type="cellIs" dxfId="1" priority="261" operator="equal">
      <formula>0</formula>
    </cfRule>
    <cfRule type="cellIs" dxfId="2" priority="262" operator="lessThan">
      <formula>H23</formula>
    </cfRule>
  </conditionalFormatting>
  <conditionalFormatting sqref="P24">
    <cfRule type="cellIs" dxfId="1" priority="266" operator="equal">
      <formula>0</formula>
    </cfRule>
    <cfRule type="cellIs" dxfId="2" priority="267" operator="lessThan">
      <formula>H24</formula>
    </cfRule>
  </conditionalFormatting>
  <conditionalFormatting sqref="P25">
    <cfRule type="cellIs" dxfId="1" priority="271" operator="equal">
      <formula>0</formula>
    </cfRule>
    <cfRule type="cellIs" dxfId="2" priority="272" operator="lessThan">
      <formula>H25</formula>
    </cfRule>
  </conditionalFormatting>
  <conditionalFormatting sqref="P26">
    <cfRule type="cellIs" dxfId="1" priority="277" operator="equal">
      <formula>0</formula>
    </cfRule>
    <cfRule type="cellIs" dxfId="2" priority="278" operator="lessThan">
      <formula>H26</formula>
    </cfRule>
  </conditionalFormatting>
  <conditionalFormatting sqref="P27">
    <cfRule type="cellIs" dxfId="1" priority="282" operator="equal">
      <formula>0</formula>
    </cfRule>
    <cfRule type="cellIs" dxfId="2" priority="283" operator="lessThan">
      <formula>H27</formula>
    </cfRule>
  </conditionalFormatting>
  <conditionalFormatting sqref="P28">
    <cfRule type="cellIs" dxfId="1" priority="287" operator="equal">
      <formula>0</formula>
    </cfRule>
    <cfRule type="cellIs" dxfId="2" priority="288" operator="lessThan">
      <formula>H28</formula>
    </cfRule>
  </conditionalFormatting>
  <conditionalFormatting sqref="P29">
    <cfRule type="cellIs" dxfId="1" priority="292" operator="equal">
      <formula>0</formula>
    </cfRule>
    <cfRule type="cellIs" dxfId="2" priority="293" operator="lessThan">
      <formula>H29</formula>
    </cfRule>
  </conditionalFormatting>
  <conditionalFormatting sqref="P30">
    <cfRule type="cellIs" dxfId="1" priority="297" operator="equal">
      <formula>0</formula>
    </cfRule>
    <cfRule type="cellIs" dxfId="2" priority="298" operator="lessThan">
      <formula>H30</formula>
    </cfRule>
  </conditionalFormatting>
  <conditionalFormatting sqref="P31">
    <cfRule type="cellIs" dxfId="1" priority="302" operator="equal">
      <formula>0</formula>
    </cfRule>
    <cfRule type="cellIs" dxfId="2" priority="303" operator="lessThan">
      <formula>H31</formula>
    </cfRule>
  </conditionalFormatting>
  <conditionalFormatting sqref="P32">
    <cfRule type="cellIs" dxfId="1" priority="307" operator="equal">
      <formula>0</formula>
    </cfRule>
    <cfRule type="cellIs" dxfId="2" priority="308" operator="lessThan">
      <formula>H32</formula>
    </cfRule>
  </conditionalFormatting>
  <conditionalFormatting sqref="P33">
    <cfRule type="cellIs" dxfId="1" priority="312" operator="equal">
      <formula>0</formula>
    </cfRule>
    <cfRule type="cellIs" dxfId="2" priority="313" operator="lessThan">
      <formula>H33</formula>
    </cfRule>
  </conditionalFormatting>
  <conditionalFormatting sqref="P34">
    <cfRule type="cellIs" dxfId="1" priority="317" operator="equal">
      <formula>0</formula>
    </cfRule>
    <cfRule type="cellIs" dxfId="2" priority="318" operator="lessThan">
      <formula>H34</formula>
    </cfRule>
  </conditionalFormatting>
  <conditionalFormatting sqref="P35">
    <cfRule type="cellIs" dxfId="1" priority="322" operator="equal">
      <formula>0</formula>
    </cfRule>
    <cfRule type="cellIs" dxfId="2" priority="323" operator="lessThan">
      <formula>H35</formula>
    </cfRule>
  </conditionalFormatting>
  <conditionalFormatting sqref="P36">
    <cfRule type="cellIs" dxfId="1" priority="327" operator="equal">
      <formula>0</formula>
    </cfRule>
    <cfRule type="cellIs" dxfId="2" priority="328" operator="lessThan">
      <formula>H36</formula>
    </cfRule>
  </conditionalFormatting>
  <conditionalFormatting sqref="P37">
    <cfRule type="cellIs" dxfId="1" priority="332" operator="equal">
      <formula>0</formula>
    </cfRule>
    <cfRule type="cellIs" dxfId="2" priority="333" operator="lessThan">
      <formula>H37</formula>
    </cfRule>
  </conditionalFormatting>
  <conditionalFormatting sqref="P38">
    <cfRule type="cellIs" dxfId="1" priority="338" operator="equal">
      <formula>0</formula>
    </cfRule>
    <cfRule type="cellIs" dxfId="2" priority="339" operator="lessThan">
      <formula>H38</formula>
    </cfRule>
  </conditionalFormatting>
  <conditionalFormatting sqref="P39">
    <cfRule type="cellIs" dxfId="1" priority="343" operator="equal">
      <formula>0</formula>
    </cfRule>
    <cfRule type="cellIs" dxfId="2" priority="344" operator="lessThan">
      <formula>H39</formula>
    </cfRule>
  </conditionalFormatting>
  <conditionalFormatting sqref="P41">
    <cfRule type="cellIs" dxfId="1" priority="348" operator="equal">
      <formula>0</formula>
    </cfRule>
    <cfRule type="cellIs" dxfId="2" priority="349" operator="lessThan">
      <formula>H41</formula>
    </cfRule>
  </conditionalFormatting>
  <conditionalFormatting sqref="P42">
    <cfRule type="cellIs" dxfId="1" priority="353" operator="equal">
      <formula>0</formula>
    </cfRule>
    <cfRule type="cellIs" dxfId="2" priority="354" operator="lessThan">
      <formula>H42</formula>
    </cfRule>
  </conditionalFormatting>
  <conditionalFormatting sqref="P43">
    <cfRule type="cellIs" dxfId="1" priority="358" operator="equal">
      <formula>0</formula>
    </cfRule>
    <cfRule type="cellIs" dxfId="2" priority="359" operator="lessThan">
      <formula>H43</formula>
    </cfRule>
  </conditionalFormatting>
  <conditionalFormatting sqref="P44">
    <cfRule type="cellIs" dxfId="1" priority="363" operator="equal">
      <formula>0</formula>
    </cfRule>
    <cfRule type="cellIs" dxfId="2" priority="364" operator="lessThan">
      <formula>H44</formula>
    </cfRule>
  </conditionalFormatting>
  <conditionalFormatting sqref="P45">
    <cfRule type="cellIs" dxfId="1" priority="368" operator="equal">
      <formula>0</formula>
    </cfRule>
    <cfRule type="cellIs" dxfId="2" priority="369" operator="lessThan">
      <formula>H45</formula>
    </cfRule>
  </conditionalFormatting>
  <conditionalFormatting sqref="P46">
    <cfRule type="cellIs" dxfId="1" priority="374" operator="equal">
      <formula>0</formula>
    </cfRule>
    <cfRule type="cellIs" dxfId="2" priority="375" operator="lessThan">
      <formula>H46</formula>
    </cfRule>
  </conditionalFormatting>
  <conditionalFormatting sqref="P47">
    <cfRule type="cellIs" dxfId="1" priority="379" operator="equal">
      <formula>0</formula>
    </cfRule>
    <cfRule type="cellIs" dxfId="2" priority="380" operator="lessThan">
      <formula>H47</formula>
    </cfRule>
  </conditionalFormatting>
  <conditionalFormatting sqref="P48">
    <cfRule type="cellIs" dxfId="1" priority="384" operator="equal">
      <formula>0</formula>
    </cfRule>
    <cfRule type="cellIs" dxfId="2" priority="385" operator="lessThan">
      <formula>H48</formula>
    </cfRule>
  </conditionalFormatting>
  <conditionalFormatting sqref="P49">
    <cfRule type="cellIs" dxfId="1" priority="389" operator="equal">
      <formula>0</formula>
    </cfRule>
    <cfRule type="cellIs" dxfId="2" priority="390" operator="lessThan">
      <formula>H49</formula>
    </cfRule>
  </conditionalFormatting>
  <conditionalFormatting sqref="P50">
    <cfRule type="cellIs" dxfId="1" priority="394" operator="equal">
      <formula>0</formula>
    </cfRule>
    <cfRule type="cellIs" dxfId="2" priority="395" operator="lessThan">
      <formula>H50</formula>
    </cfRule>
  </conditionalFormatting>
  <conditionalFormatting sqref="P51">
    <cfRule type="cellIs" dxfId="1" priority="399" operator="equal">
      <formula>0</formula>
    </cfRule>
    <cfRule type="cellIs" dxfId="2" priority="400" operator="lessThan">
      <formula>H51</formula>
    </cfRule>
  </conditionalFormatting>
  <conditionalFormatting sqref="P7">
    <cfRule type="cellIs" dxfId="1" priority="181" operator="equal">
      <formula>0</formula>
    </cfRule>
    <cfRule type="cellIs" dxfId="2" priority="182" operator="lessThan">
      <formula>H7</formula>
    </cfRule>
  </conditionalFormatting>
  <conditionalFormatting sqref="P8">
    <cfRule type="cellIs" dxfId="1" priority="186" operator="equal">
      <formula>0</formula>
    </cfRule>
    <cfRule type="cellIs" dxfId="2" priority="187" operator="lessThan">
      <formula>H8</formula>
    </cfRule>
  </conditionalFormatting>
  <conditionalFormatting sqref="P9">
    <cfRule type="cellIs" dxfId="1" priority="191" operator="equal">
      <formula>0</formula>
    </cfRule>
    <cfRule type="cellIs" dxfId="2" priority="192" operator="lessThan">
      <formula>H9</formula>
    </cfRule>
  </conditionalFormatting>
  <conditionalFormatting sqref="Q10">
    <cfRule type="cellIs" dxfId="1" priority="198" operator="greaterThan">
      <formula>P10</formula>
    </cfRule>
  </conditionalFormatting>
  <conditionalFormatting sqref="Q11">
    <cfRule type="cellIs" dxfId="1" priority="203" operator="greaterThan">
      <formula>P11</formula>
    </cfRule>
  </conditionalFormatting>
  <conditionalFormatting sqref="Q12">
    <cfRule type="cellIs" dxfId="1" priority="208" operator="greaterThan">
      <formula>P12</formula>
    </cfRule>
  </conditionalFormatting>
  <conditionalFormatting sqref="Q13">
    <cfRule type="cellIs" dxfId="1" priority="213" operator="greaterThan">
      <formula>P13</formula>
    </cfRule>
  </conditionalFormatting>
  <conditionalFormatting sqref="Q14">
    <cfRule type="cellIs" dxfId="1" priority="218" operator="greaterThan">
      <formula>P14</formula>
    </cfRule>
  </conditionalFormatting>
  <conditionalFormatting sqref="Q15">
    <cfRule type="cellIs" dxfId="1" priority="223" operator="greaterThan">
      <formula>P15</formula>
    </cfRule>
  </conditionalFormatting>
  <conditionalFormatting sqref="Q16">
    <cfRule type="cellIs" dxfId="1" priority="228" operator="greaterThan">
      <formula>P16</formula>
    </cfRule>
  </conditionalFormatting>
  <conditionalFormatting sqref="Q17">
    <cfRule type="cellIs" dxfId="1" priority="233" operator="greaterThan">
      <formula>P17</formula>
    </cfRule>
  </conditionalFormatting>
  <conditionalFormatting sqref="Q18">
    <cfRule type="cellIs" dxfId="1" priority="238" operator="greaterThan">
      <formula>P18</formula>
    </cfRule>
  </conditionalFormatting>
  <conditionalFormatting sqref="Q19">
    <cfRule type="cellIs" dxfId="1" priority="243" operator="greaterThan">
      <formula>P19</formula>
    </cfRule>
  </conditionalFormatting>
  <conditionalFormatting sqref="Q20">
    <cfRule type="cellIs" dxfId="1" priority="248" operator="greaterThan">
      <formula>P20</formula>
    </cfRule>
  </conditionalFormatting>
  <conditionalFormatting sqref="Q21">
    <cfRule type="cellIs" dxfId="1" priority="253" operator="greaterThan">
      <formula>P21</formula>
    </cfRule>
  </conditionalFormatting>
  <conditionalFormatting sqref="Q22">
    <cfRule type="cellIs" dxfId="1" priority="258" operator="greaterThan">
      <formula>P22</formula>
    </cfRule>
  </conditionalFormatting>
  <conditionalFormatting sqref="Q23">
    <cfRule type="cellIs" dxfId="1" priority="263" operator="greaterThan">
      <formula>P23</formula>
    </cfRule>
  </conditionalFormatting>
  <conditionalFormatting sqref="Q24">
    <cfRule type="cellIs" dxfId="1" priority="268" operator="greaterThan">
      <formula>P24</formula>
    </cfRule>
  </conditionalFormatting>
  <conditionalFormatting sqref="Q25">
    <cfRule type="expression" dxfId="3" priority="273">
      <formula>AND(Q25&gt;0,Q25&lt;10000)</formula>
    </cfRule>
    <cfRule type="cellIs" dxfId="1" priority="274" operator="greaterThan">
      <formula>P25</formula>
    </cfRule>
  </conditionalFormatting>
  <conditionalFormatting sqref="Q26">
    <cfRule type="cellIs" dxfId="1" priority="279" operator="greaterThan">
      <formula>P26</formula>
    </cfRule>
  </conditionalFormatting>
  <conditionalFormatting sqref="Q27">
    <cfRule type="cellIs" dxfId="1" priority="284" operator="greaterThan">
      <formula>P27</formula>
    </cfRule>
  </conditionalFormatting>
  <conditionalFormatting sqref="Q28">
    <cfRule type="cellIs" dxfId="1" priority="289" operator="greaterThan">
      <formula>P28</formula>
    </cfRule>
  </conditionalFormatting>
  <conditionalFormatting sqref="Q29">
    <cfRule type="cellIs" dxfId="1" priority="294" operator="greaterThan">
      <formula>P29</formula>
    </cfRule>
  </conditionalFormatting>
  <conditionalFormatting sqref="Q30">
    <cfRule type="cellIs" dxfId="1" priority="299" operator="greaterThan">
      <formula>P30</formula>
    </cfRule>
  </conditionalFormatting>
  <conditionalFormatting sqref="Q31">
    <cfRule type="cellIs" dxfId="1" priority="304" operator="greaterThan">
      <formula>P31</formula>
    </cfRule>
  </conditionalFormatting>
  <conditionalFormatting sqref="Q32">
    <cfRule type="cellIs" dxfId="1" priority="309" operator="greaterThan">
      <formula>P32</formula>
    </cfRule>
  </conditionalFormatting>
  <conditionalFormatting sqref="Q33">
    <cfRule type="cellIs" dxfId="1" priority="314" operator="greaterThan">
      <formula>P33</formula>
    </cfRule>
  </conditionalFormatting>
  <conditionalFormatting sqref="Q34">
    <cfRule type="cellIs" dxfId="1" priority="319" operator="greaterThan">
      <formula>P34</formula>
    </cfRule>
  </conditionalFormatting>
  <conditionalFormatting sqref="Q35">
    <cfRule type="cellIs" dxfId="1" priority="324" operator="greaterThan">
      <formula>P35</formula>
    </cfRule>
  </conditionalFormatting>
  <conditionalFormatting sqref="Q36">
    <cfRule type="cellIs" dxfId="1" priority="329" operator="greaterThan">
      <formula>P36</formula>
    </cfRule>
  </conditionalFormatting>
  <conditionalFormatting sqref="Q37">
    <cfRule type="expression" dxfId="3" priority="334">
      <formula>AND(Q37&gt;0,Q37&lt;3000)</formula>
    </cfRule>
    <cfRule type="cellIs" dxfId="1" priority="335" operator="greaterThan">
      <formula>P37</formula>
    </cfRule>
  </conditionalFormatting>
  <conditionalFormatting sqref="Q38">
    <cfRule type="cellIs" dxfId="1" priority="340" operator="greaterThan">
      <formula>P38</formula>
    </cfRule>
  </conditionalFormatting>
  <conditionalFormatting sqref="Q39">
    <cfRule type="cellIs" dxfId="1" priority="345" operator="greaterThan">
      <formula>P39</formula>
    </cfRule>
  </conditionalFormatting>
  <conditionalFormatting sqref="Q41">
    <cfRule type="cellIs" dxfId="1" priority="350" operator="greaterThan">
      <formula>P41</formula>
    </cfRule>
  </conditionalFormatting>
  <conditionalFormatting sqref="Q42">
    <cfRule type="cellIs" dxfId="1" priority="355" operator="greaterThan">
      <formula>P42</formula>
    </cfRule>
  </conditionalFormatting>
  <conditionalFormatting sqref="Q43">
    <cfRule type="cellIs" dxfId="1" priority="360" operator="greaterThan">
      <formula>P43</formula>
    </cfRule>
  </conditionalFormatting>
  <conditionalFormatting sqref="Q44">
    <cfRule type="cellIs" dxfId="1" priority="365" operator="greaterThan">
      <formula>P44</formula>
    </cfRule>
  </conditionalFormatting>
  <conditionalFormatting sqref="Q45">
    <cfRule type="expression" dxfId="3" priority="370">
      <formula>AND(Q45&gt;0,Q45&lt;168)</formula>
    </cfRule>
    <cfRule type="cellIs" dxfId="1" priority="371" operator="greaterThan">
      <formula>P45</formula>
    </cfRule>
  </conditionalFormatting>
  <conditionalFormatting sqref="Q46">
    <cfRule type="cellIs" dxfId="1" priority="376" operator="greaterThan">
      <formula>P46</formula>
    </cfRule>
  </conditionalFormatting>
  <conditionalFormatting sqref="Q47">
    <cfRule type="cellIs" dxfId="1" priority="381" operator="greaterThan">
      <formula>P47</formula>
    </cfRule>
  </conditionalFormatting>
  <conditionalFormatting sqref="Q48">
    <cfRule type="cellIs" dxfId="1" priority="386" operator="greaterThan">
      <formula>P48</formula>
    </cfRule>
  </conditionalFormatting>
  <conditionalFormatting sqref="Q49">
    <cfRule type="cellIs" dxfId="1" priority="391" operator="greaterThan">
      <formula>P49</formula>
    </cfRule>
  </conditionalFormatting>
  <conditionalFormatting sqref="Q50">
    <cfRule type="cellIs" dxfId="1" priority="396" operator="greaterThan">
      <formula>P50</formula>
    </cfRule>
  </conditionalFormatting>
  <conditionalFormatting sqref="Q51">
    <cfRule type="expression" dxfId="3" priority="401">
      <formula>AND(Q51&gt;0,Q51&lt;2000)</formula>
    </cfRule>
    <cfRule type="cellIs" dxfId="1" priority="402" operator="greaterThan">
      <formula>P51</formula>
    </cfRule>
  </conditionalFormatting>
  <conditionalFormatting sqref="Q7">
    <cfRule type="cellIs" dxfId="1" priority="183" operator="greaterThan">
      <formula>P7</formula>
    </cfRule>
  </conditionalFormatting>
  <conditionalFormatting sqref="Q8">
    <cfRule type="cellIs" dxfId="1" priority="188" operator="greaterThan">
      <formula>P8</formula>
    </cfRule>
  </conditionalFormatting>
  <conditionalFormatting sqref="Q9">
    <cfRule type="cellIs" dxfId="1" priority="193" operator="greaterThan">
      <formula>P9</formula>
    </cfRule>
  </conditionalFormatting>
  <conditionalFormatting sqref="R10">
    <cfRule type="cellIs" dxfId="4" priority="200" operator="lessThanOrEqual">
      <formula>I10</formula>
    </cfRule>
  </conditionalFormatting>
  <conditionalFormatting sqref="R11">
    <cfRule type="cellIs" dxfId="4" priority="205" operator="lessThanOrEqual">
      <formula>I11</formula>
    </cfRule>
  </conditionalFormatting>
  <conditionalFormatting sqref="R12">
    <cfRule type="cellIs" dxfId="4" priority="210" operator="lessThanOrEqual">
      <formula>I12</formula>
    </cfRule>
  </conditionalFormatting>
  <conditionalFormatting sqref="R13">
    <cfRule type="cellIs" dxfId="4" priority="215" operator="lessThanOrEqual">
      <formula>I13</formula>
    </cfRule>
  </conditionalFormatting>
  <conditionalFormatting sqref="R14">
    <cfRule type="cellIs" dxfId="4" priority="220" operator="lessThanOrEqual">
      <formula>I14</formula>
    </cfRule>
  </conditionalFormatting>
  <conditionalFormatting sqref="R15">
    <cfRule type="cellIs" dxfId="4" priority="225" operator="lessThanOrEqual">
      <formula>I15</formula>
    </cfRule>
  </conditionalFormatting>
  <conditionalFormatting sqref="R16">
    <cfRule type="cellIs" dxfId="4" priority="230" operator="lessThanOrEqual">
      <formula>I16</formula>
    </cfRule>
  </conditionalFormatting>
  <conditionalFormatting sqref="R17">
    <cfRule type="cellIs" dxfId="4" priority="235" operator="lessThanOrEqual">
      <formula>I17</formula>
    </cfRule>
  </conditionalFormatting>
  <conditionalFormatting sqref="R18">
    <cfRule type="cellIs" dxfId="4" priority="240" operator="lessThanOrEqual">
      <formula>I18</formula>
    </cfRule>
  </conditionalFormatting>
  <conditionalFormatting sqref="R19">
    <cfRule type="cellIs" dxfId="4" priority="245" operator="lessThanOrEqual">
      <formula>I19</formula>
    </cfRule>
  </conditionalFormatting>
  <conditionalFormatting sqref="R20">
    <cfRule type="cellIs" dxfId="4" priority="250" operator="lessThanOrEqual">
      <formula>I20</formula>
    </cfRule>
  </conditionalFormatting>
  <conditionalFormatting sqref="R21">
    <cfRule type="cellIs" dxfId="4" priority="255" operator="lessThanOrEqual">
      <formula>I21</formula>
    </cfRule>
  </conditionalFormatting>
  <conditionalFormatting sqref="R22">
    <cfRule type="cellIs" dxfId="4" priority="260" operator="lessThanOrEqual">
      <formula>I22</formula>
    </cfRule>
  </conditionalFormatting>
  <conditionalFormatting sqref="R23">
    <cfRule type="cellIs" dxfId="4" priority="265" operator="lessThanOrEqual">
      <formula>I23</formula>
    </cfRule>
  </conditionalFormatting>
  <conditionalFormatting sqref="R24">
    <cfRule type="cellIs" dxfId="4" priority="270" operator="lessThanOrEqual">
      <formula>I24</formula>
    </cfRule>
  </conditionalFormatting>
  <conditionalFormatting sqref="R25">
    <cfRule type="cellIs" dxfId="4" priority="276" operator="lessThanOrEqual">
      <formula>I25</formula>
    </cfRule>
  </conditionalFormatting>
  <conditionalFormatting sqref="R26">
    <cfRule type="cellIs" dxfId="4" priority="281" operator="lessThanOrEqual">
      <formula>I26</formula>
    </cfRule>
  </conditionalFormatting>
  <conditionalFormatting sqref="R27">
    <cfRule type="cellIs" dxfId="4" priority="286" operator="lessThanOrEqual">
      <formula>I27</formula>
    </cfRule>
  </conditionalFormatting>
  <conditionalFormatting sqref="R28">
    <cfRule type="cellIs" dxfId="4" priority="291" operator="lessThanOrEqual">
      <formula>I28</formula>
    </cfRule>
  </conditionalFormatting>
  <conditionalFormatting sqref="R29">
    <cfRule type="cellIs" dxfId="4" priority="296" operator="lessThanOrEqual">
      <formula>I29</formula>
    </cfRule>
  </conditionalFormatting>
  <conditionalFormatting sqref="R30">
    <cfRule type="cellIs" dxfId="4" priority="301" operator="lessThanOrEqual">
      <formula>I30</formula>
    </cfRule>
  </conditionalFormatting>
  <conditionalFormatting sqref="R31">
    <cfRule type="cellIs" dxfId="4" priority="306" operator="lessThanOrEqual">
      <formula>I31</formula>
    </cfRule>
  </conditionalFormatting>
  <conditionalFormatting sqref="R32">
    <cfRule type="cellIs" dxfId="4" priority="311" operator="lessThanOrEqual">
      <formula>I32</formula>
    </cfRule>
  </conditionalFormatting>
  <conditionalFormatting sqref="R33">
    <cfRule type="cellIs" dxfId="4" priority="316" operator="lessThanOrEqual">
      <formula>I33</formula>
    </cfRule>
  </conditionalFormatting>
  <conditionalFormatting sqref="R34">
    <cfRule type="cellIs" dxfId="4" priority="321" operator="lessThanOrEqual">
      <formula>I34</formula>
    </cfRule>
  </conditionalFormatting>
  <conditionalFormatting sqref="R35">
    <cfRule type="cellIs" dxfId="4" priority="326" operator="lessThanOrEqual">
      <formula>I35</formula>
    </cfRule>
  </conditionalFormatting>
  <conditionalFormatting sqref="R36">
    <cfRule type="cellIs" dxfId="4" priority="331" operator="lessThanOrEqual">
      <formula>I36</formula>
    </cfRule>
  </conditionalFormatting>
  <conditionalFormatting sqref="R37">
    <cfRule type="cellIs" dxfId="4" priority="337" operator="lessThanOrEqual">
      <formula>I37</formula>
    </cfRule>
  </conditionalFormatting>
  <conditionalFormatting sqref="R38">
    <cfRule type="cellIs" dxfId="4" priority="342" operator="lessThanOrEqual">
      <formula>I38</formula>
    </cfRule>
  </conditionalFormatting>
  <conditionalFormatting sqref="R39">
    <cfRule type="cellIs" dxfId="4" priority="347" operator="lessThanOrEqual">
      <formula>I39</formula>
    </cfRule>
  </conditionalFormatting>
  <conditionalFormatting sqref="R41">
    <cfRule type="cellIs" dxfId="4" priority="352" operator="lessThanOrEqual">
      <formula>I41</formula>
    </cfRule>
  </conditionalFormatting>
  <conditionalFormatting sqref="R42">
    <cfRule type="cellIs" dxfId="4" priority="357" operator="lessThanOrEqual">
      <formula>I42</formula>
    </cfRule>
  </conditionalFormatting>
  <conditionalFormatting sqref="R43">
    <cfRule type="cellIs" dxfId="4" priority="362" operator="lessThanOrEqual">
      <formula>I43</formula>
    </cfRule>
  </conditionalFormatting>
  <conditionalFormatting sqref="R44">
    <cfRule type="cellIs" dxfId="4" priority="367" operator="lessThanOrEqual">
      <formula>I44</formula>
    </cfRule>
  </conditionalFormatting>
  <conditionalFormatting sqref="R45">
    <cfRule type="cellIs" dxfId="4" priority="373" operator="lessThanOrEqual">
      <formula>I45</formula>
    </cfRule>
  </conditionalFormatting>
  <conditionalFormatting sqref="R46">
    <cfRule type="cellIs" dxfId="4" priority="378" operator="lessThanOrEqual">
      <formula>I46</formula>
    </cfRule>
  </conditionalFormatting>
  <conditionalFormatting sqref="R47">
    <cfRule type="cellIs" dxfId="4" priority="383" operator="lessThanOrEqual">
      <formula>I47</formula>
    </cfRule>
  </conditionalFormatting>
  <conditionalFormatting sqref="R48">
    <cfRule type="cellIs" dxfId="4" priority="388" operator="lessThanOrEqual">
      <formula>I48</formula>
    </cfRule>
  </conditionalFormatting>
  <conditionalFormatting sqref="R49">
    <cfRule type="cellIs" dxfId="4" priority="393" operator="lessThanOrEqual">
      <formula>I49</formula>
    </cfRule>
  </conditionalFormatting>
  <conditionalFormatting sqref="R50">
    <cfRule type="cellIs" dxfId="4" priority="398" operator="lessThanOrEqual">
      <formula>I50</formula>
    </cfRule>
  </conditionalFormatting>
  <conditionalFormatting sqref="R51">
    <cfRule type="cellIs" dxfId="4" priority="404" operator="lessThanOrEqual">
      <formula>I51</formula>
    </cfRule>
  </conditionalFormatting>
  <conditionalFormatting sqref="R7">
    <cfRule type="cellIs" dxfId="4" priority="185" operator="lessThanOrEqual">
      <formula>I7</formula>
    </cfRule>
  </conditionalFormatting>
  <conditionalFormatting sqref="R8">
    <cfRule type="cellIs" dxfId="4" priority="190" operator="lessThanOrEqual">
      <formula>I8</formula>
    </cfRule>
  </conditionalFormatting>
  <conditionalFormatting sqref="R9">
    <cfRule type="cellIs" dxfId="4" priority="195" operator="lessThanOrEqual">
      <formula>I9</formula>
    </cfRule>
  </conditionalFormatting>
  <conditionalFormatting sqref="S10">
    <cfRule type="cellIs" dxfId="4" priority="199" operator="lessThanOrEqual">
      <formula>J10</formula>
    </cfRule>
  </conditionalFormatting>
  <conditionalFormatting sqref="S11">
    <cfRule type="cellIs" dxfId="4" priority="204" operator="lessThanOrEqual">
      <formula>J11</formula>
    </cfRule>
  </conditionalFormatting>
  <conditionalFormatting sqref="S12">
    <cfRule type="cellIs" dxfId="4" priority="209" operator="lessThanOrEqual">
      <formula>J12</formula>
    </cfRule>
  </conditionalFormatting>
  <conditionalFormatting sqref="S13">
    <cfRule type="cellIs" dxfId="4" priority="214" operator="lessThanOrEqual">
      <formula>J13</formula>
    </cfRule>
  </conditionalFormatting>
  <conditionalFormatting sqref="S14">
    <cfRule type="cellIs" dxfId="4" priority="219" operator="lessThanOrEqual">
      <formula>J14</formula>
    </cfRule>
  </conditionalFormatting>
  <conditionalFormatting sqref="S15">
    <cfRule type="cellIs" dxfId="4" priority="224" operator="lessThanOrEqual">
      <formula>J15</formula>
    </cfRule>
  </conditionalFormatting>
  <conditionalFormatting sqref="S16">
    <cfRule type="cellIs" dxfId="4" priority="229" operator="lessThanOrEqual">
      <formula>J16</formula>
    </cfRule>
  </conditionalFormatting>
  <conditionalFormatting sqref="S17">
    <cfRule type="cellIs" dxfId="4" priority="234" operator="lessThanOrEqual">
      <formula>J17</formula>
    </cfRule>
  </conditionalFormatting>
  <conditionalFormatting sqref="S18">
    <cfRule type="cellIs" dxfId="4" priority="239" operator="lessThanOrEqual">
      <formula>J18</formula>
    </cfRule>
  </conditionalFormatting>
  <conditionalFormatting sqref="S19">
    <cfRule type="cellIs" dxfId="4" priority="244" operator="lessThanOrEqual">
      <formula>J19</formula>
    </cfRule>
  </conditionalFormatting>
  <conditionalFormatting sqref="S20">
    <cfRule type="cellIs" dxfId="4" priority="249" operator="lessThanOrEqual">
      <formula>J20</formula>
    </cfRule>
  </conditionalFormatting>
  <conditionalFormatting sqref="S21">
    <cfRule type="cellIs" dxfId="4" priority="254" operator="lessThanOrEqual">
      <formula>J21</formula>
    </cfRule>
  </conditionalFormatting>
  <conditionalFormatting sqref="S22">
    <cfRule type="cellIs" dxfId="4" priority="259" operator="lessThanOrEqual">
      <formula>J22</formula>
    </cfRule>
  </conditionalFormatting>
  <conditionalFormatting sqref="S23">
    <cfRule type="cellIs" dxfId="4" priority="264" operator="lessThanOrEqual">
      <formula>J23</formula>
    </cfRule>
  </conditionalFormatting>
  <conditionalFormatting sqref="S24">
    <cfRule type="cellIs" dxfId="4" priority="269" operator="lessThanOrEqual">
      <formula>J24</formula>
    </cfRule>
  </conditionalFormatting>
  <conditionalFormatting sqref="S25">
    <cfRule type="cellIs" dxfId="4" priority="275" operator="lessThanOrEqual">
      <formula>J25</formula>
    </cfRule>
  </conditionalFormatting>
  <conditionalFormatting sqref="S26">
    <cfRule type="cellIs" dxfId="4" priority="280" operator="lessThanOrEqual">
      <formula>J26</formula>
    </cfRule>
  </conditionalFormatting>
  <conditionalFormatting sqref="S27">
    <cfRule type="cellIs" dxfId="4" priority="285" operator="lessThanOrEqual">
      <formula>J27</formula>
    </cfRule>
  </conditionalFormatting>
  <conditionalFormatting sqref="S28">
    <cfRule type="cellIs" dxfId="4" priority="290" operator="lessThanOrEqual">
      <formula>J28</formula>
    </cfRule>
  </conditionalFormatting>
  <conditionalFormatting sqref="S29">
    <cfRule type="cellIs" dxfId="4" priority="295" operator="lessThanOrEqual">
      <formula>J29</formula>
    </cfRule>
  </conditionalFormatting>
  <conditionalFormatting sqref="S30">
    <cfRule type="cellIs" dxfId="4" priority="300" operator="lessThanOrEqual">
      <formula>J30</formula>
    </cfRule>
  </conditionalFormatting>
  <conditionalFormatting sqref="S31">
    <cfRule type="cellIs" dxfId="4" priority="305" operator="lessThanOrEqual">
      <formula>J31</formula>
    </cfRule>
  </conditionalFormatting>
  <conditionalFormatting sqref="S32">
    <cfRule type="cellIs" dxfId="4" priority="310" operator="lessThanOrEqual">
      <formula>J32</formula>
    </cfRule>
  </conditionalFormatting>
  <conditionalFormatting sqref="S33">
    <cfRule type="cellIs" dxfId="4" priority="315" operator="lessThanOrEqual">
      <formula>J33</formula>
    </cfRule>
  </conditionalFormatting>
  <conditionalFormatting sqref="S34">
    <cfRule type="cellIs" dxfId="4" priority="320" operator="lessThanOrEqual">
      <formula>J34</formula>
    </cfRule>
  </conditionalFormatting>
  <conditionalFormatting sqref="S35">
    <cfRule type="cellIs" dxfId="4" priority="325" operator="lessThanOrEqual">
      <formula>J35</formula>
    </cfRule>
  </conditionalFormatting>
  <conditionalFormatting sqref="S36">
    <cfRule type="cellIs" dxfId="4" priority="330" operator="lessThanOrEqual">
      <formula>J36</formula>
    </cfRule>
  </conditionalFormatting>
  <conditionalFormatting sqref="S37">
    <cfRule type="cellIs" dxfId="4" priority="336" operator="lessThanOrEqual">
      <formula>J37</formula>
    </cfRule>
  </conditionalFormatting>
  <conditionalFormatting sqref="S38">
    <cfRule type="cellIs" dxfId="4" priority="341" operator="lessThanOrEqual">
      <formula>J38</formula>
    </cfRule>
  </conditionalFormatting>
  <conditionalFormatting sqref="S39">
    <cfRule type="cellIs" dxfId="4" priority="346" operator="lessThanOrEqual">
      <formula>J39</formula>
    </cfRule>
  </conditionalFormatting>
  <conditionalFormatting sqref="S41">
    <cfRule type="cellIs" dxfId="4" priority="351" operator="lessThanOrEqual">
      <formula>J41</formula>
    </cfRule>
  </conditionalFormatting>
  <conditionalFormatting sqref="S42">
    <cfRule type="cellIs" dxfId="4" priority="356" operator="lessThanOrEqual">
      <formula>J42</formula>
    </cfRule>
  </conditionalFormatting>
  <conditionalFormatting sqref="S43">
    <cfRule type="cellIs" dxfId="4" priority="361" operator="lessThanOrEqual">
      <formula>J43</formula>
    </cfRule>
  </conditionalFormatting>
  <conditionalFormatting sqref="S44">
    <cfRule type="cellIs" dxfId="4" priority="366" operator="lessThanOrEqual">
      <formula>J44</formula>
    </cfRule>
  </conditionalFormatting>
  <conditionalFormatting sqref="S45">
    <cfRule type="cellIs" dxfId="4" priority="372" operator="lessThanOrEqual">
      <formula>J45</formula>
    </cfRule>
  </conditionalFormatting>
  <conditionalFormatting sqref="S46">
    <cfRule type="cellIs" dxfId="4" priority="377" operator="lessThanOrEqual">
      <formula>J46</formula>
    </cfRule>
  </conditionalFormatting>
  <conditionalFormatting sqref="S47">
    <cfRule type="cellIs" dxfId="4" priority="382" operator="lessThanOrEqual">
      <formula>J47</formula>
    </cfRule>
  </conditionalFormatting>
  <conditionalFormatting sqref="S48">
    <cfRule type="cellIs" dxfId="4" priority="387" operator="lessThanOrEqual">
      <formula>J48</formula>
    </cfRule>
  </conditionalFormatting>
  <conditionalFormatting sqref="S49">
    <cfRule type="cellIs" dxfId="4" priority="392" operator="lessThanOrEqual">
      <formula>J49</formula>
    </cfRule>
  </conditionalFormatting>
  <conditionalFormatting sqref="S50">
    <cfRule type="cellIs" dxfId="4" priority="397" operator="lessThanOrEqual">
      <formula>J50</formula>
    </cfRule>
  </conditionalFormatting>
  <conditionalFormatting sqref="S51">
    <cfRule type="cellIs" dxfId="4" priority="403" operator="lessThanOrEqual">
      <formula>J51</formula>
    </cfRule>
  </conditionalFormatting>
  <conditionalFormatting sqref="S7">
    <cfRule type="cellIs" dxfId="4" priority="184" operator="lessThanOrEqual">
      <formula>J7</formula>
    </cfRule>
  </conditionalFormatting>
  <conditionalFormatting sqref="S8">
    <cfRule type="cellIs" dxfId="4" priority="189" operator="lessThanOrEqual">
      <formula>J8</formula>
    </cfRule>
  </conditionalFormatting>
  <conditionalFormatting sqref="S9">
    <cfRule type="cellIs" dxfId="4" priority="194" operator="lessThanOrEqual">
      <formula>J9</formula>
    </cfRule>
  </conditionalFormatting>
  <conditionalFormatting sqref="U10">
    <cfRule type="cellIs" dxfId="1" priority="423" operator="equal">
      <formula>0</formula>
    </cfRule>
    <cfRule type="cellIs" dxfId="2" priority="424" operator="lessThan">
      <formula>H10</formula>
    </cfRule>
  </conditionalFormatting>
  <conditionalFormatting sqref="U11">
    <cfRule type="cellIs" dxfId="1" priority="429" operator="equal">
      <formula>0</formula>
    </cfRule>
    <cfRule type="cellIs" dxfId="2" priority="430" operator="lessThan">
      <formula>H11</formula>
    </cfRule>
  </conditionalFormatting>
  <conditionalFormatting sqref="U12">
    <cfRule type="cellIs" dxfId="1" priority="435" operator="equal">
      <formula>0</formula>
    </cfRule>
    <cfRule type="cellIs" dxfId="2" priority="436" operator="lessThan">
      <formula>H12</formula>
    </cfRule>
  </conditionalFormatting>
  <conditionalFormatting sqref="U13">
    <cfRule type="cellIs" dxfId="1" priority="441" operator="equal">
      <formula>0</formula>
    </cfRule>
    <cfRule type="cellIs" dxfId="2" priority="442" operator="lessThan">
      <formula>H13</formula>
    </cfRule>
  </conditionalFormatting>
  <conditionalFormatting sqref="U14">
    <cfRule type="cellIs" dxfId="1" priority="447" operator="equal">
      <formula>0</formula>
    </cfRule>
    <cfRule type="cellIs" dxfId="2" priority="448" operator="lessThan">
      <formula>H14</formula>
    </cfRule>
  </conditionalFormatting>
  <conditionalFormatting sqref="U15">
    <cfRule type="cellIs" dxfId="1" priority="453" operator="equal">
      <formula>0</formula>
    </cfRule>
    <cfRule type="cellIs" dxfId="2" priority="454" operator="lessThan">
      <formula>H15</formula>
    </cfRule>
  </conditionalFormatting>
  <conditionalFormatting sqref="U18">
    <cfRule type="cellIs" dxfId="1" priority="459" operator="equal">
      <formula>0</formula>
    </cfRule>
    <cfRule type="cellIs" dxfId="2" priority="460" operator="lessThan">
      <formula>H18</formula>
    </cfRule>
  </conditionalFormatting>
  <conditionalFormatting sqref="U19">
    <cfRule type="cellIs" dxfId="1" priority="465" operator="equal">
      <formula>0</formula>
    </cfRule>
    <cfRule type="cellIs" dxfId="2" priority="466" operator="lessThan">
      <formula>H19</formula>
    </cfRule>
  </conditionalFormatting>
  <conditionalFormatting sqref="U20">
    <cfRule type="cellIs" dxfId="1" priority="470" operator="equal">
      <formula>0</formula>
    </cfRule>
    <cfRule type="cellIs" dxfId="2" priority="471" operator="lessThan">
      <formula>H20</formula>
    </cfRule>
  </conditionalFormatting>
  <conditionalFormatting sqref="U26">
    <cfRule type="cellIs" dxfId="1" priority="476" operator="equal">
      <formula>0</formula>
    </cfRule>
    <cfRule type="cellIs" dxfId="2" priority="477" operator="lessThan">
      <formula>H26</formula>
    </cfRule>
  </conditionalFormatting>
  <conditionalFormatting sqref="U27">
    <cfRule type="cellIs" dxfId="1" priority="482" operator="equal">
      <formula>0</formula>
    </cfRule>
    <cfRule type="cellIs" dxfId="2" priority="483" operator="lessThan">
      <formula>H27</formula>
    </cfRule>
  </conditionalFormatting>
  <conditionalFormatting sqref="U28">
    <cfRule type="cellIs" dxfId="1" priority="488" operator="equal">
      <formula>0</formula>
    </cfRule>
    <cfRule type="cellIs" dxfId="2" priority="489" operator="lessThan">
      <formula>H28</formula>
    </cfRule>
  </conditionalFormatting>
  <conditionalFormatting sqref="U29">
    <cfRule type="cellIs" dxfId="1" priority="494" operator="equal">
      <formula>0</formula>
    </cfRule>
    <cfRule type="cellIs" dxfId="2" priority="495" operator="lessThan">
      <formula>H29</formula>
    </cfRule>
  </conditionalFormatting>
  <conditionalFormatting sqref="U30">
    <cfRule type="cellIs" dxfId="1" priority="500" operator="equal">
      <formula>0</formula>
    </cfRule>
    <cfRule type="cellIs" dxfId="2" priority="501" operator="lessThan">
      <formula>H30</formula>
    </cfRule>
  </conditionalFormatting>
  <conditionalFormatting sqref="U31">
    <cfRule type="cellIs" dxfId="1" priority="506" operator="equal">
      <formula>0</formula>
    </cfRule>
    <cfRule type="cellIs" dxfId="2" priority="507" operator="lessThan">
      <formula>H31</formula>
    </cfRule>
  </conditionalFormatting>
  <conditionalFormatting sqref="U32">
    <cfRule type="cellIs" dxfId="1" priority="512" operator="equal">
      <formula>0</formula>
    </cfRule>
    <cfRule type="cellIs" dxfId="2" priority="513" operator="lessThan">
      <formula>H32</formula>
    </cfRule>
  </conditionalFormatting>
  <conditionalFormatting sqref="U33">
    <cfRule type="cellIs" dxfId="1" priority="518" operator="equal">
      <formula>0</formula>
    </cfRule>
    <cfRule type="cellIs" dxfId="2" priority="519" operator="lessThan">
      <formula>H33</formula>
    </cfRule>
  </conditionalFormatting>
  <conditionalFormatting sqref="U34">
    <cfRule type="cellIs" dxfId="1" priority="524" operator="equal">
      <formula>0</formula>
    </cfRule>
    <cfRule type="cellIs" dxfId="2" priority="525" operator="lessThan">
      <formula>H34</formula>
    </cfRule>
  </conditionalFormatting>
  <conditionalFormatting sqref="U35">
    <cfRule type="cellIs" dxfId="1" priority="530" operator="equal">
      <formula>0</formula>
    </cfRule>
    <cfRule type="cellIs" dxfId="2" priority="531" operator="lessThan">
      <formula>H35</formula>
    </cfRule>
  </conditionalFormatting>
  <conditionalFormatting sqref="U36">
    <cfRule type="cellIs" dxfId="1" priority="536" operator="equal">
      <formula>0</formula>
    </cfRule>
    <cfRule type="cellIs" dxfId="2" priority="537" operator="lessThan">
      <formula>H36</formula>
    </cfRule>
  </conditionalFormatting>
  <conditionalFormatting sqref="U37">
    <cfRule type="cellIs" dxfId="1" priority="541" operator="equal">
      <formula>0</formula>
    </cfRule>
    <cfRule type="cellIs" dxfId="2" priority="542" operator="lessThan">
      <formula>H37</formula>
    </cfRule>
  </conditionalFormatting>
  <conditionalFormatting sqref="U38">
    <cfRule type="cellIs" dxfId="1" priority="547" operator="equal">
      <formula>0</formula>
    </cfRule>
    <cfRule type="cellIs" dxfId="2" priority="548" operator="lessThan">
      <formula>H38</formula>
    </cfRule>
  </conditionalFormatting>
  <conditionalFormatting sqref="U39">
    <cfRule type="cellIs" dxfId="1" priority="553" operator="equal">
      <formula>0</formula>
    </cfRule>
    <cfRule type="cellIs" dxfId="2" priority="554" operator="lessThan">
      <formula>H39</formula>
    </cfRule>
  </conditionalFormatting>
  <conditionalFormatting sqref="U42">
    <cfRule type="cellIs" dxfId="1" priority="559" operator="equal">
      <formula>0</formula>
    </cfRule>
    <cfRule type="cellIs" dxfId="2" priority="560" operator="lessThan">
      <formula>H42</formula>
    </cfRule>
  </conditionalFormatting>
  <conditionalFormatting sqref="U43">
    <cfRule type="cellIs" dxfId="1" priority="564" operator="equal">
      <formula>0</formula>
    </cfRule>
    <cfRule type="cellIs" dxfId="2" priority="565" operator="lessThan">
      <formula>H43</formula>
    </cfRule>
  </conditionalFormatting>
  <conditionalFormatting sqref="U44">
    <cfRule type="cellIs" dxfId="1" priority="569" operator="equal">
      <formula>0</formula>
    </cfRule>
    <cfRule type="cellIs" dxfId="2" priority="570" operator="lessThan">
      <formula>H44</formula>
    </cfRule>
  </conditionalFormatting>
  <conditionalFormatting sqref="U47">
    <cfRule type="cellIs" dxfId="1" priority="574" operator="equal">
      <formula>0</formula>
    </cfRule>
    <cfRule type="cellIs" dxfId="2" priority="575" operator="lessThan">
      <formula>H47</formula>
    </cfRule>
  </conditionalFormatting>
  <conditionalFormatting sqref="U48">
    <cfRule type="cellIs" dxfId="1" priority="580" operator="equal">
      <formula>0</formula>
    </cfRule>
    <cfRule type="cellIs" dxfId="2" priority="581" operator="lessThan">
      <formula>H48</formula>
    </cfRule>
  </conditionalFormatting>
  <conditionalFormatting sqref="U49">
    <cfRule type="cellIs" dxfId="1" priority="586" operator="equal">
      <formula>0</formula>
    </cfRule>
    <cfRule type="cellIs" dxfId="2" priority="587" operator="lessThan">
      <formula>H49</formula>
    </cfRule>
  </conditionalFormatting>
  <conditionalFormatting sqref="U50">
    <cfRule type="cellIs" dxfId="1" priority="591" operator="equal">
      <formula>0</formula>
    </cfRule>
    <cfRule type="cellIs" dxfId="2" priority="592" operator="lessThan">
      <formula>H50</formula>
    </cfRule>
  </conditionalFormatting>
  <conditionalFormatting sqref="U7">
    <cfRule type="cellIs" dxfId="1" priority="405" operator="equal">
      <formula>0</formula>
    </cfRule>
    <cfRule type="cellIs" dxfId="2" priority="406" operator="lessThan">
      <formula>H7</formula>
    </cfRule>
  </conditionalFormatting>
  <conditionalFormatting sqref="U8">
    <cfRule type="cellIs" dxfId="1" priority="411" operator="equal">
      <formula>0</formula>
    </cfRule>
    <cfRule type="cellIs" dxfId="2" priority="412" operator="lessThan">
      <formula>H8</formula>
    </cfRule>
  </conditionalFormatting>
  <conditionalFormatting sqref="U9">
    <cfRule type="cellIs" dxfId="1" priority="417" operator="equal">
      <formula>0</formula>
    </cfRule>
    <cfRule type="cellIs" dxfId="2" priority="418" operator="lessThan">
      <formula>H9</formula>
    </cfRule>
  </conditionalFormatting>
  <conditionalFormatting sqref="V10">
    <cfRule type="expression" dxfId="3" priority="425">
      <formula>AND(V10&gt;0,V10&lt;10)</formula>
    </cfRule>
    <cfRule type="cellIs" dxfId="1" priority="426" operator="greaterThan">
      <formula>U10</formula>
    </cfRule>
  </conditionalFormatting>
  <conditionalFormatting sqref="V11">
    <cfRule type="expression" dxfId="3" priority="431">
      <formula>AND(V11&gt;0,V11&lt;10)</formula>
    </cfRule>
    <cfRule type="cellIs" dxfId="1" priority="432" operator="greaterThan">
      <formula>U11</formula>
    </cfRule>
  </conditionalFormatting>
  <conditionalFormatting sqref="V12">
    <cfRule type="expression" dxfId="3" priority="437">
      <formula>AND(V12&gt;0,V12&lt;10)</formula>
    </cfRule>
    <cfRule type="cellIs" dxfId="1" priority="438" operator="greaterThan">
      <formula>U12</formula>
    </cfRule>
  </conditionalFormatting>
  <conditionalFormatting sqref="V13">
    <cfRule type="expression" dxfId="3" priority="443">
      <formula>AND(V13&gt;0,V13&lt;10)</formula>
    </cfRule>
    <cfRule type="cellIs" dxfId="1" priority="444" operator="greaterThan">
      <formula>U13</formula>
    </cfRule>
  </conditionalFormatting>
  <conditionalFormatting sqref="V14">
    <cfRule type="expression" dxfId="3" priority="449">
      <formula>AND(V14&gt;0,V14&lt;10)</formula>
    </cfRule>
    <cfRule type="cellIs" dxfId="1" priority="450" operator="greaterThan">
      <formula>U14</formula>
    </cfRule>
  </conditionalFormatting>
  <conditionalFormatting sqref="V15">
    <cfRule type="expression" dxfId="3" priority="455">
      <formula>AND(V15&gt;0,V15&lt;5)</formula>
    </cfRule>
    <cfRule type="cellIs" dxfId="1" priority="456" operator="greaterThan">
      <formula>U15</formula>
    </cfRule>
  </conditionalFormatting>
  <conditionalFormatting sqref="V18">
    <cfRule type="expression" dxfId="3" priority="461">
      <formula>AND(V18&gt;0,V18&lt;5)</formula>
    </cfRule>
    <cfRule type="cellIs" dxfId="1" priority="462" operator="greaterThan">
      <formula>U18</formula>
    </cfRule>
  </conditionalFormatting>
  <conditionalFormatting sqref="V19">
    <cfRule type="cellIs" dxfId="1" priority="467" operator="greaterThan">
      <formula>U19</formula>
    </cfRule>
  </conditionalFormatting>
  <conditionalFormatting sqref="V20">
    <cfRule type="expression" dxfId="3" priority="472">
      <formula>AND(V20&gt;0,V20&lt;10)</formula>
    </cfRule>
    <cfRule type="cellIs" dxfId="1" priority="473" operator="greaterThan">
      <formula>U20</formula>
    </cfRule>
  </conditionalFormatting>
  <conditionalFormatting sqref="V26">
    <cfRule type="expression" dxfId="3" priority="478">
      <formula>AND(V26&gt;0,V26&lt;30000)</formula>
    </cfRule>
    <cfRule type="cellIs" dxfId="1" priority="479" operator="greaterThan">
      <formula>U26</formula>
    </cfRule>
  </conditionalFormatting>
  <conditionalFormatting sqref="V27">
    <cfRule type="expression" dxfId="3" priority="484">
      <formula>AND(V27&gt;0,V27&lt;30000)</formula>
    </cfRule>
    <cfRule type="cellIs" dxfId="1" priority="485" operator="greaterThan">
      <formula>U27</formula>
    </cfRule>
  </conditionalFormatting>
  <conditionalFormatting sqref="V28">
    <cfRule type="expression" dxfId="3" priority="490">
      <formula>AND(V28&gt;0,V28&lt;30000)</formula>
    </cfRule>
    <cfRule type="cellIs" dxfId="1" priority="491" operator="greaterThan">
      <formula>U28</formula>
    </cfRule>
  </conditionalFormatting>
  <conditionalFormatting sqref="V29">
    <cfRule type="expression" dxfId="3" priority="496">
      <formula>AND(V29&gt;0,V29&lt;10)</formula>
    </cfRule>
    <cfRule type="cellIs" dxfId="1" priority="497" operator="greaterThan">
      <formula>U29</formula>
    </cfRule>
  </conditionalFormatting>
  <conditionalFormatting sqref="V30">
    <cfRule type="expression" dxfId="3" priority="502">
      <formula>AND(V30&gt;0,V30&lt;30000)</formula>
    </cfRule>
    <cfRule type="cellIs" dxfId="1" priority="503" operator="greaterThan">
      <formula>U30</formula>
    </cfRule>
  </conditionalFormatting>
  <conditionalFormatting sqref="V31">
    <cfRule type="expression" dxfId="3" priority="508">
      <formula>AND(V31&gt;0,V31&lt;30000)</formula>
    </cfRule>
    <cfRule type="cellIs" dxfId="1" priority="509" operator="greaterThan">
      <formula>U31</formula>
    </cfRule>
  </conditionalFormatting>
  <conditionalFormatting sqref="V32">
    <cfRule type="expression" dxfId="3" priority="514">
      <formula>AND(V32&gt;0,V32&lt;30000)</formula>
    </cfRule>
    <cfRule type="cellIs" dxfId="1" priority="515" operator="greaterThan">
      <formula>U32</formula>
    </cfRule>
  </conditionalFormatting>
  <conditionalFormatting sqref="V33">
    <cfRule type="expression" dxfId="3" priority="520">
      <formula>AND(V33&gt;0,V33&lt;10)</formula>
    </cfRule>
    <cfRule type="cellIs" dxfId="1" priority="521" operator="greaterThan">
      <formula>U33</formula>
    </cfRule>
  </conditionalFormatting>
  <conditionalFormatting sqref="V34">
    <cfRule type="expression" dxfId="3" priority="526">
      <formula>AND(V34&gt;0,V34&lt;30000)</formula>
    </cfRule>
    <cfRule type="cellIs" dxfId="1" priority="527" operator="greaterThan">
      <formula>U34</formula>
    </cfRule>
  </conditionalFormatting>
  <conditionalFormatting sqref="V35">
    <cfRule type="expression" dxfId="3" priority="532">
      <formula>AND(V35&gt;0,V35&lt;10)</formula>
    </cfRule>
    <cfRule type="cellIs" dxfId="1" priority="533" operator="greaterThan">
      <formula>U35</formula>
    </cfRule>
  </conditionalFormatting>
  <conditionalFormatting sqref="V36">
    <cfRule type="cellIs" dxfId="1" priority="538" operator="greaterThan">
      <formula>U36</formula>
    </cfRule>
  </conditionalFormatting>
  <conditionalFormatting sqref="V37">
    <cfRule type="expression" dxfId="3" priority="543">
      <formula>AND(V37&gt;0,V37&lt;3000)</formula>
    </cfRule>
    <cfRule type="cellIs" dxfId="1" priority="544" operator="greaterThan">
      <formula>U37</formula>
    </cfRule>
  </conditionalFormatting>
  <conditionalFormatting sqref="V38">
    <cfRule type="expression" dxfId="3" priority="549">
      <formula>AND(V38&gt;0,V38&lt;5)</formula>
    </cfRule>
    <cfRule type="cellIs" dxfId="1" priority="550" operator="greaterThan">
      <formula>U38</formula>
    </cfRule>
  </conditionalFormatting>
  <conditionalFormatting sqref="V39">
    <cfRule type="expression" dxfId="3" priority="555">
      <formula>AND(V39&gt;0,V39&lt;5)</formula>
    </cfRule>
    <cfRule type="cellIs" dxfId="1" priority="556" operator="greaterThan">
      <formula>U39</formula>
    </cfRule>
  </conditionalFormatting>
  <conditionalFormatting sqref="V42">
    <cfRule type="cellIs" dxfId="1" priority="561" operator="greaterThan">
      <formula>U42</formula>
    </cfRule>
  </conditionalFormatting>
  <conditionalFormatting sqref="V43">
    <cfRule type="cellIs" dxfId="1" priority="566" operator="greaterThan">
      <formula>U43</formula>
    </cfRule>
  </conditionalFormatting>
  <conditionalFormatting sqref="V44">
    <cfRule type="cellIs" dxfId="1" priority="571" operator="greaterThan">
      <formula>U44</formula>
    </cfRule>
  </conditionalFormatting>
  <conditionalFormatting sqref="V47">
    <cfRule type="expression" dxfId="3" priority="576">
      <formula>AND(V47&gt;0,V47&lt;5)</formula>
    </cfRule>
    <cfRule type="cellIs" dxfId="1" priority="577" operator="greaterThan">
      <formula>U47</formula>
    </cfRule>
  </conditionalFormatting>
  <conditionalFormatting sqref="V48">
    <cfRule type="expression" dxfId="3" priority="582">
      <formula>AND(V48&gt;0,V48&lt;3000)</formula>
    </cfRule>
    <cfRule type="cellIs" dxfId="1" priority="583" operator="greaterThan">
      <formula>U48</formula>
    </cfRule>
  </conditionalFormatting>
  <conditionalFormatting sqref="V49">
    <cfRule type="cellIs" dxfId="1" priority="588" operator="greaterThan">
      <formula>U49</formula>
    </cfRule>
  </conditionalFormatting>
  <conditionalFormatting sqref="V50">
    <cfRule type="cellIs" dxfId="1" priority="593" operator="greaterThan">
      <formula>U50</formula>
    </cfRule>
  </conditionalFormatting>
  <conditionalFormatting sqref="V7">
    <cfRule type="expression" dxfId="3" priority="407">
      <formula>AND(V7&gt;0,V7&lt;10)</formula>
    </cfRule>
    <cfRule type="cellIs" dxfId="1" priority="408" operator="greaterThan">
      <formula>U7</formula>
    </cfRule>
  </conditionalFormatting>
  <conditionalFormatting sqref="V8">
    <cfRule type="expression" dxfId="3" priority="413">
      <formula>AND(V8&gt;0,V8&lt;10)</formula>
    </cfRule>
    <cfRule type="cellIs" dxfId="1" priority="414" operator="greaterThan">
      <formula>U8</formula>
    </cfRule>
  </conditionalFormatting>
  <conditionalFormatting sqref="V9">
    <cfRule type="expression" dxfId="3" priority="419">
      <formula>AND(V9&gt;0,V9&lt;10)</formula>
    </cfRule>
    <cfRule type="cellIs" dxfId="1" priority="420" operator="greaterThan">
      <formula>U9</formula>
    </cfRule>
  </conditionalFormatting>
  <conditionalFormatting sqref="W10">
    <cfRule type="cellIs" dxfId="4" priority="428" operator="lessThanOrEqual">
      <formula>I10</formula>
    </cfRule>
  </conditionalFormatting>
  <conditionalFormatting sqref="W11">
    <cfRule type="cellIs" dxfId="4" priority="434" operator="lessThanOrEqual">
      <formula>I11</formula>
    </cfRule>
  </conditionalFormatting>
  <conditionalFormatting sqref="W12">
    <cfRule type="cellIs" dxfId="4" priority="440" operator="lessThanOrEqual">
      <formula>I12</formula>
    </cfRule>
  </conditionalFormatting>
  <conditionalFormatting sqref="W13">
    <cfRule type="cellIs" dxfId="4" priority="446" operator="lessThanOrEqual">
      <formula>I13</formula>
    </cfRule>
  </conditionalFormatting>
  <conditionalFormatting sqref="W14">
    <cfRule type="cellIs" dxfId="4" priority="452" operator="lessThanOrEqual">
      <formula>I14</formula>
    </cfRule>
  </conditionalFormatting>
  <conditionalFormatting sqref="W15">
    <cfRule type="cellIs" dxfId="4" priority="458" operator="lessThanOrEqual">
      <formula>I15</formula>
    </cfRule>
  </conditionalFormatting>
  <conditionalFormatting sqref="W18">
    <cfRule type="cellIs" dxfId="4" priority="464" operator="lessThanOrEqual">
      <formula>I18</formula>
    </cfRule>
  </conditionalFormatting>
  <conditionalFormatting sqref="W19">
    <cfRule type="cellIs" dxfId="4" priority="469" operator="lessThanOrEqual">
      <formula>I19</formula>
    </cfRule>
  </conditionalFormatting>
  <conditionalFormatting sqref="W20">
    <cfRule type="cellIs" dxfId="4" priority="475" operator="lessThanOrEqual">
      <formula>I20</formula>
    </cfRule>
  </conditionalFormatting>
  <conditionalFormatting sqref="W26">
    <cfRule type="cellIs" dxfId="4" priority="481" operator="lessThanOrEqual">
      <formula>I26</formula>
    </cfRule>
  </conditionalFormatting>
  <conditionalFormatting sqref="W27">
    <cfRule type="cellIs" dxfId="4" priority="487" operator="lessThanOrEqual">
      <formula>I27</formula>
    </cfRule>
  </conditionalFormatting>
  <conditionalFormatting sqref="W28">
    <cfRule type="cellIs" dxfId="4" priority="493" operator="lessThanOrEqual">
      <formula>I28</formula>
    </cfRule>
  </conditionalFormatting>
  <conditionalFormatting sqref="W29">
    <cfRule type="cellIs" dxfId="4" priority="499" operator="lessThanOrEqual">
      <formula>I29</formula>
    </cfRule>
  </conditionalFormatting>
  <conditionalFormatting sqref="W30">
    <cfRule type="cellIs" dxfId="4" priority="505" operator="lessThanOrEqual">
      <formula>I30</formula>
    </cfRule>
  </conditionalFormatting>
  <conditionalFormatting sqref="W31">
    <cfRule type="cellIs" dxfId="4" priority="511" operator="lessThanOrEqual">
      <formula>I31</formula>
    </cfRule>
  </conditionalFormatting>
  <conditionalFormatting sqref="W32">
    <cfRule type="cellIs" dxfId="4" priority="517" operator="lessThanOrEqual">
      <formula>I32</formula>
    </cfRule>
  </conditionalFormatting>
  <conditionalFormatting sqref="W33">
    <cfRule type="cellIs" dxfId="4" priority="523" operator="lessThanOrEqual">
      <formula>I33</formula>
    </cfRule>
  </conditionalFormatting>
  <conditionalFormatting sqref="W34">
    <cfRule type="cellIs" dxfId="4" priority="529" operator="lessThanOrEqual">
      <formula>I34</formula>
    </cfRule>
  </conditionalFormatting>
  <conditionalFormatting sqref="W35">
    <cfRule type="cellIs" dxfId="4" priority="535" operator="lessThanOrEqual">
      <formula>I35</formula>
    </cfRule>
  </conditionalFormatting>
  <conditionalFormatting sqref="W36">
    <cfRule type="cellIs" dxfId="4" priority="540" operator="lessThanOrEqual">
      <formula>I36</formula>
    </cfRule>
  </conditionalFormatting>
  <conditionalFormatting sqref="W37">
    <cfRule type="cellIs" dxfId="4" priority="546" operator="lessThanOrEqual">
      <formula>I37</formula>
    </cfRule>
  </conditionalFormatting>
  <conditionalFormatting sqref="W38">
    <cfRule type="cellIs" dxfId="4" priority="552" operator="lessThanOrEqual">
      <formula>I38</formula>
    </cfRule>
  </conditionalFormatting>
  <conditionalFormatting sqref="W39">
    <cfRule type="cellIs" dxfId="4" priority="558" operator="lessThanOrEqual">
      <formula>I39</formula>
    </cfRule>
  </conditionalFormatting>
  <conditionalFormatting sqref="W42">
    <cfRule type="cellIs" dxfId="4" priority="563" operator="lessThanOrEqual">
      <formula>I42</formula>
    </cfRule>
  </conditionalFormatting>
  <conditionalFormatting sqref="W43">
    <cfRule type="cellIs" dxfId="4" priority="568" operator="lessThanOrEqual">
      <formula>I43</formula>
    </cfRule>
  </conditionalFormatting>
  <conditionalFormatting sqref="W44">
    <cfRule type="cellIs" dxfId="4" priority="573" operator="lessThanOrEqual">
      <formula>I44</formula>
    </cfRule>
  </conditionalFormatting>
  <conditionalFormatting sqref="W47">
    <cfRule type="cellIs" dxfId="4" priority="579" operator="lessThanOrEqual">
      <formula>I47</formula>
    </cfRule>
  </conditionalFormatting>
  <conditionalFormatting sqref="W48">
    <cfRule type="cellIs" dxfId="4" priority="585" operator="lessThanOrEqual">
      <formula>I48</formula>
    </cfRule>
  </conditionalFormatting>
  <conditionalFormatting sqref="W49">
    <cfRule type="cellIs" dxfId="4" priority="590" operator="lessThanOrEqual">
      <formula>I49</formula>
    </cfRule>
  </conditionalFormatting>
  <conditionalFormatting sqref="W50">
    <cfRule type="cellIs" dxfId="4" priority="595" operator="lessThanOrEqual">
      <formula>I50</formula>
    </cfRule>
  </conditionalFormatting>
  <conditionalFormatting sqref="W7">
    <cfRule type="cellIs" dxfId="4" priority="410" operator="lessThanOrEqual">
      <formula>I7</formula>
    </cfRule>
  </conditionalFormatting>
  <conditionalFormatting sqref="W8">
    <cfRule type="cellIs" dxfId="4" priority="416" operator="lessThanOrEqual">
      <formula>I8</formula>
    </cfRule>
  </conditionalFormatting>
  <conditionalFormatting sqref="W9">
    <cfRule type="cellIs" dxfId="4" priority="422" operator="lessThanOrEqual">
      <formula>I9</formula>
    </cfRule>
  </conditionalFormatting>
  <conditionalFormatting sqref="X10">
    <cfRule type="cellIs" dxfId="4" priority="427" operator="lessThanOrEqual">
      <formula>J10</formula>
    </cfRule>
  </conditionalFormatting>
  <conditionalFormatting sqref="X11">
    <cfRule type="cellIs" dxfId="4" priority="433" operator="lessThanOrEqual">
      <formula>J11</formula>
    </cfRule>
  </conditionalFormatting>
  <conditionalFormatting sqref="X12">
    <cfRule type="cellIs" dxfId="4" priority="439" operator="lessThanOrEqual">
      <formula>J12</formula>
    </cfRule>
  </conditionalFormatting>
  <conditionalFormatting sqref="X13">
    <cfRule type="cellIs" dxfId="4" priority="445" operator="lessThanOrEqual">
      <formula>J13</formula>
    </cfRule>
  </conditionalFormatting>
  <conditionalFormatting sqref="X14">
    <cfRule type="cellIs" dxfId="4" priority="451" operator="lessThanOrEqual">
      <formula>J14</formula>
    </cfRule>
  </conditionalFormatting>
  <conditionalFormatting sqref="X15">
    <cfRule type="cellIs" dxfId="4" priority="457" operator="lessThanOrEqual">
      <formula>J15</formula>
    </cfRule>
  </conditionalFormatting>
  <conditionalFormatting sqref="X18">
    <cfRule type="cellIs" dxfId="4" priority="463" operator="lessThanOrEqual">
      <formula>J18</formula>
    </cfRule>
  </conditionalFormatting>
  <conditionalFormatting sqref="X19">
    <cfRule type="cellIs" dxfId="4" priority="468" operator="lessThanOrEqual">
      <formula>J19</formula>
    </cfRule>
  </conditionalFormatting>
  <conditionalFormatting sqref="X20">
    <cfRule type="cellIs" dxfId="4" priority="474" operator="lessThanOrEqual">
      <formula>J20</formula>
    </cfRule>
  </conditionalFormatting>
  <conditionalFormatting sqref="X26">
    <cfRule type="cellIs" dxfId="4" priority="480" operator="lessThanOrEqual">
      <formula>J26</formula>
    </cfRule>
  </conditionalFormatting>
  <conditionalFormatting sqref="X27">
    <cfRule type="cellIs" dxfId="4" priority="486" operator="lessThanOrEqual">
      <formula>J27</formula>
    </cfRule>
  </conditionalFormatting>
  <conditionalFormatting sqref="X28">
    <cfRule type="cellIs" dxfId="4" priority="492" operator="lessThanOrEqual">
      <formula>J28</formula>
    </cfRule>
  </conditionalFormatting>
  <conditionalFormatting sqref="X29">
    <cfRule type="cellIs" dxfId="4" priority="498" operator="lessThanOrEqual">
      <formula>J29</formula>
    </cfRule>
  </conditionalFormatting>
  <conditionalFormatting sqref="X30">
    <cfRule type="cellIs" dxfId="4" priority="504" operator="lessThanOrEqual">
      <formula>J30</formula>
    </cfRule>
  </conditionalFormatting>
  <conditionalFormatting sqref="X31">
    <cfRule type="cellIs" dxfId="4" priority="510" operator="lessThanOrEqual">
      <formula>J31</formula>
    </cfRule>
  </conditionalFormatting>
  <conditionalFormatting sqref="X32">
    <cfRule type="cellIs" dxfId="4" priority="516" operator="lessThanOrEqual">
      <formula>J32</formula>
    </cfRule>
  </conditionalFormatting>
  <conditionalFormatting sqref="X33">
    <cfRule type="cellIs" dxfId="4" priority="522" operator="lessThanOrEqual">
      <formula>J33</formula>
    </cfRule>
  </conditionalFormatting>
  <conditionalFormatting sqref="X34">
    <cfRule type="cellIs" dxfId="4" priority="528" operator="lessThanOrEqual">
      <formula>J34</formula>
    </cfRule>
  </conditionalFormatting>
  <conditionalFormatting sqref="X35">
    <cfRule type="cellIs" dxfId="4" priority="534" operator="lessThanOrEqual">
      <formula>J35</formula>
    </cfRule>
  </conditionalFormatting>
  <conditionalFormatting sqref="X36">
    <cfRule type="cellIs" dxfId="4" priority="539" operator="lessThanOrEqual">
      <formula>J36</formula>
    </cfRule>
  </conditionalFormatting>
  <conditionalFormatting sqref="X37">
    <cfRule type="cellIs" dxfId="4" priority="545" operator="lessThanOrEqual">
      <formula>J37</formula>
    </cfRule>
  </conditionalFormatting>
  <conditionalFormatting sqref="X38">
    <cfRule type="cellIs" dxfId="4" priority="551" operator="lessThanOrEqual">
      <formula>J38</formula>
    </cfRule>
  </conditionalFormatting>
  <conditionalFormatting sqref="X39">
    <cfRule type="cellIs" dxfId="4" priority="557" operator="lessThanOrEqual">
      <formula>J39</formula>
    </cfRule>
  </conditionalFormatting>
  <conditionalFormatting sqref="X42">
    <cfRule type="cellIs" dxfId="4" priority="562" operator="lessThanOrEqual">
      <formula>J42</formula>
    </cfRule>
  </conditionalFormatting>
  <conditionalFormatting sqref="X43">
    <cfRule type="cellIs" dxfId="4" priority="567" operator="lessThanOrEqual">
      <formula>J43</formula>
    </cfRule>
  </conditionalFormatting>
  <conditionalFormatting sqref="X44">
    <cfRule type="cellIs" dxfId="4" priority="572" operator="lessThanOrEqual">
      <formula>J44</formula>
    </cfRule>
  </conditionalFormatting>
  <conditionalFormatting sqref="X47">
    <cfRule type="cellIs" dxfId="4" priority="578" operator="lessThanOrEqual">
      <formula>J47</formula>
    </cfRule>
  </conditionalFormatting>
  <conditionalFormatting sqref="X48">
    <cfRule type="cellIs" dxfId="4" priority="584" operator="lessThanOrEqual">
      <formula>J48</formula>
    </cfRule>
  </conditionalFormatting>
  <conditionalFormatting sqref="X49">
    <cfRule type="cellIs" dxfId="4" priority="589" operator="lessThanOrEqual">
      <formula>J49</formula>
    </cfRule>
  </conditionalFormatting>
  <conditionalFormatting sqref="X50">
    <cfRule type="cellIs" dxfId="4" priority="594" operator="lessThanOrEqual">
      <formula>J50</formula>
    </cfRule>
  </conditionalFormatting>
  <conditionalFormatting sqref="X7">
    <cfRule type="cellIs" dxfId="4" priority="409" operator="lessThanOrEqual">
      <formula>J7</formula>
    </cfRule>
  </conditionalFormatting>
  <conditionalFormatting sqref="X8">
    <cfRule type="cellIs" dxfId="4" priority="415" operator="lessThanOrEqual">
      <formula>J8</formula>
    </cfRule>
  </conditionalFormatting>
  <conditionalFormatting sqref="X9">
    <cfRule type="cellIs" dxfId="4" priority="421" operator="lessThanOrEqual">
      <formula>J9</formula>
    </cfRule>
  </conditionalFormatting>
  <conditionalFormatting sqref="Z11">
    <cfRule type="cellIs" dxfId="1" priority="608" operator="equal">
      <formula>0</formula>
    </cfRule>
    <cfRule type="cellIs" dxfId="2" priority="609" operator="lessThan">
      <formula>H11</formula>
    </cfRule>
  </conditionalFormatting>
  <conditionalFormatting sqref="Z13">
    <cfRule type="cellIs" dxfId="1" priority="614" operator="equal">
      <formula>0</formula>
    </cfRule>
    <cfRule type="cellIs" dxfId="2" priority="615" operator="lessThan">
      <formula>H13</formula>
    </cfRule>
  </conditionalFormatting>
  <conditionalFormatting sqref="Z14">
    <cfRule type="cellIs" dxfId="1" priority="620" operator="equal">
      <formula>0</formula>
    </cfRule>
    <cfRule type="cellIs" dxfId="2" priority="621" operator="lessThan">
      <formula>H14</formula>
    </cfRule>
  </conditionalFormatting>
  <conditionalFormatting sqref="Z20">
    <cfRule type="cellIs" dxfId="1" priority="626" operator="equal">
      <formula>0</formula>
    </cfRule>
    <cfRule type="cellIs" dxfId="2" priority="627" operator="lessThan">
      <formula>H20</formula>
    </cfRule>
  </conditionalFormatting>
  <conditionalFormatting sqref="Z30">
    <cfRule type="cellIs" dxfId="1" priority="632" operator="equal">
      <formula>0</formula>
    </cfRule>
    <cfRule type="cellIs" dxfId="2" priority="633" operator="lessThan">
      <formula>H30</formula>
    </cfRule>
  </conditionalFormatting>
  <conditionalFormatting sqref="Z32">
    <cfRule type="cellIs" dxfId="1" priority="638" operator="equal">
      <formula>0</formula>
    </cfRule>
    <cfRule type="cellIs" dxfId="2" priority="639" operator="lessThan">
      <formula>H32</formula>
    </cfRule>
  </conditionalFormatting>
  <conditionalFormatting sqref="Z33">
    <cfRule type="cellIs" dxfId="1" priority="644" operator="equal">
      <formula>0</formula>
    </cfRule>
    <cfRule type="cellIs" dxfId="2" priority="645" operator="lessThan">
      <formula>H33</formula>
    </cfRule>
  </conditionalFormatting>
  <conditionalFormatting sqref="Z34">
    <cfRule type="cellIs" dxfId="1" priority="650" operator="equal">
      <formula>0</formula>
    </cfRule>
    <cfRule type="cellIs" dxfId="2" priority="651" operator="lessThan">
      <formula>H34</formula>
    </cfRule>
  </conditionalFormatting>
  <conditionalFormatting sqref="Z35">
    <cfRule type="cellIs" dxfId="1" priority="656" operator="equal">
      <formula>0</formula>
    </cfRule>
    <cfRule type="cellIs" dxfId="2" priority="657" operator="lessThan">
      <formula>H35</formula>
    </cfRule>
  </conditionalFormatting>
  <conditionalFormatting sqref="Z43">
    <cfRule type="cellIs" dxfId="1" priority="661" operator="equal">
      <formula>0</formula>
    </cfRule>
    <cfRule type="cellIs" dxfId="2" priority="662" operator="lessThan">
      <formula>H43</formula>
    </cfRule>
  </conditionalFormatting>
  <conditionalFormatting sqref="Z47">
    <cfRule type="cellIs" dxfId="1" priority="666" operator="equal">
      <formula>0</formula>
    </cfRule>
    <cfRule type="cellIs" dxfId="2" priority="667" operator="lessThan">
      <formula>H47</formula>
    </cfRule>
  </conditionalFormatting>
  <conditionalFormatting sqref="Z51">
    <cfRule type="cellIs" dxfId="1" priority="671" operator="equal">
      <formula>0</formula>
    </cfRule>
    <cfRule type="cellIs" dxfId="2" priority="672" operator="lessThan">
      <formula>H51</formula>
    </cfRule>
  </conditionalFormatting>
  <conditionalFormatting sqref="Z7">
    <cfRule type="cellIs" dxfId="1" priority="596" operator="equal">
      <formula>0</formula>
    </cfRule>
    <cfRule type="cellIs" dxfId="2" priority="597" operator="lessThan">
      <formula>H7</formula>
    </cfRule>
  </conditionalFormatting>
  <conditionalFormatting sqref="Z8">
    <cfRule type="cellIs" dxfId="1" priority="602" operator="equal">
      <formula>0</formula>
    </cfRule>
    <cfRule type="cellIs" dxfId="2" priority="603" operator="lessThan">
      <formula>H8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AS7" r:id="rId7"/>
    <hyperlink ref="G8" r:id="rId8"/>
    <hyperlink ref="T8" r:id="rId9"/>
    <hyperlink ref="Y8" r:id="rId10"/>
    <hyperlink ref="AD8" r:id="rId11"/>
    <hyperlink ref="AI8" r:id="rId12"/>
    <hyperlink ref="AN8" r:id="rId13"/>
    <hyperlink ref="G9" r:id="rId14"/>
    <hyperlink ref="T9" r:id="rId15"/>
    <hyperlink ref="Y9" r:id="rId16"/>
    <hyperlink ref="AI9" r:id="rId17"/>
    <hyperlink ref="AN9" r:id="rId18"/>
    <hyperlink ref="G10" r:id="rId19"/>
    <hyperlink ref="T10" r:id="rId20"/>
    <hyperlink ref="Y10" r:id="rId21"/>
    <hyperlink ref="AI10" r:id="rId22"/>
    <hyperlink ref="AN10" r:id="rId23"/>
    <hyperlink ref="G11" r:id="rId24"/>
    <hyperlink ref="T11" r:id="rId25"/>
    <hyperlink ref="Y11" r:id="rId26"/>
    <hyperlink ref="AD11" r:id="rId27"/>
    <hyperlink ref="AI11" r:id="rId28"/>
    <hyperlink ref="AN11" r:id="rId29"/>
    <hyperlink ref="G12" r:id="rId30"/>
    <hyperlink ref="T12" r:id="rId31"/>
    <hyperlink ref="Y12" r:id="rId32"/>
    <hyperlink ref="AI12" r:id="rId33"/>
    <hyperlink ref="AN12" r:id="rId34"/>
    <hyperlink ref="G13" r:id="rId35"/>
    <hyperlink ref="T13" r:id="rId36"/>
    <hyperlink ref="Y13" r:id="rId37"/>
    <hyperlink ref="AD13" r:id="rId38"/>
    <hyperlink ref="AI13" r:id="rId39"/>
    <hyperlink ref="AN13" r:id="rId40"/>
    <hyperlink ref="AS13" r:id="rId41"/>
    <hyperlink ref="G14" r:id="rId42"/>
    <hyperlink ref="T14" r:id="rId43"/>
    <hyperlink ref="Y14" r:id="rId44"/>
    <hyperlink ref="AD14" r:id="rId45"/>
    <hyperlink ref="AI14" r:id="rId46"/>
    <hyperlink ref="AN14" r:id="rId47"/>
    <hyperlink ref="G15" r:id="rId48"/>
    <hyperlink ref="T15" r:id="rId49"/>
    <hyperlink ref="Y15" r:id="rId50"/>
    <hyperlink ref="AI15" r:id="rId51"/>
    <hyperlink ref="AN15" r:id="rId52"/>
    <hyperlink ref="G16" r:id="rId53"/>
    <hyperlink ref="T16" r:id="rId54"/>
    <hyperlink ref="AI16" r:id="rId55"/>
    <hyperlink ref="AN16" r:id="rId56"/>
    <hyperlink ref="AS16" r:id="rId57"/>
    <hyperlink ref="G17" r:id="rId58"/>
    <hyperlink ref="T17" r:id="rId59"/>
    <hyperlink ref="AI17" r:id="rId60"/>
    <hyperlink ref="AS17" r:id="rId61"/>
    <hyperlink ref="G18" r:id="rId62"/>
    <hyperlink ref="T18" r:id="rId63"/>
    <hyperlink ref="Y18" r:id="rId64"/>
    <hyperlink ref="AI18" r:id="rId65"/>
    <hyperlink ref="AN18" r:id="rId66"/>
    <hyperlink ref="G19" r:id="rId67"/>
    <hyperlink ref="T19" r:id="rId68"/>
    <hyperlink ref="Y19" r:id="rId69"/>
    <hyperlink ref="AI19" r:id="rId70"/>
    <hyperlink ref="AN19" r:id="rId71"/>
    <hyperlink ref="AX19" r:id="rId72"/>
    <hyperlink ref="G20" r:id="rId73"/>
    <hyperlink ref="T20" r:id="rId74"/>
    <hyperlink ref="Y20" r:id="rId75"/>
    <hyperlink ref="AD20" r:id="rId76"/>
    <hyperlink ref="AI20" r:id="rId77"/>
    <hyperlink ref="AN20" r:id="rId78"/>
    <hyperlink ref="AS20" r:id="rId79"/>
    <hyperlink ref="AX20" r:id="rId80"/>
    <hyperlink ref="G21" r:id="rId81"/>
    <hyperlink ref="T21" r:id="rId82"/>
    <hyperlink ref="AI21" r:id="rId83"/>
    <hyperlink ref="G22" r:id="rId84"/>
    <hyperlink ref="T22" r:id="rId85"/>
    <hyperlink ref="G23" r:id="rId86"/>
    <hyperlink ref="T23" r:id="rId87"/>
    <hyperlink ref="G24" r:id="rId88"/>
    <hyperlink ref="T24" r:id="rId89"/>
    <hyperlink ref="G25" r:id="rId90"/>
    <hyperlink ref="T25" r:id="rId91"/>
    <hyperlink ref="AI25" r:id="rId92"/>
    <hyperlink ref="G26" r:id="rId93"/>
    <hyperlink ref="T26" r:id="rId94"/>
    <hyperlink ref="Y26" r:id="rId95"/>
    <hyperlink ref="AI26" r:id="rId96"/>
    <hyperlink ref="AN26" r:id="rId97"/>
    <hyperlink ref="AS26" r:id="rId98"/>
    <hyperlink ref="G27" r:id="rId99"/>
    <hyperlink ref="T27" r:id="rId100"/>
    <hyperlink ref="Y27" r:id="rId101"/>
    <hyperlink ref="AI27" r:id="rId102"/>
    <hyperlink ref="AN27" r:id="rId103"/>
    <hyperlink ref="AS27" r:id="rId104"/>
    <hyperlink ref="G28" r:id="rId105"/>
    <hyperlink ref="T28" r:id="rId106"/>
    <hyperlink ref="Y28" r:id="rId107"/>
    <hyperlink ref="AI28" r:id="rId108"/>
    <hyperlink ref="G29" r:id="rId109"/>
    <hyperlink ref="T29" r:id="rId110"/>
    <hyperlink ref="Y29" r:id="rId111"/>
    <hyperlink ref="AI29" r:id="rId112"/>
    <hyperlink ref="AN29" r:id="rId113"/>
    <hyperlink ref="AS29" r:id="rId114"/>
    <hyperlink ref="G30" r:id="rId115"/>
    <hyperlink ref="T30" r:id="rId116"/>
    <hyperlink ref="Y30" r:id="rId117"/>
    <hyperlink ref="AD30" r:id="rId118"/>
    <hyperlink ref="AI30" r:id="rId119"/>
    <hyperlink ref="AN30" r:id="rId120"/>
    <hyperlink ref="G31" r:id="rId121"/>
    <hyperlink ref="T31" r:id="rId122"/>
    <hyperlink ref="Y31" r:id="rId123"/>
    <hyperlink ref="AI31" r:id="rId124"/>
    <hyperlink ref="AN31" r:id="rId125"/>
    <hyperlink ref="G32" r:id="rId126"/>
    <hyperlink ref="T32" r:id="rId127"/>
    <hyperlink ref="Y32" r:id="rId128"/>
    <hyperlink ref="AD32" r:id="rId129"/>
    <hyperlink ref="AI32" r:id="rId130"/>
    <hyperlink ref="AN32" r:id="rId131"/>
    <hyperlink ref="AS32" r:id="rId132"/>
    <hyperlink ref="G33" r:id="rId133"/>
    <hyperlink ref="T33" r:id="rId134"/>
    <hyperlink ref="Y33" r:id="rId135"/>
    <hyperlink ref="AD33" r:id="rId136"/>
    <hyperlink ref="AI33" r:id="rId137"/>
    <hyperlink ref="AN33" r:id="rId138"/>
    <hyperlink ref="AS33" r:id="rId139"/>
    <hyperlink ref="G34" r:id="rId140"/>
    <hyperlink ref="T34" r:id="rId141"/>
    <hyperlink ref="Y34" r:id="rId142"/>
    <hyperlink ref="AD34" r:id="rId143"/>
    <hyperlink ref="AI34" r:id="rId144"/>
    <hyperlink ref="AN34" r:id="rId145"/>
    <hyperlink ref="G35" r:id="rId146"/>
    <hyperlink ref="T35" r:id="rId147"/>
    <hyperlink ref="Y35" r:id="rId148"/>
    <hyperlink ref="AD35" r:id="rId149"/>
    <hyperlink ref="AI35" r:id="rId150"/>
    <hyperlink ref="AN35" r:id="rId151"/>
    <hyperlink ref="AX35" r:id="rId152"/>
    <hyperlink ref="G36" r:id="rId153"/>
    <hyperlink ref="T36" r:id="rId154"/>
    <hyperlink ref="Y36" r:id="rId155"/>
    <hyperlink ref="AI36" r:id="rId156"/>
    <hyperlink ref="AN36" r:id="rId157"/>
    <hyperlink ref="G37" r:id="rId158"/>
    <hyperlink ref="T37" r:id="rId159"/>
    <hyperlink ref="Y37" r:id="rId160"/>
    <hyperlink ref="AI37" r:id="rId161"/>
    <hyperlink ref="AN37" r:id="rId162"/>
    <hyperlink ref="G38" r:id="rId163"/>
    <hyperlink ref="T38" r:id="rId164"/>
    <hyperlink ref="Y38" r:id="rId165"/>
    <hyperlink ref="AI38" r:id="rId166"/>
    <hyperlink ref="AN38" r:id="rId167"/>
    <hyperlink ref="AS38" r:id="rId168"/>
    <hyperlink ref="G39" r:id="rId169"/>
    <hyperlink ref="T39" r:id="rId170"/>
    <hyperlink ref="Y39" r:id="rId171"/>
    <hyperlink ref="AI39" r:id="rId172"/>
    <hyperlink ref="AN39" r:id="rId173"/>
    <hyperlink ref="G40" r:id="rId174"/>
    <hyperlink ref="G41" r:id="rId175"/>
    <hyperlink ref="T41" r:id="rId176"/>
    <hyperlink ref="G42" r:id="rId177"/>
    <hyperlink ref="T42" r:id="rId178"/>
    <hyperlink ref="Y42" r:id="rId179"/>
    <hyperlink ref="AI42" r:id="rId180"/>
    <hyperlink ref="AN42" r:id="rId181"/>
    <hyperlink ref="G43" r:id="rId182"/>
    <hyperlink ref="T43" r:id="rId183"/>
    <hyperlink ref="Y43" r:id="rId184"/>
    <hyperlink ref="AD43" r:id="rId185"/>
    <hyperlink ref="AI43" r:id="rId186"/>
    <hyperlink ref="AN43" r:id="rId187"/>
    <hyperlink ref="G44" r:id="rId188"/>
    <hyperlink ref="T44" r:id="rId189"/>
    <hyperlink ref="Y44" r:id="rId190"/>
    <hyperlink ref="AI44" r:id="rId191"/>
    <hyperlink ref="AN44" r:id="rId192"/>
    <hyperlink ref="G45" r:id="rId193"/>
    <hyperlink ref="T45" r:id="rId194"/>
    <hyperlink ref="G46" r:id="rId195"/>
    <hyperlink ref="T46" r:id="rId196"/>
    <hyperlink ref="AI46" r:id="rId197"/>
    <hyperlink ref="AN46" r:id="rId198"/>
    <hyperlink ref="G47" r:id="rId199"/>
    <hyperlink ref="T47" r:id="rId200"/>
    <hyperlink ref="Y47" r:id="rId201"/>
    <hyperlink ref="AD47" r:id="rId202"/>
    <hyperlink ref="AI47" r:id="rId203"/>
    <hyperlink ref="AN47" r:id="rId204"/>
    <hyperlink ref="G48" r:id="rId205"/>
    <hyperlink ref="T48" r:id="rId206"/>
    <hyperlink ref="Y48" r:id="rId207"/>
    <hyperlink ref="AI48" r:id="rId208"/>
    <hyperlink ref="AN48" r:id="rId209"/>
    <hyperlink ref="G49" r:id="rId210"/>
    <hyperlink ref="T49" r:id="rId211"/>
    <hyperlink ref="Y49" r:id="rId212"/>
    <hyperlink ref="AI49" r:id="rId213"/>
    <hyperlink ref="AN49" r:id="rId214"/>
    <hyperlink ref="G50" r:id="rId215"/>
    <hyperlink ref="T50" r:id="rId216"/>
    <hyperlink ref="Y50" r:id="rId217"/>
    <hyperlink ref="AI50" r:id="rId218"/>
    <hyperlink ref="AN50" r:id="rId219"/>
    <hyperlink ref="G51" r:id="rId220"/>
    <hyperlink ref="T51" r:id="rId221"/>
    <hyperlink ref="AD51" r:id="rId222"/>
    <hyperlink ref="AI51" r:id="rId223"/>
    <hyperlink ref="K53" r:id="rId224"/>
    <hyperlink ref="P53" r:id="rId225"/>
    <hyperlink ref="U53" r:id="rId226"/>
    <hyperlink ref="Z53" r:id="rId227"/>
    <hyperlink ref="AE53" r:id="rId228"/>
    <hyperlink ref="AJ53" r:id="rId229"/>
    <hyperlink ref="AO53" r:id="rId230"/>
    <hyperlink ref="AT53" r:id="rId231"/>
  </hyperlinks>
  <pageMargins left="0.7" right="0.7" top="0.75" bottom="0.75" header="0.3" footer="0.3"/>
  <legacyDrawing r:id="rId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reDIP-64-BOM.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2021-06-12T06:28:45Z</dcterms:created>
  <dcterms:modified xsi:type="dcterms:W3CDTF">2021-06-12T06:28:45Z</dcterms:modified>
</cp:coreProperties>
</file>