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kicost. " sheetId="1" r:id="rId1"/>
  </sheets>
  <definedNames>
    <definedName name="arrow_part_data">'reDIP-kicost. '!$K$5:$O$39</definedName>
    <definedName name="BoardQty">'reDIP-kicost. '!$J$1</definedName>
    <definedName name="digikey_part_data">'reDIP-kicost. '!$P$5:$T$39</definedName>
    <definedName name="farnell_part_data">'reDIP-kicost. '!$U$5:$Y$39</definedName>
    <definedName name="global_part_data">'reDIP-kicost. '!$A$5:$J$39</definedName>
    <definedName name="lcsc_part_data">'reDIP-kicost. '!$Z$5:$AD$39</definedName>
    <definedName name="mouser_part_data">'reDIP-kicost. '!$AE$5:$AI$39</definedName>
    <definedName name="newark_part_data">'reDIP-kicost. '!$AJ$5:$AN$39</definedName>
    <definedName name="PURCHASE_DESCRIPTION">'reDIP-kicost. '!$J$42</definedName>
    <definedName name="rs_part_data">'reDIP-kicost. '!$AO$5:$AS$39</definedName>
    <definedName name="tme_part_data">'reDIP-kicost. '!$AT$5:$AX$39</definedName>
    <definedName name="TotalCost">'reDIP-kicost. '!$J$3</definedName>
    <definedName name="USD_GBP">'reDIP-kicost. '!$C$42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$1.45     $14.48
    25   $1.37     $34.14
   100   $1.16    $116.36
   250   $1.09    $273.15
   500   $0.96    $478.01
  1800   $0.78  $1,406.79
  3600   $0.73  $2,619.54
  5400   $0.70  $3,783.78
 12600   $0.67  $8,489.25
 45000   $0.66 $29,833.65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£1.10      £1.10
    10   £1.10     £11.00
    50   £1.01     £50.50
   100   £0.87     £87.20
   250   £0.76    £191.25
   500   £0.59    £294.00
  1000   £0.68    £676.00
  1800   £0.62  £1,108.80
  2500   £0.57  £1,430.00
  4500   £0.57  £2,565.00
  9000   £0.60  £5,436.00
 45000   £0.57 £25,470.00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25   $0.55     $13.65
   100   $0.55     $54.60
   250   $0.55    $136.50
   500   $0.55    $273.00
  1000   $0.55    $546.00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£1.28      £1.28
    25   £1.09     £27.25
    50   £0.96     £48.00
   100   £0.83     £83.00
   250   £0.77    £192.50</t>
        </r>
      </text>
    </comment>
    <comment ref="AT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1800   $0.82  $1,480.70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
 30000   $0.04  $1,290.30
 50000   $0.04  $2,024.00
100000   $0.03  $3,416.00
250000   $0.03  $7,590.00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$0.48
    50   $0.03      $1.32
   100   $0.02      $2.16
   500   $0.02      $7.70
  1000   $0.01     $12.10
  2500   $0.01     $27.50
  5000   $0.01     $50.60
 15000   $0.01    $132.00
 30000   $0.01    $250.80
 75000   $0.01    $561.00
105000   $0.01    $635.25
150000   $0.01    $877.50
375000   $0.01  $1,980.00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£1.51
   150   £0.02      £2.26
   500   £0.01      £4.90
  2500   £0.01     £19.00
  7500   £0.01     £42.75
 15000   £0.00     £73.50
 75000   £0.00    £255.00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$0.49
    25   $0.03      $0.78
    50   $0.02      $1.10
   100   $0.02      $1.70
   250   $0.01      $3.25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$0.16      $1.65
    50   $0.11      $5.50
   100   $0.09      $9.35
   500   $0.07     $33.00
  1000   $0.06     $57.75
  2500   $0.06    $137.50
  5000   $0.05    $254.40
 15000   $0.05    $684.75
 30000   $0.04  $1,320.00
 75000   $0.04  $3,093.75
150000   $0.04  $5,487.00
375000   $0.03 $12,892.50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£3.00
   100   £0.18     £17.80
   150   £0.18     £26.70
   500   £0.15     £75.50
  2500   £0.08    £202.50
  7500   £0.07    £502.50
 15000   £0.07    £976.50
 75000   £0.06  £4,185.00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$0.33
   200   $0.01      $2.40
   600   $0.01      $6.72
  2000   $0.01     $20.80
 10000   $0.01    $100.00
 20000   $0.01    $198.00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$0.35      $3.51
    25   $0.32      $8.05
    50   $0.22     $10.95
   100   $0.18     $18.10
   250   $0.15     $38.00
 15000   $0.09  $1,320.00
 30000   $0.07  $2,160.00
 60000   $0.06  $3,720.00
 90000   $0.06  $5,220.00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$0.01      $0.69
   100   $0.01      $1.13
   500   $0.01      $4.04
  1000   $0.01      $6.35
  2500   $0.01     $14.45
  5000   $0.01     $26.55
 15000   $0.00     $69.30
 30000   $0.00    $131.70
 75000   $0.00    $294.75
105000   $0.00    $333.90
150000   $0.00    $460.50
375000   $0.00  $1,038.75</t>
        </r>
      </text>
    </comment>
    <comment ref="U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£0.07
   100   £0.01      £0.54
   150   £0.01      £0.81
   500   £0.00      £2.05
  2500   £0.00      £7.25
  7500   £0.00     £19.50
 15000   £0.00     £33.00
 75000   £0.00    £127.50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$0.16
  1000   $0.00      $1.20
  3000   $0.00      $3.30
 10000   $0.00     $10.00
 50000   $0.00     $50.00
100000   $0.00     $90.00</t>
        </r>
      </text>
    </comment>
    <comment ref="AJ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$0.18
    25   $0.01      $0.27
    50   $0.01      $0.40
   100   $0.01      $0.60
   250   $0.00      $1.25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$0.29      $2.94
    50   $0.21     $10.28
   100   $0.18     $17.62
   500   $0.13     $66.08
  1000   $0.11    $111.61
  2500   $0.11    $264.32
  5000   $0.10    $499.30
 10000   $0.09    $939.80
 20000   $0.09  $1,821.00
 30000   $0.09  $2,643.30
 50000   $0.08  $4,112.00
100000   $0.08  $7,636.00
250000   $0.07 $17,622.50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£2.15
   100   £0.17     £17.30
   150   £0.17     £25.95
   500   £0.10     £49.30
  2500   £0.08    £205.50
  5000   £0.07    £329.00
 10000   £0.04    £355.00
 50000   £0.03  £1,520.00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$0.10      $0.52
    50   $0.08      $3.80
   150   $0.07     $10.62
   500   $0.07     $32.85
  2500   $0.06    $158.50
  5000   $0.06    $311.00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$0.27      $2.72
    25   $0.26      $6.48
    50   $0.25     $12.30
   100   $0.23     $23.30
 10000   $0.05    $530.00
 20000   $0.05    $920.00
 40000   $0.04  $1,560.00
 60000   $0.03  $1,920.00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$0.15      $1.50
    50   $0.09      $4.50
   100   $0.08      $7.61
   500   $0.05     $26.03
  1000   $0.05     $46.05
  2500   $0.04    $110.10
  5000   $0.04    $200.20
 10000   $0.04    $380.40
 20000   $0.04    $720.80
 30000   $0.03  $1,020.90
 50000   $0.03  $1,601.50
100000   $0.03  $2,703.00
250000   $0.02  $6,005.00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£2.02
   100   £0.11     £11.10
   150   £0.11     £16.65
   500   £0.07     £34.50
  2500   £0.05    £135.00
  5000   £0.04    £215.00
 10000   £0.03    £348.00
 50000   £0.03  £1,490.00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$0.57
   100   $0.04      $4.09
   300   $0.04     $11.43
  1000   $0.04     $35.20
  5000   $0.03    $169.50
 10000   $0.03    $333.00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$0.25      $2.49
    25   $0.22      $5.50
    50   $0.13      $6.70
   100   $0.11     $10.90
   250   $0.09     $23.00
 10000   $0.04    $440.00
 20000   $0.04    $760.00
 30000   $0.03    $930.00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 50   $0.02      $0.98
   100   $0.02      $1.60
   500   $0.01      $5.72
  1000   $0.01      $8.98
  2500   $0.01     $20.42
  5000   $0.01     $37.55
 15000   $0.01     $89.10
 30000   $0.01    $169.20
 75000   $0.01    $378.75
150000   $0.00    $592.50
375000   $0.00  $1,391.25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$0.29
   500   $0.00      $2.15
  1500   $0.00      $6.15
  5000   $0.00     $19.00
 25000   $0.00     $92.50
 50000   $0.00    $180.00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$0.02      $1.50
   500   $0.01      $5.00
  1000   $0.01      $8.00
  2500   $0.01     $17.50</t>
        </r>
      </text>
    </comment>
    <comment ref="AJ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</t>
        </r>
      </text>
    </comment>
    <comment ref="AQ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$0.26      $2.64
   100   $0.13     $12.54
   500   $0.10     $51.15
  1000   $0.08     $75.90
  2000   $0.07    $133.32
  5000   $0.06    $305.25
 10000   $0.05    $528.00
 30000   $0.05  $1,554.30
 50000   $0.04  $2,145.00
250000   $0.04 $10,560.00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£0.21      £1.04
    25   £0.14      £3.38
   100   £0.10     £10.50
   250   £0.09     £21.82
   500   £0.07     £34.80
  1000   £0.05     £48.20
  5000   £0.05    £234.00</t>
        </r>
      </text>
    </comment>
    <comment ref="AJ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$0.35      $1.74
    10   $0.27      $2.67
   100   $0.15     $14.90
   500   $0.13     $66.00
  1000   $0.11    $114.00
  2500   $0.10    $250.00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$0.50      $4.95
   100   $0.34     $33.75
   500   $0.28    $141.00
  1000   $0.24    $240.00
  3000   $0.22    $675.00
  6000   $0.20  $1,215.00</t>
        </r>
      </text>
    </comment>
    <comment ref="W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£0.50      £0.50
    10   £0.41      £4.07
   100   £0.26     £25.50
   150   £0.26     £38.25
   250   £0.24     £59.50
   500   £0.22    £110.00
  1000   £0.18    £176.00
  5000   £0.15    £765.00</t>
        </r>
      </text>
    </comment>
    <comment ref="AB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$3.42
    30   $0.32      $9.64
   100   $0.30     $30.08
   500   $0.29    $145.25
  1000   $0.29    $287.00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25   $0.27      $6.82
    50   $0.27     $13.65
   100   $0.25     $25.00
   250   $0.23     $57.75
   500   $0.23    $115.50
  3000   $0.21    $618.00
  6000   $0.20  $1,212.00
 12000   $0.19  $2,316.00
 18000   $0.19  $3,420.00
 30000   $0.19  $5,610.00</t>
        </r>
      </text>
    </comment>
    <comment ref="AQ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£0.35      £8.67
   100   £0.23     £22.70
   250   £0.20     £51.00
   500   £0.20     £97.50
  1000   £0.17    £167.00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$0.67      $0.67
    10   $0.44      $4.39
   100   $0.29     $29.03
  1000   $0.22    $224.10
  2000   $0.20    $405.00
  6000   $0.19  $1,134.00
 10000   $0.18  $1,822.50
 50000   $0.17  $8,606.50</t>
        </r>
      </text>
    </comment>
    <comment ref="U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£0.68      £0.68
    10   £0.45      £4.51
   100   £0.35     £34.70
   500   £0.30    £149.50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$0.43      $4.30
   100   $0.28     $28.20
  1000   $0.22    $222.00
  2000   $0.19    $376.00
 10000   $0.18  $1,820.00</t>
        </r>
      </text>
    </comment>
    <comment ref="AJ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 5   $0.41      $2.05
    25   $0.28      $7.00
   100   $0.25     $24.80
   500   $0.22    $108.50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$1.56     $15.58
    25   $1.46     $36.58
    50   $1.40     $69.97
   100   $1.34    $133.58
   250   $1.21    $302.14
   500   $1.11    $556.58
  1500   $0.92  $1,383.50
  3000   $0.89  $2,671.59
  7500   $0.85  $6,345.00
 10500   $0.83  $8,682.66</t>
        </r>
      </text>
    </comment>
    <comment ref="AQ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£5.90      £5.90
     4   £5.60     £22.40
    20   £5.34    £106.80
   100   £5.08    £508.00
   200   £4.82    £964.00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$2.36
    25   $0.20      $5.03
    50   $0.18      $8.79
   100   $0.16     $16.33
   250   $0.14     $36.12
   500   $0.14     $69.10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$0.06    $250.28</t>
        </r>
      </text>
    </comment>
    <comment ref="U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£0.20      £0.98
    25   £0.14      £3.43
   100   £0.08      £7.78
   250   £0.06     £16.22
   500   £0.05     £26.00
  1000   £0.04     £39.10
  5000   £0.03    £166.00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$2.68
   100   $0.11     $11.20
  1000   $0.08     $76.00
  4000   $0.06    $240.00
  8000   $0.05    $408.00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$0.35      $1.76
    10   $0.24      $2.41
   100   $0.10     $10.10
   500   $0.08     $42.50
  1000   $0.07     $68.00</t>
        </r>
      </text>
    </comment>
    <comment ref="P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$317.90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100   $0.10     $10.20
  1000   $0.07     $69.00
  2500   $0.05    $135.00
 10000   $0.05    $460.00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$4.51
  5000   $0.00     $16.15
 15000   $0.00     $42.15
 30000   $0.00     $74.10
 75000   $0.00    $173.25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£330.00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$0.30
   500   $0.00      $2.25
  1500   $0.00      $6.30
  5000   $0.00     $19.50
 25000   $0.00     $95.00
 50000   $0.00    $190.00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$5.00
  2500   $0.00      $7.50
 10000   $0.00     $30.00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£75.00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$0.80
  1000   $0.00      $5.00
  5000   $0.00     $20.00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$0.78
   500   $0.01      $5.60
  1500   $0.01     $15.60
  5000   $0.01     $48.00
 25000   $0.01    $230.00
 50000   $0.01    $455.00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$5.00
  2500   $0.00      $7.50
 10000   $0.00     $30.00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B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$0.30
   500   $0.00      $2.25
  1500   $0.00      $6.30
  5000   $0.00     $19.50
 25000   $0.00     $95.00
 50000   $0.00    $190.00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$5.00
  2500   $0.00      $7.50
 10000   $0.00     $30.00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$0.31      $3.10
    25   $0.28      $7.10
   100   $0.19     $19.14
   250   $0.16     $39.60
   500   $0.15     $72.60
  1000   $0.11    $108.90
  2500   $0.10    $255.75
  5000   $0.10    $478.50
 10000   $0.09    $891.00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£0.24      £1.22
    10   £0.24      £2.44
    50   £0.18      £8.95
   100   £0.11     £11.40
   250   £0.10     £25.50
   500   £0.09     £44.95
  1000   £0.08     £77.80
  5000   £0.07    £365.00
 10000   £0.07    £662.00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$0.28      $2.83
   100   $0.14     $14.50
  1000   $0.10    $102.00
  5000   $0.10    $475.00
 10000   $0.09    $870.00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$0.38      $1.90
    10   $0.31      $3.10
    25   $0.28      $7.10
    50   $0.24     $11.90
   100   $0.19     $19.10
   250   $0.16     $39.50
  5000   $0.09    $435.00
 10000   $0.08    $850.00
 20000   $0.08  $1,680.00
 30000   $0.08  $2,460.00
 40000   $0.08  $3,240.00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£0.07    £350.00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$0.40      $4.00
    25   $0.37      $9.14
   100   $0.27     $27.20
   250   $0.25     $61.63
   500   $0.20    $102.00
  1000   $0.15    $153.00
  2500   $0.14    $350.63
  5000   $0.13    $658.75
 10000   $0.12  $1,232.50
 25000   $0.11  $2,826.25
 50000   $0.11  $5,440.00
125000   $0.10 $13,068.75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$2.36      $2.36
    10   $2.12     $21.20
    25   $2.00     $50.00
  2000   $1.08  $2,160.00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$2.36      $2.36
    10   $2.00     $20.00
   100   $1.71    $171.00
   250   $1.60    $400.00
   500   $1.40    $700.00
  1000   $1.16  $1,160.00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$0.35      $3.53
    25   $0.32      $8.06
   100   $0.22     $21.75
   250   $0.18     $45.00
   500   $0.16     $82.50
  1000   $0.12    $123.75
  2500   $0.12    $290.62
  5000   $0.11    $543.75
 10000   $0.10  $1,012.50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£0.24      £1.17
    10   £0.24      £2.35
    50   £0.17      £8.60
   100   £0.11     £10.80
   250   £0.10     £25.50
   500   £0.10     £47.95
  1000   £0.09     £89.90
  5000   £0.08    £419.00
 10000   £0.08    £778.00</t>
        </r>
      </text>
    </comment>
    <comment ref="AJ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$0.44      $2.20
    10   $0.35      $3.53
    25   $0.32      $8.05
    50   $0.27     $13.50
   100   $0.22     $21.70
   250   $0.18     $45.00
  5000   $0.17    $830.00
  6000   $0.15    $882.00
 10000   $0.10  $1,010.00
 12000   $0.13  $1,596.00
 18000   $0.12  $2,232.00
 30000   $0.11  $3,420.00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£0.08    £400.00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$0.16    $776.25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$0.40      $4.02
   100   $0.32     $32.10
   500   $0.25    $126.00
  1000   $0.20    $195.00
  5000   $0.16    $775.00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$3.21      $3.21
    10   $2.88     $28.85
    25   $2.73     $68.18
   100   $2.24    $224.22
   250   $2.01    $502.98
   500   $1.94    $969.60
  1000   $1.61  $1,611.96
  2500   $1.58  $3,939.00
  5000   $1.58  $7,878.00</t>
        </r>
      </text>
    </comment>
    <comment ref="W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£2.84      £2.84
    10   £2.13     £21.30
    25   £2.01     £50.25
    50   £1.88     £94.00
   100   £1.76    £176.00
   250   £1.58    £395.00
   500   £1.51    £755.00
  1000   £1.26  £1,260.00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$1.17      $1.17
    10   $1.17     $11.70
    25   $1.17     $29.25
    50   $1.17     $58.50
   100   $1.17    $117.00
   250   $1.17    $292.50
  5000   $1.48  $7,400.00
 10000   $1.45 $14,500.00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$3.20      $3.20</t>
        </r>
      </text>
    </comment>
    <comment ref="AT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$4.10      $4.10
     5   $3.85     $19.25
    25   $3.60     $90.00
   100   $3.35    $335.00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25   $1.30     $32.61
   100   $1.25    $125.43
  1500   $1.18  $1,762.82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£1.24      £1.24
    10   £1.24     £12.40
    25   £1.14     £28.50
    50   £1.06     £53.00
   100   £1.04    £104.00
   250   £1.02    £255.00
   500   £1.01    £505.00
  1000   £1.00    £996.00
  2500   £0.98  £2,452.50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$1.60     $16.00
    25   $1.50     $37.50
    50   $1.40     $70.00
   100   $1.30    $130.00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$0.54      $5.45
    25   $0.51     $12.79
   100   $0.39     $38.78
   250   $0.33     $82.50
   500   $0.31    $156.75
  1000   $0.24    $239.25
  3000   $0.22    $668.25</t>
        </r>
      </text>
    </comment>
    <comment ref="U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$0.28    $855.00
  6000   $0.26  $1,584.00
 12000   $0.25  $2,952.00
 18000   $0.23  $4,122.00
 30000   $0.22  $6,570.00</t>
        </r>
      </text>
    </comment>
    <comment ref="R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25   $5.30    $132.56
   100   $5.06    $505.51
  2000   $5.00 $10,010.00</t>
        </r>
      </text>
    </comment>
    <comment ref="I4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2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<sst xmlns="http://schemas.openxmlformats.org/spreadsheetml/2006/main" count="570" uniqueCount="328">
  <si>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</si>
  <si>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</si>
  <si>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</si>
  <si>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</si>
  <si>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</si>
  <si>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</si>
  <si>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</si>
  <si>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</si>
  <si>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</si>
  <si>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</si>
  <si>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</si>
  <si>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AE1</t>
  </si>
  <si>
    <t>47948-0001</t>
  </si>
  <si>
    <t>ANTENNA MID CHIP</t>
  </si>
  <si>
    <t>Molex_47948-0001</t>
  </si>
  <si>
    <t>Molex</t>
  </si>
  <si>
    <t>C1,C3</t>
  </si>
  <si>
    <t>1uF</t>
  </si>
  <si>
    <t>CAP CER 2.2uF 10V 10% X6S 0402</t>
  </si>
  <si>
    <t>C_0402_1005Metric</t>
  </si>
  <si>
    <t>Murata</t>
  </si>
  <si>
    <t>GRM155C81A225KE11D</t>
  </si>
  <si>
    <t>5V DC DERATED TO 1uF</t>
  </si>
  <si>
    <t>C10,C15</t>
  </si>
  <si>
    <t>0.1uF</t>
  </si>
  <si>
    <t>CAP CER 0.1uF 10V 10% X6S 0201</t>
  </si>
  <si>
    <t>C_0201_0603Metric</t>
  </si>
  <si>
    <t>GRM033C81A104KE14D</t>
  </si>
  <si>
    <t>1.55V DC AUDIO</t>
  </si>
  <si>
    <t>C2,C11-C14,C18-C22,C24</t>
  </si>
  <si>
    <t>CAP CER 1uF 6.3V 20% X6S 0201</t>
  </si>
  <si>
    <t>GRM033C80J105ME05D</t>
  </si>
  <si>
    <t>C11-C14,C18-C22: 1.55V DC AUDIO
C2,C24: 1.2V DC</t>
  </si>
  <si>
    <t>C26</t>
  </si>
  <si>
    <t>10n</t>
  </si>
  <si>
    <t>CAP CER 10nF 6.3V 10% X5R 0201</t>
  </si>
  <si>
    <t>GRM033R60J103KA01D</t>
  </si>
  <si>
    <t>1.2V DC</t>
  </si>
  <si>
    <t>C4,C27</t>
  </si>
  <si>
    <t>CAP CER 4.7uF 6.3V 20% X5R 0201</t>
  </si>
  <si>
    <t>GRM035R60J475ME15D</t>
  </si>
  <si>
    <t>3.3V DC DERATED TO 1uF</t>
  </si>
  <si>
    <t>C5,C17,C29</t>
  </si>
  <si>
    <t>10uF</t>
  </si>
  <si>
    <t>CAP CER 10uF 6.3V 20% X5R 0402</t>
  </si>
  <si>
    <t>GRM155R60J106ME15D</t>
  </si>
  <si>
    <t>C5,C17: 3.3V DC
C29: 1.2V DC</t>
  </si>
  <si>
    <t>C6-C9,C16,C23,C25,C28,C30-C33</t>
  </si>
  <si>
    <t>CAP CER 0.22uF 6.3V 20% X5R 0201</t>
  </si>
  <si>
    <t>GRM033R60J224KE15D</t>
  </si>
  <si>
    <t>3.3V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</si>
  <si>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</si>
  <si>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</si>
  <si>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</si>
  <si>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</si>
  <si>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</si>
  <si>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</si>
  <si>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</si>
  <si>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ESD7016</t>
  </si>
  <si>
    <t>IC ESD PROTECTION UDFN-8</t>
  </si>
  <si>
    <t>517CB-3.3x1.0mm_P0.4mm</t>
  </si>
  <si>
    <t>ON Semiconductor</t>
  </si>
  <si>
    <t>ESD7016MUTAG</t>
  </si>
  <si>
    <t>D4,D5</t>
  </si>
  <si>
    <t>SMD-LX0707RGB-TR</t>
  </si>
  <si>
    <t>IC LED RGB 0707</t>
  </si>
  <si>
    <t>Lumex</t>
  </si>
  <si>
    <t>REPLACEMENT PARTS: Everlight 19-C47/RSGHBHC-5V01/2T, Everlight EAST1818RGBICA0</t>
  </si>
  <si>
    <t>J1</t>
  </si>
  <si>
    <t>DX07S016JA3</t>
  </si>
  <si>
    <t>CONN USB-C</t>
  </si>
  <si>
    <t>USB_C_Receptacle_JAE_DX07S016JA3_PinInPaste</t>
  </si>
  <si>
    <t>Japan Aviation Electronics Industry, Ltd.</t>
  </si>
  <si>
    <t>DX07S016JA3R1500</t>
  </si>
  <si>
    <t>J5,J6</t>
  </si>
  <si>
    <t>Conn_01x06</t>
  </si>
  <si>
    <t>CONN HEADER 6 POS .100" SGL GOLD MATING 5.84mm TAIL 8.13mm</t>
  </si>
  <si>
    <t>PinHeader_1x06_P2.54mm_Vertical_LongTail</t>
  </si>
  <si>
    <t>Sullins</t>
  </si>
  <si>
    <t>PRPC006SACN-RC</t>
  </si>
  <si>
    <t>J7,J8</t>
  </si>
  <si>
    <t>Conn_01x10</t>
  </si>
  <si>
    <t>CONN HEADER 10 POS .100" SGL GOLD MATING 5.84mm TAIL 3.05mm</t>
  </si>
  <si>
    <t>PinHeader_1x10_P2.54mm_Vertical</t>
  </si>
  <si>
    <t>PRPC010SAAN-RC</t>
  </si>
  <si>
    <t>Q1</t>
  </si>
  <si>
    <t>PEMH4</t>
  </si>
  <si>
    <t>TRANSISTOR NPN/NPN RET R1=10kΩ  R2=open SOT666</t>
  </si>
  <si>
    <t>SOT-666</t>
  </si>
  <si>
    <t>PEMH4,115</t>
  </si>
  <si>
    <t>Q2</t>
  </si>
  <si>
    <t>PDTA143ZMB</t>
  </si>
  <si>
    <t>TRANSISTOR PNP RET R1=4.7kΩ R2=47kΩ 100mA SOT883B</t>
  </si>
  <si>
    <t>SOT-883</t>
  </si>
  <si>
    <t>PDTA143ZMB,315</t>
  </si>
  <si>
    <t>R1,R6</t>
  </si>
  <si>
    <t>0</t>
  </si>
  <si>
    <t>RES 0Ω 50mW 1% 0201</t>
  </si>
  <si>
    <t>R_0201_0603Metric</t>
  </si>
  <si>
    <t>Panasonic</t>
  </si>
  <si>
    <t>ERJ-1GN0R00C</t>
  </si>
  <si>
    <t>R11</t>
  </si>
  <si>
    <t>330</t>
  </si>
  <si>
    <t>RES 330Ω 50mW 5% 0201</t>
  </si>
  <si>
    <t>ERJ-1GNJ331C</t>
  </si>
  <si>
    <t>R2,R3,R5,R12</t>
  </si>
  <si>
    <t>2.2k</t>
  </si>
  <si>
    <t>RES 2.2kΩ 50mW 5% 0201</t>
  </si>
  <si>
    <t>ERJ-1GNJ222C</t>
  </si>
  <si>
    <t>R4,R10</t>
  </si>
  <si>
    <t>10k</t>
  </si>
  <si>
    <t>RES 10kΩ 50mW 5% 0201</t>
  </si>
  <si>
    <t>ERJ-1GNJ103C</t>
  </si>
  <si>
    <t>R7,R8</t>
  </si>
  <si>
    <t>5.1k</t>
  </si>
  <si>
    <t>RES 5.1kΩ 50mW 5% 0201</t>
  </si>
  <si>
    <t>ERJ-1GNJ512C</t>
  </si>
  <si>
    <t>R9</t>
  </si>
  <si>
    <t>100</t>
  </si>
  <si>
    <t>RES 100Ω 50mW 5% 0201</t>
  </si>
  <si>
    <t>ERJ-1GNJ101C</t>
  </si>
  <si>
    <t>U1</t>
  </si>
  <si>
    <t>NCP163AFCT120T2G</t>
  </si>
  <si>
    <t>IC REG LDO 1.2V 250mA WLCSP-4</t>
  </si>
  <si>
    <t>WLCSP-4_0.64x0.64mm_Layout2x2_P0.35mm</t>
  </si>
  <si>
    <t>U10</t>
  </si>
  <si>
    <t>CBTD3306GT</t>
  </si>
  <si>
    <t>IC BUS SWITCH WITH LEVEL SHIFTER SOT833-1</t>
  </si>
  <si>
    <t>SOT-833-1</t>
  </si>
  <si>
    <t>CBTD3306GT,115</t>
  </si>
  <si>
    <t>U11</t>
  </si>
  <si>
    <t>SN74CBTD16211DGVR</t>
  </si>
  <si>
    <t>IC BUS SWITCH WITH LEVEL SHIFTER TVSOP-56</t>
  </si>
  <si>
    <t>Texas_TVSOP-56_4.4x11.3mm_P0.4mm</t>
  </si>
  <si>
    <t>TI</t>
  </si>
  <si>
    <t>U2</t>
  </si>
  <si>
    <t>NCP167AFCT330T2G</t>
  </si>
  <si>
    <t>IC REG LDO 3.3V 700mA WLCSP-4</t>
  </si>
  <si>
    <t>U3</t>
  </si>
  <si>
    <t>FSA221UMX</t>
  </si>
  <si>
    <t>IC USB AUDIO SWITCH UQFN-10</t>
  </si>
  <si>
    <t>523BC_1.4x1.8_P0.4mm</t>
  </si>
  <si>
    <t>U4</t>
  </si>
  <si>
    <t>SGTL5000XNLA3</t>
  </si>
  <si>
    <t>IC AUDIO CODEC UQFN-20</t>
  </si>
  <si>
    <t>QFN-20-1EP_3x3mm_P0.4mm_EP1.65x1.65mm</t>
  </si>
  <si>
    <t>NXP</t>
  </si>
  <si>
    <t>SGTL5000XNLA3R2</t>
  </si>
  <si>
    <t>U5</t>
  </si>
  <si>
    <t>ESP32-PICO-V3-02</t>
  </si>
  <si>
    <t>IC MCU WIFI BLUETOOTH SIP QFN-48</t>
  </si>
  <si>
    <t>QFN-48-1EP_7x7mm_P0.5mm_EP5.3x5.3mm</t>
  </si>
  <si>
    <t>Espressif</t>
  </si>
  <si>
    <t>U6</t>
  </si>
  <si>
    <t>CP2102N-A02-GQFN24</t>
  </si>
  <si>
    <t>IC USB TO UART BRIDGE QFN-24</t>
  </si>
  <si>
    <t>QFN-24-1EP_4x4mm_P0.5mm_EP2.6x2.6mm</t>
  </si>
  <si>
    <t>SiLabs</t>
  </si>
  <si>
    <t>CP2102N-A02-GQFN24R</t>
  </si>
  <si>
    <t>U7</t>
  </si>
  <si>
    <t>FSA8049UCX</t>
  </si>
  <si>
    <t>IC AUDIO JACK DETECTION SWITCH WLCSP-9</t>
  </si>
  <si>
    <t>WLCSP-9_1.16x1.16mm_Layout3x3_P0.4mm</t>
  </si>
  <si>
    <t>U8</t>
  </si>
  <si>
    <t>ICE40UP5K-SG48I</t>
  </si>
  <si>
    <t>IC FPGA QFN-48</t>
  </si>
  <si>
    <t>QFN-48-1EP_7x7mm_P0.5mm_EP5.6x5.6mm</t>
  </si>
  <si>
    <t>Lattice</t>
  </si>
  <si>
    <t>U9</t>
  </si>
  <si>
    <t>APS6404L-3SQR-SN</t>
  </si>
  <si>
    <t>IC PSRAM 8MB SOP-8</t>
  </si>
  <si>
    <t>SOP-8_3.9x4.9mm_P1.27mm</t>
  </si>
  <si>
    <t>AP Memory</t>
  </si>
  <si>
    <t>REPLACEMENT PARTS: Lyontek LY68L6400SLIT, Espressif ESP-PSRAM64H, IPUS IPS6404L-SQ</t>
  </si>
  <si>
    <t>Total Purchase:</t>
  </si>
  <si>
    <t>Purchase description:</t>
  </si>
  <si>
    <t>Used currency rates:</t>
  </si>
  <si>
    <t>USD($)/GBP(£):</t>
  </si>
  <si>
    <t>Prj:</t>
  </si>
  <si>
    <t>reDIP sx</t>
  </si>
  <si>
    <t>Co.:</t>
  </si>
  <si>
    <t>Nimrod</t>
  </si>
  <si>
    <t>Prj date:</t>
  </si>
  <si>
    <t>sø. 29. nov. 2020 kl. 21.00 +0100</t>
  </si>
  <si>
    <t>Board Qty:</t>
  </si>
  <si>
    <t>Total Cost:</t>
  </si>
  <si>
    <t>Unit Cost:</t>
  </si>
  <si>
    <t>$ date:</t>
  </si>
  <si>
    <t>2020-11-29 21:00:50</t>
  </si>
  <si>
    <t>Arrow</t>
  </si>
  <si>
    <t>Avail</t>
  </si>
  <si>
    <t>Purch</t>
  </si>
  <si>
    <t>Cat#</t>
  </si>
  <si>
    <t>Digi-Key</t>
  </si>
  <si>
    <t>WM4893CT-ND</t>
  </si>
  <si>
    <t>490-14594-1-ND</t>
  </si>
  <si>
    <t>490-17002-1-ND</t>
  </si>
  <si>
    <t>490-13218-1-ND</t>
  </si>
  <si>
    <t>490-5403-1-ND</t>
  </si>
  <si>
    <t>490-13230-1-ND</t>
  </si>
  <si>
    <t>490-13238-1-ND</t>
  </si>
  <si>
    <t>NonStk</t>
  </si>
  <si>
    <t>490-10406-1-ND</t>
  </si>
  <si>
    <t>1727-1084-1-ND</t>
  </si>
  <si>
    <t>ESD7016MUTAGOSCT-ND</t>
  </si>
  <si>
    <t>67-2331-1-ND</t>
  </si>
  <si>
    <t>670-DX07S016JA3R1500CT-ND</t>
  </si>
  <si>
    <t>S1131EC-06-ND</t>
  </si>
  <si>
    <t>S1011EC-10-ND</t>
  </si>
  <si>
    <t>PEMH4,115-ND</t>
  </si>
  <si>
    <t>PDTA143ZMB,315-ND</t>
  </si>
  <si>
    <t>P15979CT-ND</t>
  </si>
  <si>
    <t>P123304CT-ND</t>
  </si>
  <si>
    <t>P123277CT-ND</t>
  </si>
  <si>
    <t>P123222CT-ND</t>
  </si>
  <si>
    <t>P123340CT-ND</t>
  </si>
  <si>
    <t>P123220CT-ND</t>
  </si>
  <si>
    <t>NCP163AFCT120T2GOSCT-ND</t>
  </si>
  <si>
    <t>1727-4621-1-ND</t>
  </si>
  <si>
    <t>296-6475-1-ND</t>
  </si>
  <si>
    <t>NCP167AFCT330T2GOSCT-ND</t>
  </si>
  <si>
    <t>FSA221UMXTR-ND</t>
  </si>
  <si>
    <t>568-13255-1-ND</t>
  </si>
  <si>
    <t>1965-ESP32-PICO-V3-02-ND</t>
  </si>
  <si>
    <t>336-5888-1-ND</t>
  </si>
  <si>
    <t>FSA8049UCXFSCT-ND</t>
  </si>
  <si>
    <t>220-2212-1-ND</t>
  </si>
  <si>
    <t>Farnell</t>
  </si>
  <si>
    <t>3498912RL</t>
  </si>
  <si>
    <t>3581321</t>
  </si>
  <si>
    <t>3582762</t>
  </si>
  <si>
    <t>3243319</t>
  </si>
  <si>
    <t>3238402</t>
  </si>
  <si>
    <t>3582794</t>
  </si>
  <si>
    <t>2990684</t>
  </si>
  <si>
    <t>2191801</t>
  </si>
  <si>
    <t>2535917</t>
  </si>
  <si>
    <t>3216559</t>
  </si>
  <si>
    <t>1758021</t>
  </si>
  <si>
    <t>2799511</t>
  </si>
  <si>
    <t>3303242</t>
  </si>
  <si>
    <t>3303211</t>
  </si>
  <si>
    <t>3303150</t>
  </si>
  <si>
    <t>3303281</t>
  </si>
  <si>
    <t>3303148</t>
  </si>
  <si>
    <t>3010477</t>
  </si>
  <si>
    <t>3010482</t>
  </si>
  <si>
    <t>2776032</t>
  </si>
  <si>
    <t>3387002RL</t>
  </si>
  <si>
    <t>2100417</t>
  </si>
  <si>
    <t>LCSC</t>
  </si>
  <si>
    <t>C385023</t>
  </si>
  <si>
    <t>C161460</t>
  </si>
  <si>
    <t>C335103</t>
  </si>
  <si>
    <t>C412251</t>
  </si>
  <si>
    <t>C76931</t>
  </si>
  <si>
    <t>C463227</t>
  </si>
  <si>
    <t>C716999</t>
  </si>
  <si>
    <t>C242159</t>
  </si>
  <si>
    <t>C713500</t>
  </si>
  <si>
    <t>Mouser</t>
  </si>
  <si>
    <t>538479480001</t>
  </si>
  <si>
    <t>81GRM155C81A225KE1D</t>
  </si>
  <si>
    <t>81GRM033C81A104KE4D</t>
  </si>
  <si>
    <t>81GRM033C80J105ME5D</t>
  </si>
  <si>
    <t>81GRM033R60J103KA1D</t>
  </si>
  <si>
    <t>81GRM035R60J475ME5D</t>
  </si>
  <si>
    <t>81GRM155R60J106ME5D</t>
  </si>
  <si>
    <t>81GRM33R60J224KE15D</t>
  </si>
  <si>
    <t>771PMEG2010BELD,315</t>
  </si>
  <si>
    <t>863ESD7016MUTAG</t>
  </si>
  <si>
    <t>696SMDLX0707RGBTR</t>
  </si>
  <si>
    <t>656DX07S016JA3R1500</t>
  </si>
  <si>
    <t>771PEMH4115</t>
  </si>
  <si>
    <t>771PDTA143ZMB315</t>
  </si>
  <si>
    <t>667ERJ1GN0R00C</t>
  </si>
  <si>
    <t>667ERJ1GNJ331C</t>
  </si>
  <si>
    <t>667ERJ1GNJ222C</t>
  </si>
  <si>
    <t>667ERJ1GNJ103C</t>
  </si>
  <si>
    <t>667ERJ1GNJ512C</t>
  </si>
  <si>
    <t>667ERJ1GNJ101C</t>
  </si>
  <si>
    <t>863NCP163AFCT120T2G</t>
  </si>
  <si>
    <t>59574CBTD16211DGVR</t>
  </si>
  <si>
    <t>863NCP167AFCT330T2G</t>
  </si>
  <si>
    <t>512FSA221UMX</t>
  </si>
  <si>
    <t>841SGTL5000XNLA3R2</t>
  </si>
  <si>
    <t>356ESP32PICOV302</t>
  </si>
  <si>
    <t>634CP2102NA02QFN24R</t>
  </si>
  <si>
    <t>512FSA8049UCX</t>
  </si>
  <si>
    <t>842ICE40UP5KSG48I</t>
  </si>
  <si>
    <t>Newark</t>
  </si>
  <si>
    <t>51T4020</t>
  </si>
  <si>
    <t>92AH4925</t>
  </si>
  <si>
    <t>03AJ1531</t>
  </si>
  <si>
    <t>92AH8251</t>
  </si>
  <si>
    <t>34AH0743</t>
  </si>
  <si>
    <t>03AJ1576</t>
  </si>
  <si>
    <t>94AC8892</t>
  </si>
  <si>
    <t>55W4407</t>
  </si>
  <si>
    <t>82Y9140</t>
  </si>
  <si>
    <t>02AH5948</t>
  </si>
  <si>
    <t>34R4491</t>
  </si>
  <si>
    <t>51W5934</t>
  </si>
  <si>
    <t>51W5827</t>
  </si>
  <si>
    <t>51W5775</t>
  </si>
  <si>
    <t>51W5889</t>
  </si>
  <si>
    <t>51W5773</t>
  </si>
  <si>
    <t>97AC7861</t>
  </si>
  <si>
    <t>97AC7864</t>
  </si>
  <si>
    <t>31AC6932</t>
  </si>
  <si>
    <t>66AH5403</t>
  </si>
  <si>
    <t>95T0140</t>
  </si>
  <si>
    <t>RS Components</t>
  </si>
  <si>
    <t>7595325</t>
  </si>
  <si>
    <t>1851581</t>
  </si>
  <si>
    <t>8829708</t>
  </si>
  <si>
    <t>2017052</t>
  </si>
  <si>
    <t>1755716</t>
  </si>
  <si>
    <t>1797111</t>
  </si>
  <si>
    <t>1797103</t>
  </si>
  <si>
    <t>1797101</t>
  </si>
  <si>
    <t>1861292</t>
  </si>
  <si>
    <t>1861296</t>
  </si>
  <si>
    <t>TME</t>
  </si>
  <si>
    <t>479480001</t>
  </si>
  <si>
    <t>SMDLX0707RGBTR</t>
  </si>
  <si>
    <t>ESP32PICOV302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</si>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</sst>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lex.com/molex/products/part-detail/antennas/0479480001" TargetMode="External"/><Relationship Id="rId2" Type="http://schemas.openxmlformats.org/officeDocument/2006/relationships/hyperlink" Target="https://octopart.com/click/track?ai=8078&amp;sig=0179731&amp;sid=459&amp;ppid=20326346&amp;vpid=114393393&amp;ct=offers" TargetMode="External"/><Relationship Id="rId3" Type="http://schemas.openxmlformats.org/officeDocument/2006/relationships/hyperlink" Target="https://octopart.com/click/track?c=1&amp;ai=8078&amp;sig=011c849&amp;sid=819&amp;ppid=20326346&amp;vpid=632629437&amp;ct=offers" TargetMode="External"/><Relationship Id="rId4" Type="http://schemas.openxmlformats.org/officeDocument/2006/relationships/hyperlink" Target="https://octopart.com/click/track?ai=8078&amp;sig=015cfb3&amp;sid=2401&amp;ppid=20326346&amp;vpid=40439801&amp;ct=offers" TargetMode="External"/><Relationship Id="rId5" Type="http://schemas.openxmlformats.org/officeDocument/2006/relationships/hyperlink" Target="https://octopart.com/click/track?ai=8078&amp;sig=003c4e8&amp;sid=2402&amp;ppid=20326346&amp;vpid=39289628&amp;ct=offers" TargetMode="External"/><Relationship Id="rId6" Type="http://schemas.openxmlformats.org/officeDocument/2006/relationships/hyperlink" Target="https://octopart.com/click/track?ai=8078&amp;sig=090870c&amp;sid=10022&amp;ppid=20326346&amp;vpid=199068433&amp;ct=offers" TargetMode="External"/><Relationship Id="rId7" Type="http://schemas.openxmlformats.org/officeDocument/2006/relationships/hyperlink" Target="https://octopart.com/click/track?ai=8078&amp;sig=07af8cd&amp;sid=1532&amp;ppid=20326346&amp;vpid=586247583&amp;ct=offers" TargetMode="External"/><Relationship Id="rId8" Type="http://schemas.openxmlformats.org/officeDocument/2006/relationships/hyperlink" Target="https://octopart.com/click/track?ai=8078&amp;sig=034898e&amp;sid=459&amp;ppid=46692784&amp;vpid=410305219&amp;ct=offers" TargetMode="External"/><Relationship Id="rId9" Type="http://schemas.openxmlformats.org/officeDocument/2006/relationships/hyperlink" Target="https://octopart.com/click/track?c=1&amp;ai=8078&amp;sig=0ddf630&amp;sid=2401&amp;ppid=46692784&amp;vpid=238694034&amp;ct=offers" TargetMode="External"/><Relationship Id="rId10" Type="http://schemas.openxmlformats.org/officeDocument/2006/relationships/hyperlink" Target="https://octopart.com/click/track?ai=8078&amp;sig=01c1cdc&amp;sid=459&amp;ppid=71014472&amp;vpid=541298082&amp;ct=offers" TargetMode="External"/><Relationship Id="rId11" Type="http://schemas.openxmlformats.org/officeDocument/2006/relationships/hyperlink" Target="https://octopart.com/click/track?c=1&amp;ai=8078&amp;sig=0bbbe6a&amp;sid=819&amp;ppid=71014472&amp;vpid=666720971&amp;ct=offers" TargetMode="External"/><Relationship Id="rId12" Type="http://schemas.openxmlformats.org/officeDocument/2006/relationships/hyperlink" Target="https://octopart.com/click/track?ai=8078&amp;sig=092c68e&amp;sid=2401&amp;ppid=71014472&amp;vpid=433680462&amp;ct=offers" TargetMode="External"/><Relationship Id="rId13" Type="http://schemas.openxmlformats.org/officeDocument/2006/relationships/hyperlink" Target="https://octopart.com/click/track?c=1&amp;ai=8078&amp;sig=0eddba1&amp;sid=2402&amp;ppid=71014472&amp;vpid=669036246&amp;ct=offers" TargetMode="External"/><Relationship Id="rId14" Type="http://schemas.openxmlformats.org/officeDocument/2006/relationships/hyperlink" Target="https://octopart.com/click/track?ai=8078&amp;sig=0dd2dd5&amp;sid=459&amp;ppid=71220979&amp;vpid=252726184&amp;ct=offers" TargetMode="External"/><Relationship Id="rId15" Type="http://schemas.openxmlformats.org/officeDocument/2006/relationships/hyperlink" Target="https://octopart.com/click/track?c=1&amp;ai=8078&amp;sig=013a2f0&amp;sid=819&amp;ppid=71220979&amp;vpid=670691828&amp;ct=offers" TargetMode="External"/><Relationship Id="rId16" Type="http://schemas.openxmlformats.org/officeDocument/2006/relationships/hyperlink" Target="https://octopart.com/click/track?ai=8078&amp;sig=05d4785&amp;sid=27971&amp;ppid=71220979&amp;vpid=552547217&amp;ct=offers" TargetMode="External"/><Relationship Id="rId17" Type="http://schemas.openxmlformats.org/officeDocument/2006/relationships/hyperlink" Target="https://octopart.com/click/track?ai=8078&amp;sig=0e387aa&amp;sid=2401&amp;ppid=71220979&amp;vpid=262231651&amp;ct=offers" TargetMode="External"/><Relationship Id="rId18" Type="http://schemas.openxmlformats.org/officeDocument/2006/relationships/hyperlink" Target="https://octopart.com/click/track?c=1&amp;ai=8078&amp;sig=0e14f17&amp;sid=2402&amp;ppid=71220979&amp;vpid=671481163&amp;ct=offers" TargetMode="External"/><Relationship Id="rId19" Type="http://schemas.openxmlformats.org/officeDocument/2006/relationships/hyperlink" Target="https://octopart.com/click/track?ai=8078&amp;sig=0eb3513&amp;sid=459&amp;ppid=17705771&amp;vpid=34233074&amp;ct=offers" TargetMode="External"/><Relationship Id="rId20" Type="http://schemas.openxmlformats.org/officeDocument/2006/relationships/hyperlink" Target="https://octopart.com/click/track?c=1&amp;ai=8078&amp;sig=0b9e7ac&amp;sid=11744&amp;ppid=17705771&amp;vpid=667940842&amp;ct=offers" TargetMode="External"/><Relationship Id="rId21" Type="http://schemas.openxmlformats.org/officeDocument/2006/relationships/hyperlink" Target="https://octopart.com/click/track?ai=8078&amp;sig=0a62904&amp;sid=27971&amp;ppid=17705771&amp;vpid=463597647&amp;ct=offers" TargetMode="External"/><Relationship Id="rId22" Type="http://schemas.openxmlformats.org/officeDocument/2006/relationships/hyperlink" Target="https://octopart.com/click/track?ai=8078&amp;sig=049a764&amp;sid=2401&amp;ppid=17705771&amp;vpid=37711093&amp;ct=offers" TargetMode="External"/><Relationship Id="rId23" Type="http://schemas.openxmlformats.org/officeDocument/2006/relationships/hyperlink" Target="https://octopart.com/click/track?c=1&amp;ai=8078&amp;sig=0a7999f&amp;sid=2402&amp;ppid=17705771&amp;vpid=669843213&amp;ct=offers" TargetMode="External"/><Relationship Id="rId24" Type="http://schemas.openxmlformats.org/officeDocument/2006/relationships/hyperlink" Target="https://octopart.com/click/track?ai=8078&amp;sig=02d1bd9&amp;sid=459&amp;ppid=67141176&amp;vpid=252726416&amp;ct=offers" TargetMode="External"/><Relationship Id="rId25" Type="http://schemas.openxmlformats.org/officeDocument/2006/relationships/hyperlink" Target="https://octopart.com/click/track?ai=8078&amp;sig=0d5a122&amp;sid=819&amp;ppid=67141176&amp;vpid=585785201&amp;ct=offers" TargetMode="External"/><Relationship Id="rId26" Type="http://schemas.openxmlformats.org/officeDocument/2006/relationships/hyperlink" Target="https://octopart.com/click/track?ai=8078&amp;sig=0ec1763&amp;sid=27971&amp;ppid=67141176&amp;vpid=510777411&amp;ct=offers" TargetMode="External"/><Relationship Id="rId27" Type="http://schemas.openxmlformats.org/officeDocument/2006/relationships/hyperlink" Target="https://octopart.com/click/track?ai=8078&amp;sig=0e8e022&amp;sid=2401&amp;ppid=67141176&amp;vpid=262254328&amp;ct=offers" TargetMode="External"/><Relationship Id="rId28" Type="http://schemas.openxmlformats.org/officeDocument/2006/relationships/hyperlink" Target="https://octopart.com/click/track?c=1&amp;ai=8078&amp;sig=00b605a&amp;sid=2402&amp;ppid=67141176&amp;vpid=587966703&amp;ct=offers" TargetMode="External"/><Relationship Id="rId29" Type="http://schemas.openxmlformats.org/officeDocument/2006/relationships/hyperlink" Target="https://octopart.com/click/track?c=1&amp;ai=8078&amp;sig=0616766&amp;sid=459&amp;ppid=71220998&amp;vpid=252726526&amp;ct=offers" TargetMode="External"/><Relationship Id="rId30" Type="http://schemas.openxmlformats.org/officeDocument/2006/relationships/hyperlink" Target="https://octopart.com/click/track?c=1&amp;ai=8078&amp;sig=0115312&amp;sid=819&amp;ppid=71220998&amp;vpid=670691894&amp;ct=offers" TargetMode="External"/><Relationship Id="rId31" Type="http://schemas.openxmlformats.org/officeDocument/2006/relationships/hyperlink" Target="https://octopart.com/click/track?ai=8078&amp;sig=0543bf4&amp;sid=27971&amp;ppid=71220998&amp;vpid=582946846&amp;ct=offers" TargetMode="External"/><Relationship Id="rId32" Type="http://schemas.openxmlformats.org/officeDocument/2006/relationships/hyperlink" Target="https://octopart.com/click/track?ai=8078&amp;sig=0b273d0&amp;sid=2401&amp;ppid=71220998&amp;vpid=259388278&amp;ct=offers" TargetMode="External"/><Relationship Id="rId33" Type="http://schemas.openxmlformats.org/officeDocument/2006/relationships/hyperlink" Target="https://octopart.com/click/track?c=1&amp;ai=8078&amp;sig=0c372ee&amp;sid=2402&amp;ppid=71220998&amp;vpid=671481195&amp;ct=offers" TargetMode="External"/><Relationship Id="rId34" Type="http://schemas.openxmlformats.org/officeDocument/2006/relationships/hyperlink" Target="https://octopart.com/click/track?ai=8078&amp;sig=0492ec2&amp;sid=459&amp;ppid=51454422&amp;vpid=172161550&amp;ct=offers" TargetMode="External"/><Relationship Id="rId35" Type="http://schemas.openxmlformats.org/officeDocument/2006/relationships/hyperlink" Target="https://octopart.com/click/track?ai=8078&amp;sig=0efc20f&amp;sid=819&amp;ppid=51454422&amp;vpid=528007216&amp;ct=offers" TargetMode="External"/><Relationship Id="rId36" Type="http://schemas.openxmlformats.org/officeDocument/2006/relationships/hyperlink" Target="https://octopart.com/click/track?ai=8078&amp;sig=0f2788c&amp;sid=27971&amp;ppid=51454422&amp;vpid=445986847&amp;ct=offers" TargetMode="External"/><Relationship Id="rId37" Type="http://schemas.openxmlformats.org/officeDocument/2006/relationships/hyperlink" Target="https://octopart.com/click/track?ai=8078&amp;sig=0207666&amp;sid=2401&amp;ppid=51454422&amp;vpid=178169497&amp;ct=offers" TargetMode="External"/><Relationship Id="rId38" Type="http://schemas.openxmlformats.org/officeDocument/2006/relationships/hyperlink" Target="https://octopart.com/click/track?c=1&amp;ai=8078&amp;sig=01a9cb8&amp;sid=2402&amp;ppid=51454422&amp;vpid=529126546&amp;ct=offers" TargetMode="External"/><Relationship Id="rId39" Type="http://schemas.openxmlformats.org/officeDocument/2006/relationships/hyperlink" Target="https://octopart.com/click/track?ai=8078&amp;sig=0eaea66&amp;sid=10022&amp;ppid=51454422&amp;vpid=562632808&amp;ct=offers" TargetMode="External"/><Relationship Id="rId40" Type="http://schemas.openxmlformats.org/officeDocument/2006/relationships/hyperlink" Target="https://assets.nexperia.com/documents/data-sheet/PMEG2010BELD.pdf" TargetMode="External"/><Relationship Id="rId41" Type="http://schemas.openxmlformats.org/officeDocument/2006/relationships/hyperlink" Target="https://octopart.com/click/track?ai=8078&amp;sig=05f022d&amp;sid=459&amp;ppid=78741408&amp;vpid=417205872&amp;ct=offers" TargetMode="External"/><Relationship Id="rId42" Type="http://schemas.openxmlformats.org/officeDocument/2006/relationships/hyperlink" Target="https://octopart.com/click/track?ai=8078&amp;sig=05e0068&amp;sid=819&amp;ppid=78741408&amp;vpid=521253387&amp;ct=offers" TargetMode="External"/><Relationship Id="rId43" Type="http://schemas.openxmlformats.org/officeDocument/2006/relationships/hyperlink" Target="https://octopart.com/click/track?ai=8078&amp;sig=077655c&amp;sid=2401&amp;ppid=78741408&amp;vpid=416182007&amp;ct=offers" TargetMode="External"/><Relationship Id="rId44" Type="http://schemas.openxmlformats.org/officeDocument/2006/relationships/hyperlink" Target="https://octopart.com/click/track?c=1&amp;ai=8078&amp;sig=03a6e2e&amp;sid=2402&amp;ppid=78741408&amp;vpid=511382518&amp;ct=offers" TargetMode="External"/><Relationship Id="rId45" Type="http://schemas.openxmlformats.org/officeDocument/2006/relationships/hyperlink" Target="https://www.onsemi.com/pub/Collateral/ESD7016-D.PDF" TargetMode="External"/><Relationship Id="rId46" Type="http://schemas.openxmlformats.org/officeDocument/2006/relationships/hyperlink" Target="https://octopart.com/click/track?ai=8078&amp;sig=0f2b3ec&amp;sid=459&amp;ppid=25645602&amp;vpid=210238806&amp;ct=offers" TargetMode="External"/><Relationship Id="rId47" Type="http://schemas.openxmlformats.org/officeDocument/2006/relationships/hyperlink" Target="https://octopart.com/click/track?ai=8078&amp;sig=0403273&amp;sid=819&amp;ppid=25645602&amp;vpid=260702969&amp;ct=offers" TargetMode="External"/><Relationship Id="rId48" Type="http://schemas.openxmlformats.org/officeDocument/2006/relationships/hyperlink" Target="https://octopart.com/click/track?ai=8078&amp;sig=0d3fc6a&amp;sid=27971&amp;ppid=25645602&amp;vpid=609441157&amp;ct=offers" TargetMode="External"/><Relationship Id="rId49" Type="http://schemas.openxmlformats.org/officeDocument/2006/relationships/hyperlink" Target="https://octopart.com/click/track?ai=8078&amp;sig=0b9599e&amp;sid=2401&amp;ppid=25645602&amp;vpid=93676548&amp;ct=offers" TargetMode="External"/><Relationship Id="rId50" Type="http://schemas.openxmlformats.org/officeDocument/2006/relationships/hyperlink" Target="https://octopart.com/click/track?ai=8078&amp;sig=0a93035&amp;sid=2402&amp;ppid=25645602&amp;vpid=261509788&amp;ct=offers" TargetMode="External"/><Relationship Id="rId51" Type="http://schemas.openxmlformats.org/officeDocument/2006/relationships/hyperlink" Target="https://octopart.com/click/track?ai=8078&amp;sig=0d534f4&amp;sid=10022&amp;ppid=25645602&amp;vpid=229322189&amp;ct=offers" TargetMode="External"/><Relationship Id="rId52" Type="http://schemas.openxmlformats.org/officeDocument/2006/relationships/hyperlink" Target="https://www.lumex.com/spec/SMD-LX0707RGB-TR.pdf" TargetMode="External"/><Relationship Id="rId53" Type="http://schemas.openxmlformats.org/officeDocument/2006/relationships/hyperlink" Target="https://octopart.com/click/track?ai=8078&amp;sig=011841b&amp;sid=459&amp;ppid=98770141&amp;vpid=527582517&amp;ct=offers" TargetMode="External"/><Relationship Id="rId54" Type="http://schemas.openxmlformats.org/officeDocument/2006/relationships/hyperlink" Target="https://octopart.com/click/track?c=1&amp;ai=8078&amp;sig=08846a9&amp;sid=819&amp;ppid=98770141&amp;vpid=575179783&amp;ct=offers" TargetMode="External"/><Relationship Id="rId55" Type="http://schemas.openxmlformats.org/officeDocument/2006/relationships/hyperlink" Target="https://octopart.com/click/track?ai=8078&amp;sig=01b9309&amp;sid=2401&amp;ppid=98770141&amp;vpid=527691918&amp;ct=offers" TargetMode="External"/><Relationship Id="rId56" Type="http://schemas.openxmlformats.org/officeDocument/2006/relationships/hyperlink" Target="https://octopart.com/click/track?c=1&amp;ai=8078&amp;sig=0c78da6&amp;sid=2402&amp;ppid=98770141&amp;vpid=547451562&amp;ct=offers" TargetMode="External"/><Relationship Id="rId57" Type="http://schemas.openxmlformats.org/officeDocument/2006/relationships/hyperlink" Target="https://octopart.com/click/track?ai=8078&amp;sig=0c17e6a&amp;sid=1532&amp;ppid=98770141&amp;vpid=620806387&amp;ct=offers" TargetMode="External"/><Relationship Id="rId58" Type="http://schemas.openxmlformats.org/officeDocument/2006/relationships/hyperlink" Target="https://octopart.com/click/track?ai=8078&amp;sig=0520302&amp;sid=459&amp;ppid=108884995&amp;vpid=629176617&amp;ct=offers" TargetMode="External"/><Relationship Id="rId59" Type="http://schemas.openxmlformats.org/officeDocument/2006/relationships/hyperlink" Target="https://octopart.com/click/track?ai=8078&amp;sig=040b270&amp;sid=2401&amp;ppid=108884995&amp;vpid=632245541&amp;ct=offers" TargetMode="External"/><Relationship Id="rId60" Type="http://schemas.openxmlformats.org/officeDocument/2006/relationships/hyperlink" Target="https://octopart.com/click/track?ai=8078&amp;sig=02bde79&amp;sid=10022&amp;ppid=108884995&amp;vpid=654522309&amp;ct=offers" TargetMode="External"/><Relationship Id="rId61" Type="http://schemas.openxmlformats.org/officeDocument/2006/relationships/hyperlink" Target="https://octopart.com/click/track?c=1&amp;ai=8078&amp;sig=01af8bd&amp;sid=459&amp;ppid=22265644&amp;vpid=47550630&amp;ct=offers" TargetMode="External"/><Relationship Id="rId62" Type="http://schemas.openxmlformats.org/officeDocument/2006/relationships/hyperlink" Target="https://octopart.com/click/track?c=1&amp;ai=8078&amp;sig=02f1022&amp;sid=459&amp;ppid=22265699&amp;vpid=47550685&amp;ct=offers" TargetMode="External"/><Relationship Id="rId63" Type="http://schemas.openxmlformats.org/officeDocument/2006/relationships/hyperlink" Target="https://assets.nexperia.com/documents/data-sheet/PEMH4_PUMH4.pdf" TargetMode="External"/><Relationship Id="rId64" Type="http://schemas.openxmlformats.org/officeDocument/2006/relationships/hyperlink" Target="https://octopart.com/click/track?c=1&amp;ai=8078&amp;sig=0a777c0&amp;sid=459&amp;ppid=78754818&amp;vpid=413679980&amp;ct=offers" TargetMode="External"/><Relationship Id="rId65" Type="http://schemas.openxmlformats.org/officeDocument/2006/relationships/hyperlink" Target="https://octopart.com/click/track?c=1&amp;ai=8078&amp;sig=05dcde8&amp;sid=819&amp;ppid=78754818&amp;vpid=414861426&amp;ct=offers" TargetMode="External"/><Relationship Id="rId66" Type="http://schemas.openxmlformats.org/officeDocument/2006/relationships/hyperlink" Target="https://octopart.com/click/track?ai=8078&amp;sig=023faf4&amp;sid=2401&amp;ppid=78754818&amp;vpid=416181661&amp;ct=offers" TargetMode="External"/><Relationship Id="rId67" Type="http://schemas.openxmlformats.org/officeDocument/2006/relationships/hyperlink" Target="https://octopart.com/click/track?c=1&amp;ai=8078&amp;sig=0cc952a&amp;sid=2402&amp;ppid=78754818&amp;vpid=598286280&amp;ct=offers" TargetMode="External"/><Relationship Id="rId68" Type="http://schemas.openxmlformats.org/officeDocument/2006/relationships/hyperlink" Target="https://assets.nexperia.com/documents/data-sheet/PDTA143ZMB.pdf" TargetMode="External"/><Relationship Id="rId69" Type="http://schemas.openxmlformats.org/officeDocument/2006/relationships/hyperlink" Target="https://octopart.com/click/track?c=1&amp;ai=8078&amp;sig=0944463&amp;sid=459&amp;ppid=78754604&amp;vpid=413679736&amp;ct=offers" TargetMode="External"/><Relationship Id="rId70" Type="http://schemas.openxmlformats.org/officeDocument/2006/relationships/hyperlink" Target="https://octopart.com/click/track?ai=8078&amp;sig=0d6ccfc&amp;sid=2401&amp;ppid=78754604&amp;vpid=504003500&amp;ct=offers" TargetMode="External"/><Relationship Id="rId71" Type="http://schemas.openxmlformats.org/officeDocument/2006/relationships/hyperlink" Target="https://octopart.com/click/track?ai=8078&amp;sig=06e3983&amp;sid=459&amp;ppid=16432844&amp;vpid=73994004&amp;ct=offers" TargetMode="External"/><Relationship Id="rId72" Type="http://schemas.openxmlformats.org/officeDocument/2006/relationships/hyperlink" Target="https://octopart.com/click/track?c=1&amp;ai=8078&amp;sig=00be688&amp;sid=819&amp;ppid=16432844&amp;vpid=670693408&amp;ct=offers" TargetMode="External"/><Relationship Id="rId73" Type="http://schemas.openxmlformats.org/officeDocument/2006/relationships/hyperlink" Target="https://octopart.com/click/track?ai=8078&amp;sig=0c11d98&amp;sid=27971&amp;ppid=16432844&amp;vpid=669037551&amp;ct=offers" TargetMode="External"/><Relationship Id="rId74" Type="http://schemas.openxmlformats.org/officeDocument/2006/relationships/hyperlink" Target="https://octopart.com/click/track?ai=8078&amp;sig=06ab724&amp;sid=2401&amp;ppid=16432844&amp;vpid=41840075&amp;ct=offers" TargetMode="External"/><Relationship Id="rId75" Type="http://schemas.openxmlformats.org/officeDocument/2006/relationships/hyperlink" Target="https://octopart.com/click/track?ai=8078&amp;sig=03714c0&amp;sid=2402&amp;ppid=16432844&amp;vpid=87993748&amp;ct=offers" TargetMode="External"/><Relationship Id="rId76" Type="http://schemas.openxmlformats.org/officeDocument/2006/relationships/hyperlink" Target="https://octopart.com/click/track?ai=8078&amp;sig=03492ea&amp;sid=10022&amp;ppid=16432844&amp;vpid=501237966&amp;ct=offers" TargetMode="External"/><Relationship Id="rId77" Type="http://schemas.openxmlformats.org/officeDocument/2006/relationships/hyperlink" Target="https://octopart.com/click/track?ai=8078&amp;sig=04c141c&amp;sid=459&amp;ppid=56009610&amp;vpid=465235346&amp;ct=offers" TargetMode="External"/><Relationship Id="rId78" Type="http://schemas.openxmlformats.org/officeDocument/2006/relationships/hyperlink" Target="https://octopart.com/click/track?c=1&amp;ai=8078&amp;sig=06eae92&amp;sid=819&amp;ppid=56009610&amp;vpid=603690914&amp;ct=offers" TargetMode="External"/><Relationship Id="rId79" Type="http://schemas.openxmlformats.org/officeDocument/2006/relationships/hyperlink" Target="https://octopart.com/click/track?ai=8078&amp;sig=035fffd&amp;sid=2401&amp;ppid=56009610&amp;vpid=265582860&amp;ct=offers" TargetMode="External"/><Relationship Id="rId80" Type="http://schemas.openxmlformats.org/officeDocument/2006/relationships/hyperlink" Target="https://octopart.com/click/track?ai=8078&amp;sig=0fe0904&amp;sid=459&amp;ppid=44403350&amp;vpid=465235292&amp;ct=offers" TargetMode="External"/><Relationship Id="rId81" Type="http://schemas.openxmlformats.org/officeDocument/2006/relationships/hyperlink" Target="https://octopart.com/click/track?c=1&amp;ai=8078&amp;sig=098df08&amp;sid=819&amp;ppid=44403350&amp;vpid=603690887&amp;ct=offers" TargetMode="External"/><Relationship Id="rId82" Type="http://schemas.openxmlformats.org/officeDocument/2006/relationships/hyperlink" Target="https://octopart.com/click/track?ai=8078&amp;sig=07d1d1b&amp;sid=2401&amp;ppid=44403350&amp;vpid=248150297&amp;ct=offers" TargetMode="External"/><Relationship Id="rId83" Type="http://schemas.openxmlformats.org/officeDocument/2006/relationships/hyperlink" Target="https://octopart.com/click/track?c=1&amp;ai=8078&amp;sig=01bc52e&amp;sid=2402&amp;ppid=44403350&amp;vpid=632042349&amp;ct=offers" TargetMode="External"/><Relationship Id="rId84" Type="http://schemas.openxmlformats.org/officeDocument/2006/relationships/hyperlink" Target="https://octopart.com/click/track?ai=8078&amp;sig=07954d2&amp;sid=10022&amp;ppid=44403350&amp;vpid=527534079&amp;ct=offers" TargetMode="External"/><Relationship Id="rId85" Type="http://schemas.openxmlformats.org/officeDocument/2006/relationships/hyperlink" Target="https://octopart.com/click/track?ai=8078&amp;sig=0301d78&amp;sid=459&amp;ppid=44322539&amp;vpid=465235182&amp;ct=offers" TargetMode="External"/><Relationship Id="rId86" Type="http://schemas.openxmlformats.org/officeDocument/2006/relationships/hyperlink" Target="https://octopart.com/click/track?c=1&amp;ai=8078&amp;sig=0fd9335&amp;sid=819&amp;ppid=44322539&amp;vpid=603690832&amp;ct=offers" TargetMode="External"/><Relationship Id="rId87" Type="http://schemas.openxmlformats.org/officeDocument/2006/relationships/hyperlink" Target="https://octopart.com/click/track?ai=8078&amp;sig=06c973b&amp;sid=27971&amp;ppid=44322539&amp;vpid=495511688&amp;ct=offers" TargetMode="External"/><Relationship Id="rId88" Type="http://schemas.openxmlformats.org/officeDocument/2006/relationships/hyperlink" Target="https://octopart.com/click/track?ai=8078&amp;sig=0a64394&amp;sid=2401&amp;ppid=44322539&amp;vpid=120580014&amp;ct=offers" TargetMode="External"/><Relationship Id="rId89" Type="http://schemas.openxmlformats.org/officeDocument/2006/relationships/hyperlink" Target="https://octopart.com/click/track?c=1&amp;ai=8078&amp;sig=050ae47&amp;sid=2402&amp;ppid=44322539&amp;vpid=173683819&amp;ct=offers" TargetMode="External"/><Relationship Id="rId90" Type="http://schemas.openxmlformats.org/officeDocument/2006/relationships/hyperlink" Target="https://octopart.com/click/track?ai=8078&amp;sig=0dcb783&amp;sid=10022&amp;ppid=44322539&amp;vpid=527534071&amp;ct=offers" TargetMode="External"/><Relationship Id="rId91" Type="http://schemas.openxmlformats.org/officeDocument/2006/relationships/hyperlink" Target="https://octopart.com/click/track?ai=8078&amp;sig=0dd36dc&amp;sid=459&amp;ppid=66942597&amp;vpid=465235418&amp;ct=offers" TargetMode="External"/><Relationship Id="rId92" Type="http://schemas.openxmlformats.org/officeDocument/2006/relationships/hyperlink" Target="https://octopart.com/click/track?c=1&amp;ai=8078&amp;sig=01b939b&amp;sid=819&amp;ppid=66942597&amp;vpid=603690950&amp;ct=offers" TargetMode="External"/><Relationship Id="rId93" Type="http://schemas.openxmlformats.org/officeDocument/2006/relationships/hyperlink" Target="https://octopart.com/click/track?ai=8078&amp;sig=07a33f5&amp;sid=2401&amp;ppid=66942597&amp;vpid=265943161&amp;ct=offers" TargetMode="External"/><Relationship Id="rId94" Type="http://schemas.openxmlformats.org/officeDocument/2006/relationships/hyperlink" Target="https://octopart.com/click/track?c=1&amp;ai=8078&amp;sig=0cb0675&amp;sid=2402&amp;ppid=66942597&amp;vpid=669843420&amp;ct=offers" TargetMode="External"/><Relationship Id="rId95" Type="http://schemas.openxmlformats.org/officeDocument/2006/relationships/hyperlink" Target="https://octopart.com/click/track?ai=8078&amp;sig=080fecf&amp;sid=459&amp;ppid=44403300&amp;vpid=465235178&amp;ct=offers" TargetMode="External"/><Relationship Id="rId96" Type="http://schemas.openxmlformats.org/officeDocument/2006/relationships/hyperlink" Target="https://octopart.com/click/track?c=1&amp;ai=8078&amp;sig=0b30f5a&amp;sid=819&amp;ppid=44403300&amp;vpid=603690830&amp;ct=offers" TargetMode="External"/><Relationship Id="rId97" Type="http://schemas.openxmlformats.org/officeDocument/2006/relationships/hyperlink" Target="https://octopart.com/click/track?ai=8078&amp;sig=08d00b1&amp;sid=27971&amp;ppid=44403300&amp;vpid=669037577&amp;ct=offers" TargetMode="External"/><Relationship Id="rId98" Type="http://schemas.openxmlformats.org/officeDocument/2006/relationships/hyperlink" Target="https://octopart.com/click/track?ai=8078&amp;sig=0e9f721&amp;sid=2401&amp;ppid=44403300&amp;vpid=165486549&amp;ct=offers" TargetMode="External"/><Relationship Id="rId99" Type="http://schemas.openxmlformats.org/officeDocument/2006/relationships/hyperlink" Target="https://octopart.com/click/track?c=1&amp;ai=8078&amp;sig=0f3777c&amp;sid=2402&amp;ppid=44403300&amp;vpid=166626673&amp;ct=offers" TargetMode="External"/><Relationship Id="rId100" Type="http://schemas.openxmlformats.org/officeDocument/2006/relationships/hyperlink" Target="https://octopart.com/click/track?ai=8078&amp;sig=05f26cb&amp;sid=10022&amp;ppid=44403300&amp;vpid=527534069&amp;ct=offers" TargetMode="External"/><Relationship Id="rId101" Type="http://schemas.openxmlformats.org/officeDocument/2006/relationships/hyperlink" Target="https://www.onsemi.com/pub/Collateral/NCP163-D.PDF" TargetMode="External"/><Relationship Id="rId102" Type="http://schemas.openxmlformats.org/officeDocument/2006/relationships/hyperlink" Target="https://octopart.com/click/track?ai=8078&amp;sig=09c93ea&amp;sid=459&amp;ppid=97430324&amp;vpid=530205246&amp;ct=offers" TargetMode="External"/><Relationship Id="rId103" Type="http://schemas.openxmlformats.org/officeDocument/2006/relationships/hyperlink" Target="https://octopart.com/click/track?ai=8078&amp;sig=0067d69&amp;sid=819&amp;ppid=97430324&amp;vpid=530799187&amp;ct=offers" TargetMode="External"/><Relationship Id="rId104" Type="http://schemas.openxmlformats.org/officeDocument/2006/relationships/hyperlink" Target="https://octopart.com/click/track?ai=8078&amp;sig=01a0ea2&amp;sid=2401&amp;ppid=97430324&amp;vpid=523401653&amp;ct=offers" TargetMode="External"/><Relationship Id="rId105" Type="http://schemas.openxmlformats.org/officeDocument/2006/relationships/hyperlink" Target="https://octopart.com/click/track?c=1&amp;ai=8078&amp;sig=0fcd0d6&amp;sid=2402&amp;ppid=97430324&amp;vpid=531928849&amp;ct=offers" TargetMode="External"/><Relationship Id="rId106" Type="http://schemas.openxmlformats.org/officeDocument/2006/relationships/hyperlink" Target="https://octopart.com/click/track?ai=8078&amp;sig=0934e9c&amp;sid=10022&amp;ppid=97430324&amp;vpid=562641301&amp;ct=offers" TargetMode="External"/><Relationship Id="rId107" Type="http://schemas.openxmlformats.org/officeDocument/2006/relationships/hyperlink" Target="https://assets.nexperia.com/documents/data-sheet/CBTD3306.pdf" TargetMode="External"/><Relationship Id="rId108" Type="http://schemas.openxmlformats.org/officeDocument/2006/relationships/hyperlink" Target="https://octopart.com/click/track?ai=8078&amp;sig=003f4c3&amp;sid=459&amp;ppid=78740399&amp;vpid=417202772&amp;ct=offers" TargetMode="External"/><Relationship Id="rId109" Type="http://schemas.openxmlformats.org/officeDocument/2006/relationships/hyperlink" Target="https://www.ti.com/lit/ds/symlink/sn74cbtd16211.pdf" TargetMode="External"/><Relationship Id="rId110" Type="http://schemas.openxmlformats.org/officeDocument/2006/relationships/hyperlink" Target="https://octopart.com/click/track?ai=8078&amp;sig=0cbdaa3&amp;sid=459&amp;ppid=472676&amp;vpid=1565734&amp;ct=offers" TargetMode="External"/><Relationship Id="rId111" Type="http://schemas.openxmlformats.org/officeDocument/2006/relationships/hyperlink" Target="https://octopart.com/click/track?ai=8078&amp;sig=0681b00&amp;sid=2401&amp;ppid=472676&amp;vpid=46887142&amp;ct=offers" TargetMode="External"/><Relationship Id="rId112" Type="http://schemas.openxmlformats.org/officeDocument/2006/relationships/hyperlink" Target="https://www.onsemi.com/pub/Collateral/NCP167-D.PDF" TargetMode="External"/><Relationship Id="rId113" Type="http://schemas.openxmlformats.org/officeDocument/2006/relationships/hyperlink" Target="https://octopart.com/click/track?ai=8078&amp;sig=0d010f3&amp;sid=459&amp;ppid=86977118&amp;vpid=530205255&amp;ct=offers" TargetMode="External"/><Relationship Id="rId114" Type="http://schemas.openxmlformats.org/officeDocument/2006/relationships/hyperlink" Target="https://octopart.com/click/track?ai=8078&amp;sig=0298170&amp;sid=11744&amp;ppid=86977118&amp;vpid=531143323&amp;ct=offers" TargetMode="External"/><Relationship Id="rId115" Type="http://schemas.openxmlformats.org/officeDocument/2006/relationships/hyperlink" Target="https://octopart.com/click/track?ai=8078&amp;sig=09fdc63&amp;sid=2401&amp;ppid=86977118&amp;vpid=523401656&amp;ct=offers" TargetMode="External"/><Relationship Id="rId116" Type="http://schemas.openxmlformats.org/officeDocument/2006/relationships/hyperlink" Target="https://octopart.com/click/track?c=1&amp;ai=8078&amp;sig=05b93e8&amp;sid=2402&amp;ppid=86977118&amp;vpid=531928852&amp;ct=offers" TargetMode="External"/><Relationship Id="rId117" Type="http://schemas.openxmlformats.org/officeDocument/2006/relationships/hyperlink" Target="https://octopart.com/click/track?ai=8078&amp;sig=05f067e&amp;sid=10022&amp;ppid=86977118&amp;vpid=562641317&amp;ct=offers" TargetMode="External"/><Relationship Id="rId118" Type="http://schemas.openxmlformats.org/officeDocument/2006/relationships/hyperlink" Target="https://www.onsemi.com/pub/Collateral/FSA221-D.pdf" TargetMode="External"/><Relationship Id="rId119" Type="http://schemas.openxmlformats.org/officeDocument/2006/relationships/hyperlink" Target="https://octopart.com/click/track?c=1&amp;ai=8078&amp;sig=0bf5e3c&amp;sid=459&amp;ppid=84328203&amp;vpid=452466845&amp;ct=offers" TargetMode="External"/><Relationship Id="rId120" Type="http://schemas.openxmlformats.org/officeDocument/2006/relationships/hyperlink" Target="https://octopart.com/click/track?ai=8078&amp;sig=07ee363&amp;sid=2401&amp;ppid=84328203&amp;vpid=438583992&amp;ct=offers" TargetMode="External"/><Relationship Id="rId121" Type="http://schemas.openxmlformats.org/officeDocument/2006/relationships/hyperlink" Target="https://www.nxp.com/docs/en/data-sheet/SGTL5000.pdf" TargetMode="External"/><Relationship Id="rId122" Type="http://schemas.openxmlformats.org/officeDocument/2006/relationships/hyperlink" Target="https://octopart.com/click/track?ai=8078&amp;sig=08df8b0&amp;sid=459&amp;ppid=70302734&amp;vpid=355515742&amp;ct=offers" TargetMode="External"/><Relationship Id="rId123" Type="http://schemas.openxmlformats.org/officeDocument/2006/relationships/hyperlink" Target="https://octopart.com/click/track?ai=8078&amp;sig=088d33d&amp;sid=819&amp;ppid=70302734&amp;vpid=441865499&amp;ct=offers" TargetMode="External"/><Relationship Id="rId124" Type="http://schemas.openxmlformats.org/officeDocument/2006/relationships/hyperlink" Target="https://octopart.com/click/track?ai=8078&amp;sig=0c3771c&amp;sid=2401&amp;ppid=70302734&amp;vpid=251555961&amp;ct=offers" TargetMode="External"/><Relationship Id="rId125" Type="http://schemas.openxmlformats.org/officeDocument/2006/relationships/hyperlink" Target="https://octopart.com/click/track?ai=8078&amp;sig=0cd2873&amp;sid=2402&amp;ppid=70302734&amp;vpid=444018517&amp;ct=offers" TargetMode="External"/><Relationship Id="rId126" Type="http://schemas.openxmlformats.org/officeDocument/2006/relationships/hyperlink" Target="https://www.espressif.com/sites/default/files/documentation/esp32-pico-v3-02_datasheet_en.pdf" TargetMode="External"/><Relationship Id="rId127" Type="http://schemas.openxmlformats.org/officeDocument/2006/relationships/hyperlink" Target="https://octopart.com/click/track?c=1&amp;ai=8078&amp;sig=02cf195&amp;sid=459&amp;ppid=112268551&amp;vpid=658695230&amp;ct=offers" TargetMode="External"/><Relationship Id="rId128" Type="http://schemas.openxmlformats.org/officeDocument/2006/relationships/hyperlink" Target="https://octopart.com/click/track?ai=8078&amp;sig=0e7b5ee&amp;sid=2401&amp;ppid=112268551&amp;vpid=659792027&amp;ct=offers" TargetMode="External"/><Relationship Id="rId129" Type="http://schemas.openxmlformats.org/officeDocument/2006/relationships/hyperlink" Target="https://octopart.com/click/track?ai=8078&amp;sig=0c4a647&amp;sid=1532&amp;ppid=112268551&amp;vpid=664302667&amp;ct=offers" TargetMode="External"/><Relationship Id="rId130" Type="http://schemas.openxmlformats.org/officeDocument/2006/relationships/hyperlink" Target="https://www.silabs.com/documents/public/data-sheets/cp2102n-datasheet.pdf" TargetMode="External"/><Relationship Id="rId131" Type="http://schemas.openxmlformats.org/officeDocument/2006/relationships/hyperlink" Target="https://octopart.com/click/track?ai=8078&amp;sig=0542edf&amp;sid=459&amp;ppid=99772192&amp;vpid=533329931&amp;ct=offers" TargetMode="External"/><Relationship Id="rId132" Type="http://schemas.openxmlformats.org/officeDocument/2006/relationships/hyperlink" Target="https://octopart.com/click/track?c=1&amp;ai=8078&amp;sig=039ff2d&amp;sid=819&amp;ppid=99772192&amp;vpid=614748455&amp;ct=offers" TargetMode="External"/><Relationship Id="rId133" Type="http://schemas.openxmlformats.org/officeDocument/2006/relationships/hyperlink" Target="https://octopart.com/click/track?ai=8078&amp;sig=0a50d31&amp;sid=2401&amp;ppid=99772192&amp;vpid=534001944&amp;ct=offers" TargetMode="External"/><Relationship Id="rId134" Type="http://schemas.openxmlformats.org/officeDocument/2006/relationships/hyperlink" Target="https://octopart.com/click/track?c=1&amp;ai=8078&amp;sig=00399cc&amp;sid=2402&amp;ppid=99772192&amp;vpid=614834886&amp;ct=offers" TargetMode="External"/><Relationship Id="rId135" Type="http://schemas.openxmlformats.org/officeDocument/2006/relationships/hyperlink" Target="https://www.onsemi.com/pub/Collateral/FSA8049-D.pdf" TargetMode="External"/><Relationship Id="rId136" Type="http://schemas.openxmlformats.org/officeDocument/2006/relationships/hyperlink" Target="https://octopart.com/click/track?ai=8078&amp;sig=04f3049&amp;sid=459&amp;ppid=84328290&amp;vpid=452467072&amp;ct=offers" TargetMode="External"/><Relationship Id="rId137" Type="http://schemas.openxmlformats.org/officeDocument/2006/relationships/hyperlink" Target="https://octopart.com/click/track?c=1&amp;ai=8078&amp;sig=0bddf8a&amp;sid=11744&amp;ppid=84328290&amp;vpid=440102216&amp;ct=offers" TargetMode="External"/><Relationship Id="rId138" Type="http://schemas.openxmlformats.org/officeDocument/2006/relationships/hyperlink" Target="https://octopart.com/click/track?ai=8078&amp;sig=0683f8d&amp;sid=2401&amp;ppid=84328290&amp;vpid=438584064&amp;ct=offers" TargetMode="External"/><Relationship Id="rId139" Type="http://schemas.openxmlformats.org/officeDocument/2006/relationships/hyperlink" Target="https://octopart.com/click/track?c=1&amp;ai=8078&amp;sig=08b34e2&amp;sid=2402&amp;ppid=84328290&amp;vpid=518569690&amp;ct=offers" TargetMode="External"/><Relationship Id="rId140" Type="http://schemas.openxmlformats.org/officeDocument/2006/relationships/hyperlink" Target="http://www.latticesemi.com/Products/FPGAandCPLD/iCE40UltraPlus" TargetMode="External"/><Relationship Id="rId141" Type="http://schemas.openxmlformats.org/officeDocument/2006/relationships/hyperlink" Target="https://octopart.com/click/track?ai=8078&amp;sig=0ad1226&amp;sid=459&amp;ppid=87369311&amp;vpid=495120370&amp;ct=offers" TargetMode="External"/><Relationship Id="rId142" Type="http://schemas.openxmlformats.org/officeDocument/2006/relationships/hyperlink" Target="https://octopart.com/click/track?ai=8078&amp;sig=00e2810&amp;sid=2401&amp;ppid=87369311&amp;vpid=477152809&amp;ct=offers" TargetMode="External"/><Relationship Id="rId143" Type="http://schemas.openxmlformats.org/officeDocument/2006/relationships/hyperlink" Target="https://www.apmemory.com/wp-content/uploads/APM_PSRAM_QSPI-APS6404L-3SQR-v2.3-PKG.pdf" TargetMode="External"/><Relationship Id="rId144" Type="http://schemas.openxmlformats.org/officeDocument/2006/relationships/vmlDrawing" Target="../drawings/vmlDrawing1.vml"/><Relationship Id="rId14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5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178</v>
      </c>
      <c r="B1" s="2" t="s">
        <v>179</v>
      </c>
      <c r="I1" s="3" t="s">
        <v>184</v>
      </c>
      <c r="J1" s="3">
        <v>100</v>
      </c>
    </row>
    <row r="2" spans="1:50">
      <c r="A2" s="1" t="s">
        <v>180</v>
      </c>
      <c r="B2" s="2" t="s">
        <v>181</v>
      </c>
      <c r="I2" s="1" t="s">
        <v>186</v>
      </c>
      <c r="J2" s="4">
        <f>TotalCost/BoardQty</f>
        <v>0</v>
      </c>
    </row>
    <row r="3" spans="1:50">
      <c r="A3" s="1" t="s">
        <v>182</v>
      </c>
      <c r="B3" s="2" t="s">
        <v>183</v>
      </c>
      <c r="I3" s="1" t="s">
        <v>185</v>
      </c>
      <c r="J3" s="5">
        <f>SUM(J7:J39)</f>
        <v>0</v>
      </c>
      <c r="N3" s="5">
        <f>SUM(N7:N39)</f>
        <v>0</v>
      </c>
      <c r="O3" s="6">
        <f>(COUNTA(N7:N39)&amp;" of "&amp;ROWS(N7:N39)&amp;" parts found"</f>
        <v>0</v>
      </c>
      <c r="S3" s="5">
        <f>SUM(S7:S39)</f>
        <v>0</v>
      </c>
      <c r="T3" s="6">
        <f>(COUNTA(S7:S39)&amp;" of "&amp;ROWS(S7:S39)&amp;" parts found"</f>
        <v>0</v>
      </c>
      <c r="X3" s="5">
        <f>SUM(X7:X39)</f>
        <v>0</v>
      </c>
      <c r="Y3" s="6">
        <f>(COUNTA(X7:X39)&amp;" of "&amp;ROWS(X7:X39)&amp;" parts found"</f>
        <v>0</v>
      </c>
      <c r="AC3" s="5">
        <f>SUM(AC7:AC39)</f>
        <v>0</v>
      </c>
      <c r="AD3" s="6">
        <f>(COUNTA(AC7:AC39)&amp;" of "&amp;ROWS(AC7:AC39)&amp;" parts found"</f>
        <v>0</v>
      </c>
      <c r="AH3" s="5">
        <f>SUM(AH7:AH39)</f>
        <v>0</v>
      </c>
      <c r="AI3" s="6">
        <f>(COUNTA(AH7:AH39)&amp;" of "&amp;ROWS(AH7:AH39)&amp;" parts found"</f>
        <v>0</v>
      </c>
      <c r="AM3" s="5">
        <f>SUM(AM7:AM39)</f>
        <v>0</v>
      </c>
      <c r="AN3" s="6">
        <f>(COUNTA(AM7:AM39)&amp;" of "&amp;ROWS(AM7:AM39)&amp;" parts found"</f>
        <v>0</v>
      </c>
      <c r="AR3" s="5">
        <f>SUM(AR7:AR39)</f>
        <v>0</v>
      </c>
      <c r="AS3" s="6">
        <f>(COUNTA(AR7:AR39)&amp;" of "&amp;ROWS(AR7:AR39)&amp;" parts found"</f>
        <v>0</v>
      </c>
      <c r="AW3" s="5">
        <f>SUM(AW7:AW39)</f>
        <v>0</v>
      </c>
      <c r="AX3" s="6">
        <f>(COUNTA(AW7:AW39)&amp;" of "&amp;ROWS(AW7:AW39)&amp;" parts found"</f>
        <v>0</v>
      </c>
    </row>
    <row r="4" spans="1:50">
      <c r="A4" s="1" t="s">
        <v>187</v>
      </c>
      <c r="B4" s="2" t="s">
        <v>188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189</v>
      </c>
      <c r="L5" s="8"/>
      <c r="M5" s="8"/>
      <c r="N5" s="8"/>
      <c r="O5" s="8"/>
      <c r="P5" s="9" t="s">
        <v>193</v>
      </c>
      <c r="Q5" s="9"/>
      <c r="R5" s="9"/>
      <c r="S5" s="9"/>
      <c r="T5" s="9"/>
      <c r="U5" s="10" t="s">
        <v>227</v>
      </c>
      <c r="V5" s="10"/>
      <c r="W5" s="10"/>
      <c r="X5" s="10"/>
      <c r="Y5" s="10"/>
      <c r="Z5" s="11" t="s">
        <v>250</v>
      </c>
      <c r="AA5" s="11"/>
      <c r="AB5" s="11"/>
      <c r="AC5" s="11"/>
      <c r="AD5" s="11"/>
      <c r="AE5" s="12" t="s">
        <v>260</v>
      </c>
      <c r="AF5" s="12"/>
      <c r="AG5" s="12"/>
      <c r="AH5" s="12"/>
      <c r="AI5" s="12"/>
      <c r="AJ5" s="13" t="s">
        <v>290</v>
      </c>
      <c r="AK5" s="13"/>
      <c r="AL5" s="13"/>
      <c r="AM5" s="13"/>
      <c r="AN5" s="13"/>
      <c r="AO5" s="14" t="s">
        <v>312</v>
      </c>
      <c r="AP5" s="14"/>
      <c r="AQ5" s="14"/>
      <c r="AR5" s="14"/>
      <c r="AS5" s="14"/>
      <c r="AT5" s="15" t="s">
        <v>323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190</v>
      </c>
      <c r="L6" s="16" t="s">
        <v>191</v>
      </c>
      <c r="M6" s="16" t="s">
        <v>8</v>
      </c>
      <c r="N6" s="16" t="s">
        <v>9</v>
      </c>
      <c r="O6" s="16" t="s">
        <v>192</v>
      </c>
      <c r="P6" s="16" t="s">
        <v>190</v>
      </c>
      <c r="Q6" s="16" t="s">
        <v>191</v>
      </c>
      <c r="R6" s="16" t="s">
        <v>8</v>
      </c>
      <c r="S6" s="16" t="s">
        <v>9</v>
      </c>
      <c r="T6" s="16" t="s">
        <v>192</v>
      </c>
      <c r="U6" s="16" t="s">
        <v>190</v>
      </c>
      <c r="V6" s="16" t="s">
        <v>191</v>
      </c>
      <c r="W6" s="16" t="s">
        <v>8</v>
      </c>
      <c r="X6" s="16" t="s">
        <v>9</v>
      </c>
      <c r="Y6" s="16" t="s">
        <v>192</v>
      </c>
      <c r="Z6" s="16" t="s">
        <v>190</v>
      </c>
      <c r="AA6" s="16" t="s">
        <v>191</v>
      </c>
      <c r="AB6" s="16" t="s">
        <v>8</v>
      </c>
      <c r="AC6" s="16" t="s">
        <v>9</v>
      </c>
      <c r="AD6" s="16" t="s">
        <v>192</v>
      </c>
      <c r="AE6" s="16" t="s">
        <v>190</v>
      </c>
      <c r="AF6" s="16" t="s">
        <v>191</v>
      </c>
      <c r="AG6" s="16" t="s">
        <v>8</v>
      </c>
      <c r="AH6" s="16" t="s">
        <v>9</v>
      </c>
      <c r="AI6" s="16" t="s">
        <v>192</v>
      </c>
      <c r="AJ6" s="16" t="s">
        <v>190</v>
      </c>
      <c r="AK6" s="16" t="s">
        <v>191</v>
      </c>
      <c r="AL6" s="16" t="s">
        <v>8</v>
      </c>
      <c r="AM6" s="16" t="s">
        <v>9</v>
      </c>
      <c r="AN6" s="16" t="s">
        <v>192</v>
      </c>
      <c r="AO6" s="16" t="s">
        <v>190</v>
      </c>
      <c r="AP6" s="16" t="s">
        <v>191</v>
      </c>
      <c r="AQ6" s="16" t="s">
        <v>8</v>
      </c>
      <c r="AR6" s="16" t="s">
        <v>9</v>
      </c>
      <c r="AS6" s="16" t="s">
        <v>192</v>
      </c>
      <c r="AT6" s="16" t="s">
        <v>190</v>
      </c>
      <c r="AU6" s="16" t="s">
        <v>191</v>
      </c>
      <c r="AV6" s="16" t="s">
        <v>8</v>
      </c>
      <c r="AW6" s="16" t="s">
        <v>9</v>
      </c>
      <c r="AX6" s="16" t="s">
        <v>192</v>
      </c>
    </row>
    <row r="7" spans="1:50">
      <c r="A7" s="17" t="s">
        <v>11</v>
      </c>
      <c r="B7" s="17" t="s">
        <v>12</v>
      </c>
      <c r="C7" s="17" t="s">
        <v>13</v>
      </c>
      <c r="E7" s="17" t="s">
        <v>14</v>
      </c>
      <c r="F7" s="17" t="s">
        <v>15</v>
      </c>
      <c r="G7" s="17" t="s">
        <v>12</v>
      </c>
      <c r="H7" s="17">
        <f>BoardQty*1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6347</v>
      </c>
      <c r="R7" s="18">
        <f>iferror(lookup(if(Q7="",H7,Q7),{0,1,10,25,100,250,500,1800,3600,5400,12600,45000},{0.0,1.61,1.448,1.3656,1.1636,1.0926,0.95602,0.78155,0.72765,0.7007,0.67375,0.66297}),"")</f>
        <v>0</v>
      </c>
      <c r="S7" s="18">
        <f>iferror(if(Q7="",H7,Q7)*R7,"")</f>
        <v>0</v>
      </c>
      <c r="T7" s="19" t="s">
        <v>194</v>
      </c>
      <c r="U7" s="17">
        <v>6930</v>
      </c>
      <c r="W7" s="18">
        <f>iferror(USD_GBP*lookup(if(V7="",H7,V7),{0,1,10,50,100,250,500,1000,1800,2500,4500,9000,45000},{0.0,1.1,1.1,1.01,0.872,0.765,0.588,0.676,0.616,0.572,0.57,0.604,0.566}),"")</f>
        <v>0</v>
      </c>
      <c r="X7" s="18">
        <f>iferror(if(V7="",H7,V7)*W7,"")</f>
        <v>0</v>
      </c>
      <c r="Y7" s="19" t="s">
        <v>228</v>
      </c>
      <c r="AE7" s="17">
        <v>9062</v>
      </c>
      <c r="AI7" s="19" t="s">
        <v>261</v>
      </c>
      <c r="AJ7" s="17">
        <v>9000</v>
      </c>
      <c r="AL7" s="18">
        <f>iferror(lookup(if(AK7="",H7,AK7),{0,1,25,100,250,500,1000},{0.0,0.546,0.546,0.546,0.546,0.546,0.546}),"")</f>
        <v>0</v>
      </c>
      <c r="AM7" s="18">
        <f>iferror(if(AK7="",H7,AK7)*AL7,"")</f>
        <v>0</v>
      </c>
      <c r="AN7" s="19" t="s">
        <v>291</v>
      </c>
      <c r="AO7" s="17">
        <v>7012</v>
      </c>
      <c r="AQ7" s="18">
        <f>iferror(USD_GBP*lookup(if(AP7="",H7,AP7),{0,1,25,50,100,250},{0.0,1.28,1.09,0.96,0.83,0.77}),"")</f>
        <v>0</v>
      </c>
      <c r="AR7" s="18">
        <f>iferror(if(AP7="",H7,AP7)*AQ7,"")</f>
        <v>0</v>
      </c>
      <c r="AS7" s="19" t="s">
        <v>313</v>
      </c>
      <c r="AT7" s="20" t="s">
        <v>201</v>
      </c>
      <c r="AV7" s="18">
        <f>iferror(lookup(if(AU7="",H7,AU7),{0,1,1800},{0.0,0.82261,0.82261}),"")</f>
        <v>0</v>
      </c>
      <c r="AW7" s="18">
        <f>iferror(if(AU7="",H7,AU7)*AV7,"")</f>
        <v>0</v>
      </c>
      <c r="AX7" s="19" t="s">
        <v>324</v>
      </c>
    </row>
    <row r="8" spans="1:50">
      <c r="A8" s="17" t="s">
        <v>16</v>
      </c>
      <c r="B8" s="17" t="s">
        <v>17</v>
      </c>
      <c r="C8" s="17" t="s">
        <v>18</v>
      </c>
      <c r="D8" s="17" t="s">
        <v>22</v>
      </c>
      <c r="E8" s="17" t="s">
        <v>19</v>
      </c>
      <c r="F8" s="17" t="s">
        <v>20</v>
      </c>
      <c r="G8" s="17" t="s">
        <v>21</v>
      </c>
      <c r="H8" s="17">
        <f>BoardQty*2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7">
        <v>1025</v>
      </c>
      <c r="R8" s="18">
        <f>iferror(lookup(if(Q8="",H8,Q8),{0,1,10,50,100,500,1000,2500,5000,10000,20000,30000,50000,100000,250000},{0.0,0.28,0.19,0.1138,0.0961,0.06578,0.05819,0.05566,0.0506,0.04807,0.04554,0.04301,0.04048,0.03416,0.03036}),"")</f>
        <v>0</v>
      </c>
      <c r="S8" s="18">
        <f>iferror(if(Q8="",H8,Q8)*R8,"")</f>
        <v>0</v>
      </c>
      <c r="T8" s="19" t="s">
        <v>195</v>
      </c>
      <c r="AE8" s="20" t="s">
        <v>201</v>
      </c>
      <c r="AI8" s="19" t="s">
        <v>262</v>
      </c>
    </row>
    <row r="9" spans="1:50">
      <c r="A9" s="17" t="s">
        <v>23</v>
      </c>
      <c r="B9" s="17" t="s">
        <v>24</v>
      </c>
      <c r="C9" s="17" t="s">
        <v>25</v>
      </c>
      <c r="D9" s="17" t="s">
        <v>28</v>
      </c>
      <c r="E9" s="17" t="s">
        <v>26</v>
      </c>
      <c r="F9" s="17" t="s">
        <v>20</v>
      </c>
      <c r="G9" s="17" t="s">
        <v>27</v>
      </c>
      <c r="H9" s="17">
        <f>BoardQty*2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1034</v>
      </c>
      <c r="R9" s="18">
        <f>iferror(lookup(if(Q9="",H9,Q9),{0,1,10,50,100,500,1000,2500,5000,15000,30000,75000,105000,150000,375000},{0.0,0.1,0.048,0.0264,0.0216,0.0154,0.0121,0.011,0.01012,0.0088,0.00836,0.00748,0.00605,0.00585,0.00528}),"")</f>
        <v>0</v>
      </c>
      <c r="S9" s="18">
        <f>iferror(if(Q9="",H9,Q9)*R9,"")</f>
        <v>0</v>
      </c>
      <c r="T9" s="19" t="s">
        <v>196</v>
      </c>
      <c r="U9" s="20" t="s">
        <v>201</v>
      </c>
      <c r="W9" s="18">
        <f>iferror(USD_GBP*lookup(if(V9="",H9,V9),{0,1,10,100,150,500,2500,7500,15000,75000},{0.0,0.0195,0.0195,0.0151,0.0151,0.0098,0.0076,0.0057,0.0049,0.0034}),"")</f>
        <v>0</v>
      </c>
      <c r="X9" s="18">
        <f>iferror(if(V9="",H9,V9)*W9,"")</f>
        <v>0</v>
      </c>
      <c r="Y9" s="19" t="s">
        <v>229</v>
      </c>
      <c r="AE9" s="17">
        <v>119699</v>
      </c>
      <c r="AI9" s="19" t="s">
        <v>263</v>
      </c>
      <c r="AJ9" s="20" t="s">
        <v>201</v>
      </c>
      <c r="AL9" s="18">
        <f>iferror(lookup(if(AK9="",H9,AK9),{0,1,10,25,50,100,250},{0.0,0.049,0.049,0.031,0.022,0.017,0.013}),"")</f>
        <v>0</v>
      </c>
      <c r="AM9" s="18">
        <f>iferror(if(AK9="",H9,AK9)*AL9,"")</f>
        <v>0</v>
      </c>
      <c r="AN9" s="19" t="s">
        <v>292</v>
      </c>
    </row>
    <row r="10" spans="1:50">
      <c r="A10" s="17" t="s">
        <v>29</v>
      </c>
      <c r="B10" s="17" t="s">
        <v>17</v>
      </c>
      <c r="C10" s="17" t="s">
        <v>30</v>
      </c>
      <c r="D10" s="17" t="s">
        <v>32</v>
      </c>
      <c r="E10" s="17" t="s">
        <v>26</v>
      </c>
      <c r="F10" s="17" t="s">
        <v>20</v>
      </c>
      <c r="G10" s="17" t="s">
        <v>31</v>
      </c>
      <c r="H10" s="17">
        <f>BoardQty*11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3344431</v>
      </c>
      <c r="R10" s="18">
        <f>iferror(lookup(if(Q10="",H10,Q10),{0,1,10,50,100,500,1000,2500,5000,15000,30000,75000,150000,375000},{0.0,0.24,0.165,0.11,0.0935,0.066,0.05775,0.055,0.05088,0.04565,0.044,0.04125,0.03658,0.03438}),"")</f>
        <v>0</v>
      </c>
      <c r="S10" s="18">
        <f>iferror(if(Q10="",H10,Q10)*R10,"")</f>
        <v>0</v>
      </c>
      <c r="T10" s="19" t="s">
        <v>197</v>
      </c>
      <c r="U10" s="20" t="s">
        <v>201</v>
      </c>
      <c r="W10" s="18">
        <f>iferror(USD_GBP*lookup(if(V10="",H10,V10),{0,1,10,100,150,500,2500,7500,15000,75000},{0.0,0.3,0.3,0.178,0.178,0.151,0.081,0.067,0.0651,0.0558}),"")</f>
        <v>0</v>
      </c>
      <c r="X10" s="18">
        <f>iferror(if(V10="",H10,V10)*W10,"")</f>
        <v>0</v>
      </c>
      <c r="Y10" s="19" t="s">
        <v>230</v>
      </c>
      <c r="Z10" s="17">
        <v>18640</v>
      </c>
      <c r="AB10" s="18">
        <f>iferror(lookup(if(AA10="",H10,AA10),{0,1,20,200,600,2000,10000,20000},{0.0,0.0164,0.0164,0.012,0.0112,0.0104,0.01,0.0099}),"")</f>
        <v>0</v>
      </c>
      <c r="AC10" s="18">
        <f>iferror(if(AA10="",H10,AA10)*AB10,"")</f>
        <v>0</v>
      </c>
      <c r="AD10" s="19" t="s">
        <v>251</v>
      </c>
      <c r="AE10" s="17">
        <v>2474054</v>
      </c>
      <c r="AI10" s="19" t="s">
        <v>264</v>
      </c>
      <c r="AJ10" s="20" t="s">
        <v>201</v>
      </c>
      <c r="AL10" s="18">
        <f>iferror(lookup(if(AK10="",H10,AK10),{0,1,10,25,50,100,250,15000,30000,60000,90000},{0.0,0.351,0.351,0.322,0.219,0.181,0.152,0.088,0.072,0.062,0.058}),"")</f>
        <v>0</v>
      </c>
      <c r="AM10" s="18">
        <f>iferror(if(AK10="",H10,AK10)*AL10,"")</f>
        <v>0</v>
      </c>
      <c r="AN10" s="19" t="s">
        <v>293</v>
      </c>
    </row>
    <row r="11" spans="1:50">
      <c r="A11" s="17" t="s">
        <v>33</v>
      </c>
      <c r="B11" s="17" t="s">
        <v>34</v>
      </c>
      <c r="C11" s="17" t="s">
        <v>35</v>
      </c>
      <c r="D11" s="17" t="s">
        <v>37</v>
      </c>
      <c r="E11" s="17" t="s">
        <v>26</v>
      </c>
      <c r="F11" s="17" t="s">
        <v>20</v>
      </c>
      <c r="G11" s="17" t="s">
        <v>36</v>
      </c>
      <c r="H11" s="17">
        <f>BoardQty*1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149024</v>
      </c>
      <c r="R11" s="18">
        <f>iferror(lookup(if(Q11="",H11,Q11),{0,1,10,50,100,500,1000,2500,5000,15000,30000,75000,105000,150000,375000},{0.0,0.1,0.025,0.0138,0.0113,0.00808,0.00635,0.00578,0.00531,0.00462,0.00439,0.00393,0.00318,0.00307,0.00277}),"")</f>
        <v>0</v>
      </c>
      <c r="S11" s="18">
        <f>iferror(if(Q11="",H11,Q11)*R11,"")</f>
        <v>0</v>
      </c>
      <c r="T11" s="19" t="s">
        <v>198</v>
      </c>
      <c r="U11" s="20" t="s">
        <v>201</v>
      </c>
      <c r="W11" s="18">
        <f>iferror(USD_GBP*lookup(if(V11="",H11,V11),{0,1,10,100,150,500,2500,7500,15000,75000},{0.0,0.0066,0.0066,0.0054,0.0054,0.0041,0.0029,0.0026,0.0022,0.0017}),"")</f>
        <v>0</v>
      </c>
      <c r="X11" s="18">
        <f>iferror(if(V11="",H11,V11)*W11,"")</f>
        <v>0</v>
      </c>
      <c r="Y11" s="19" t="s">
        <v>231</v>
      </c>
      <c r="Z11" s="17">
        <v>800</v>
      </c>
      <c r="AB11" s="18">
        <f>iferror(lookup(if(AA11="",H11,AA11),{0,1,100,1000,3000,10000,50000,100000},{0.0,0.0016,0.0016,0.0012,0.0011,0.001,0.001,0.0009}),"")</f>
        <v>0</v>
      </c>
      <c r="AC11" s="18">
        <f>iferror(if(AA11="",H11,AA11)*AB11,"")</f>
        <v>0</v>
      </c>
      <c r="AD11" s="19" t="s">
        <v>252</v>
      </c>
      <c r="AE11" s="17">
        <v>57932</v>
      </c>
      <c r="AI11" s="19" t="s">
        <v>265</v>
      </c>
      <c r="AJ11" s="20" t="s">
        <v>201</v>
      </c>
      <c r="AL11" s="18">
        <f>iferror(lookup(if(AK11="",H11,AK11),{0,1,10,25,50,100,250},{0.0,0.018,0.018,0.011,0.008,0.006,0.005}),"")</f>
        <v>0</v>
      </c>
      <c r="AM11" s="18">
        <f>iferror(if(AK11="",H11,AK11)*AL11,"")</f>
        <v>0</v>
      </c>
      <c r="AN11" s="19" t="s">
        <v>294</v>
      </c>
    </row>
    <row r="12" spans="1:50">
      <c r="A12" s="17" t="s">
        <v>38</v>
      </c>
      <c r="B12" s="17" t="s">
        <v>17</v>
      </c>
      <c r="C12" s="17" t="s">
        <v>39</v>
      </c>
      <c r="D12" s="17" t="s">
        <v>41</v>
      </c>
      <c r="E12" s="17" t="s">
        <v>26</v>
      </c>
      <c r="F12" s="17" t="s">
        <v>20</v>
      </c>
      <c r="G12" s="17" t="s">
        <v>40</v>
      </c>
      <c r="H12" s="17">
        <f>BoardQty*2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1463021</v>
      </c>
      <c r="R12" s="18">
        <f>iferror(lookup(if(Q12="",H12,Q12),{0,1,10,50,100,500,1000,2500,5000,10000,20000,30000,50000,100000,250000},{0.0,0.42,0.294,0.2056,0.1762,0.13216,0.11161,0.10573,0.09986,0.09398,0.09105,0.08811,0.08224,0.07636,0.07049}),"")</f>
        <v>0</v>
      </c>
      <c r="S12" s="18">
        <f>iferror(if(Q12="",H12,Q12)*R12,"")</f>
        <v>0</v>
      </c>
      <c r="T12" s="19" t="s">
        <v>199</v>
      </c>
      <c r="U12" s="17">
        <v>2361</v>
      </c>
      <c r="W12" s="18">
        <f>iferror(USD_GBP*lookup(if(V12="",H12,V12),{0,1,10,100,150,500,2500,5000,10000,50000},{0.0,0.215,0.215,0.173,0.173,0.0986,0.0822,0.0658,0.0355,0.0304}),"")</f>
        <v>0</v>
      </c>
      <c r="X12" s="18">
        <f>iferror(if(V12="",H12,V12)*W12,"")</f>
        <v>0</v>
      </c>
      <c r="Y12" s="19" t="s">
        <v>232</v>
      </c>
      <c r="Z12" s="17">
        <v>16065</v>
      </c>
      <c r="AB12" s="18">
        <f>iferror(lookup(if(AA12="",H12,AA12),{0,1,5,50,150,500,2500,5000},{0.0,0.104,0.104,0.0759,0.0708,0.0657,0.0634,0.0622}),"")</f>
        <v>0</v>
      </c>
      <c r="AC12" s="18">
        <f>iferror(if(AA12="",H12,AA12)*AB12,"")</f>
        <v>0</v>
      </c>
      <c r="AD12" s="19" t="s">
        <v>253</v>
      </c>
      <c r="AE12" s="17">
        <v>976723</v>
      </c>
      <c r="AI12" s="19" t="s">
        <v>266</v>
      </c>
      <c r="AJ12" s="20" t="s">
        <v>201</v>
      </c>
      <c r="AL12" s="18">
        <f>iferror(lookup(if(AK12="",H12,AK12),{0,1,10,25,50,100,10000,20000,40000,60000},{0.0,0.272,0.272,0.259,0.246,0.233,0.053,0.046,0.039,0.032}),"")</f>
        <v>0</v>
      </c>
      <c r="AM12" s="18">
        <f>iferror(if(AK12="",H12,AK12)*AL12,"")</f>
        <v>0</v>
      </c>
      <c r="AN12" s="19" t="s">
        <v>295</v>
      </c>
    </row>
    <row r="13" spans="1:50">
      <c r="A13" s="17" t="s">
        <v>42</v>
      </c>
      <c r="B13" s="17" t="s">
        <v>43</v>
      </c>
      <c r="C13" s="17" t="s">
        <v>44</v>
      </c>
      <c r="D13" s="17" t="s">
        <v>46</v>
      </c>
      <c r="E13" s="17" t="s">
        <v>19</v>
      </c>
      <c r="F13" s="17" t="s">
        <v>20</v>
      </c>
      <c r="G13" s="17" t="s">
        <v>45</v>
      </c>
      <c r="H13" s="17">
        <f>BoardQty*3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20" t="s">
        <v>201</v>
      </c>
      <c r="R13" s="18">
        <f>iferror(lookup(if(Q13="",H13,Q13),{0,1,10,50,100,500,1000,2500,5000,10000,20000,30000,50000,100000,250000},{0.0,0.22,0.15,0.09,0.0761,0.05206,0.04605,0.04404,0.04004,0.03804,0.03604,0.03403,0.03203,0.02703,0.02402}),"")</f>
        <v>0</v>
      </c>
      <c r="S13" s="18">
        <f>iferror(if(Q13="",H13,Q13)*R13,"")</f>
        <v>0</v>
      </c>
      <c r="T13" s="19" t="s">
        <v>200</v>
      </c>
      <c r="U13" s="20" t="s">
        <v>201</v>
      </c>
      <c r="W13" s="18">
        <f>iferror(USD_GBP*lookup(if(V13="",H13,V13),{0,1,10,100,150,500,2500,5000,10000,50000},{0.0,0.202,0.202,0.111,0.111,0.069,0.054,0.043,0.0348,0.0298}),"")</f>
        <v>0</v>
      </c>
      <c r="X13" s="18">
        <f>iferror(if(V13="",H13,V13)*W13,"")</f>
        <v>0</v>
      </c>
      <c r="Y13" s="19" t="s">
        <v>233</v>
      </c>
      <c r="Z13" s="17">
        <v>10310</v>
      </c>
      <c r="AB13" s="18">
        <f>iferror(lookup(if(AA13="",H13,AA13),{0,1,10,100,300,1000,5000,10000},{0.0,0.0565,0.0565,0.0409,0.0381,0.0352,0.0339,0.0333}),"")</f>
        <v>0</v>
      </c>
      <c r="AC13" s="18">
        <f>iferror(if(AA13="",H13,AA13)*AB13,"")</f>
        <v>0</v>
      </c>
      <c r="AD13" s="19" t="s">
        <v>254</v>
      </c>
      <c r="AE13" s="17">
        <v>464190</v>
      </c>
      <c r="AI13" s="19" t="s">
        <v>267</v>
      </c>
      <c r="AJ13" s="20" t="s">
        <v>201</v>
      </c>
      <c r="AL13" s="18">
        <f>iferror(lookup(if(AK13="",H13,AK13),{0,1,10,25,50,100,250,10000,20000,30000},{0.0,0.249,0.249,0.22,0.134,0.109,0.092,0.044,0.038,0.031}),"")</f>
        <v>0</v>
      </c>
      <c r="AM13" s="18">
        <f>iferror(if(AK13="",H13,AK13)*AL13,"")</f>
        <v>0</v>
      </c>
      <c r="AN13" s="19" t="s">
        <v>296</v>
      </c>
    </row>
    <row r="14" spans="1:50">
      <c r="A14" s="17" t="s">
        <v>47</v>
      </c>
      <c r="B14" s="17" t="s">
        <v>24</v>
      </c>
      <c r="C14" s="17" t="s">
        <v>48</v>
      </c>
      <c r="D14" s="17" t="s">
        <v>50</v>
      </c>
      <c r="E14" s="17" t="s">
        <v>26</v>
      </c>
      <c r="F14" s="17" t="s">
        <v>20</v>
      </c>
      <c r="G14" s="17" t="s">
        <v>49</v>
      </c>
      <c r="H14" s="17">
        <f>BoardQty*12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1121876</v>
      </c>
      <c r="R14" s="18">
        <f>iferror(lookup(if(Q14="",H14,Q14),{0,1,10,50,100,500,1000,2500,5000,15000,30000,75000,150000,375000},{0.0,0.1,0.036,0.0196,0.016,0.01144,0.00898,0.00817,0.00751,0.00594,0.00564,0.00505,0.00395,0.00371}),"")</f>
        <v>0</v>
      </c>
      <c r="S14" s="18">
        <f>iferror(if(Q14="",H14,Q14)*R14,"")</f>
        <v>0</v>
      </c>
      <c r="T14" s="19" t="s">
        <v>202</v>
      </c>
      <c r="U14" s="17">
        <v>15783</v>
      </c>
      <c r="W14" s="18">
        <f>iferror(USD_GBP*lookup(if(V14="",H14,V14),{0,1,10,100,150,500,2500,7500,15000,75000},{0.0,0.0202,0.0202,0.0159,0.0159,0.0076,0.0059,0.0058,0.004,0.0039}),"")</f>
        <v>0</v>
      </c>
      <c r="X14" s="18">
        <f>iferror(if(V14="",H14,V14)*W14,"")</f>
        <v>0</v>
      </c>
      <c r="Y14" s="19" t="s">
        <v>234</v>
      </c>
      <c r="Z14" s="17">
        <v>44000</v>
      </c>
      <c r="AB14" s="18">
        <f>iferror(lookup(if(AA14="",H14,AA14),{0,1,50,500,1500,5000,25000,50000},{0.0,0.0058,0.0058,0.0043,0.0041,0.0038,0.0037,0.0036}),"")</f>
        <v>0</v>
      </c>
      <c r="AC14" s="18">
        <f>iferror(if(AA14="",H14,AA14)*AB14,"")</f>
        <v>0</v>
      </c>
      <c r="AD14" s="19" t="s">
        <v>255</v>
      </c>
      <c r="AE14" s="17">
        <v>339804</v>
      </c>
      <c r="AG14" s="18">
        <f>iferror(lookup(if(AF14="",H14,AF14),{0,1,10,100,500,1000,2500},{0.0,0.1,0.034,0.015,0.01,0.008,0.007}),"")</f>
        <v>0</v>
      </c>
      <c r="AH14" s="18">
        <f>iferror(if(AF14="",H14,AF14)*AG14,"")</f>
        <v>0</v>
      </c>
      <c r="AI14" s="19" t="s">
        <v>268</v>
      </c>
      <c r="AJ14" s="20" t="s">
        <v>201</v>
      </c>
      <c r="AL14" s="18">
        <f>iferror(lookup(if(AK14="",H14,AK14),{0,1,10,25,50,100},{0.0,0.034,0.034,0.028,0.021,0.015}),"")</f>
        <v>0</v>
      </c>
      <c r="AM14" s="18">
        <f>iferror(if(AK14="",H14,AK14)*AL14,"")</f>
        <v>0</v>
      </c>
      <c r="AN14" s="19" t="s">
        <v>297</v>
      </c>
      <c r="AO14" s="17">
        <v>8000</v>
      </c>
      <c r="AQ14" s="18">
        <f>iferror(USD_GBP*lookup(if(AP14="",H14,AP14),{0,1,15000,60000},{0.0,0.004,0.004,0.004}),"")</f>
        <v>0</v>
      </c>
      <c r="AR14" s="18">
        <f>iferror(if(AP14="",H14,AP14)*AQ14,"")</f>
        <v>0</v>
      </c>
      <c r="AS14" s="19" t="s">
        <v>314</v>
      </c>
    </row>
    <row r="15" spans="1:50">
      <c r="A15" s="17" t="s">
        <v>51</v>
      </c>
      <c r="B15" s="17" t="s">
        <v>52</v>
      </c>
      <c r="C15" s="17" t="s">
        <v>53</v>
      </c>
      <c r="E15" s="17" t="s">
        <v>54</v>
      </c>
      <c r="F15" s="17" t="s">
        <v>55</v>
      </c>
      <c r="G15" s="17" t="s">
        <v>56</v>
      </c>
      <c r="H15" s="17">
        <f>BoardQty*2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47764</v>
      </c>
      <c r="R15" s="18">
        <f>iferror(lookup(if(Q15="",H15,Q15),{0,1,10,100,500,1000,2000,5000,10000,30000,50000,250000},{0.0,0.35,0.264,0.1254,0.1023,0.0759,0.06666,0.06105,0.0528,0.05181,0.0429,0.04224}),"")</f>
        <v>0</v>
      </c>
      <c r="S15" s="18">
        <f>iferror(if(Q15="",H15,Q15)*R15,"")</f>
        <v>0</v>
      </c>
      <c r="T15" s="19" t="s">
        <v>203</v>
      </c>
      <c r="U15" s="17">
        <v>1904</v>
      </c>
      <c r="W15" s="18">
        <f>iferror(USD_GBP*lookup(if(V15="",H15,V15),{0,1,5,25,100,250,500,1000,5000},{0.0,0.209,0.209,0.135,0.105,0.0873,0.0696,0.0482,0.0468}),"")</f>
        <v>0</v>
      </c>
      <c r="X15" s="18">
        <f>iferror(if(V15="",H15,V15)*W15,"")</f>
        <v>0</v>
      </c>
      <c r="Y15" s="19" t="s">
        <v>235</v>
      </c>
      <c r="AE15" s="17">
        <v>14264</v>
      </c>
      <c r="AI15" s="19" t="s">
        <v>269</v>
      </c>
      <c r="AJ15" s="20" t="s">
        <v>201</v>
      </c>
      <c r="AL15" s="18">
        <f>iferror(lookup(if(AK15="",H15,AK15),{0,1,5,10,100,500,1000,2500},{0.0,0.348,0.348,0.267,0.149,0.132,0.114,0.1}),"")</f>
        <v>0</v>
      </c>
      <c r="AM15" s="18">
        <f>iferror(if(AK15="",H15,AK15)*AL15,"")</f>
        <v>0</v>
      </c>
      <c r="AN15" s="19" t="s">
        <v>298</v>
      </c>
    </row>
    <row r="16" spans="1:50">
      <c r="A16" s="17" t="s">
        <v>57</v>
      </c>
      <c r="B16" s="17" t="s">
        <v>58</v>
      </c>
      <c r="C16" s="17" t="s">
        <v>59</v>
      </c>
      <c r="E16" s="17" t="s">
        <v>60</v>
      </c>
      <c r="F16" s="17" t="s">
        <v>61</v>
      </c>
      <c r="G16" s="17" t="s">
        <v>62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13107</v>
      </c>
      <c r="R16" s="18">
        <f>iferror(lookup(if(Q16="",H16,Q16),{0,1,10,100,500,1000,3000,6000},{0.0,0.56,0.495,0.3375,0.282,0.24,0.225,0.2025}),"")</f>
        <v>0</v>
      </c>
      <c r="S16" s="18">
        <f>iferror(if(Q16="",H16,Q16)*R16,"")</f>
        <v>0</v>
      </c>
      <c r="T16" s="19" t="s">
        <v>204</v>
      </c>
      <c r="U16" s="17">
        <v>215</v>
      </c>
      <c r="W16" s="18">
        <f>iferror(USD_GBP*lookup(if(V16="",H16,V16),{0,1,10,100,150,250,500,1000,5000},{0.0,0.504,0.407,0.255,0.255,0.238,0.22,0.176,0.153}),"")</f>
        <v>0</v>
      </c>
      <c r="X16" s="18">
        <f>iferror(if(V16="",H16,V16)*W16,"")</f>
        <v>0</v>
      </c>
      <c r="Y16" s="19" t="s">
        <v>236</v>
      </c>
      <c r="Z16" s="17">
        <v>613</v>
      </c>
      <c r="AB16" s="18">
        <f>iferror(lookup(if(AA16="",H16,AA16),{0,1,10,30,100,500,1000},{0.0,0.4555,0.342,0.3214,0.3008,0.2905,0.287}),"")</f>
        <v>0</v>
      </c>
      <c r="AC16" s="18">
        <f>iferror(if(AA16="",H16,AA16)*AB16,"")</f>
        <v>0</v>
      </c>
      <c r="AD16" s="19" t="s">
        <v>256</v>
      </c>
      <c r="AE16" s="17">
        <v>12850</v>
      </c>
      <c r="AI16" s="19" t="s">
        <v>270</v>
      </c>
      <c r="AJ16" s="17">
        <v>494</v>
      </c>
      <c r="AL16" s="18">
        <f>iferror(lookup(if(AK16="",H16,AK16),{0,1,25,50,100,250,500,3000,6000,12000,18000,30000},{0.0,0.273,0.273,0.273,0.25,0.231,0.231,0.206,0.202,0.193,0.19,0.187}),"")</f>
        <v>0</v>
      </c>
      <c r="AM16" s="18">
        <f>iferror(if(AK16="",H16,AK16)*AL16,"")</f>
        <v>0</v>
      </c>
      <c r="AN16" s="19" t="s">
        <v>299</v>
      </c>
      <c r="AO16" s="17">
        <v>275</v>
      </c>
      <c r="AQ16" s="18">
        <f>iferror(USD_GBP*lookup(if(AP16="",H16,AP16),{0,1,25,100,250,500,1000},{0.0,0.347,0.347,0.227,0.204,0.195,0.167}),"")</f>
        <v>0</v>
      </c>
      <c r="AR16" s="18">
        <f>iferror(if(AP16="",H16,AP16)*AQ16,"")</f>
        <v>0</v>
      </c>
      <c r="AS16" s="19" t="s">
        <v>315</v>
      </c>
    </row>
    <row r="17" spans="1:50">
      <c r="A17" s="17" t="s">
        <v>63</v>
      </c>
      <c r="B17" s="17" t="s">
        <v>64</v>
      </c>
      <c r="C17" s="17" t="s">
        <v>65</v>
      </c>
      <c r="D17" s="17" t="s">
        <v>67</v>
      </c>
      <c r="E17" s="17" t="s">
        <v>64</v>
      </c>
      <c r="F17" s="17" t="s">
        <v>66</v>
      </c>
      <c r="G17" s="17" t="s">
        <v>64</v>
      </c>
      <c r="H17" s="17">
        <f>BoardQty*2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3363</v>
      </c>
      <c r="R17" s="18">
        <f>iferror(lookup(if(Q17="",H17,Q17),{0,1,10,100,1000,2000,6000,10000,50000},{0.0,0.67,0.439,0.2903,0.2241,0.2025,0.189,0.18225,0.17213}),"")</f>
        <v>0</v>
      </c>
      <c r="S17" s="18">
        <f>iferror(if(Q17="",H17,Q17)*R17,"")</f>
        <v>0</v>
      </c>
      <c r="T17" s="19" t="s">
        <v>205</v>
      </c>
      <c r="U17" s="20" t="s">
        <v>201</v>
      </c>
      <c r="W17" s="18">
        <f>iferror(USD_GBP*lookup(if(V17="",H17,V17),{0,1,10,100,500},{0.0,0.683,0.451,0.347,0.299}),"")</f>
        <v>0</v>
      </c>
      <c r="X17" s="18">
        <f>iferror(if(V17="",H17,V17)*W17,"")</f>
        <v>0</v>
      </c>
      <c r="Y17" s="19" t="s">
        <v>237</v>
      </c>
      <c r="AE17" s="17">
        <v>8957</v>
      </c>
      <c r="AG17" s="18">
        <f>iferror(lookup(if(AF17="",H17,AF17),{0,1,10,100,1000,2000,10000},{0.0,0.66,0.43,0.282,0.222,0.188,0.182}),"")</f>
        <v>0</v>
      </c>
      <c r="AH17" s="18">
        <f>iferror(if(AF17="",H17,AF17)*AG17,"")</f>
        <v>0</v>
      </c>
      <c r="AI17" s="19" t="s">
        <v>271</v>
      </c>
      <c r="AJ17" s="20" t="s">
        <v>201</v>
      </c>
      <c r="AN17" s="19" t="s">
        <v>300</v>
      </c>
      <c r="AT17" s="20" t="s">
        <v>201</v>
      </c>
      <c r="AV17" s="18">
        <f>iferror(lookup(if(AU17="",H17,AU17),{0,1,5,25,100,500},{0.0,0.8,0.41,0.28,0.248,0.217}),"")</f>
        <v>0</v>
      </c>
      <c r="AW17" s="18">
        <f>iferror(if(AU17="",H17,AU17)*AV17,"")</f>
        <v>0</v>
      </c>
      <c r="AX17" s="19" t="s">
        <v>325</v>
      </c>
    </row>
    <row r="18" spans="1:50">
      <c r="A18" s="17" t="s">
        <v>68</v>
      </c>
      <c r="B18" s="17" t="s">
        <v>69</v>
      </c>
      <c r="C18" s="17" t="s">
        <v>70</v>
      </c>
      <c r="E18" s="17" t="s">
        <v>71</v>
      </c>
      <c r="F18" s="17" t="s">
        <v>72</v>
      </c>
      <c r="G18" s="17" t="s">
        <v>73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17">
        <v>692</v>
      </c>
      <c r="R18" s="18">
        <f>iferror(lookup(if(Q18="",H18,Q18),{0,1,10,25,50,100,250,500,1500,3000,7500,10500},{0.0,1.72,1.558,1.4632,1.3994,1.3358,1.20856,1.11316,0.92233,0.89053,0.846,0.82692}),"")</f>
        <v>0</v>
      </c>
      <c r="S18" s="18">
        <f>iferror(if(Q18="",H18,Q18)*R18,"")</f>
        <v>0</v>
      </c>
      <c r="T18" s="19" t="s">
        <v>206</v>
      </c>
      <c r="AE18" s="17">
        <v>3786</v>
      </c>
      <c r="AI18" s="19" t="s">
        <v>272</v>
      </c>
      <c r="AO18" s="17">
        <v>5</v>
      </c>
      <c r="AQ18" s="18">
        <f>iferror(USD_GBP*lookup(if(AP18="",H18,AP18),{0,1,4,20,100,200},{0.0,5.9,5.6,5.34,5.08,4.82}),"")</f>
        <v>0</v>
      </c>
      <c r="AR18" s="18">
        <f>iferror(if(AP18="",H18,AP18)*AQ18,"")</f>
        <v>0</v>
      </c>
      <c r="AS18" s="19" t="s">
        <v>316</v>
      </c>
    </row>
    <row r="19" spans="1:50">
      <c r="A19" s="17" t="s">
        <v>74</v>
      </c>
      <c r="B19" s="17" t="s">
        <v>75</v>
      </c>
      <c r="C19" s="17" t="s">
        <v>76</v>
      </c>
      <c r="E19" s="17" t="s">
        <v>77</v>
      </c>
      <c r="F19" s="17" t="s">
        <v>78</v>
      </c>
      <c r="G19" s="17" t="s">
        <v>79</v>
      </c>
      <c r="H19" s="17">
        <f>BoardQty*2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7">
        <v>1495</v>
      </c>
      <c r="R19" s="18">
        <f>iferror(lookup(if(Q19="",H19,Q19),{0,1,10,25,50,100,250,500},{0.0,0.25,0.236,0.2012,0.1758,0.1633,0.14448,0.1382}),"")</f>
        <v>0</v>
      </c>
      <c r="S19" s="18">
        <f>iferror(if(Q19="",H19,Q19)*R19,"")</f>
        <v>0</v>
      </c>
      <c r="T19" s="19" t="s">
        <v>207</v>
      </c>
    </row>
    <row r="20" spans="1:50">
      <c r="A20" s="17" t="s">
        <v>80</v>
      </c>
      <c r="B20" s="17" t="s">
        <v>81</v>
      </c>
      <c r="C20" s="17" t="s">
        <v>82</v>
      </c>
      <c r="E20" s="17" t="s">
        <v>83</v>
      </c>
      <c r="F20" s="17" t="s">
        <v>78</v>
      </c>
      <c r="G20" s="17" t="s">
        <v>84</v>
      </c>
      <c r="H20" s="17">
        <f>BoardQty*2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17">
        <v>538</v>
      </c>
      <c r="R20" s="18">
        <f>iferror(lookup(if(Q20="",H20,Q20),{0,1,10,25,50,100,250,500},{0.0,0.29,0.271,0.2324,0.1974,0.1896,0.17028,0.16254}),"")</f>
        <v>0</v>
      </c>
      <c r="S20" s="18">
        <f>iferror(if(Q20="",H20,Q20)*R20,"")</f>
        <v>0</v>
      </c>
      <c r="T20" s="19" t="s">
        <v>208</v>
      </c>
    </row>
    <row r="21" spans="1:50">
      <c r="A21" s="17" t="s">
        <v>85</v>
      </c>
      <c r="B21" s="17" t="s">
        <v>86</v>
      </c>
      <c r="C21" s="17" t="s">
        <v>87</v>
      </c>
      <c r="E21" s="17" t="s">
        <v>88</v>
      </c>
      <c r="F21" s="17" t="s">
        <v>55</v>
      </c>
      <c r="G21" s="17" t="s">
        <v>89</v>
      </c>
      <c r="H21" s="17">
        <f>BoardQty*1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20" t="s">
        <v>201</v>
      </c>
      <c r="R21" s="18">
        <f>iferror(lookup(if(Q21="",H21,Q21),{0,1,4000},{0.0,0.06257,0.06257}),"")</f>
        <v>0</v>
      </c>
      <c r="S21" s="18">
        <f>iferror(if(Q21="",H21,Q21)*R21,"")</f>
        <v>0</v>
      </c>
      <c r="T21" s="19" t="s">
        <v>209</v>
      </c>
      <c r="U21" s="20" t="s">
        <v>201</v>
      </c>
      <c r="W21" s="18">
        <f>iferror(USD_GBP*lookup(if(V21="",H21,V21),{0,1,5,25,100,250,500,1000,5000},{0.0,0.196,0.196,0.137,0.0778,0.0649,0.052,0.0391,0.0332}),"")</f>
        <v>0</v>
      </c>
      <c r="X21" s="18">
        <f>iferror(if(V21="",H21,V21)*W21,"")</f>
        <v>0</v>
      </c>
      <c r="Y21" s="19" t="s">
        <v>238</v>
      </c>
      <c r="AE21" s="17">
        <v>2780</v>
      </c>
      <c r="AG21" s="18">
        <f>iferror(lookup(if(AF21="",H21,AF21),{0,1,10,100,1000,4000,8000},{0.0,0.39,0.268,0.112,0.076,0.06,0.051}),"")</f>
        <v>0</v>
      </c>
      <c r="AH21" s="18">
        <f>iferror(if(AF21="",H21,AF21)*AG21,"")</f>
        <v>0</v>
      </c>
      <c r="AI21" s="19" t="s">
        <v>273</v>
      </c>
      <c r="AJ21" s="20" t="s">
        <v>201</v>
      </c>
      <c r="AL21" s="18">
        <f>iferror(lookup(if(AK21="",H21,AK21),{0,1,5,10,100,500,1000},{0.0,0.351,0.351,0.241,0.101,0.085,0.068}),"")</f>
        <v>0</v>
      </c>
      <c r="AM21" s="18">
        <f>iferror(if(AK21="",H21,AK21)*AL21,"")</f>
        <v>0</v>
      </c>
      <c r="AN21" s="19" t="s">
        <v>301</v>
      </c>
    </row>
    <row r="22" spans="1:50">
      <c r="A22" s="17" t="s">
        <v>90</v>
      </c>
      <c r="B22" s="17" t="s">
        <v>91</v>
      </c>
      <c r="C22" s="17" t="s">
        <v>92</v>
      </c>
      <c r="E22" s="17" t="s">
        <v>93</v>
      </c>
      <c r="F22" s="17" t="s">
        <v>55</v>
      </c>
      <c r="G22" s="17" t="s">
        <v>94</v>
      </c>
      <c r="H22" s="17">
        <f>BoardQty*1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20" t="s">
        <v>201</v>
      </c>
      <c r="R22" s="18">
        <f>iferror(lookup(if(Q22="",H22,Q22),{0,1,10000},{0.0,0.03179,0.03179}),"")</f>
        <v>0</v>
      </c>
      <c r="S22" s="18">
        <f>iferror(if(Q22="",H22,Q22)*R22,"")</f>
        <v>0</v>
      </c>
      <c r="T22" s="19" t="s">
        <v>210</v>
      </c>
      <c r="AE22" s="17">
        <v>10000</v>
      </c>
      <c r="AG22" s="18">
        <f>iferror(lookup(if(AF22="",H22,AF22),{0,1,10,100,1000,2500,10000},{0.0,0.35,0.243,0.102,0.069,0.054,0.046}),"")</f>
        <v>0</v>
      </c>
      <c r="AH22" s="18">
        <f>iferror(if(AF22="",H22,AF22)*AG22,"")</f>
        <v>0</v>
      </c>
      <c r="AI22" s="19" t="s">
        <v>274</v>
      </c>
    </row>
    <row r="23" spans="1:50">
      <c r="A23" s="17" t="s">
        <v>95</v>
      </c>
      <c r="B23" s="17" t="s">
        <v>96</v>
      </c>
      <c r="C23" s="17" t="s">
        <v>97</v>
      </c>
      <c r="E23" s="17" t="s">
        <v>98</v>
      </c>
      <c r="F23" s="17" t="s">
        <v>99</v>
      </c>
      <c r="G23" s="17" t="s">
        <v>100</v>
      </c>
      <c r="H23" s="17">
        <f>BoardQty*2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6054505</v>
      </c>
      <c r="R23" s="18">
        <f>iferror(lookup(if(Q23="",H23,Q23),{0,1,10,25,50,100,250,500,1000,5000,15000,30000,75000},{0.0,0.1,0.025,0.018,0.0136,0.01,0.00764,0.00612,0.00451,0.00323,0.00281,0.00247,0.00231}),"")</f>
        <v>0</v>
      </c>
      <c r="S23" s="18">
        <f>iferror(if(Q23="",H23,Q23)*R23,"")</f>
        <v>0</v>
      </c>
      <c r="T23" s="19" t="s">
        <v>211</v>
      </c>
      <c r="U23" s="17">
        <v>60000</v>
      </c>
      <c r="W23" s="18">
        <f>iferror(USD_GBP*lookup(if(V23="",H23,V23),{0,1,10,100,150,500,2500,7500,15000,75000},{0.0,0.04,0.04,0.024,0.024,0.018,0.012,0.009,0.007,0.0044}),"")</f>
        <v>0</v>
      </c>
      <c r="X23" s="18">
        <f>iferror(if(V23="",H23,V23)*W23,"")</f>
        <v>0</v>
      </c>
      <c r="Y23" s="19" t="s">
        <v>239</v>
      </c>
      <c r="Z23" s="17">
        <v>12250</v>
      </c>
      <c r="AB23" s="18">
        <f>iferror(lookup(if(AA23="",H23,AA23),{0,1,50,500,1500,5000,25000,50000},{0.0,0.006,0.006,0.0045,0.0042,0.0039,0.0038,0.0038}),"")</f>
        <v>0</v>
      </c>
      <c r="AC23" s="18">
        <f>iferror(if(AA23="",H23,AA23)*AB23,"")</f>
        <v>0</v>
      </c>
      <c r="AD23" s="19" t="s">
        <v>257</v>
      </c>
      <c r="AE23" s="17">
        <v>1565228</v>
      </c>
      <c r="AI23" s="19" t="s">
        <v>275</v>
      </c>
      <c r="AJ23" s="17">
        <v>195000</v>
      </c>
      <c r="AL23" s="18">
        <f>iferror(lookup(if(AK23="",H23,AK23),{0,1,25,100,250,500,1000,2500,5000},{0.0,0.211,0.021,0.009,0.008,0.007,0.006,0.005,0.004}),"")</f>
        <v>0</v>
      </c>
      <c r="AM23" s="18">
        <f>iferror(if(AK23="",H23,AK23)*AL23,"")</f>
        <v>0</v>
      </c>
      <c r="AN23" s="19" t="s">
        <v>302</v>
      </c>
      <c r="AO23" s="17">
        <v>1096637</v>
      </c>
      <c r="AQ23" s="18">
        <f>iferror(USD_GBP*lookup(if(AP23="",H23,AP23),{0,1,15000},{0.0,0.004,0.004}),"")</f>
        <v>0</v>
      </c>
      <c r="AR23" s="18">
        <f>iferror(if(AP23="",H23,AP23)*AQ23,"")</f>
        <v>0</v>
      </c>
      <c r="AS23" s="19" t="s">
        <v>317</v>
      </c>
    </row>
    <row r="24" spans="1:50">
      <c r="A24" s="17" t="s">
        <v>101</v>
      </c>
      <c r="B24" s="17" t="s">
        <v>102</v>
      </c>
      <c r="C24" s="17" t="s">
        <v>103</v>
      </c>
      <c r="E24" s="17" t="s">
        <v>98</v>
      </c>
      <c r="F24" s="17" t="s">
        <v>99</v>
      </c>
      <c r="G24" s="17" t="s">
        <v>104</v>
      </c>
      <c r="H24" s="17">
        <f>BoardQty*1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81002</v>
      </c>
      <c r="R24" s="18">
        <f>iferror(lookup(if(Q24="",H24,Q24),{0,1,10,100,1000,2500,5000,15000,30000,75000},{0.0,0.1,0.025,0.01,0.00451,0.00391,0.00323,0.00281,0.00247,0.00231}),"")</f>
        <v>0</v>
      </c>
      <c r="S24" s="18">
        <f>iferror(if(Q24="",H24,Q24)*R24,"")</f>
        <v>0</v>
      </c>
      <c r="T24" s="19" t="s">
        <v>212</v>
      </c>
      <c r="U24" s="20" t="s">
        <v>201</v>
      </c>
      <c r="W24" s="18">
        <f>iferror(USD_GBP*lookup(if(V24="",H24,V24),{0,1,15000},{0.0,0.0043,0.0043}),"")</f>
        <v>0</v>
      </c>
      <c r="X24" s="18">
        <f>iferror(if(V24="",H24,V24)*W24,"")</f>
        <v>0</v>
      </c>
      <c r="Y24" s="19" t="s">
        <v>240</v>
      </c>
      <c r="AE24" s="17">
        <v>49782</v>
      </c>
      <c r="AG24" s="18">
        <f>iferror(lookup(if(AF24="",H24,AF24),{0,1,10,100,1000,2500,10000},{0.0,0.1,0.027,0.011,0.005,0.003,0.003}),"")</f>
        <v>0</v>
      </c>
      <c r="AH24" s="18">
        <f>iferror(if(AF24="",H24,AF24)*AG24,"")</f>
        <v>0</v>
      </c>
      <c r="AI24" s="19" t="s">
        <v>276</v>
      </c>
    </row>
    <row r="25" spans="1:50">
      <c r="A25" s="17" t="s">
        <v>105</v>
      </c>
      <c r="B25" s="17" t="s">
        <v>106</v>
      </c>
      <c r="C25" s="17" t="s">
        <v>107</v>
      </c>
      <c r="E25" s="17" t="s">
        <v>98</v>
      </c>
      <c r="F25" s="17" t="s">
        <v>99</v>
      </c>
      <c r="G25" s="17" t="s">
        <v>108</v>
      </c>
      <c r="H25" s="17">
        <f>BoardQty*4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27302</v>
      </c>
      <c r="R25" s="18">
        <f>iferror(lookup(if(Q25="",H25,Q25),{0,1,10,100,1000,2500,5000,15000,30000,75000},{0.0,0.1,0.025,0.01,0.00451,0.00391,0.00323,0.00281,0.00247,0.00231}),"")</f>
        <v>0</v>
      </c>
      <c r="S25" s="18">
        <f>iferror(if(Q25="",H25,Q25)*R25,"")</f>
        <v>0</v>
      </c>
      <c r="T25" s="19" t="s">
        <v>213</v>
      </c>
      <c r="U25" s="20" t="s">
        <v>201</v>
      </c>
      <c r="W25" s="18">
        <f>iferror(USD_GBP*lookup(if(V25="",H25,V25),{0,1,15000},{0.0,0.005,0.005}),"")</f>
        <v>0</v>
      </c>
      <c r="X25" s="18">
        <f>iferror(if(V25="",H25,V25)*W25,"")</f>
        <v>0</v>
      </c>
      <c r="Y25" s="19" t="s">
        <v>241</v>
      </c>
      <c r="AE25" s="17">
        <v>72685</v>
      </c>
      <c r="AG25" s="18">
        <f>iferror(lookup(if(AF25="",H25,AF25),{0,1,10,100,1000,5000,10000},{0.0,0.1,0.025,0.008,0.005,0.004,0.003}),"")</f>
        <v>0</v>
      </c>
      <c r="AH25" s="18">
        <f>iferror(if(AF25="",H25,AF25)*AG25,"")</f>
        <v>0</v>
      </c>
      <c r="AI25" s="19" t="s">
        <v>277</v>
      </c>
      <c r="AJ25" s="20" t="s">
        <v>201</v>
      </c>
      <c r="AN25" s="19" t="s">
        <v>303</v>
      </c>
      <c r="AO25" s="17">
        <v>41000</v>
      </c>
      <c r="AQ25" s="18">
        <f>iferror(USD_GBP*lookup(if(AP25="",H25,AP25),{0,1,15000},{0.0,0.004,0.004}),"")</f>
        <v>0</v>
      </c>
      <c r="AR25" s="18">
        <f>iferror(if(AP25="",H25,AP25)*AQ25,"")</f>
        <v>0</v>
      </c>
      <c r="AS25" s="19" t="s">
        <v>318</v>
      </c>
    </row>
    <row r="26" spans="1:50">
      <c r="A26" s="17" t="s">
        <v>109</v>
      </c>
      <c r="B26" s="17" t="s">
        <v>110</v>
      </c>
      <c r="C26" s="17" t="s">
        <v>111</v>
      </c>
      <c r="E26" s="17" t="s">
        <v>98</v>
      </c>
      <c r="F26" s="17" t="s">
        <v>99</v>
      </c>
      <c r="G26" s="17" t="s">
        <v>112</v>
      </c>
      <c r="H26" s="17">
        <f>BoardQty*2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411478</v>
      </c>
      <c r="R26" s="18">
        <f>iferror(lookup(if(Q26="",H26,Q26),{0,1,10,100,1000,2500,5000,15000,30000,75000},{0.0,0.1,0.025,0.01,0.00451,0.00391,0.00323,0.00281,0.00247,0.00231}),"")</f>
        <v>0</v>
      </c>
      <c r="S26" s="18">
        <f>iferror(if(Q26="",H26,Q26)*R26,"")</f>
        <v>0</v>
      </c>
      <c r="T26" s="19" t="s">
        <v>214</v>
      </c>
      <c r="U26" s="20" t="s">
        <v>201</v>
      </c>
      <c r="W26" s="18">
        <f>iferror(USD_GBP*lookup(if(V26="",H26,V26),{0,1,15000},{0.0,0.0043,0.0043}),"")</f>
        <v>0</v>
      </c>
      <c r="X26" s="18">
        <f>iferror(if(V26="",H26,V26)*W26,"")</f>
        <v>0</v>
      </c>
      <c r="Y26" s="19" t="s">
        <v>242</v>
      </c>
      <c r="Z26" s="17">
        <v>4400</v>
      </c>
      <c r="AB26" s="18">
        <f>iferror(lookup(if(AA26="",H26,AA26),{0,1,50,500,1500,5000,25000,50000},{0.0,0.0155,0.0155,0.0112,0.0104,0.0096,0.0092,0.0091}),"")</f>
        <v>0</v>
      </c>
      <c r="AC26" s="18">
        <f>iferror(if(AA26="",H26,AA26)*AB26,"")</f>
        <v>0</v>
      </c>
      <c r="AD26" s="19" t="s">
        <v>258</v>
      </c>
      <c r="AE26" s="17">
        <v>256814</v>
      </c>
      <c r="AI26" s="19" t="s">
        <v>278</v>
      </c>
      <c r="AJ26" s="20" t="s">
        <v>201</v>
      </c>
      <c r="AN26" s="19" t="s">
        <v>304</v>
      </c>
      <c r="AO26" s="17">
        <v>43000</v>
      </c>
      <c r="AQ26" s="18">
        <f>iferror(USD_GBP*lookup(if(AP26="",H26,AP26),{0,1,15000},{0.0,0.006,0.006}),"")</f>
        <v>0</v>
      </c>
      <c r="AR26" s="18">
        <f>iferror(if(AP26="",H26,AP26)*AQ26,"")</f>
        <v>0</v>
      </c>
      <c r="AS26" s="19" t="s">
        <v>319</v>
      </c>
    </row>
    <row r="27" spans="1:50">
      <c r="A27" s="17" t="s">
        <v>113</v>
      </c>
      <c r="B27" s="17" t="s">
        <v>114</v>
      </c>
      <c r="C27" s="17" t="s">
        <v>115</v>
      </c>
      <c r="E27" s="17" t="s">
        <v>98</v>
      </c>
      <c r="F27" s="17" t="s">
        <v>99</v>
      </c>
      <c r="G27" s="17" t="s">
        <v>116</v>
      </c>
      <c r="H27" s="17">
        <f>BoardQty*2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30133</v>
      </c>
      <c r="R27" s="18">
        <f>iferror(lookup(if(Q27="",H27,Q27),{0,1,10,100,1000,2500,5000,15000,30000,75000},{0.0,0.1,0.025,0.01,0.00451,0.00391,0.00323,0.00281,0.00247,0.00231}),"")</f>
        <v>0</v>
      </c>
      <c r="S27" s="18">
        <f>iferror(if(Q27="",H27,Q27)*R27,"")</f>
        <v>0</v>
      </c>
      <c r="T27" s="19" t="s">
        <v>215</v>
      </c>
      <c r="U27" s="20" t="s">
        <v>201</v>
      </c>
      <c r="W27" s="18">
        <f>iferror(USD_GBP*lookup(if(V27="",H27,V27),{0,1,15000},{0.0,0.0043,0.0043}),"")</f>
        <v>0</v>
      </c>
      <c r="X27" s="18">
        <f>iferror(if(V27="",H27,V27)*W27,"")</f>
        <v>0</v>
      </c>
      <c r="Y27" s="19" t="s">
        <v>243</v>
      </c>
      <c r="AE27" s="17">
        <v>81930</v>
      </c>
      <c r="AG27" s="18">
        <f>iferror(lookup(if(AF27="",H27,AF27),{0,1,10,100,1000,2500,10000},{0.0,0.1,0.027,0.011,0.005,0.003,0.003}),"")</f>
        <v>0</v>
      </c>
      <c r="AH27" s="18">
        <f>iferror(if(AF27="",H27,AF27)*AG27,"")</f>
        <v>0</v>
      </c>
      <c r="AI27" s="19" t="s">
        <v>279</v>
      </c>
      <c r="AJ27" s="20" t="s">
        <v>201</v>
      </c>
      <c r="AN27" s="19" t="s">
        <v>305</v>
      </c>
    </row>
    <row r="28" spans="1:50">
      <c r="A28" s="17" t="s">
        <v>117</v>
      </c>
      <c r="B28" s="17" t="s">
        <v>118</v>
      </c>
      <c r="C28" s="17" t="s">
        <v>119</v>
      </c>
      <c r="E28" s="17" t="s">
        <v>98</v>
      </c>
      <c r="F28" s="17" t="s">
        <v>99</v>
      </c>
      <c r="G28" s="17" t="s">
        <v>120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32226</v>
      </c>
      <c r="R28" s="18">
        <f>iferror(lookup(if(Q28="",H28,Q28),{0,1,10,100,1000,2500,5000,15000,30000,75000},{0.0,0.1,0.025,0.01,0.00451,0.00391,0.00323,0.00281,0.00247,0.00231}),"")</f>
        <v>0</v>
      </c>
      <c r="S28" s="18">
        <f>iferror(if(Q28="",H28,Q28)*R28,"")</f>
        <v>0</v>
      </c>
      <c r="T28" s="19" t="s">
        <v>216</v>
      </c>
      <c r="U28" s="20" t="s">
        <v>201</v>
      </c>
      <c r="W28" s="18">
        <f>iferror(USD_GBP*lookup(if(V28="",H28,V28),{0,1,15000},{0.0,0.0043,0.0043}),"")</f>
        <v>0</v>
      </c>
      <c r="X28" s="18">
        <f>iferror(if(V28="",H28,V28)*W28,"")</f>
        <v>0</v>
      </c>
      <c r="Y28" s="19" t="s">
        <v>244</v>
      </c>
      <c r="Z28" s="17">
        <v>14800</v>
      </c>
      <c r="AB28" s="18">
        <f>iferror(lookup(if(AA28="",H28,AA28),{0,1,50,500,1500,5000,25000,50000},{0.0,0.006,0.006,0.0045,0.0042,0.0039,0.0038,0.0038}),"")</f>
        <v>0</v>
      </c>
      <c r="AC28" s="18">
        <f>iferror(if(AA28="",H28,AA28)*AB28,"")</f>
        <v>0</v>
      </c>
      <c r="AD28" s="19" t="s">
        <v>259</v>
      </c>
      <c r="AE28" s="17">
        <v>55581</v>
      </c>
      <c r="AG28" s="18">
        <f>iferror(lookup(if(AF28="",H28,AF28),{0,1,10,100,1000,2500,10000},{0.0,0.1,0.027,0.011,0.005,0.003,0.003}),"")</f>
        <v>0</v>
      </c>
      <c r="AH28" s="18">
        <f>iferror(if(AF28="",H28,AF28)*AG28,"")</f>
        <v>0</v>
      </c>
      <c r="AI28" s="19" t="s">
        <v>280</v>
      </c>
      <c r="AJ28" s="20" t="s">
        <v>201</v>
      </c>
      <c r="AN28" s="19" t="s">
        <v>306</v>
      </c>
      <c r="AO28" s="17">
        <v>54000</v>
      </c>
      <c r="AQ28" s="18">
        <f>iferror(USD_GBP*lookup(if(AP28="",H28,AP28),{0,1,15000},{0.0,0.004,0.004}),"")</f>
        <v>0</v>
      </c>
      <c r="AR28" s="18">
        <f>iferror(if(AP28="",H28,AP28)*AQ28,"")</f>
        <v>0</v>
      </c>
      <c r="AS28" s="19" t="s">
        <v>320</v>
      </c>
    </row>
    <row r="29" spans="1:50">
      <c r="A29" s="17" t="s">
        <v>121</v>
      </c>
      <c r="B29" s="17" t="s">
        <v>122</v>
      </c>
      <c r="C29" s="17" t="s">
        <v>123</v>
      </c>
      <c r="E29" s="17" t="s">
        <v>124</v>
      </c>
      <c r="F29" s="17" t="s">
        <v>61</v>
      </c>
      <c r="G29" s="17" t="s">
        <v>122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4825</v>
      </c>
      <c r="R29" s="18">
        <f>iferror(lookup(if(Q29="",H29,Q29),{0,1,10,25,100,250,500,1000,2500,5000,10000},{0.0,0.38,0.31,0.284,0.1914,0.1584,0.1452,0.1089,0.1023,0.0957,0.0891}),"")</f>
        <v>0</v>
      </c>
      <c r="S29" s="18">
        <f>iferror(if(Q29="",H29,Q29)*R29,"")</f>
        <v>0</v>
      </c>
      <c r="T29" s="19" t="s">
        <v>217</v>
      </c>
      <c r="U29" s="17">
        <v>4930</v>
      </c>
      <c r="W29" s="18">
        <f>iferror(USD_GBP*lookup(if(V29="",H29,V29),{0,1,5,10,50,100,250,500,1000,5000,10000},{0.0,0.244,0.244,0.244,0.179,0.114,0.102,0.0899,0.0778,0.073,0.0662}),"")</f>
        <v>0</v>
      </c>
      <c r="X29" s="18">
        <f>iferror(if(V29="",H29,V29)*W29,"")</f>
        <v>0</v>
      </c>
      <c r="Y29" s="19" t="s">
        <v>245</v>
      </c>
      <c r="AE29" s="17">
        <v>4715</v>
      </c>
      <c r="AG29" s="18">
        <f>iferror(lookup(if(AF29="",H29,AF29),{0,1,10,100,1000,5000,10000},{0.0,0.38,0.283,0.145,0.102,0.095,0.087}),"")</f>
        <v>0</v>
      </c>
      <c r="AH29" s="18">
        <f>iferror(if(AF29="",H29,AF29)*AG29,"")</f>
        <v>0</v>
      </c>
      <c r="AI29" s="19" t="s">
        <v>281</v>
      </c>
      <c r="AJ29" s="17">
        <v>5000</v>
      </c>
      <c r="AL29" s="18">
        <f>iferror(lookup(if(AK29="",H29,AK29),{0,1,5,10,25,50,100,250,5000,10000,20000,30000,40000},{0.0,0.38,0.38,0.31,0.284,0.238,0.191,0.158,0.087,0.085,0.084,0.082,0.081}),"")</f>
        <v>0</v>
      </c>
      <c r="AM29" s="18">
        <f>iferror(if(AK29="",H29,AK29)*AL29,"")</f>
        <v>0</v>
      </c>
      <c r="AN29" s="19" t="s">
        <v>307</v>
      </c>
      <c r="AO29" s="17">
        <v>5000</v>
      </c>
      <c r="AQ29" s="18">
        <f>iferror(USD_GBP*lookup(if(AP29="",H29,AP29),{0,1,5000},{0.0,0.07,0.07}),"")</f>
        <v>0</v>
      </c>
      <c r="AR29" s="18">
        <f>iferror(if(AP29="",H29,AP29)*AQ29,"")</f>
        <v>0</v>
      </c>
      <c r="AS29" s="19" t="s">
        <v>321</v>
      </c>
    </row>
    <row r="30" spans="1:50">
      <c r="A30" s="17" t="s">
        <v>125</v>
      </c>
      <c r="B30" s="17" t="s">
        <v>126</v>
      </c>
      <c r="C30" s="17" t="s">
        <v>127</v>
      </c>
      <c r="E30" s="17" t="s">
        <v>128</v>
      </c>
      <c r="F30" s="17" t="s">
        <v>55</v>
      </c>
      <c r="G30" s="17" t="s">
        <v>129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3911</v>
      </c>
      <c r="R30" s="18">
        <f>iferror(lookup(if(Q30="",H30,Q30),{0,1,10,25,100,250,500,1000,2500,5000,10000,25000,50000,125000},{0.0,0.49,0.4,0.3656,0.272,0.24652,0.204,0.153,0.14025,0.13175,0.12325,0.11305,0.1088,0.10455}),"")</f>
        <v>0</v>
      </c>
      <c r="S30" s="18">
        <f>iferror(if(Q30="",H30,Q30)*R30,"")</f>
        <v>0</v>
      </c>
      <c r="T30" s="19" t="s">
        <v>218</v>
      </c>
    </row>
    <row r="31" spans="1:50">
      <c r="A31" s="17" t="s">
        <v>130</v>
      </c>
      <c r="B31" s="17" t="s">
        <v>131</v>
      </c>
      <c r="C31" s="17" t="s">
        <v>132</v>
      </c>
      <c r="E31" s="17" t="s">
        <v>133</v>
      </c>
      <c r="F31" s="17" t="s">
        <v>134</v>
      </c>
      <c r="G31" s="17" t="s">
        <v>131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80</v>
      </c>
      <c r="R31" s="18">
        <f>iferror(lookup(if(Q31="",H31,Q31),{0,1,10,25,2000},{0.0,2.36,2.12,2.0,1.08}),"")</f>
        <v>0</v>
      </c>
      <c r="S31" s="18">
        <f>iferror(if(Q31="",H31,Q31)*R31,"")</f>
        <v>0</v>
      </c>
      <c r="T31" s="19" t="s">
        <v>219</v>
      </c>
      <c r="AE31" s="17">
        <v>908</v>
      </c>
      <c r="AG31" s="18">
        <f>iferror(lookup(if(AF31="",H31,AF31),{0,1,10,100,250,500,1000},{0.0,2.36,2.0,1.71,1.6,1.4,1.16}),"")</f>
        <v>0</v>
      </c>
      <c r="AH31" s="18">
        <f>iferror(if(AF31="",H31,AF31)*AG31,"")</f>
        <v>0</v>
      </c>
      <c r="AI31" s="19" t="s">
        <v>282</v>
      </c>
    </row>
    <row r="32" spans="1:50">
      <c r="A32" s="17" t="s">
        <v>135</v>
      </c>
      <c r="B32" s="17" t="s">
        <v>136</v>
      </c>
      <c r="C32" s="17" t="s">
        <v>137</v>
      </c>
      <c r="E32" s="17" t="s">
        <v>124</v>
      </c>
      <c r="F32" s="17" t="s">
        <v>61</v>
      </c>
      <c r="G32" s="17" t="s">
        <v>136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7">
        <v>2213</v>
      </c>
      <c r="R32" s="18">
        <f>iferror(lookup(if(Q32="",H32,Q32),{0,1,10,25,100,250,500,1000,2500,5000,10000},{0.0,0.44,0.353,0.3224,0.2175,0.18,0.165,0.12375,0.11625,0.10875,0.10125}),"")</f>
        <v>0</v>
      </c>
      <c r="S32" s="18">
        <f>iferror(if(Q32="",H32,Q32)*R32,"")</f>
        <v>0</v>
      </c>
      <c r="T32" s="19" t="s">
        <v>220</v>
      </c>
      <c r="U32" s="17">
        <v>4650</v>
      </c>
      <c r="W32" s="18">
        <f>iferror(USD_GBP*lookup(if(V32="",H32,V32),{0,1,5,10,50,100,250,500,1000,5000,10000},{0.0,0.235,0.235,0.235,0.172,0.108,0.102,0.0959,0.0899,0.0838,0.0778}),"")</f>
        <v>0</v>
      </c>
      <c r="X32" s="18">
        <f>iferror(if(V32="",H32,V32)*W32,"")</f>
        <v>0</v>
      </c>
      <c r="Y32" s="19" t="s">
        <v>246</v>
      </c>
      <c r="AE32" s="17">
        <v>8318</v>
      </c>
      <c r="AI32" s="19" t="s">
        <v>283</v>
      </c>
      <c r="AJ32" s="20" t="s">
        <v>201</v>
      </c>
      <c r="AL32" s="18">
        <f>iferror(lookup(if(AK32="",H32,AK32),{0,1,5,10,25,50,100,250,5000,6000,10000,12000,18000,30000},{0.0,0.44,0.44,0.353,0.322,0.27,0.217,0.18,0.166,0.147,0.101,0.133,0.124,0.114}),"")</f>
        <v>0</v>
      </c>
      <c r="AM32" s="18">
        <f>iferror(if(AK32="",H32,AK32)*AL32,"")</f>
        <v>0</v>
      </c>
      <c r="AN32" s="19" t="s">
        <v>308</v>
      </c>
      <c r="AO32" s="17">
        <v>4940</v>
      </c>
      <c r="AQ32" s="18">
        <f>iferror(USD_GBP*lookup(if(AP32="",H32,AP32),{0,1,5000},{0.0,0.08,0.08}),"")</f>
        <v>0</v>
      </c>
      <c r="AR32" s="18">
        <f>iferror(if(AP32="",H32,AP32)*AQ32,"")</f>
        <v>0</v>
      </c>
      <c r="AS32" s="19" t="s">
        <v>322</v>
      </c>
    </row>
    <row r="33" spans="1:50">
      <c r="A33" s="17" t="s">
        <v>138</v>
      </c>
      <c r="B33" s="17" t="s">
        <v>139</v>
      </c>
      <c r="C33" s="17" t="s">
        <v>140</v>
      </c>
      <c r="E33" s="17" t="s">
        <v>141</v>
      </c>
      <c r="F33" s="17" t="s">
        <v>61</v>
      </c>
      <c r="G33" s="17" t="s">
        <v>139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201</v>
      </c>
      <c r="R33" s="18">
        <f>iferror(lookup(if(Q33="",H33,Q33),{0,1,5000},{0.0,0.15525,0.15525}),"")</f>
        <v>0</v>
      </c>
      <c r="S33" s="18">
        <f>iferror(if(Q33="",H33,Q33)*R33,"")</f>
        <v>0</v>
      </c>
      <c r="T33" s="19" t="s">
        <v>221</v>
      </c>
      <c r="AE33" s="17">
        <v>3643</v>
      </c>
      <c r="AG33" s="18">
        <f>iferror(lookup(if(AF33="",H33,AF33),{0,1,10,100,500,1000,5000},{0.0,0.5,0.402,0.321,0.252,0.195,0.155}),"")</f>
        <v>0</v>
      </c>
      <c r="AH33" s="18">
        <f>iferror(if(AF33="",H33,AF33)*AG33,"")</f>
        <v>0</v>
      </c>
      <c r="AI33" s="19" t="s">
        <v>284</v>
      </c>
    </row>
    <row r="34" spans="1:50">
      <c r="A34" s="17" t="s">
        <v>142</v>
      </c>
      <c r="B34" s="17" t="s">
        <v>143</v>
      </c>
      <c r="C34" s="17" t="s">
        <v>144</v>
      </c>
      <c r="E34" s="17" t="s">
        <v>145</v>
      </c>
      <c r="F34" s="17" t="s">
        <v>146</v>
      </c>
      <c r="G34" s="17" t="s">
        <v>147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17">
        <v>2943</v>
      </c>
      <c r="R34" s="18">
        <f>iferror(lookup(if(Q34="",H34,Q34),{0,1,10,25,100,250,500,1000,2500,5000},{0.0,3.21,2.885,2.7272,2.2422,2.01192,1.9392,1.61196,1.5756,1.5756}),"")</f>
        <v>0</v>
      </c>
      <c r="S34" s="18">
        <f>iferror(if(Q34="",H34,Q34)*R34,"")</f>
        <v>0</v>
      </c>
      <c r="T34" s="19" t="s">
        <v>222</v>
      </c>
      <c r="U34" s="17">
        <v>8881</v>
      </c>
      <c r="W34" s="18">
        <f>iferror(USD_GBP*lookup(if(V34="",H34,V34),{0,1,10,25,50,100,250,500,1000},{0.0,2.84,2.13,2.01,1.88,1.76,1.58,1.51,1.26}),"")</f>
        <v>0</v>
      </c>
      <c r="X34" s="18">
        <f>iferror(if(V34="",H34,V34)*W34,"")</f>
        <v>0</v>
      </c>
      <c r="Y34" s="19" t="s">
        <v>247</v>
      </c>
      <c r="AE34" s="17">
        <v>141</v>
      </c>
      <c r="AI34" s="19" t="s">
        <v>285</v>
      </c>
      <c r="AJ34" s="17">
        <v>47</v>
      </c>
      <c r="AL34" s="18">
        <f>iferror(lookup(if(AK34="",H34,AK34),{0,1,10,25,50,100,250,5000,10000},{0.0,1.17,1.17,1.17,1.17,1.17,1.17,1.48,1.45}),"")</f>
        <v>0</v>
      </c>
      <c r="AM34" s="18">
        <f>iferror(if(AK34="",H34,AK34)*AL34,"")</f>
        <v>0</v>
      </c>
      <c r="AN34" s="19" t="s">
        <v>309</v>
      </c>
    </row>
    <row r="35" spans="1:50">
      <c r="A35" s="17" t="s">
        <v>148</v>
      </c>
      <c r="B35" s="17" t="s">
        <v>149</v>
      </c>
      <c r="C35" s="17" t="s">
        <v>150</v>
      </c>
      <c r="E35" s="17" t="s">
        <v>151</v>
      </c>
      <c r="F35" s="17" t="s">
        <v>152</v>
      </c>
      <c r="G35" s="17" t="s">
        <v>149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7">
        <v>120</v>
      </c>
      <c r="R35" s="18">
        <f>iferror(lookup(if(Q35="",H35,Q35),{0,1},{0.0,3.2}),"")</f>
        <v>0</v>
      </c>
      <c r="S35" s="18">
        <f>iferror(if(Q35="",H35,Q35)*R35,"")</f>
        <v>0</v>
      </c>
      <c r="T35" s="19" t="s">
        <v>223</v>
      </c>
      <c r="AE35" s="17">
        <v>50</v>
      </c>
      <c r="AI35" s="19" t="s">
        <v>286</v>
      </c>
      <c r="AT35" s="20" t="s">
        <v>201</v>
      </c>
      <c r="AV35" s="18">
        <f>iferror(lookup(if(AU35="",H35,AU35),{0,1,5,25,100},{0.0,4.1,3.85,3.6,3.35}),"")</f>
        <v>0</v>
      </c>
      <c r="AW35" s="18">
        <f>iferror(if(AU35="",H35,AU35)*AV35,"")</f>
        <v>0</v>
      </c>
      <c r="AX35" s="19" t="s">
        <v>326</v>
      </c>
    </row>
    <row r="36" spans="1:50">
      <c r="A36" s="17" t="s">
        <v>153</v>
      </c>
      <c r="B36" s="17" t="s">
        <v>154</v>
      </c>
      <c r="C36" s="17" t="s">
        <v>155</v>
      </c>
      <c r="E36" s="17" t="s">
        <v>156</v>
      </c>
      <c r="F36" s="17" t="s">
        <v>157</v>
      </c>
      <c r="G36" s="17" t="s">
        <v>158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4400</v>
      </c>
      <c r="R36" s="18">
        <f>iferror(lookup(if(Q36="",H36,Q36),{0,1,25,100,1500},{0.0,1.35,1.3044,1.2543,1.17521}),"")</f>
        <v>0</v>
      </c>
      <c r="S36" s="18">
        <f>iferror(if(Q36="",H36,Q36)*R36,"")</f>
        <v>0</v>
      </c>
      <c r="T36" s="19" t="s">
        <v>224</v>
      </c>
      <c r="U36" s="17">
        <v>57</v>
      </c>
      <c r="W36" s="18">
        <f>iferror(USD_GBP*lookup(if(V36="",H36,V36),{0,1,10,25,50,100,250,500,1000,2500},{0.0,1.24,1.24,1.14,1.06,1.04,1.02,1.01,0.996,0.981}),"")</f>
        <v>0</v>
      </c>
      <c r="X36" s="18">
        <f>iferror(if(V36="",H36,V36)*W36,"")</f>
        <v>0</v>
      </c>
      <c r="Y36" s="19" t="s">
        <v>248</v>
      </c>
      <c r="AE36" s="17">
        <v>625</v>
      </c>
      <c r="AI36" s="19" t="s">
        <v>287</v>
      </c>
      <c r="AJ36" s="20" t="s">
        <v>201</v>
      </c>
      <c r="AL36" s="18">
        <f>iferror(lookup(if(AK36="",H36,AK36),{0,1,10,25,50,100},{0.0,1.72,1.6,1.5,1.4,1.3}),"")</f>
        <v>0</v>
      </c>
      <c r="AM36" s="18">
        <f>iferror(if(AK36="",H36,AK36)*AL36,"")</f>
        <v>0</v>
      </c>
      <c r="AN36" s="19" t="s">
        <v>310</v>
      </c>
    </row>
    <row r="37" spans="1:50">
      <c r="A37" s="17" t="s">
        <v>159</v>
      </c>
      <c r="B37" s="17" t="s">
        <v>160</v>
      </c>
      <c r="C37" s="17" t="s">
        <v>161</v>
      </c>
      <c r="E37" s="17" t="s">
        <v>162</v>
      </c>
      <c r="F37" s="17" t="s">
        <v>61</v>
      </c>
      <c r="G37" s="17" t="s">
        <v>160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7">
        <v>8161</v>
      </c>
      <c r="R37" s="18">
        <f>iferror(lookup(if(Q37="",H37,Q37),{0,1,10,25,100,250,500,1000,3000},{0.0,0.62,0.545,0.5116,0.3878,0.33,0.3135,0.23925,0.22275}),"")</f>
        <v>0</v>
      </c>
      <c r="S37" s="18">
        <f>iferror(if(Q37="",H37,Q37)*R37,"")</f>
        <v>0</v>
      </c>
      <c r="T37" s="19" t="s">
        <v>225</v>
      </c>
      <c r="U37" s="20" t="s">
        <v>201</v>
      </c>
      <c r="Y37" s="19" t="s">
        <v>249</v>
      </c>
      <c r="AE37" s="17">
        <v>3027</v>
      </c>
      <c r="AI37" s="19" t="s">
        <v>288</v>
      </c>
      <c r="AJ37" s="20" t="s">
        <v>201</v>
      </c>
      <c r="AL37" s="18">
        <f>iferror(lookup(if(AK37="",H37,AK37),{0,1,3000,6000,12000,18000,30000},{0.0,0.285,0.285,0.264,0.246,0.229,0.219}),"")</f>
        <v>0</v>
      </c>
      <c r="AM37" s="18">
        <f>iferror(if(AK37="",H37,AK37)*AL37,"")</f>
        <v>0</v>
      </c>
      <c r="AN37" s="19" t="s">
        <v>311</v>
      </c>
    </row>
    <row r="38" spans="1:50">
      <c r="A38" s="17" t="s">
        <v>163</v>
      </c>
      <c r="B38" s="17" t="s">
        <v>164</v>
      </c>
      <c r="C38" s="17" t="s">
        <v>165</v>
      </c>
      <c r="E38" s="17" t="s">
        <v>166</v>
      </c>
      <c r="F38" s="17" t="s">
        <v>167</v>
      </c>
      <c r="G38" s="17" t="s">
        <v>164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  <c r="P38" s="17">
        <v>223</v>
      </c>
      <c r="R38" s="18">
        <f>iferror(lookup(if(Q38="",H38,Q38),{0,1,25,100,2000},{0.0,6.06,5.3024,5.0551,5.005}),"")</f>
        <v>0</v>
      </c>
      <c r="S38" s="18">
        <f>iferror(if(Q38="",H38,Q38)*R38,"")</f>
        <v>0</v>
      </c>
      <c r="T38" s="19" t="s">
        <v>226</v>
      </c>
      <c r="AE38" s="17">
        <v>1694</v>
      </c>
      <c r="AI38" s="19" t="s">
        <v>289</v>
      </c>
    </row>
    <row r="39" spans="1:50">
      <c r="A39" s="17" t="s">
        <v>168</v>
      </c>
      <c r="B39" s="17" t="s">
        <v>169</v>
      </c>
      <c r="C39" s="17" t="s">
        <v>170</v>
      </c>
      <c r="D39" s="17" t="s">
        <v>173</v>
      </c>
      <c r="E39" s="17" t="s">
        <v>171</v>
      </c>
      <c r="F39" s="17" t="s">
        <v>172</v>
      </c>
      <c r="G39" s="17" t="s">
        <v>169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</row>
    <row r="41" spans="1:50">
      <c r="B41" s="21" t="s">
        <v>176</v>
      </c>
      <c r="I41" s="1" t="s">
        <v>174</v>
      </c>
      <c r="J41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L41" s="6">
        <f>IFERROR(IF(OR(L7:L39),COUNTIFS(L7:L39,"&gt;0",N7:N39,"&lt;&gt;")&amp;" of "&amp;(ROWS(N7:N39)-COUNTBLANK(N7:N39))&amp;" parts purchased",""),"")</f>
        <v>0</v>
      </c>
      <c r="N41" s="5">
        <f>SUMIF(L7:L39,"&gt;0",N7:N39)</f>
        <v>0</v>
      </c>
      <c r="Q41" s="6">
        <f>IFERROR(IF(OR(Q7:Q39),COUNTIFS(Q7:Q39,"&gt;0",S7:S39,"&lt;&gt;")&amp;" of "&amp;(ROWS(S7:S39)-COUNTBLANK(S7:S39))&amp;" parts purchased",""),"")</f>
        <v>0</v>
      </c>
      <c r="S41" s="5">
        <f>SUMIF(Q7:Q39,"&gt;0",S7:S39)</f>
        <v>0</v>
      </c>
      <c r="V41" s="6">
        <f>IFERROR(IF(OR(V7:V39),COUNTIFS(V7:V39,"&gt;0",X7:X39,"&lt;&gt;")&amp;" of "&amp;(ROWS(X7:X39)-COUNTBLANK(X7:X39))&amp;" parts purchased",""),"")</f>
        <v>0</v>
      </c>
      <c r="X41" s="5">
        <f>SUMIF(V7:V39,"&gt;0",X7:X39)</f>
        <v>0</v>
      </c>
      <c r="AA41" s="6">
        <f>IFERROR(IF(OR(AA7:AA39),COUNTIFS(AA7:AA39,"&gt;0",AC7:AC39,"&lt;&gt;")&amp;" of "&amp;(ROWS(AC7:AC39)-COUNTBLANK(AC7:AC39))&amp;" parts purchased",""),"")</f>
        <v>0</v>
      </c>
      <c r="AC41" s="5">
        <f>SUMIF(AA7:AA39,"&gt;0",AC7:AC39)</f>
        <v>0</v>
      </c>
      <c r="AF41" s="6">
        <f>IFERROR(IF(OR(AF7:AF39),COUNTIFS(AF7:AF39,"&gt;0",AH7:AH39,"&lt;&gt;")&amp;" of "&amp;(ROWS(AH7:AH39)-COUNTBLANK(AH7:AH39))&amp;" parts purchased",""),"")</f>
        <v>0</v>
      </c>
      <c r="AH41" s="5">
        <f>SUMIF(AF7:AF39,"&gt;0",AH7:AH39)</f>
        <v>0</v>
      </c>
      <c r="AK41" s="6">
        <f>IFERROR(IF(OR(AK7:AK39),COUNTIFS(AK7:AK39,"&gt;0",AM7:AM39,"&lt;&gt;")&amp;" of "&amp;(ROWS(AM7:AM39)-COUNTBLANK(AM7:AM39))&amp;" parts purchased",""),"")</f>
        <v>0</v>
      </c>
      <c r="AM41" s="5">
        <f>SUMIF(AK7:AK39,"&gt;0",AM7:AM39)</f>
        <v>0</v>
      </c>
      <c r="AP41" s="6">
        <f>IFERROR(IF(OR(AP7:AP39),COUNTIFS(AP7:AP39,"&gt;0",AR7:AR39,"&lt;&gt;")&amp;" of "&amp;(ROWS(AR7:AR39)-COUNTBLANK(AR7:AR39))&amp;" parts purchased",""),"")</f>
        <v>0</v>
      </c>
      <c r="AR41" s="5">
        <f>SUMIF(AP7:AP39,"&gt;0",AR7:AR39)</f>
        <v>0</v>
      </c>
      <c r="AU41" s="6">
        <f>IFERROR(IF(OR(AU7:AU39),COUNTIFS(AU7:AU39,"&gt;0",AW7:AW39,"&lt;&gt;")&amp;" of "&amp;(ROWS(AW7:AW39)-COUNTBLANK(AW7:AW39))&amp;" parts purchased",""),"")</f>
        <v>0</v>
      </c>
      <c r="AW41" s="5">
        <f>SUMIF(AU7:AU39,"&gt;0",AW7:AW39)</f>
        <v>0</v>
      </c>
    </row>
    <row r="42" spans="1:50">
      <c r="B42" s="21" t="s">
        <v>177</v>
      </c>
      <c r="C42">
        <v>1.293904700565222</v>
      </c>
      <c r="I42" s="21" t="s">
        <v>175</v>
      </c>
      <c r="L42">
        <f t="array" ref="L42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2">
        <f t="array" ref="Q42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2">
        <f t="array" ref="V42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2" s="6">
        <f>IFERROR(IF(COUNTIFS(AA7:AA39,"&gt;0",AC7:AC39,"&lt;&gt;")&gt;0,"Quantity,Comment,Designator,Footprint,LCSC Part #(optional)",""),"")</f>
        <v>0</v>
      </c>
      <c r="AF42">
        <f t="array" ref="AF42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2">
        <f t="array" ref="AK42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2">
        <f t="array" ref="AP42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2">
        <f t="array" ref="AU42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3" spans="1:50">
      <c r="L43">
        <f t="array" ref="L43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3">
        <f t="array" ref="Q43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3">
        <f t="array" ref="V43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3">
        <f t="array" ref="AA43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3">
        <f t="array" ref="AF43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3">
        <f t="array" ref="AK43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3">
        <f t="array" ref="AP43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3">
        <f t="array" ref="AU43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4" spans="1:50">
      <c r="A44" s="2" t="s">
        <v>327</v>
      </c>
      <c r="L44">
        <f t="array" ref="L44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4">
        <f t="array" ref="Q44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4">
        <f t="array" ref="V44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4">
        <f t="array" ref="AA44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4">
        <f t="array" ref="AF44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4">
        <f t="array" ref="AK44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4">
        <f t="array" ref="AP44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4">
        <f t="array" ref="AU44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5" spans="1:50">
      <c r="L45">
        <f t="array" ref="L45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5">
        <f t="array" ref="Q45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5">
        <f t="array" ref="V45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5">
        <f t="array" ref="AA45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5">
        <f t="array" ref="AF45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5">
        <f t="array" ref="AK45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5">
        <f t="array" ref="AP45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5">
        <f t="array" ref="AU45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6" spans="1:50">
      <c r="L46">
        <f t="array" ref="L46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6">
        <f t="array" ref="Q46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6">
        <f t="array" ref="V46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6">
        <f t="array" ref="AA46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6">
        <f t="array" ref="AF46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6">
        <f t="array" ref="AK46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6">
        <f t="array" ref="AP46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6">
        <f t="array" ref="AU46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7" spans="1:50">
      <c r="L47">
        <f t="array" ref="L47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7">
        <f t="array" ref="Q47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7">
        <f t="array" ref="V47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7">
        <f t="array" ref="AA47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7">
        <f t="array" ref="AF47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7">
        <f t="array" ref="AK47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7">
        <f t="array" ref="AP47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7">
        <f t="array" ref="AU47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8" spans="1:50">
      <c r="L48">
        <f t="array" ref="L48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8">
        <f t="array" ref="Q48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8">
        <f t="array" ref="V48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8">
        <f t="array" ref="AA48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8">
        <f t="array" ref="AF48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8">
        <f t="array" ref="AK48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8">
        <f t="array" ref="AP48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8">
        <f t="array" ref="AU48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9" spans="12:47">
      <c r="L49">
        <f t="array" ref="L49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9">
        <f t="array" ref="Q49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9">
        <f t="array" ref="V49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9">
        <f t="array" ref="AA49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9">
        <f t="array" ref="AF49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9">
        <f t="array" ref="AK49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9">
        <f t="array" ref="AP49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9">
        <f t="array" ref="AU49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0" spans="12:47">
      <c r="L50">
        <f t="array" ref="L50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0">
        <f t="array" ref="Q50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0">
        <f t="array" ref="V50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0">
        <f t="array" ref="AA50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0">
        <f t="array" ref="AF50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0">
        <f t="array" ref="AK50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0">
        <f t="array" ref="AP50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0">
        <f t="array" ref="AU50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1" spans="12:47">
      <c r="L51">
        <f t="array" ref="L51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1">
        <f t="array" ref="Q51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1">
        <f t="array" ref="V51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1">
        <f t="array" ref="AA51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1">
        <f t="array" ref="AF51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1">
        <f t="array" ref="AK51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1">
        <f t="array" ref="AP51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1">
        <f t="array" ref="AU51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2" spans="12:47">
      <c r="L52">
        <f t="array" ref="L52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2">
        <f t="array" ref="Q52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2">
        <f t="array" ref="V52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2">
        <f t="array" ref="AA52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2">
        <f t="array" ref="AF52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2">
        <f t="array" ref="AK52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2">
        <f t="array" ref="AP52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2">
        <f t="array" ref="AU52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3" spans="12:47">
      <c r="L53">
        <f t="array" ref="L53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3">
        <f t="array" ref="Q53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3">
        <f t="array" ref="V53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3">
        <f t="array" ref="AA53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3">
        <f t="array" ref="AF53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3">
        <f t="array" ref="AK53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3">
        <f t="array" ref="AP53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3">
        <f t="array" ref="AU53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4" spans="12:47">
      <c r="L54">
        <f t="array" ref="L54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4">
        <f t="array" ref="Q54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4">
        <f t="array" ref="V54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4">
        <f t="array" ref="AA54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4">
        <f t="array" ref="AF54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4">
        <f t="array" ref="AK54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4">
        <f t="array" ref="AP54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4">
        <f t="array" ref="AU54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5" spans="12:47">
      <c r="L55">
        <f t="array" ref="L55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5">
        <f t="array" ref="Q55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5">
        <f t="array" ref="V55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5">
        <f t="array" ref="AA55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5">
        <f t="array" ref="AF55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5">
        <f t="array" ref="AK55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5">
        <f t="array" ref="AP55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5">
        <f t="array" ref="AU55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6" spans="12:47">
      <c r="L56">
        <f t="array" ref="L56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6">
        <f t="array" ref="Q56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6">
        <f t="array" ref="V56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6">
        <f t="array" ref="AA56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6">
        <f t="array" ref="AF56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6">
        <f t="array" ref="AK56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6">
        <f t="array" ref="AP56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6">
        <f t="array" ref="AU56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7" spans="12:47">
      <c r="L57">
        <f t="array" ref="L57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7">
        <f t="array" ref="Q57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7">
        <f t="array" ref="V57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7">
        <f t="array" ref="AA57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7">
        <f t="array" ref="AF57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7">
        <f t="array" ref="AK57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7">
        <f t="array" ref="AP57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7">
        <f t="array" ref="AU57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8" spans="12:47">
      <c r="L58">
        <f t="array" ref="L58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8">
        <f t="array" ref="Q58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8">
        <f t="array" ref="V58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8">
        <f t="array" ref="AA58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8">
        <f t="array" ref="AF58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8">
        <f t="array" ref="AK58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8">
        <f t="array" ref="AP58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8">
        <f t="array" ref="AU58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9" spans="12:47">
      <c r="L59">
        <f t="array" ref="L59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9">
        <f t="array" ref="Q59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9">
        <f t="array" ref="V59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9">
        <f t="array" ref="AA59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9">
        <f t="array" ref="AF59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9">
        <f t="array" ref="AK59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9">
        <f t="array" ref="AP59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9">
        <f t="array" ref="AU59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0" spans="12:47">
      <c r="L60">
        <f t="array" ref="L60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0">
        <f t="array" ref="Q60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0">
        <f t="array" ref="V60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0">
        <f t="array" ref="AA60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0">
        <f t="array" ref="AF60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0">
        <f t="array" ref="AK60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0">
        <f t="array" ref="AP60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0">
        <f t="array" ref="AU60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1" spans="12:47">
      <c r="L61">
        <f t="array" ref="L61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1">
        <f t="array" ref="Q61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1">
        <f t="array" ref="V61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1">
        <f t="array" ref="AA61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1">
        <f t="array" ref="AF61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1">
        <f t="array" ref="AK61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1">
        <f t="array" ref="AP61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1">
        <f t="array" ref="AU61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2" spans="12:47">
      <c r="L62">
        <f t="array" ref="L62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2">
        <f t="array" ref="Q62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2">
        <f t="array" ref="V62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2">
        <f t="array" ref="AA62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2">
        <f t="array" ref="AF62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2">
        <f t="array" ref="AK62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2">
        <f t="array" ref="AP62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2">
        <f t="array" ref="AU62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3" spans="12:47">
      <c r="L63">
        <f t="array" ref="L63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3">
        <f t="array" ref="Q63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3">
        <f t="array" ref="V63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3">
        <f t="array" ref="AA63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3">
        <f t="array" ref="AF63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3">
        <f t="array" ref="AK63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3">
        <f t="array" ref="AP63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3">
        <f t="array" ref="AU63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4" spans="12:47">
      <c r="L64">
        <f t="array" ref="L64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4">
        <f t="array" ref="Q64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4">
        <f t="array" ref="V64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4">
        <f t="array" ref="AA64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4">
        <f t="array" ref="AF64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4">
        <f t="array" ref="AK64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4">
        <f t="array" ref="AP64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4">
        <f t="array" ref="AU64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5" spans="12:47">
      <c r="L65">
        <f t="array" ref="L65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5">
        <f t="array" ref="Q65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5">
        <f t="array" ref="V65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5">
        <f t="array" ref="AA65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5">
        <f t="array" ref="AF65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5">
        <f t="array" ref="AK65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5">
        <f t="array" ref="AP65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5">
        <f t="array" ref="AU65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6" spans="12:47">
      <c r="L66">
        <f t="array" ref="L66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6">
        <f t="array" ref="Q66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6">
        <f t="array" ref="V66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6">
        <f t="array" ref="AA66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6">
        <f t="array" ref="AF66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6">
        <f t="array" ref="AK66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6">
        <f t="array" ref="AP66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6">
        <f t="array" ref="AU66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7" spans="12:47">
      <c r="L67">
        <f t="array" ref="L67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7">
        <f t="array" ref="Q67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7">
        <f t="array" ref="V67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7">
        <f t="array" ref="AA67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7">
        <f t="array" ref="AF67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7">
        <f t="array" ref="AK67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7">
        <f t="array" ref="AP67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7">
        <f t="array" ref="AU67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8" spans="12:47">
      <c r="L68">
        <f t="array" ref="L68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8">
        <f t="array" ref="Q68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8">
        <f t="array" ref="V68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8">
        <f t="array" ref="AA68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8">
        <f t="array" ref="AF68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8">
        <f t="array" ref="AK68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8">
        <f t="array" ref="AP68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8">
        <f t="array" ref="AU68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9" spans="12:47">
      <c r="L69">
        <f t="array" ref="L69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9">
        <f t="array" ref="Q69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9">
        <f t="array" ref="V69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9">
        <f t="array" ref="AA69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9">
        <f t="array" ref="AF69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9">
        <f t="array" ref="AK69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9">
        <f t="array" ref="AP69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9">
        <f t="array" ref="AU69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0" spans="12:47">
      <c r="L70">
        <f t="array" ref="L70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0">
        <f t="array" ref="Q70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0">
        <f t="array" ref="V70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70">
        <f t="array" ref="AA70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0">
        <f t="array" ref="AF70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0">
        <f t="array" ref="AK70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70">
        <f t="array" ref="AP70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70">
        <f t="array" ref="AU70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1" spans="12:47">
      <c r="L71">
        <f t="array" ref="L71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1">
        <f t="array" ref="Q71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1">
        <f t="array" ref="V71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71">
        <f t="array" ref="AA71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1">
        <f t="array" ref="AF71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1">
        <f t="array" ref="AK71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71">
        <f t="array" ref="AP71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71">
        <f t="array" ref="AU71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2" spans="12:47">
      <c r="L72">
        <f t="array" ref="L72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2">
        <f t="array" ref="Q72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2">
        <f t="array" ref="V72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72">
        <f t="array" ref="AA72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2">
        <f t="array" ref="AF72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2">
        <f t="array" ref="AK72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72">
        <f t="array" ref="AP72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72">
        <f t="array" ref="AU72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3" spans="12:47">
      <c r="L73">
        <f t="array" ref="L73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3">
        <f t="array" ref="Q73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3">
        <f t="array" ref="V73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73">
        <f t="array" ref="AA73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3">
        <f t="array" ref="AF73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3">
        <f t="array" ref="AK73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73">
        <f t="array" ref="AP73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73">
        <f t="array" ref="AU73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4" spans="12:47">
      <c r="L74">
        <f t="array" ref="L74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4">
        <f t="array" ref="Q74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4">
        <f t="array" ref="V74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74">
        <f t="array" ref="AA74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4">
        <f t="array" ref="AF74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4">
        <f t="array" ref="AK74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74">
        <f t="array" ref="AP74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74">
        <f t="array" ref="AU74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5" spans="12:47">
      <c r="AA75">
        <f t="array" ref="AA75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419">
      <formula>AND(AA10&gt;0,AA10&lt;20)</formula>
    </cfRule>
    <cfRule type="cellIs" dxfId="1" priority="420" operator="greaterThan">
      <formula>Z10</formula>
    </cfRule>
  </conditionalFormatting>
  <conditionalFormatting sqref="AA11">
    <cfRule type="expression" dxfId="3" priority="425">
      <formula>AND(AA11&gt;0,AA11&lt;100)</formula>
    </cfRule>
    <cfRule type="cellIs" dxfId="1" priority="426" operator="greaterThan">
      <formula>Z11</formula>
    </cfRule>
  </conditionalFormatting>
  <conditionalFormatting sqref="AA12">
    <cfRule type="expression" dxfId="3" priority="431">
      <formula>AND(AA12&gt;0,AA12&lt;5)</formula>
    </cfRule>
    <cfRule type="cellIs" dxfId="1" priority="432" operator="greaterThan">
      <formula>Z12</formula>
    </cfRule>
  </conditionalFormatting>
  <conditionalFormatting sqref="AA13">
    <cfRule type="expression" dxfId="3" priority="437">
      <formula>AND(AA13&gt;0,AA13&lt;10)</formula>
    </cfRule>
    <cfRule type="cellIs" dxfId="1" priority="438" operator="greaterThan">
      <formula>Z13</formula>
    </cfRule>
  </conditionalFormatting>
  <conditionalFormatting sqref="AA14">
    <cfRule type="expression" dxfId="3" priority="443">
      <formula>AND(AA14&gt;0,AA14&lt;50)</formula>
    </cfRule>
    <cfRule type="cellIs" dxfId="1" priority="444" operator="greaterThan">
      <formula>Z14</formula>
    </cfRule>
  </conditionalFormatting>
  <conditionalFormatting sqref="AA16">
    <cfRule type="cellIs" dxfId="1" priority="449" operator="greaterThan">
      <formula>Z16</formula>
    </cfRule>
  </conditionalFormatting>
  <conditionalFormatting sqref="AA23">
    <cfRule type="expression" dxfId="3" priority="454">
      <formula>AND(AA23&gt;0,AA23&lt;50)</formula>
    </cfRule>
    <cfRule type="cellIs" dxfId="1" priority="455" operator="greaterThan">
      <formula>Z23</formula>
    </cfRule>
  </conditionalFormatting>
  <conditionalFormatting sqref="AA26">
    <cfRule type="expression" dxfId="3" priority="460">
      <formula>AND(AA26&gt;0,AA26&lt;50)</formula>
    </cfRule>
    <cfRule type="cellIs" dxfId="1" priority="461" operator="greaterThan">
      <formula>Z26</formula>
    </cfRule>
  </conditionalFormatting>
  <conditionalFormatting sqref="AA28">
    <cfRule type="expression" dxfId="3" priority="466">
      <formula>AND(AA28&gt;0,AA28&lt;50)</formula>
    </cfRule>
    <cfRule type="cellIs" dxfId="1" priority="467" operator="greaterThan">
      <formula>Z28</formula>
    </cfRule>
  </conditionalFormatting>
  <conditionalFormatting sqref="AB10">
    <cfRule type="cellIs" dxfId="4" priority="422" operator="lessThanOrEqual">
      <formula>I10</formula>
    </cfRule>
  </conditionalFormatting>
  <conditionalFormatting sqref="AB11">
    <cfRule type="cellIs" dxfId="4" priority="428" operator="lessThanOrEqual">
      <formula>I11</formula>
    </cfRule>
  </conditionalFormatting>
  <conditionalFormatting sqref="AB12">
    <cfRule type="cellIs" dxfId="4" priority="434" operator="lessThanOrEqual">
      <formula>I12</formula>
    </cfRule>
  </conditionalFormatting>
  <conditionalFormatting sqref="AB13">
    <cfRule type="cellIs" dxfId="4" priority="440" operator="lessThanOrEqual">
      <formula>I13</formula>
    </cfRule>
  </conditionalFormatting>
  <conditionalFormatting sqref="AB14">
    <cfRule type="cellIs" dxfId="4" priority="446" operator="lessThanOrEqual">
      <formula>I14</formula>
    </cfRule>
  </conditionalFormatting>
  <conditionalFormatting sqref="AB16">
    <cfRule type="cellIs" dxfId="4" priority="451" operator="lessThanOrEqual">
      <formula>I16</formula>
    </cfRule>
  </conditionalFormatting>
  <conditionalFormatting sqref="AB23">
    <cfRule type="cellIs" dxfId="4" priority="457" operator="lessThanOrEqual">
      <formula>I23</formula>
    </cfRule>
  </conditionalFormatting>
  <conditionalFormatting sqref="AB26">
    <cfRule type="cellIs" dxfId="4" priority="463" operator="lessThanOrEqual">
      <formula>I26</formula>
    </cfRule>
  </conditionalFormatting>
  <conditionalFormatting sqref="AB28">
    <cfRule type="cellIs" dxfId="4" priority="469" operator="lessThanOrEqual">
      <formula>I28</formula>
    </cfRule>
  </conditionalFormatting>
  <conditionalFormatting sqref="AC10">
    <cfRule type="cellIs" dxfId="4" priority="421" operator="lessThanOrEqual">
      <formula>J10</formula>
    </cfRule>
  </conditionalFormatting>
  <conditionalFormatting sqref="AC11">
    <cfRule type="cellIs" dxfId="4" priority="427" operator="lessThanOrEqual">
      <formula>J11</formula>
    </cfRule>
  </conditionalFormatting>
  <conditionalFormatting sqref="AC12">
    <cfRule type="cellIs" dxfId="4" priority="433" operator="lessThanOrEqual">
      <formula>J12</formula>
    </cfRule>
  </conditionalFormatting>
  <conditionalFormatting sqref="AC13">
    <cfRule type="cellIs" dxfId="4" priority="439" operator="lessThanOrEqual">
      <formula>J13</formula>
    </cfRule>
  </conditionalFormatting>
  <conditionalFormatting sqref="AC14">
    <cfRule type="cellIs" dxfId="4" priority="445" operator="lessThanOrEqual">
      <formula>J14</formula>
    </cfRule>
  </conditionalFormatting>
  <conditionalFormatting sqref="AC16">
    <cfRule type="cellIs" dxfId="4" priority="450" operator="lessThanOrEqual">
      <formula>J16</formula>
    </cfRule>
  </conditionalFormatting>
  <conditionalFormatting sqref="AC23">
    <cfRule type="cellIs" dxfId="4" priority="456" operator="lessThanOrEqual">
      <formula>J23</formula>
    </cfRule>
  </conditionalFormatting>
  <conditionalFormatting sqref="AC26">
    <cfRule type="cellIs" dxfId="4" priority="462" operator="lessThanOrEqual">
      <formula>J26</formula>
    </cfRule>
  </conditionalFormatting>
  <conditionalFormatting sqref="AC28">
    <cfRule type="cellIs" dxfId="4" priority="468" operator="lessThanOrEqual">
      <formula>J28</formula>
    </cfRule>
  </conditionalFormatting>
  <conditionalFormatting sqref="AE14">
    <cfRule type="cellIs" dxfId="1" priority="470" operator="equal">
      <formula>0</formula>
    </cfRule>
    <cfRule type="cellIs" dxfId="2" priority="471" operator="lessThan">
      <formula>H14</formula>
    </cfRule>
  </conditionalFormatting>
  <conditionalFormatting sqref="AE17">
    <cfRule type="cellIs" dxfId="1" priority="475" operator="equal">
      <formula>0</formula>
    </cfRule>
    <cfRule type="cellIs" dxfId="2" priority="476" operator="lessThan">
      <formula>H17</formula>
    </cfRule>
  </conditionalFormatting>
  <conditionalFormatting sqref="AE21">
    <cfRule type="cellIs" dxfId="1" priority="480" operator="equal">
      <formula>0</formula>
    </cfRule>
    <cfRule type="cellIs" dxfId="2" priority="481" operator="lessThan">
      <formula>H21</formula>
    </cfRule>
  </conditionalFormatting>
  <conditionalFormatting sqref="AE22">
    <cfRule type="cellIs" dxfId="1" priority="485" operator="equal">
      <formula>0</formula>
    </cfRule>
    <cfRule type="cellIs" dxfId="2" priority="486" operator="lessThan">
      <formula>H22</formula>
    </cfRule>
  </conditionalFormatting>
  <conditionalFormatting sqref="AE24">
    <cfRule type="cellIs" dxfId="1" priority="490" operator="equal">
      <formula>0</formula>
    </cfRule>
    <cfRule type="cellIs" dxfId="2" priority="491" operator="lessThan">
      <formula>H24</formula>
    </cfRule>
  </conditionalFormatting>
  <conditionalFormatting sqref="AE25">
    <cfRule type="cellIs" dxfId="1" priority="495" operator="equal">
      <formula>0</formula>
    </cfRule>
    <cfRule type="cellIs" dxfId="2" priority="496" operator="lessThan">
      <formula>H25</formula>
    </cfRule>
  </conditionalFormatting>
  <conditionalFormatting sqref="AE27">
    <cfRule type="cellIs" dxfId="1" priority="500" operator="equal">
      <formula>0</formula>
    </cfRule>
    <cfRule type="cellIs" dxfId="2" priority="501" operator="lessThan">
      <formula>H27</formula>
    </cfRule>
  </conditionalFormatting>
  <conditionalFormatting sqref="AE28">
    <cfRule type="cellIs" dxfId="1" priority="505" operator="equal">
      <formula>0</formula>
    </cfRule>
    <cfRule type="cellIs" dxfId="2" priority="506" operator="lessThan">
      <formula>H28</formula>
    </cfRule>
  </conditionalFormatting>
  <conditionalFormatting sqref="AE29">
    <cfRule type="cellIs" dxfId="1" priority="510" operator="equal">
      <formula>0</formula>
    </cfRule>
    <cfRule type="cellIs" dxfId="2" priority="511" operator="lessThan">
      <formula>H29</formula>
    </cfRule>
  </conditionalFormatting>
  <conditionalFormatting sqref="AE31">
    <cfRule type="cellIs" dxfId="1" priority="515" operator="equal">
      <formula>0</formula>
    </cfRule>
    <cfRule type="cellIs" dxfId="2" priority="516" operator="lessThan">
      <formula>H31</formula>
    </cfRule>
  </conditionalFormatting>
  <conditionalFormatting sqref="AE33">
    <cfRule type="cellIs" dxfId="1" priority="520" operator="equal">
      <formula>0</formula>
    </cfRule>
    <cfRule type="cellIs" dxfId="2" priority="521" operator="lessThan">
      <formula>H33</formula>
    </cfRule>
  </conditionalFormatting>
  <conditionalFormatting sqref="AF14">
    <cfRule type="cellIs" dxfId="1" priority="472" operator="greaterThan">
      <formula>AE14</formula>
    </cfRule>
  </conditionalFormatting>
  <conditionalFormatting sqref="AF17">
    <cfRule type="cellIs" dxfId="1" priority="477" operator="greaterThan">
      <formula>AE17</formula>
    </cfRule>
  </conditionalFormatting>
  <conditionalFormatting sqref="AF21">
    <cfRule type="cellIs" dxfId="1" priority="482" operator="greaterThan">
      <formula>AE21</formula>
    </cfRule>
  </conditionalFormatting>
  <conditionalFormatting sqref="AF22">
    <cfRule type="cellIs" dxfId="1" priority="487" operator="greaterThan">
      <formula>AE22</formula>
    </cfRule>
  </conditionalFormatting>
  <conditionalFormatting sqref="AF24">
    <cfRule type="cellIs" dxfId="1" priority="492" operator="greaterThan">
      <formula>AE24</formula>
    </cfRule>
  </conditionalFormatting>
  <conditionalFormatting sqref="AF25">
    <cfRule type="cellIs" dxfId="1" priority="497" operator="greaterThan">
      <formula>AE25</formula>
    </cfRule>
  </conditionalFormatting>
  <conditionalFormatting sqref="AF27">
    <cfRule type="cellIs" dxfId="1" priority="502" operator="greaterThan">
      <formula>AE27</formula>
    </cfRule>
  </conditionalFormatting>
  <conditionalFormatting sqref="AF28">
    <cfRule type="cellIs" dxfId="1" priority="507" operator="greaterThan">
      <formula>AE28</formula>
    </cfRule>
  </conditionalFormatting>
  <conditionalFormatting sqref="AF29">
    <cfRule type="cellIs" dxfId="1" priority="512" operator="greaterThan">
      <formula>AE29</formula>
    </cfRule>
  </conditionalFormatting>
  <conditionalFormatting sqref="AF31">
    <cfRule type="cellIs" dxfId="1" priority="517" operator="greaterThan">
      <formula>AE31</formula>
    </cfRule>
  </conditionalFormatting>
  <conditionalFormatting sqref="AF33">
    <cfRule type="cellIs" dxfId="1" priority="522" operator="greaterThan">
      <formula>AE33</formula>
    </cfRule>
  </conditionalFormatting>
  <conditionalFormatting sqref="AG14">
    <cfRule type="cellIs" dxfId="4" priority="474" operator="lessThanOrEqual">
      <formula>I14</formula>
    </cfRule>
  </conditionalFormatting>
  <conditionalFormatting sqref="AG17">
    <cfRule type="cellIs" dxfId="4" priority="479" operator="lessThanOrEqual">
      <formula>I17</formula>
    </cfRule>
  </conditionalFormatting>
  <conditionalFormatting sqref="AG21">
    <cfRule type="cellIs" dxfId="4" priority="484" operator="lessThanOrEqual">
      <formula>I21</formula>
    </cfRule>
  </conditionalFormatting>
  <conditionalFormatting sqref="AG22">
    <cfRule type="cellIs" dxfId="4" priority="489" operator="lessThanOrEqual">
      <formula>I22</formula>
    </cfRule>
  </conditionalFormatting>
  <conditionalFormatting sqref="AG24">
    <cfRule type="cellIs" dxfId="4" priority="494" operator="lessThanOrEqual">
      <formula>I24</formula>
    </cfRule>
  </conditionalFormatting>
  <conditionalFormatting sqref="AG25">
    <cfRule type="cellIs" dxfId="4" priority="499" operator="lessThanOrEqual">
      <formula>I25</formula>
    </cfRule>
  </conditionalFormatting>
  <conditionalFormatting sqref="AG27">
    <cfRule type="cellIs" dxfId="4" priority="504" operator="lessThanOrEqual">
      <formula>I27</formula>
    </cfRule>
  </conditionalFormatting>
  <conditionalFormatting sqref="AG28">
    <cfRule type="cellIs" dxfId="4" priority="509" operator="lessThanOrEqual">
      <formula>I28</formula>
    </cfRule>
  </conditionalFormatting>
  <conditionalFormatting sqref="AG29">
    <cfRule type="cellIs" dxfId="4" priority="514" operator="lessThanOrEqual">
      <formula>I29</formula>
    </cfRule>
  </conditionalFormatting>
  <conditionalFormatting sqref="AG31">
    <cfRule type="cellIs" dxfId="4" priority="519" operator="lessThanOrEqual">
      <formula>I31</formula>
    </cfRule>
  </conditionalFormatting>
  <conditionalFormatting sqref="AG33">
    <cfRule type="cellIs" dxfId="4" priority="524" operator="lessThanOrEqual">
      <formula>I33</formula>
    </cfRule>
  </conditionalFormatting>
  <conditionalFormatting sqref="AH14">
    <cfRule type="cellIs" dxfId="4" priority="473" operator="lessThanOrEqual">
      <formula>J14</formula>
    </cfRule>
  </conditionalFormatting>
  <conditionalFormatting sqref="AH17">
    <cfRule type="cellIs" dxfId="4" priority="478" operator="lessThanOrEqual">
      <formula>J17</formula>
    </cfRule>
  </conditionalFormatting>
  <conditionalFormatting sqref="AH21">
    <cfRule type="cellIs" dxfId="4" priority="483" operator="lessThanOrEqual">
      <formula>J21</formula>
    </cfRule>
  </conditionalFormatting>
  <conditionalFormatting sqref="AH22">
    <cfRule type="cellIs" dxfId="4" priority="488" operator="lessThanOrEqual">
      <formula>J22</formula>
    </cfRule>
  </conditionalFormatting>
  <conditionalFormatting sqref="AH24">
    <cfRule type="cellIs" dxfId="4" priority="493" operator="lessThanOrEqual">
      <formula>J24</formula>
    </cfRule>
  </conditionalFormatting>
  <conditionalFormatting sqref="AH25">
    <cfRule type="cellIs" dxfId="4" priority="498" operator="lessThanOrEqual">
      <formula>J25</formula>
    </cfRule>
  </conditionalFormatting>
  <conditionalFormatting sqref="AH27">
    <cfRule type="cellIs" dxfId="4" priority="503" operator="lessThanOrEqual">
      <formula>J27</formula>
    </cfRule>
  </conditionalFormatting>
  <conditionalFormatting sqref="AH28">
    <cfRule type="cellIs" dxfId="4" priority="508" operator="lessThanOrEqual">
      <formula>J28</formula>
    </cfRule>
  </conditionalFormatting>
  <conditionalFormatting sqref="AH29">
    <cfRule type="cellIs" dxfId="4" priority="513" operator="lessThanOrEqual">
      <formula>J29</formula>
    </cfRule>
  </conditionalFormatting>
  <conditionalFormatting sqref="AH31">
    <cfRule type="cellIs" dxfId="4" priority="518" operator="lessThanOrEqual">
      <formula>J31</formula>
    </cfRule>
  </conditionalFormatting>
  <conditionalFormatting sqref="AH33">
    <cfRule type="cellIs" dxfId="4" priority="523" operator="lessThanOrEqual">
      <formula>J33</formula>
    </cfRule>
  </conditionalFormatting>
  <conditionalFormatting sqref="AJ10">
    <cfRule type="cellIs" dxfId="1" priority="536" operator="equal">
      <formula>0</formula>
    </cfRule>
    <cfRule type="cellIs" dxfId="2" priority="537" operator="lessThan">
      <formula>H10</formula>
    </cfRule>
  </conditionalFormatting>
  <conditionalFormatting sqref="AJ11">
    <cfRule type="cellIs" dxfId="1" priority="542" operator="equal">
      <formula>0</formula>
    </cfRule>
    <cfRule type="cellIs" dxfId="2" priority="543" operator="lessThan">
      <formula>H11</formula>
    </cfRule>
  </conditionalFormatting>
  <conditionalFormatting sqref="AJ12">
    <cfRule type="cellIs" dxfId="1" priority="548" operator="equal">
      <formula>0</formula>
    </cfRule>
    <cfRule type="cellIs" dxfId="2" priority="549" operator="lessThan">
      <formula>H12</formula>
    </cfRule>
  </conditionalFormatting>
  <conditionalFormatting sqref="AJ13">
    <cfRule type="cellIs" dxfId="1" priority="554" operator="equal">
      <formula>0</formula>
    </cfRule>
    <cfRule type="cellIs" dxfId="2" priority="555" operator="lessThan">
      <formula>H13</formula>
    </cfRule>
  </conditionalFormatting>
  <conditionalFormatting sqref="AJ14">
    <cfRule type="cellIs" dxfId="1" priority="560" operator="equal">
      <formula>0</formula>
    </cfRule>
    <cfRule type="cellIs" dxfId="2" priority="561" operator="lessThan">
      <formula>H14</formula>
    </cfRule>
  </conditionalFormatting>
  <conditionalFormatting sqref="AJ15">
    <cfRule type="cellIs" dxfId="1" priority="566" operator="equal">
      <formula>0</formula>
    </cfRule>
    <cfRule type="cellIs" dxfId="2" priority="567" operator="lessThan">
      <formula>H15</formula>
    </cfRule>
  </conditionalFormatting>
  <conditionalFormatting sqref="AJ16">
    <cfRule type="cellIs" dxfId="1" priority="572" operator="equal">
      <formula>0</formula>
    </cfRule>
    <cfRule type="cellIs" dxfId="2" priority="573" operator="lessThan">
      <formula>H16</formula>
    </cfRule>
  </conditionalFormatting>
  <conditionalFormatting sqref="AJ21">
    <cfRule type="cellIs" dxfId="1" priority="577" operator="equal">
      <formula>0</formula>
    </cfRule>
    <cfRule type="cellIs" dxfId="2" priority="578" operator="lessThan">
      <formula>H21</formula>
    </cfRule>
  </conditionalFormatting>
  <conditionalFormatting sqref="AJ23">
    <cfRule type="cellIs" dxfId="1" priority="583" operator="equal">
      <formula>0</formula>
    </cfRule>
    <cfRule type="cellIs" dxfId="2" priority="584" operator="lessThan">
      <formula>H23</formula>
    </cfRule>
  </conditionalFormatting>
  <conditionalFormatting sqref="AJ29">
    <cfRule type="cellIs" dxfId="1" priority="588" operator="equal">
      <formula>0</formula>
    </cfRule>
    <cfRule type="cellIs" dxfId="2" priority="589" operator="lessThan">
      <formula>H29</formula>
    </cfRule>
  </conditionalFormatting>
  <conditionalFormatting sqref="AJ32">
    <cfRule type="cellIs" dxfId="1" priority="594" operator="equal">
      <formula>0</formula>
    </cfRule>
    <cfRule type="cellIs" dxfId="2" priority="595" operator="lessThan">
      <formula>H32</formula>
    </cfRule>
  </conditionalFormatting>
  <conditionalFormatting sqref="AJ34">
    <cfRule type="cellIs" dxfId="1" priority="600" operator="equal">
      <formula>0</formula>
    </cfRule>
    <cfRule type="cellIs" dxfId="2" priority="601" operator="lessThan">
      <formula>H34</formula>
    </cfRule>
  </conditionalFormatting>
  <conditionalFormatting sqref="AJ36">
    <cfRule type="cellIs" dxfId="1" priority="605" operator="equal">
      <formula>0</formula>
    </cfRule>
    <cfRule type="cellIs" dxfId="2" priority="606" operator="lessThan">
      <formula>H36</formula>
    </cfRule>
  </conditionalFormatting>
  <conditionalFormatting sqref="AJ37">
    <cfRule type="cellIs" dxfId="1" priority="610" operator="equal">
      <formula>0</formula>
    </cfRule>
    <cfRule type="cellIs" dxfId="2" priority="611" operator="lessThan">
      <formula>H37</formula>
    </cfRule>
  </conditionalFormatting>
  <conditionalFormatting sqref="AJ7">
    <cfRule type="cellIs" dxfId="1" priority="525" operator="equal">
      <formula>0</formula>
    </cfRule>
    <cfRule type="cellIs" dxfId="2" priority="526" operator="lessThan">
      <formula>H7</formula>
    </cfRule>
  </conditionalFormatting>
  <conditionalFormatting sqref="AJ9">
    <cfRule type="cellIs" dxfId="1" priority="530" operator="equal">
      <formula>0</formula>
    </cfRule>
    <cfRule type="cellIs" dxfId="2" priority="531" operator="lessThan">
      <formula>H9</formula>
    </cfRule>
  </conditionalFormatting>
  <conditionalFormatting sqref="AK10">
    <cfRule type="expression" dxfId="3" priority="538">
      <formula>AND(AK10&gt;0,AK10&lt;10)</formula>
    </cfRule>
    <cfRule type="cellIs" dxfId="1" priority="539" operator="greaterThan">
      <formula>AJ10</formula>
    </cfRule>
  </conditionalFormatting>
  <conditionalFormatting sqref="AK11">
    <cfRule type="expression" dxfId="3" priority="544">
      <formula>AND(AK11&gt;0,AK11&lt;10)</formula>
    </cfRule>
    <cfRule type="cellIs" dxfId="1" priority="545" operator="greaterThan">
      <formula>AJ11</formula>
    </cfRule>
  </conditionalFormatting>
  <conditionalFormatting sqref="AK12">
    <cfRule type="expression" dxfId="3" priority="550">
      <formula>AND(AK12&gt;0,AK12&lt;10)</formula>
    </cfRule>
    <cfRule type="cellIs" dxfId="1" priority="551" operator="greaterThan">
      <formula>AJ12</formula>
    </cfRule>
  </conditionalFormatting>
  <conditionalFormatting sqref="AK13">
    <cfRule type="expression" dxfId="3" priority="556">
      <formula>AND(AK13&gt;0,AK13&lt;10)</formula>
    </cfRule>
    <cfRule type="cellIs" dxfId="1" priority="557" operator="greaterThan">
      <formula>AJ13</formula>
    </cfRule>
  </conditionalFormatting>
  <conditionalFormatting sqref="AK14">
    <cfRule type="expression" dxfId="3" priority="562">
      <formula>AND(AK14&gt;0,AK14&lt;10)</formula>
    </cfRule>
    <cfRule type="cellIs" dxfId="1" priority="563" operator="greaterThan">
      <formula>AJ14</formula>
    </cfRule>
  </conditionalFormatting>
  <conditionalFormatting sqref="AK15">
    <cfRule type="expression" dxfId="3" priority="568">
      <formula>AND(AK15&gt;0,AK15&lt;5)</formula>
    </cfRule>
    <cfRule type="cellIs" dxfId="1" priority="569" operator="greaterThan">
      <formula>AJ15</formula>
    </cfRule>
  </conditionalFormatting>
  <conditionalFormatting sqref="AK16">
    <cfRule type="cellIs" dxfId="1" priority="574" operator="greaterThan">
      <formula>AJ16</formula>
    </cfRule>
  </conditionalFormatting>
  <conditionalFormatting sqref="AK21">
    <cfRule type="expression" dxfId="3" priority="579">
      <formula>AND(AK21&gt;0,AK21&lt;5)</formula>
    </cfRule>
    <cfRule type="cellIs" dxfId="1" priority="580" operator="greaterThan">
      <formula>AJ21</formula>
    </cfRule>
  </conditionalFormatting>
  <conditionalFormatting sqref="AK23">
    <cfRule type="cellIs" dxfId="1" priority="585" operator="greaterThan">
      <formula>AJ23</formula>
    </cfRule>
  </conditionalFormatting>
  <conditionalFormatting sqref="AK29">
    <cfRule type="expression" dxfId="3" priority="590">
      <formula>AND(AK29&gt;0,AK29&lt;5)</formula>
    </cfRule>
    <cfRule type="cellIs" dxfId="1" priority="591" operator="greaterThan">
      <formula>AJ29</formula>
    </cfRule>
  </conditionalFormatting>
  <conditionalFormatting sqref="AK32">
    <cfRule type="expression" dxfId="3" priority="596">
      <formula>AND(AK32&gt;0,AK32&lt;5)</formula>
    </cfRule>
    <cfRule type="cellIs" dxfId="1" priority="597" operator="greaterThan">
      <formula>AJ32</formula>
    </cfRule>
  </conditionalFormatting>
  <conditionalFormatting sqref="AK34">
    <cfRule type="cellIs" dxfId="1" priority="602" operator="greaterThan">
      <formula>AJ34</formula>
    </cfRule>
  </conditionalFormatting>
  <conditionalFormatting sqref="AK36">
    <cfRule type="cellIs" dxfId="1" priority="607" operator="greaterThan">
      <formula>AJ36</formula>
    </cfRule>
  </conditionalFormatting>
  <conditionalFormatting sqref="AK37">
    <cfRule type="expression" dxfId="3" priority="612">
      <formula>AND(AK37&gt;0,AK37&lt;3000)</formula>
    </cfRule>
    <cfRule type="cellIs" dxfId="1" priority="613" operator="greaterThan">
      <formula>AJ37</formula>
    </cfRule>
  </conditionalFormatting>
  <conditionalFormatting sqref="AK7">
    <cfRule type="cellIs" dxfId="1" priority="527" operator="greaterThan">
      <formula>AJ7</formula>
    </cfRule>
  </conditionalFormatting>
  <conditionalFormatting sqref="AK9">
    <cfRule type="expression" dxfId="3" priority="532">
      <formula>AND(AK9&gt;0,AK9&lt;10)</formula>
    </cfRule>
    <cfRule type="cellIs" dxfId="1" priority="533" operator="greaterThan">
      <formula>AJ9</formula>
    </cfRule>
  </conditionalFormatting>
  <conditionalFormatting sqref="AL10">
    <cfRule type="cellIs" dxfId="4" priority="541" operator="lessThanOrEqual">
      <formula>I10</formula>
    </cfRule>
  </conditionalFormatting>
  <conditionalFormatting sqref="AL11">
    <cfRule type="cellIs" dxfId="4" priority="547" operator="lessThanOrEqual">
      <formula>I11</formula>
    </cfRule>
  </conditionalFormatting>
  <conditionalFormatting sqref="AL12">
    <cfRule type="cellIs" dxfId="4" priority="553" operator="lessThanOrEqual">
      <formula>I12</formula>
    </cfRule>
  </conditionalFormatting>
  <conditionalFormatting sqref="AL13">
    <cfRule type="cellIs" dxfId="4" priority="559" operator="lessThanOrEqual">
      <formula>I13</formula>
    </cfRule>
  </conditionalFormatting>
  <conditionalFormatting sqref="AL14">
    <cfRule type="cellIs" dxfId="4" priority="565" operator="lessThanOrEqual">
      <formula>I14</formula>
    </cfRule>
  </conditionalFormatting>
  <conditionalFormatting sqref="AL15">
    <cfRule type="cellIs" dxfId="4" priority="571" operator="lessThanOrEqual">
      <formula>I15</formula>
    </cfRule>
  </conditionalFormatting>
  <conditionalFormatting sqref="AL16">
    <cfRule type="cellIs" dxfId="4" priority="576" operator="lessThanOrEqual">
      <formula>I16</formula>
    </cfRule>
  </conditionalFormatting>
  <conditionalFormatting sqref="AL21">
    <cfRule type="cellIs" dxfId="4" priority="582" operator="lessThanOrEqual">
      <formula>I21</formula>
    </cfRule>
  </conditionalFormatting>
  <conditionalFormatting sqref="AL23">
    <cfRule type="cellIs" dxfId="4" priority="587" operator="lessThanOrEqual">
      <formula>I23</formula>
    </cfRule>
  </conditionalFormatting>
  <conditionalFormatting sqref="AL29">
    <cfRule type="cellIs" dxfId="4" priority="593" operator="lessThanOrEqual">
      <formula>I29</formula>
    </cfRule>
  </conditionalFormatting>
  <conditionalFormatting sqref="AL32">
    <cfRule type="cellIs" dxfId="4" priority="599" operator="lessThanOrEqual">
      <formula>I32</formula>
    </cfRule>
  </conditionalFormatting>
  <conditionalFormatting sqref="AL34">
    <cfRule type="cellIs" dxfId="4" priority="604" operator="lessThanOrEqual">
      <formula>I34</formula>
    </cfRule>
  </conditionalFormatting>
  <conditionalFormatting sqref="AL36">
    <cfRule type="cellIs" dxfId="4" priority="609" operator="lessThanOrEqual">
      <formula>I36</formula>
    </cfRule>
  </conditionalFormatting>
  <conditionalFormatting sqref="AL37">
    <cfRule type="cellIs" dxfId="4" priority="615" operator="lessThanOrEqual">
      <formula>I37</formula>
    </cfRule>
  </conditionalFormatting>
  <conditionalFormatting sqref="AL7">
    <cfRule type="cellIs" dxfId="4" priority="529" operator="lessThanOrEqual">
      <formula>I7</formula>
    </cfRule>
  </conditionalFormatting>
  <conditionalFormatting sqref="AL9">
    <cfRule type="cellIs" dxfId="4" priority="535" operator="lessThanOrEqual">
      <formula>I9</formula>
    </cfRule>
  </conditionalFormatting>
  <conditionalFormatting sqref="AM10">
    <cfRule type="cellIs" dxfId="4" priority="540" operator="lessThanOrEqual">
      <formula>J10</formula>
    </cfRule>
  </conditionalFormatting>
  <conditionalFormatting sqref="AM11">
    <cfRule type="cellIs" dxfId="4" priority="546" operator="lessThanOrEqual">
      <formula>J11</formula>
    </cfRule>
  </conditionalFormatting>
  <conditionalFormatting sqref="AM12">
    <cfRule type="cellIs" dxfId="4" priority="552" operator="lessThanOrEqual">
      <formula>J12</formula>
    </cfRule>
  </conditionalFormatting>
  <conditionalFormatting sqref="AM13">
    <cfRule type="cellIs" dxfId="4" priority="558" operator="lessThanOrEqual">
      <formula>J13</formula>
    </cfRule>
  </conditionalFormatting>
  <conditionalFormatting sqref="AM14">
    <cfRule type="cellIs" dxfId="4" priority="564" operator="lessThanOrEqual">
      <formula>J14</formula>
    </cfRule>
  </conditionalFormatting>
  <conditionalFormatting sqref="AM15">
    <cfRule type="cellIs" dxfId="4" priority="570" operator="lessThanOrEqual">
      <formula>J15</formula>
    </cfRule>
  </conditionalFormatting>
  <conditionalFormatting sqref="AM16">
    <cfRule type="cellIs" dxfId="4" priority="575" operator="lessThanOrEqual">
      <formula>J16</formula>
    </cfRule>
  </conditionalFormatting>
  <conditionalFormatting sqref="AM21">
    <cfRule type="cellIs" dxfId="4" priority="581" operator="lessThanOrEqual">
      <formula>J21</formula>
    </cfRule>
  </conditionalFormatting>
  <conditionalFormatting sqref="AM23">
    <cfRule type="cellIs" dxfId="4" priority="586" operator="lessThanOrEqual">
      <formula>J23</formula>
    </cfRule>
  </conditionalFormatting>
  <conditionalFormatting sqref="AM29">
    <cfRule type="cellIs" dxfId="4" priority="592" operator="lessThanOrEqual">
      <formula>J29</formula>
    </cfRule>
  </conditionalFormatting>
  <conditionalFormatting sqref="AM32">
    <cfRule type="cellIs" dxfId="4" priority="598" operator="lessThanOrEqual">
      <formula>J32</formula>
    </cfRule>
  </conditionalFormatting>
  <conditionalFormatting sqref="AM34">
    <cfRule type="cellIs" dxfId="4" priority="603" operator="lessThanOrEqual">
      <formula>J34</formula>
    </cfRule>
  </conditionalFormatting>
  <conditionalFormatting sqref="AM36">
    <cfRule type="cellIs" dxfId="4" priority="608" operator="lessThanOrEqual">
      <formula>J36</formula>
    </cfRule>
  </conditionalFormatting>
  <conditionalFormatting sqref="AM37">
    <cfRule type="cellIs" dxfId="4" priority="614" operator="lessThanOrEqual">
      <formula>J37</formula>
    </cfRule>
  </conditionalFormatting>
  <conditionalFormatting sqref="AM7">
    <cfRule type="cellIs" dxfId="4" priority="528" operator="lessThanOrEqual">
      <formula>J7</formula>
    </cfRule>
  </conditionalFormatting>
  <conditionalFormatting sqref="AM9">
    <cfRule type="cellIs" dxfId="4" priority="534" operator="lessThanOrEqual">
      <formula>J9</formula>
    </cfRule>
  </conditionalFormatting>
  <conditionalFormatting sqref="AO14">
    <cfRule type="cellIs" dxfId="1" priority="621" operator="equal">
      <formula>0</formula>
    </cfRule>
    <cfRule type="cellIs" dxfId="2" priority="622" operator="lessThan">
      <formula>H14</formula>
    </cfRule>
  </conditionalFormatting>
  <conditionalFormatting sqref="AO16">
    <cfRule type="cellIs" dxfId="1" priority="627" operator="equal">
      <formula>0</formula>
    </cfRule>
    <cfRule type="cellIs" dxfId="2" priority="628" operator="lessThan">
      <formula>H16</formula>
    </cfRule>
  </conditionalFormatting>
  <conditionalFormatting sqref="AO18">
    <cfRule type="cellIs" dxfId="1" priority="633" operator="equal">
      <formula>0</formula>
    </cfRule>
    <cfRule type="cellIs" dxfId="2" priority="634" operator="lessThan">
      <formula>H18</formula>
    </cfRule>
  </conditionalFormatting>
  <conditionalFormatting sqref="AO23">
    <cfRule type="cellIs" dxfId="1" priority="638" operator="equal">
      <formula>0</formula>
    </cfRule>
    <cfRule type="cellIs" dxfId="2" priority="639" operator="lessThan">
      <formula>H23</formula>
    </cfRule>
  </conditionalFormatting>
  <conditionalFormatting sqref="AO25">
    <cfRule type="cellIs" dxfId="1" priority="644" operator="equal">
      <formula>0</formula>
    </cfRule>
    <cfRule type="cellIs" dxfId="2" priority="645" operator="lessThan">
      <formula>H25</formula>
    </cfRule>
  </conditionalFormatting>
  <conditionalFormatting sqref="AO26">
    <cfRule type="cellIs" dxfId="1" priority="650" operator="equal">
      <formula>0</formula>
    </cfRule>
    <cfRule type="cellIs" dxfId="2" priority="651" operator="lessThan">
      <formula>H26</formula>
    </cfRule>
  </conditionalFormatting>
  <conditionalFormatting sqref="AO28">
    <cfRule type="cellIs" dxfId="1" priority="656" operator="equal">
      <formula>0</formula>
    </cfRule>
    <cfRule type="cellIs" dxfId="2" priority="657" operator="lessThan">
      <formula>H28</formula>
    </cfRule>
  </conditionalFormatting>
  <conditionalFormatting sqref="AO29">
    <cfRule type="cellIs" dxfId="1" priority="662" operator="equal">
      <formula>0</formula>
    </cfRule>
    <cfRule type="cellIs" dxfId="2" priority="663" operator="lessThan">
      <formula>H29</formula>
    </cfRule>
  </conditionalFormatting>
  <conditionalFormatting sqref="AO32">
    <cfRule type="cellIs" dxfId="1" priority="668" operator="equal">
      <formula>0</formula>
    </cfRule>
    <cfRule type="cellIs" dxfId="2" priority="669" operator="lessThan">
      <formula>H32</formula>
    </cfRule>
  </conditionalFormatting>
  <conditionalFormatting sqref="AO7">
    <cfRule type="cellIs" dxfId="1" priority="616" operator="equal">
      <formula>0</formula>
    </cfRule>
    <cfRule type="cellIs" dxfId="2" priority="617" operator="lessThan">
      <formula>H7</formula>
    </cfRule>
  </conditionalFormatting>
  <conditionalFormatting sqref="AP14">
    <cfRule type="expression" dxfId="3" priority="623">
      <formula>AND(AP14&gt;0,AP14&lt;15000)</formula>
    </cfRule>
    <cfRule type="cellIs" dxfId="1" priority="624" operator="greaterThan">
      <formula>AO14</formula>
    </cfRule>
  </conditionalFormatting>
  <conditionalFormatting sqref="AP16">
    <cfRule type="expression" dxfId="3" priority="629">
      <formula>AND(AP16&gt;0,AP16&lt;25)</formula>
    </cfRule>
    <cfRule type="cellIs" dxfId="1" priority="630" operator="greaterThan">
      <formula>AO16</formula>
    </cfRule>
  </conditionalFormatting>
  <conditionalFormatting sqref="AP18">
    <cfRule type="cellIs" dxfId="1" priority="635" operator="greaterThan">
      <formula>AO18</formula>
    </cfRule>
  </conditionalFormatting>
  <conditionalFormatting sqref="AP23">
    <cfRule type="expression" dxfId="3" priority="640">
      <formula>AND(AP23&gt;0,AP23&lt;15000)</formula>
    </cfRule>
    <cfRule type="cellIs" dxfId="1" priority="641" operator="greaterThan">
      <formula>AO23</formula>
    </cfRule>
  </conditionalFormatting>
  <conditionalFormatting sqref="AP25">
    <cfRule type="expression" dxfId="3" priority="646">
      <formula>AND(AP25&gt;0,AP25&lt;15000)</formula>
    </cfRule>
    <cfRule type="cellIs" dxfId="1" priority="647" operator="greaterThan">
      <formula>AO25</formula>
    </cfRule>
  </conditionalFormatting>
  <conditionalFormatting sqref="AP26">
    <cfRule type="expression" dxfId="3" priority="652">
      <formula>AND(AP26&gt;0,AP26&lt;15000)</formula>
    </cfRule>
    <cfRule type="cellIs" dxfId="1" priority="653" operator="greaterThan">
      <formula>AO26</formula>
    </cfRule>
  </conditionalFormatting>
  <conditionalFormatting sqref="AP28">
    <cfRule type="expression" dxfId="3" priority="658">
      <formula>AND(AP28&gt;0,AP28&lt;15000)</formula>
    </cfRule>
    <cfRule type="cellIs" dxfId="1" priority="659" operator="greaterThan">
      <formula>AO28</formula>
    </cfRule>
  </conditionalFormatting>
  <conditionalFormatting sqref="AP29">
    <cfRule type="expression" dxfId="3" priority="664">
      <formula>AND(AP29&gt;0,AP29&lt;5000)</formula>
    </cfRule>
    <cfRule type="cellIs" dxfId="1" priority="665" operator="greaterThan">
      <formula>AO29</formula>
    </cfRule>
  </conditionalFormatting>
  <conditionalFormatting sqref="AP32">
    <cfRule type="expression" dxfId="3" priority="670">
      <formula>AND(AP32&gt;0,AP32&lt;5000)</formula>
    </cfRule>
    <cfRule type="cellIs" dxfId="1" priority="671" operator="greaterThan">
      <formula>AO32</formula>
    </cfRule>
  </conditionalFormatting>
  <conditionalFormatting sqref="AP7">
    <cfRule type="cellIs" dxfId="1" priority="618" operator="greaterThan">
      <formula>AO7</formula>
    </cfRule>
  </conditionalFormatting>
  <conditionalFormatting sqref="AQ14">
    <cfRule type="cellIs" dxfId="4" priority="626" operator="lessThanOrEqual">
      <formula>I14</formula>
    </cfRule>
  </conditionalFormatting>
  <conditionalFormatting sqref="AQ16">
    <cfRule type="cellIs" dxfId="4" priority="632" operator="lessThanOrEqual">
      <formula>I16</formula>
    </cfRule>
  </conditionalFormatting>
  <conditionalFormatting sqref="AQ18">
    <cfRule type="cellIs" dxfId="4" priority="637" operator="lessThanOrEqual">
      <formula>I18</formula>
    </cfRule>
  </conditionalFormatting>
  <conditionalFormatting sqref="AQ23">
    <cfRule type="cellIs" dxfId="4" priority="643" operator="lessThanOrEqual">
      <formula>I23</formula>
    </cfRule>
  </conditionalFormatting>
  <conditionalFormatting sqref="AQ25">
    <cfRule type="cellIs" dxfId="4" priority="649" operator="lessThanOrEqual">
      <formula>I25</formula>
    </cfRule>
  </conditionalFormatting>
  <conditionalFormatting sqref="AQ26">
    <cfRule type="cellIs" dxfId="4" priority="655" operator="lessThanOrEqual">
      <formula>I26</formula>
    </cfRule>
  </conditionalFormatting>
  <conditionalFormatting sqref="AQ28">
    <cfRule type="cellIs" dxfId="4" priority="661" operator="lessThanOrEqual">
      <formula>I28</formula>
    </cfRule>
  </conditionalFormatting>
  <conditionalFormatting sqref="AQ29">
    <cfRule type="cellIs" dxfId="4" priority="667" operator="lessThanOrEqual">
      <formula>I29</formula>
    </cfRule>
  </conditionalFormatting>
  <conditionalFormatting sqref="AQ32">
    <cfRule type="cellIs" dxfId="4" priority="673" operator="lessThanOrEqual">
      <formula>I32</formula>
    </cfRule>
  </conditionalFormatting>
  <conditionalFormatting sqref="AQ7">
    <cfRule type="cellIs" dxfId="4" priority="620" operator="lessThanOrEqual">
      <formula>I7</formula>
    </cfRule>
  </conditionalFormatting>
  <conditionalFormatting sqref="AR14">
    <cfRule type="cellIs" dxfId="4" priority="625" operator="lessThanOrEqual">
      <formula>J14</formula>
    </cfRule>
  </conditionalFormatting>
  <conditionalFormatting sqref="AR16">
    <cfRule type="cellIs" dxfId="4" priority="631" operator="lessThanOrEqual">
      <formula>J16</formula>
    </cfRule>
  </conditionalFormatting>
  <conditionalFormatting sqref="AR18">
    <cfRule type="cellIs" dxfId="4" priority="636" operator="lessThanOrEqual">
      <formula>J18</formula>
    </cfRule>
  </conditionalFormatting>
  <conditionalFormatting sqref="AR23">
    <cfRule type="cellIs" dxfId="4" priority="642" operator="lessThanOrEqual">
      <formula>J23</formula>
    </cfRule>
  </conditionalFormatting>
  <conditionalFormatting sqref="AR25">
    <cfRule type="cellIs" dxfId="4" priority="648" operator="lessThanOrEqual">
      <formula>J25</formula>
    </cfRule>
  </conditionalFormatting>
  <conditionalFormatting sqref="AR26">
    <cfRule type="cellIs" dxfId="4" priority="654" operator="lessThanOrEqual">
      <formula>J26</formula>
    </cfRule>
  </conditionalFormatting>
  <conditionalFormatting sqref="AR28">
    <cfRule type="cellIs" dxfId="4" priority="660" operator="lessThanOrEqual">
      <formula>J28</formula>
    </cfRule>
  </conditionalFormatting>
  <conditionalFormatting sqref="AR29">
    <cfRule type="cellIs" dxfId="4" priority="666" operator="lessThanOrEqual">
      <formula>J29</formula>
    </cfRule>
  </conditionalFormatting>
  <conditionalFormatting sqref="AR32">
    <cfRule type="cellIs" dxfId="4" priority="672" operator="lessThanOrEqual">
      <formula>J32</formula>
    </cfRule>
  </conditionalFormatting>
  <conditionalFormatting sqref="AR7">
    <cfRule type="cellIs" dxfId="4" priority="619" operator="lessThanOrEqual">
      <formula>J7</formula>
    </cfRule>
  </conditionalFormatting>
  <conditionalFormatting sqref="AT17">
    <cfRule type="cellIs" dxfId="1" priority="680" operator="equal">
      <formula>0</formula>
    </cfRule>
    <cfRule type="cellIs" dxfId="2" priority="681" operator="lessThan">
      <formula>H17</formula>
    </cfRule>
  </conditionalFormatting>
  <conditionalFormatting sqref="AT35">
    <cfRule type="cellIs" dxfId="1" priority="685" operator="equal">
      <formula>0</formula>
    </cfRule>
    <cfRule type="cellIs" dxfId="2" priority="686" operator="lessThan">
      <formula>H35</formula>
    </cfRule>
  </conditionalFormatting>
  <conditionalFormatting sqref="AT7">
    <cfRule type="cellIs" dxfId="1" priority="674" operator="equal">
      <formula>0</formula>
    </cfRule>
    <cfRule type="cellIs" dxfId="2" priority="675" operator="lessThan">
      <formula>H7</formula>
    </cfRule>
  </conditionalFormatting>
  <conditionalFormatting sqref="AU17">
    <cfRule type="cellIs" dxfId="1" priority="682" operator="greaterThan">
      <formula>AT17</formula>
    </cfRule>
  </conditionalFormatting>
  <conditionalFormatting sqref="AU35">
    <cfRule type="cellIs" dxfId="1" priority="687" operator="greaterThan">
      <formula>AT35</formula>
    </cfRule>
  </conditionalFormatting>
  <conditionalFormatting sqref="AU7">
    <cfRule type="expression" dxfId="3" priority="676">
      <formula>AND(AU7&gt;0,AU7&lt;1800)</formula>
    </cfRule>
    <cfRule type="cellIs" dxfId="1" priority="677" operator="greaterThan">
      <formula>AT7</formula>
    </cfRule>
  </conditionalFormatting>
  <conditionalFormatting sqref="AV17">
    <cfRule type="cellIs" dxfId="4" priority="684" operator="lessThanOrEqual">
      <formula>I17</formula>
    </cfRule>
  </conditionalFormatting>
  <conditionalFormatting sqref="AV35">
    <cfRule type="cellIs" dxfId="4" priority="689" operator="lessThanOrEqual">
      <formula>I35</formula>
    </cfRule>
  </conditionalFormatting>
  <conditionalFormatting sqref="AV7">
    <cfRule type="cellIs" dxfId="4" priority="679" operator="lessThanOrEqual">
      <formula>I7</formula>
    </cfRule>
  </conditionalFormatting>
  <conditionalFormatting sqref="AW17">
    <cfRule type="cellIs" dxfId="4" priority="683" operator="lessThanOrEqual">
      <formula>J17</formula>
    </cfRule>
  </conditionalFormatting>
  <conditionalFormatting sqref="AW35">
    <cfRule type="cellIs" dxfId="4" priority="688" operator="lessThanOrEqual">
      <formula>J35</formula>
    </cfRule>
  </conditionalFormatting>
  <conditionalFormatting sqref="AW7">
    <cfRule type="cellIs" dxfId="4" priority="678" operator="lessThanOrEqual">
      <formula>J7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48" operator="equal">
      <formula>0</formula>
    </cfRule>
    <cfRule type="cellIs" dxfId="2" priority="149" operator="lessThan">
      <formula>H10</formula>
    </cfRule>
  </conditionalFormatting>
  <conditionalFormatting sqref="P11">
    <cfRule type="cellIs" dxfId="1" priority="153" operator="equal">
      <formula>0</formula>
    </cfRule>
    <cfRule type="cellIs" dxfId="2" priority="154" operator="lessThan">
      <formula>H11</formula>
    </cfRule>
  </conditionalFormatting>
  <conditionalFormatting sqref="P12">
    <cfRule type="cellIs" dxfId="1" priority="158" operator="equal">
      <formula>0</formula>
    </cfRule>
    <cfRule type="cellIs" dxfId="2" priority="159" operator="lessThan">
      <formula>H12</formula>
    </cfRule>
  </conditionalFormatting>
  <conditionalFormatting sqref="P13">
    <cfRule type="cellIs" dxfId="1" priority="163" operator="equal">
      <formula>0</formula>
    </cfRule>
    <cfRule type="cellIs" dxfId="2" priority="164" operator="lessThan">
      <formula>H13</formula>
    </cfRule>
  </conditionalFormatting>
  <conditionalFormatting sqref="P14">
    <cfRule type="cellIs" dxfId="1" priority="168" operator="equal">
      <formula>0</formula>
    </cfRule>
    <cfRule type="cellIs" dxfId="2" priority="169" operator="lessThan">
      <formula>H14</formula>
    </cfRule>
  </conditionalFormatting>
  <conditionalFormatting sqref="P15">
    <cfRule type="cellIs" dxfId="1" priority="173" operator="equal">
      <formula>0</formula>
    </cfRule>
    <cfRule type="cellIs" dxfId="2" priority="174" operator="lessThan">
      <formula>H15</formula>
    </cfRule>
  </conditionalFormatting>
  <conditionalFormatting sqref="P16">
    <cfRule type="cellIs" dxfId="1" priority="178" operator="equal">
      <formula>0</formula>
    </cfRule>
    <cfRule type="cellIs" dxfId="2" priority="179" operator="lessThan">
      <formula>H16</formula>
    </cfRule>
  </conditionalFormatting>
  <conditionalFormatting sqref="P17">
    <cfRule type="cellIs" dxfId="1" priority="183" operator="equal">
      <formula>0</formula>
    </cfRule>
    <cfRule type="cellIs" dxfId="2" priority="184" operator="lessThan">
      <formula>H17</formula>
    </cfRule>
  </conditionalFormatting>
  <conditionalFormatting sqref="P18">
    <cfRule type="cellIs" dxfId="1" priority="188" operator="equal">
      <formula>0</formula>
    </cfRule>
    <cfRule type="cellIs" dxfId="2" priority="189" operator="lessThan">
      <formula>H18</formula>
    </cfRule>
  </conditionalFormatting>
  <conditionalFormatting sqref="P19">
    <cfRule type="cellIs" dxfId="1" priority="193" operator="equal">
      <formula>0</formula>
    </cfRule>
    <cfRule type="cellIs" dxfId="2" priority="194" operator="lessThan">
      <formula>H19</formula>
    </cfRule>
  </conditionalFormatting>
  <conditionalFormatting sqref="P20">
    <cfRule type="cellIs" dxfId="1" priority="198" operator="equal">
      <formula>0</formula>
    </cfRule>
    <cfRule type="cellIs" dxfId="2" priority="199" operator="lessThan">
      <formula>H20</formula>
    </cfRule>
  </conditionalFormatting>
  <conditionalFormatting sqref="P21">
    <cfRule type="cellIs" dxfId="1" priority="203" operator="equal">
      <formula>0</formula>
    </cfRule>
    <cfRule type="cellIs" dxfId="2" priority="204" operator="lessThan">
      <formula>H21</formula>
    </cfRule>
  </conditionalFormatting>
  <conditionalFormatting sqref="P22">
    <cfRule type="cellIs" dxfId="1" priority="209" operator="equal">
      <formula>0</formula>
    </cfRule>
    <cfRule type="cellIs" dxfId="2" priority="210" operator="lessThan">
      <formula>H22</formula>
    </cfRule>
  </conditionalFormatting>
  <conditionalFormatting sqref="P23">
    <cfRule type="cellIs" dxfId="1" priority="215" operator="equal">
      <formula>0</formula>
    </cfRule>
    <cfRule type="cellIs" dxfId="2" priority="216" operator="lessThan">
      <formula>H23</formula>
    </cfRule>
  </conditionalFormatting>
  <conditionalFormatting sqref="P24">
    <cfRule type="cellIs" dxfId="1" priority="220" operator="equal">
      <formula>0</formula>
    </cfRule>
    <cfRule type="cellIs" dxfId="2" priority="221" operator="lessThan">
      <formula>H24</formula>
    </cfRule>
  </conditionalFormatting>
  <conditionalFormatting sqref="P25">
    <cfRule type="cellIs" dxfId="1" priority="225" operator="equal">
      <formula>0</formula>
    </cfRule>
    <cfRule type="cellIs" dxfId="2" priority="226" operator="lessThan">
      <formula>H25</formula>
    </cfRule>
  </conditionalFormatting>
  <conditionalFormatting sqref="P26">
    <cfRule type="cellIs" dxfId="1" priority="230" operator="equal">
      <formula>0</formula>
    </cfRule>
    <cfRule type="cellIs" dxfId="2" priority="231" operator="lessThan">
      <formula>H26</formula>
    </cfRule>
  </conditionalFormatting>
  <conditionalFormatting sqref="P27">
    <cfRule type="cellIs" dxfId="1" priority="235" operator="equal">
      <formula>0</formula>
    </cfRule>
    <cfRule type="cellIs" dxfId="2" priority="236" operator="lessThan">
      <formula>H27</formula>
    </cfRule>
  </conditionalFormatting>
  <conditionalFormatting sqref="P28">
    <cfRule type="cellIs" dxfId="1" priority="240" operator="equal">
      <formula>0</formula>
    </cfRule>
    <cfRule type="cellIs" dxfId="2" priority="241" operator="lessThan">
      <formula>H28</formula>
    </cfRule>
  </conditionalFormatting>
  <conditionalFormatting sqref="P29">
    <cfRule type="cellIs" dxfId="1" priority="245" operator="equal">
      <formula>0</formula>
    </cfRule>
    <cfRule type="cellIs" dxfId="2" priority="246" operator="lessThan">
      <formula>H29</formula>
    </cfRule>
  </conditionalFormatting>
  <conditionalFormatting sqref="P30">
    <cfRule type="cellIs" dxfId="1" priority="250" operator="equal">
      <formula>0</formula>
    </cfRule>
    <cfRule type="cellIs" dxfId="2" priority="251" operator="lessThan">
      <formula>H30</formula>
    </cfRule>
  </conditionalFormatting>
  <conditionalFormatting sqref="P31">
    <cfRule type="cellIs" dxfId="1" priority="255" operator="equal">
      <formula>0</formula>
    </cfRule>
    <cfRule type="cellIs" dxfId="2" priority="256" operator="lessThan">
      <formula>H31</formula>
    </cfRule>
  </conditionalFormatting>
  <conditionalFormatting sqref="P32">
    <cfRule type="cellIs" dxfId="1" priority="260" operator="equal">
      <formula>0</formula>
    </cfRule>
    <cfRule type="cellIs" dxfId="2" priority="261" operator="lessThan">
      <formula>H32</formula>
    </cfRule>
  </conditionalFormatting>
  <conditionalFormatting sqref="P33">
    <cfRule type="cellIs" dxfId="1" priority="265" operator="equal">
      <formula>0</formula>
    </cfRule>
    <cfRule type="cellIs" dxfId="2" priority="266" operator="lessThan">
      <formula>H33</formula>
    </cfRule>
  </conditionalFormatting>
  <conditionalFormatting sqref="P34">
    <cfRule type="cellIs" dxfId="1" priority="271" operator="equal">
      <formula>0</formula>
    </cfRule>
    <cfRule type="cellIs" dxfId="2" priority="272" operator="lessThan">
      <formula>H34</formula>
    </cfRule>
  </conditionalFormatting>
  <conditionalFormatting sqref="P35">
    <cfRule type="cellIs" dxfId="1" priority="276" operator="equal">
      <formula>0</formula>
    </cfRule>
    <cfRule type="cellIs" dxfId="2" priority="277" operator="lessThan">
      <formula>H35</formula>
    </cfRule>
  </conditionalFormatting>
  <conditionalFormatting sqref="P36">
    <cfRule type="cellIs" dxfId="1" priority="281" operator="equal">
      <formula>0</formula>
    </cfRule>
    <cfRule type="cellIs" dxfId="2" priority="282" operator="lessThan">
      <formula>H36</formula>
    </cfRule>
  </conditionalFormatting>
  <conditionalFormatting sqref="P37">
    <cfRule type="cellIs" dxfId="1" priority="286" operator="equal">
      <formula>0</formula>
    </cfRule>
    <cfRule type="cellIs" dxfId="2" priority="287" operator="lessThan">
      <formula>H37</formula>
    </cfRule>
  </conditionalFormatting>
  <conditionalFormatting sqref="P38">
    <cfRule type="cellIs" dxfId="1" priority="291" operator="equal">
      <formula>0</formula>
    </cfRule>
    <cfRule type="cellIs" dxfId="2" priority="292" operator="lessThan">
      <formula>H38</formula>
    </cfRule>
  </conditionalFormatting>
  <conditionalFormatting sqref="P7">
    <cfRule type="cellIs" dxfId="1" priority="133" operator="equal">
      <formula>0</formula>
    </cfRule>
    <cfRule type="cellIs" dxfId="2" priority="134" operator="lessThan">
      <formula>H7</formula>
    </cfRule>
  </conditionalFormatting>
  <conditionalFormatting sqref="P8">
    <cfRule type="cellIs" dxfId="1" priority="138" operator="equal">
      <formula>0</formula>
    </cfRule>
    <cfRule type="cellIs" dxfId="2" priority="139" operator="lessThan">
      <formula>H8</formula>
    </cfRule>
  </conditionalFormatting>
  <conditionalFormatting sqref="P9">
    <cfRule type="cellIs" dxfId="1" priority="143" operator="equal">
      <formula>0</formula>
    </cfRule>
    <cfRule type="cellIs" dxfId="2" priority="144" operator="lessThan">
      <formula>H9</formula>
    </cfRule>
  </conditionalFormatting>
  <conditionalFormatting sqref="Q10">
    <cfRule type="cellIs" dxfId="1" priority="150" operator="greaterThan">
      <formula>P10</formula>
    </cfRule>
  </conditionalFormatting>
  <conditionalFormatting sqref="Q11">
    <cfRule type="cellIs" dxfId="1" priority="155" operator="greaterThan">
      <formula>P11</formula>
    </cfRule>
  </conditionalFormatting>
  <conditionalFormatting sqref="Q12">
    <cfRule type="cellIs" dxfId="1" priority="160" operator="greaterThan">
      <formula>P12</formula>
    </cfRule>
  </conditionalFormatting>
  <conditionalFormatting sqref="Q13">
    <cfRule type="cellIs" dxfId="1" priority="165" operator="greaterThan">
      <formula>P13</formula>
    </cfRule>
  </conditionalFormatting>
  <conditionalFormatting sqref="Q14">
    <cfRule type="cellIs" dxfId="1" priority="170" operator="greaterThan">
      <formula>P14</formula>
    </cfRule>
  </conditionalFormatting>
  <conditionalFormatting sqref="Q15">
    <cfRule type="cellIs" dxfId="1" priority="175" operator="greaterThan">
      <formula>P15</formula>
    </cfRule>
  </conditionalFormatting>
  <conditionalFormatting sqref="Q16">
    <cfRule type="cellIs" dxfId="1" priority="180" operator="greaterThan">
      <formula>P16</formula>
    </cfRule>
  </conditionalFormatting>
  <conditionalFormatting sqref="Q17">
    <cfRule type="cellIs" dxfId="1" priority="185" operator="greaterThan">
      <formula>P17</formula>
    </cfRule>
  </conditionalFormatting>
  <conditionalFormatting sqref="Q18">
    <cfRule type="cellIs" dxfId="1" priority="190" operator="greaterThan">
      <formula>P18</formula>
    </cfRule>
  </conditionalFormatting>
  <conditionalFormatting sqref="Q19">
    <cfRule type="cellIs" dxfId="1" priority="195" operator="greaterThan">
      <formula>P19</formula>
    </cfRule>
  </conditionalFormatting>
  <conditionalFormatting sqref="Q20">
    <cfRule type="cellIs" dxfId="1" priority="200" operator="greaterThan">
      <formula>P20</formula>
    </cfRule>
  </conditionalFormatting>
  <conditionalFormatting sqref="Q21">
    <cfRule type="expression" dxfId="3" priority="205">
      <formula>AND(Q21&gt;0,Q21&lt;4000)</formula>
    </cfRule>
    <cfRule type="cellIs" dxfId="1" priority="206" operator="greaterThan">
      <formula>P21</formula>
    </cfRule>
  </conditionalFormatting>
  <conditionalFormatting sqref="Q22">
    <cfRule type="expression" dxfId="3" priority="211">
      <formula>AND(Q22&gt;0,Q22&lt;10000)</formula>
    </cfRule>
    <cfRule type="cellIs" dxfId="1" priority="212" operator="greaterThan">
      <formula>P22</formula>
    </cfRule>
  </conditionalFormatting>
  <conditionalFormatting sqref="Q23">
    <cfRule type="cellIs" dxfId="1" priority="217" operator="greaterThan">
      <formula>P23</formula>
    </cfRule>
  </conditionalFormatting>
  <conditionalFormatting sqref="Q24">
    <cfRule type="cellIs" dxfId="1" priority="222" operator="greaterThan">
      <formula>P24</formula>
    </cfRule>
  </conditionalFormatting>
  <conditionalFormatting sqref="Q25">
    <cfRule type="cellIs" dxfId="1" priority="227" operator="greaterThan">
      <formula>P25</formula>
    </cfRule>
  </conditionalFormatting>
  <conditionalFormatting sqref="Q26">
    <cfRule type="cellIs" dxfId="1" priority="232" operator="greaterThan">
      <formula>P26</formula>
    </cfRule>
  </conditionalFormatting>
  <conditionalFormatting sqref="Q27">
    <cfRule type="cellIs" dxfId="1" priority="237" operator="greaterThan">
      <formula>P27</formula>
    </cfRule>
  </conditionalFormatting>
  <conditionalFormatting sqref="Q28">
    <cfRule type="cellIs" dxfId="1" priority="242" operator="greaterThan">
      <formula>P28</formula>
    </cfRule>
  </conditionalFormatting>
  <conditionalFormatting sqref="Q29">
    <cfRule type="cellIs" dxfId="1" priority="247" operator="greaterThan">
      <formula>P29</formula>
    </cfRule>
  </conditionalFormatting>
  <conditionalFormatting sqref="Q30">
    <cfRule type="cellIs" dxfId="1" priority="252" operator="greaterThan">
      <formula>P30</formula>
    </cfRule>
  </conditionalFormatting>
  <conditionalFormatting sqref="Q31">
    <cfRule type="cellIs" dxfId="1" priority="257" operator="greaterThan">
      <formula>P31</formula>
    </cfRule>
  </conditionalFormatting>
  <conditionalFormatting sqref="Q32">
    <cfRule type="cellIs" dxfId="1" priority="262" operator="greaterThan">
      <formula>P32</formula>
    </cfRule>
  </conditionalFormatting>
  <conditionalFormatting sqref="Q33">
    <cfRule type="expression" dxfId="3" priority="267">
      <formula>AND(Q33&gt;0,Q33&lt;5000)</formula>
    </cfRule>
    <cfRule type="cellIs" dxfId="1" priority="268" operator="greaterThan">
      <formula>P33</formula>
    </cfRule>
  </conditionalFormatting>
  <conditionalFormatting sqref="Q34">
    <cfRule type="cellIs" dxfId="1" priority="273" operator="greaterThan">
      <formula>P34</formula>
    </cfRule>
  </conditionalFormatting>
  <conditionalFormatting sqref="Q35">
    <cfRule type="cellIs" dxfId="1" priority="278" operator="greaterThan">
      <formula>P35</formula>
    </cfRule>
  </conditionalFormatting>
  <conditionalFormatting sqref="Q36">
    <cfRule type="cellIs" dxfId="1" priority="283" operator="greaterThan">
      <formula>P36</formula>
    </cfRule>
  </conditionalFormatting>
  <conditionalFormatting sqref="Q37">
    <cfRule type="cellIs" dxfId="1" priority="288" operator="greaterThan">
      <formula>P37</formula>
    </cfRule>
  </conditionalFormatting>
  <conditionalFormatting sqref="Q38">
    <cfRule type="cellIs" dxfId="1" priority="293" operator="greaterThan">
      <formula>P38</formula>
    </cfRule>
  </conditionalFormatting>
  <conditionalFormatting sqref="Q7">
    <cfRule type="cellIs" dxfId="1" priority="135" operator="greaterThan">
      <formula>P7</formula>
    </cfRule>
  </conditionalFormatting>
  <conditionalFormatting sqref="Q8">
    <cfRule type="cellIs" dxfId="1" priority="140" operator="greaterThan">
      <formula>P8</formula>
    </cfRule>
  </conditionalFormatting>
  <conditionalFormatting sqref="Q9">
    <cfRule type="cellIs" dxfId="1" priority="145" operator="greaterThan">
      <formula>P9</formula>
    </cfRule>
  </conditionalFormatting>
  <conditionalFormatting sqref="R10">
    <cfRule type="cellIs" dxfId="4" priority="152" operator="lessThanOrEqual">
      <formula>I10</formula>
    </cfRule>
  </conditionalFormatting>
  <conditionalFormatting sqref="R11">
    <cfRule type="cellIs" dxfId="4" priority="157" operator="lessThanOrEqual">
      <formula>I11</formula>
    </cfRule>
  </conditionalFormatting>
  <conditionalFormatting sqref="R12">
    <cfRule type="cellIs" dxfId="4" priority="162" operator="lessThanOrEqual">
      <formula>I12</formula>
    </cfRule>
  </conditionalFormatting>
  <conditionalFormatting sqref="R13">
    <cfRule type="cellIs" dxfId="4" priority="167" operator="lessThanOrEqual">
      <formula>I13</formula>
    </cfRule>
  </conditionalFormatting>
  <conditionalFormatting sqref="R14">
    <cfRule type="cellIs" dxfId="4" priority="172" operator="lessThanOrEqual">
      <formula>I14</formula>
    </cfRule>
  </conditionalFormatting>
  <conditionalFormatting sqref="R15">
    <cfRule type="cellIs" dxfId="4" priority="177" operator="lessThanOrEqual">
      <formula>I15</formula>
    </cfRule>
  </conditionalFormatting>
  <conditionalFormatting sqref="R16">
    <cfRule type="cellIs" dxfId="4" priority="182" operator="lessThanOrEqual">
      <formula>I16</formula>
    </cfRule>
  </conditionalFormatting>
  <conditionalFormatting sqref="R17">
    <cfRule type="cellIs" dxfId="4" priority="187" operator="lessThanOrEqual">
      <formula>I17</formula>
    </cfRule>
  </conditionalFormatting>
  <conditionalFormatting sqref="R18">
    <cfRule type="cellIs" dxfId="4" priority="192" operator="lessThanOrEqual">
      <formula>I18</formula>
    </cfRule>
  </conditionalFormatting>
  <conditionalFormatting sqref="R19">
    <cfRule type="cellIs" dxfId="4" priority="197" operator="lessThanOrEqual">
      <formula>I19</formula>
    </cfRule>
  </conditionalFormatting>
  <conditionalFormatting sqref="R20">
    <cfRule type="cellIs" dxfId="4" priority="202" operator="lessThanOrEqual">
      <formula>I20</formula>
    </cfRule>
  </conditionalFormatting>
  <conditionalFormatting sqref="R21">
    <cfRule type="cellIs" dxfId="4" priority="208" operator="lessThanOrEqual">
      <formula>I21</formula>
    </cfRule>
  </conditionalFormatting>
  <conditionalFormatting sqref="R22">
    <cfRule type="cellIs" dxfId="4" priority="214" operator="lessThanOrEqual">
      <formula>I22</formula>
    </cfRule>
  </conditionalFormatting>
  <conditionalFormatting sqref="R23">
    <cfRule type="cellIs" dxfId="4" priority="219" operator="lessThanOrEqual">
      <formula>I23</formula>
    </cfRule>
  </conditionalFormatting>
  <conditionalFormatting sqref="R24">
    <cfRule type="cellIs" dxfId="4" priority="224" operator="lessThanOrEqual">
      <formula>I24</formula>
    </cfRule>
  </conditionalFormatting>
  <conditionalFormatting sqref="R25">
    <cfRule type="cellIs" dxfId="4" priority="229" operator="lessThanOrEqual">
      <formula>I25</formula>
    </cfRule>
  </conditionalFormatting>
  <conditionalFormatting sqref="R26">
    <cfRule type="cellIs" dxfId="4" priority="234" operator="lessThanOrEqual">
      <formula>I26</formula>
    </cfRule>
  </conditionalFormatting>
  <conditionalFormatting sqref="R27">
    <cfRule type="cellIs" dxfId="4" priority="239" operator="lessThanOrEqual">
      <formula>I27</formula>
    </cfRule>
  </conditionalFormatting>
  <conditionalFormatting sqref="R28">
    <cfRule type="cellIs" dxfId="4" priority="244" operator="lessThanOrEqual">
      <formula>I28</formula>
    </cfRule>
  </conditionalFormatting>
  <conditionalFormatting sqref="R29">
    <cfRule type="cellIs" dxfId="4" priority="249" operator="lessThanOrEqual">
      <formula>I29</formula>
    </cfRule>
  </conditionalFormatting>
  <conditionalFormatting sqref="R30">
    <cfRule type="cellIs" dxfId="4" priority="254" operator="lessThanOrEqual">
      <formula>I30</formula>
    </cfRule>
  </conditionalFormatting>
  <conditionalFormatting sqref="R31">
    <cfRule type="cellIs" dxfId="4" priority="259" operator="lessThanOrEqual">
      <formula>I31</formula>
    </cfRule>
  </conditionalFormatting>
  <conditionalFormatting sqref="R32">
    <cfRule type="cellIs" dxfId="4" priority="264" operator="lessThanOrEqual">
      <formula>I32</formula>
    </cfRule>
  </conditionalFormatting>
  <conditionalFormatting sqref="R33">
    <cfRule type="cellIs" dxfId="4" priority="270" operator="lessThanOrEqual">
      <formula>I33</formula>
    </cfRule>
  </conditionalFormatting>
  <conditionalFormatting sqref="R34">
    <cfRule type="cellIs" dxfId="4" priority="275" operator="lessThanOrEqual">
      <formula>I34</formula>
    </cfRule>
  </conditionalFormatting>
  <conditionalFormatting sqref="R35">
    <cfRule type="cellIs" dxfId="4" priority="280" operator="lessThanOrEqual">
      <formula>I35</formula>
    </cfRule>
  </conditionalFormatting>
  <conditionalFormatting sqref="R36">
    <cfRule type="cellIs" dxfId="4" priority="285" operator="lessThanOrEqual">
      <formula>I36</formula>
    </cfRule>
  </conditionalFormatting>
  <conditionalFormatting sqref="R37">
    <cfRule type="cellIs" dxfId="4" priority="290" operator="lessThanOrEqual">
      <formula>I37</formula>
    </cfRule>
  </conditionalFormatting>
  <conditionalFormatting sqref="R38">
    <cfRule type="cellIs" dxfId="4" priority="295" operator="lessThanOrEqual">
      <formula>I38</formula>
    </cfRule>
  </conditionalFormatting>
  <conditionalFormatting sqref="R7">
    <cfRule type="cellIs" dxfId="4" priority="137" operator="lessThanOrEqual">
      <formula>I7</formula>
    </cfRule>
  </conditionalFormatting>
  <conditionalFormatting sqref="R8">
    <cfRule type="cellIs" dxfId="4" priority="142" operator="lessThanOrEqual">
      <formula>I8</formula>
    </cfRule>
  </conditionalFormatting>
  <conditionalFormatting sqref="R9">
    <cfRule type="cellIs" dxfId="4" priority="147" operator="lessThanOrEqual">
      <formula>I9</formula>
    </cfRule>
  </conditionalFormatting>
  <conditionalFormatting sqref="S10">
    <cfRule type="cellIs" dxfId="4" priority="151" operator="lessThanOrEqual">
      <formula>J10</formula>
    </cfRule>
  </conditionalFormatting>
  <conditionalFormatting sqref="S11">
    <cfRule type="cellIs" dxfId="4" priority="156" operator="lessThanOrEqual">
      <formula>J11</formula>
    </cfRule>
  </conditionalFormatting>
  <conditionalFormatting sqref="S12">
    <cfRule type="cellIs" dxfId="4" priority="161" operator="lessThanOrEqual">
      <formula>J12</formula>
    </cfRule>
  </conditionalFormatting>
  <conditionalFormatting sqref="S13">
    <cfRule type="cellIs" dxfId="4" priority="166" operator="lessThanOrEqual">
      <formula>J13</formula>
    </cfRule>
  </conditionalFormatting>
  <conditionalFormatting sqref="S14">
    <cfRule type="cellIs" dxfId="4" priority="171" operator="lessThanOrEqual">
      <formula>J14</formula>
    </cfRule>
  </conditionalFormatting>
  <conditionalFormatting sqref="S15">
    <cfRule type="cellIs" dxfId="4" priority="176" operator="lessThanOrEqual">
      <formula>J15</formula>
    </cfRule>
  </conditionalFormatting>
  <conditionalFormatting sqref="S16">
    <cfRule type="cellIs" dxfId="4" priority="181" operator="lessThanOrEqual">
      <formula>J16</formula>
    </cfRule>
  </conditionalFormatting>
  <conditionalFormatting sqref="S17">
    <cfRule type="cellIs" dxfId="4" priority="186" operator="lessThanOrEqual">
      <formula>J17</formula>
    </cfRule>
  </conditionalFormatting>
  <conditionalFormatting sqref="S18">
    <cfRule type="cellIs" dxfId="4" priority="191" operator="lessThanOrEqual">
      <formula>J18</formula>
    </cfRule>
  </conditionalFormatting>
  <conditionalFormatting sqref="S19">
    <cfRule type="cellIs" dxfId="4" priority="196" operator="lessThanOrEqual">
      <formula>J19</formula>
    </cfRule>
  </conditionalFormatting>
  <conditionalFormatting sqref="S20">
    <cfRule type="cellIs" dxfId="4" priority="201" operator="lessThanOrEqual">
      <formula>J20</formula>
    </cfRule>
  </conditionalFormatting>
  <conditionalFormatting sqref="S21">
    <cfRule type="cellIs" dxfId="4" priority="207" operator="lessThanOrEqual">
      <formula>J21</formula>
    </cfRule>
  </conditionalFormatting>
  <conditionalFormatting sqref="S22">
    <cfRule type="cellIs" dxfId="4" priority="213" operator="lessThanOrEqual">
      <formula>J22</formula>
    </cfRule>
  </conditionalFormatting>
  <conditionalFormatting sqref="S23">
    <cfRule type="cellIs" dxfId="4" priority="218" operator="lessThanOrEqual">
      <formula>J23</formula>
    </cfRule>
  </conditionalFormatting>
  <conditionalFormatting sqref="S24">
    <cfRule type="cellIs" dxfId="4" priority="223" operator="lessThanOrEqual">
      <formula>J24</formula>
    </cfRule>
  </conditionalFormatting>
  <conditionalFormatting sqref="S25">
    <cfRule type="cellIs" dxfId="4" priority="228" operator="lessThanOrEqual">
      <formula>J25</formula>
    </cfRule>
  </conditionalFormatting>
  <conditionalFormatting sqref="S26">
    <cfRule type="cellIs" dxfId="4" priority="233" operator="lessThanOrEqual">
      <formula>J26</formula>
    </cfRule>
  </conditionalFormatting>
  <conditionalFormatting sqref="S27">
    <cfRule type="cellIs" dxfId="4" priority="238" operator="lessThanOrEqual">
      <formula>J27</formula>
    </cfRule>
  </conditionalFormatting>
  <conditionalFormatting sqref="S28">
    <cfRule type="cellIs" dxfId="4" priority="243" operator="lessThanOrEqual">
      <formula>J28</formula>
    </cfRule>
  </conditionalFormatting>
  <conditionalFormatting sqref="S29">
    <cfRule type="cellIs" dxfId="4" priority="248" operator="lessThanOrEqual">
      <formula>J29</formula>
    </cfRule>
  </conditionalFormatting>
  <conditionalFormatting sqref="S30">
    <cfRule type="cellIs" dxfId="4" priority="253" operator="lessThanOrEqual">
      <formula>J30</formula>
    </cfRule>
  </conditionalFormatting>
  <conditionalFormatting sqref="S31">
    <cfRule type="cellIs" dxfId="4" priority="258" operator="lessThanOrEqual">
      <formula>J31</formula>
    </cfRule>
  </conditionalFormatting>
  <conditionalFormatting sqref="S32">
    <cfRule type="cellIs" dxfId="4" priority="263" operator="lessThanOrEqual">
      <formula>J32</formula>
    </cfRule>
  </conditionalFormatting>
  <conditionalFormatting sqref="S33">
    <cfRule type="cellIs" dxfId="4" priority="269" operator="lessThanOrEqual">
      <formula>J33</formula>
    </cfRule>
  </conditionalFormatting>
  <conditionalFormatting sqref="S34">
    <cfRule type="cellIs" dxfId="4" priority="274" operator="lessThanOrEqual">
      <formula>J34</formula>
    </cfRule>
  </conditionalFormatting>
  <conditionalFormatting sqref="S35">
    <cfRule type="cellIs" dxfId="4" priority="279" operator="lessThanOrEqual">
      <formula>J35</formula>
    </cfRule>
  </conditionalFormatting>
  <conditionalFormatting sqref="S36">
    <cfRule type="cellIs" dxfId="4" priority="284" operator="lessThanOrEqual">
      <formula>J36</formula>
    </cfRule>
  </conditionalFormatting>
  <conditionalFormatting sqref="S37">
    <cfRule type="cellIs" dxfId="4" priority="289" operator="lessThanOrEqual">
      <formula>J37</formula>
    </cfRule>
  </conditionalFormatting>
  <conditionalFormatting sqref="S38">
    <cfRule type="cellIs" dxfId="4" priority="294" operator="lessThanOrEqual">
      <formula>J38</formula>
    </cfRule>
  </conditionalFormatting>
  <conditionalFormatting sqref="S7">
    <cfRule type="cellIs" dxfId="4" priority="136" operator="lessThanOrEqual">
      <formula>J7</formula>
    </cfRule>
  </conditionalFormatting>
  <conditionalFormatting sqref="S8">
    <cfRule type="cellIs" dxfId="4" priority="141" operator="lessThanOrEqual">
      <formula>J8</formula>
    </cfRule>
  </conditionalFormatting>
  <conditionalFormatting sqref="S9">
    <cfRule type="cellIs" dxfId="4" priority="146" operator="lessThanOrEqual">
      <formula>J9</formula>
    </cfRule>
  </conditionalFormatting>
  <conditionalFormatting sqref="U10">
    <cfRule type="cellIs" dxfId="1" priority="307" operator="equal">
      <formula>0</formula>
    </cfRule>
    <cfRule type="cellIs" dxfId="2" priority="308" operator="lessThan">
      <formula>H10</formula>
    </cfRule>
  </conditionalFormatting>
  <conditionalFormatting sqref="U11">
    <cfRule type="cellIs" dxfId="1" priority="313" operator="equal">
      <formula>0</formula>
    </cfRule>
    <cfRule type="cellIs" dxfId="2" priority="314" operator="lessThan">
      <formula>H11</formula>
    </cfRule>
  </conditionalFormatting>
  <conditionalFormatting sqref="U12">
    <cfRule type="cellIs" dxfId="1" priority="319" operator="equal">
      <formula>0</formula>
    </cfRule>
    <cfRule type="cellIs" dxfId="2" priority="320" operator="lessThan">
      <formula>H12</formula>
    </cfRule>
  </conditionalFormatting>
  <conditionalFormatting sqref="U13">
    <cfRule type="cellIs" dxfId="1" priority="325" operator="equal">
      <formula>0</formula>
    </cfRule>
    <cfRule type="cellIs" dxfId="2" priority="326" operator="lessThan">
      <formula>H13</formula>
    </cfRule>
  </conditionalFormatting>
  <conditionalFormatting sqref="U14">
    <cfRule type="cellIs" dxfId="1" priority="331" operator="equal">
      <formula>0</formula>
    </cfRule>
    <cfRule type="cellIs" dxfId="2" priority="332" operator="lessThan">
      <formula>H14</formula>
    </cfRule>
  </conditionalFormatting>
  <conditionalFormatting sqref="U15">
    <cfRule type="cellIs" dxfId="1" priority="337" operator="equal">
      <formula>0</formula>
    </cfRule>
    <cfRule type="cellIs" dxfId="2" priority="338" operator="lessThan">
      <formula>H15</formula>
    </cfRule>
  </conditionalFormatting>
  <conditionalFormatting sqref="U16">
    <cfRule type="cellIs" dxfId="1" priority="343" operator="equal">
      <formula>0</formula>
    </cfRule>
    <cfRule type="cellIs" dxfId="2" priority="344" operator="lessThan">
      <formula>H16</formula>
    </cfRule>
  </conditionalFormatting>
  <conditionalFormatting sqref="U17">
    <cfRule type="cellIs" dxfId="1" priority="348" operator="equal">
      <formula>0</formula>
    </cfRule>
    <cfRule type="cellIs" dxfId="2" priority="349" operator="lessThan">
      <formula>H17</formula>
    </cfRule>
  </conditionalFormatting>
  <conditionalFormatting sqref="U21">
    <cfRule type="cellIs" dxfId="1" priority="353" operator="equal">
      <formula>0</formula>
    </cfRule>
    <cfRule type="cellIs" dxfId="2" priority="354" operator="lessThan">
      <formula>H21</formula>
    </cfRule>
  </conditionalFormatting>
  <conditionalFormatting sqref="U23">
    <cfRule type="cellIs" dxfId="1" priority="359" operator="equal">
      <formula>0</formula>
    </cfRule>
    <cfRule type="cellIs" dxfId="2" priority="360" operator="lessThan">
      <formula>H23</formula>
    </cfRule>
  </conditionalFormatting>
  <conditionalFormatting sqref="U24">
    <cfRule type="cellIs" dxfId="1" priority="365" operator="equal">
      <formula>0</formula>
    </cfRule>
    <cfRule type="cellIs" dxfId="2" priority="366" operator="lessThan">
      <formula>H24</formula>
    </cfRule>
  </conditionalFormatting>
  <conditionalFormatting sqref="U25">
    <cfRule type="cellIs" dxfId="1" priority="371" operator="equal">
      <formula>0</formula>
    </cfRule>
    <cfRule type="cellIs" dxfId="2" priority="372" operator="lessThan">
      <formula>H25</formula>
    </cfRule>
  </conditionalFormatting>
  <conditionalFormatting sqref="U26">
    <cfRule type="cellIs" dxfId="1" priority="377" operator="equal">
      <formula>0</formula>
    </cfRule>
    <cfRule type="cellIs" dxfId="2" priority="378" operator="lessThan">
      <formula>H26</formula>
    </cfRule>
  </conditionalFormatting>
  <conditionalFormatting sqref="U27">
    <cfRule type="cellIs" dxfId="1" priority="383" operator="equal">
      <formula>0</formula>
    </cfRule>
    <cfRule type="cellIs" dxfId="2" priority="384" operator="lessThan">
      <formula>H27</formula>
    </cfRule>
  </conditionalFormatting>
  <conditionalFormatting sqref="U28">
    <cfRule type="cellIs" dxfId="1" priority="389" operator="equal">
      <formula>0</formula>
    </cfRule>
    <cfRule type="cellIs" dxfId="2" priority="390" operator="lessThan">
      <formula>H28</formula>
    </cfRule>
  </conditionalFormatting>
  <conditionalFormatting sqref="U29">
    <cfRule type="cellIs" dxfId="1" priority="395" operator="equal">
      <formula>0</formula>
    </cfRule>
    <cfRule type="cellIs" dxfId="2" priority="396" operator="lessThan">
      <formula>H29</formula>
    </cfRule>
  </conditionalFormatting>
  <conditionalFormatting sqref="U32">
    <cfRule type="cellIs" dxfId="1" priority="401" operator="equal">
      <formula>0</formula>
    </cfRule>
    <cfRule type="cellIs" dxfId="2" priority="402" operator="lessThan">
      <formula>H32</formula>
    </cfRule>
  </conditionalFormatting>
  <conditionalFormatting sqref="U34">
    <cfRule type="cellIs" dxfId="1" priority="407" operator="equal">
      <formula>0</formula>
    </cfRule>
    <cfRule type="cellIs" dxfId="2" priority="408" operator="lessThan">
      <formula>H34</formula>
    </cfRule>
  </conditionalFormatting>
  <conditionalFormatting sqref="U36">
    <cfRule type="cellIs" dxfId="1" priority="412" operator="equal">
      <formula>0</formula>
    </cfRule>
    <cfRule type="cellIs" dxfId="2" priority="413" operator="lessThan">
      <formula>H36</formula>
    </cfRule>
  </conditionalFormatting>
  <conditionalFormatting sqref="U7">
    <cfRule type="cellIs" dxfId="1" priority="296" operator="equal">
      <formula>0</formula>
    </cfRule>
    <cfRule type="cellIs" dxfId="2" priority="297" operator="lessThan">
      <formula>H7</formula>
    </cfRule>
  </conditionalFormatting>
  <conditionalFormatting sqref="U9">
    <cfRule type="cellIs" dxfId="1" priority="301" operator="equal">
      <formula>0</formula>
    </cfRule>
    <cfRule type="cellIs" dxfId="2" priority="302" operator="lessThan">
      <formula>H9</formula>
    </cfRule>
  </conditionalFormatting>
  <conditionalFormatting sqref="V10">
    <cfRule type="expression" dxfId="3" priority="309">
      <formula>AND(V10&gt;0,V10&lt;10)</formula>
    </cfRule>
    <cfRule type="cellIs" dxfId="1" priority="310" operator="greaterThan">
      <formula>U10</formula>
    </cfRule>
  </conditionalFormatting>
  <conditionalFormatting sqref="V11">
    <cfRule type="expression" dxfId="3" priority="315">
      <formula>AND(V11&gt;0,V11&lt;10)</formula>
    </cfRule>
    <cfRule type="cellIs" dxfId="1" priority="316" operator="greaterThan">
      <formula>U11</formula>
    </cfRule>
  </conditionalFormatting>
  <conditionalFormatting sqref="V12">
    <cfRule type="expression" dxfId="3" priority="321">
      <formula>AND(V12&gt;0,V12&lt;10)</formula>
    </cfRule>
    <cfRule type="cellIs" dxfId="1" priority="322" operator="greaterThan">
      <formula>U12</formula>
    </cfRule>
  </conditionalFormatting>
  <conditionalFormatting sqref="V13">
    <cfRule type="expression" dxfId="3" priority="327">
      <formula>AND(V13&gt;0,V13&lt;10)</formula>
    </cfRule>
    <cfRule type="cellIs" dxfId="1" priority="328" operator="greaterThan">
      <formula>U13</formula>
    </cfRule>
  </conditionalFormatting>
  <conditionalFormatting sqref="V14">
    <cfRule type="expression" dxfId="3" priority="333">
      <formula>AND(V14&gt;0,V14&lt;10)</formula>
    </cfRule>
    <cfRule type="cellIs" dxfId="1" priority="334" operator="greaterThan">
      <formula>U14</formula>
    </cfRule>
  </conditionalFormatting>
  <conditionalFormatting sqref="V15">
    <cfRule type="expression" dxfId="3" priority="339">
      <formula>AND(V15&gt;0,V15&lt;5)</formula>
    </cfRule>
    <cfRule type="cellIs" dxfId="1" priority="340" operator="greaterThan">
      <formula>U15</formula>
    </cfRule>
  </conditionalFormatting>
  <conditionalFormatting sqref="V16">
    <cfRule type="cellIs" dxfId="1" priority="345" operator="greaterThan">
      <formula>U16</formula>
    </cfRule>
  </conditionalFormatting>
  <conditionalFormatting sqref="V17">
    <cfRule type="cellIs" dxfId="1" priority="350" operator="greaterThan">
      <formula>U17</formula>
    </cfRule>
  </conditionalFormatting>
  <conditionalFormatting sqref="V21">
    <cfRule type="expression" dxfId="3" priority="355">
      <formula>AND(V21&gt;0,V21&lt;5)</formula>
    </cfRule>
    <cfRule type="cellIs" dxfId="1" priority="356" operator="greaterThan">
      <formula>U21</formula>
    </cfRule>
  </conditionalFormatting>
  <conditionalFormatting sqref="V23">
    <cfRule type="expression" dxfId="3" priority="361">
      <formula>AND(V23&gt;0,V23&lt;10)</formula>
    </cfRule>
    <cfRule type="cellIs" dxfId="1" priority="362" operator="greaterThan">
      <formula>U23</formula>
    </cfRule>
  </conditionalFormatting>
  <conditionalFormatting sqref="V24">
    <cfRule type="expression" dxfId="3" priority="367">
      <formula>AND(V24&gt;0,V24&lt;15000)</formula>
    </cfRule>
    <cfRule type="cellIs" dxfId="1" priority="368" operator="greaterThan">
      <formula>U24</formula>
    </cfRule>
  </conditionalFormatting>
  <conditionalFormatting sqref="V25">
    <cfRule type="expression" dxfId="3" priority="373">
      <formula>AND(V25&gt;0,V25&lt;15000)</formula>
    </cfRule>
    <cfRule type="cellIs" dxfId="1" priority="374" operator="greaterThan">
      <formula>U25</formula>
    </cfRule>
  </conditionalFormatting>
  <conditionalFormatting sqref="V26">
    <cfRule type="expression" dxfId="3" priority="379">
      <formula>AND(V26&gt;0,V26&lt;15000)</formula>
    </cfRule>
    <cfRule type="cellIs" dxfId="1" priority="380" operator="greaterThan">
      <formula>U26</formula>
    </cfRule>
  </conditionalFormatting>
  <conditionalFormatting sqref="V27">
    <cfRule type="expression" dxfId="3" priority="385">
      <formula>AND(V27&gt;0,V27&lt;15000)</formula>
    </cfRule>
    <cfRule type="cellIs" dxfId="1" priority="386" operator="greaterThan">
      <formula>U27</formula>
    </cfRule>
  </conditionalFormatting>
  <conditionalFormatting sqref="V28">
    <cfRule type="expression" dxfId="3" priority="391">
      <formula>AND(V28&gt;0,V28&lt;15000)</formula>
    </cfRule>
    <cfRule type="cellIs" dxfId="1" priority="392" operator="greaterThan">
      <formula>U28</formula>
    </cfRule>
  </conditionalFormatting>
  <conditionalFormatting sqref="V29">
    <cfRule type="expression" dxfId="3" priority="397">
      <formula>AND(V29&gt;0,V29&lt;5)</formula>
    </cfRule>
    <cfRule type="cellIs" dxfId="1" priority="398" operator="greaterThan">
      <formula>U29</formula>
    </cfRule>
  </conditionalFormatting>
  <conditionalFormatting sqref="V32">
    <cfRule type="expression" dxfId="3" priority="403">
      <formula>AND(V32&gt;0,V32&lt;5)</formula>
    </cfRule>
    <cfRule type="cellIs" dxfId="1" priority="404" operator="greaterThan">
      <formula>U32</formula>
    </cfRule>
  </conditionalFormatting>
  <conditionalFormatting sqref="V34">
    <cfRule type="cellIs" dxfId="1" priority="409" operator="greaterThan">
      <formula>U34</formula>
    </cfRule>
  </conditionalFormatting>
  <conditionalFormatting sqref="V36">
    <cfRule type="cellIs" dxfId="1" priority="414" operator="greaterThan">
      <formula>U36</formula>
    </cfRule>
  </conditionalFormatting>
  <conditionalFormatting sqref="V7">
    <cfRule type="cellIs" dxfId="1" priority="298" operator="greaterThan">
      <formula>U7</formula>
    </cfRule>
  </conditionalFormatting>
  <conditionalFormatting sqref="V9">
    <cfRule type="expression" dxfId="3" priority="303">
      <formula>AND(V9&gt;0,V9&lt;10)</formula>
    </cfRule>
    <cfRule type="cellIs" dxfId="1" priority="304" operator="greaterThan">
      <formula>U9</formula>
    </cfRule>
  </conditionalFormatting>
  <conditionalFormatting sqref="W10">
    <cfRule type="cellIs" dxfId="4" priority="312" operator="lessThanOrEqual">
      <formula>I10</formula>
    </cfRule>
  </conditionalFormatting>
  <conditionalFormatting sqref="W11">
    <cfRule type="cellIs" dxfId="4" priority="318" operator="lessThanOrEqual">
      <formula>I11</formula>
    </cfRule>
  </conditionalFormatting>
  <conditionalFormatting sqref="W12">
    <cfRule type="cellIs" dxfId="4" priority="324" operator="lessThanOrEqual">
      <formula>I12</formula>
    </cfRule>
  </conditionalFormatting>
  <conditionalFormatting sqref="W13">
    <cfRule type="cellIs" dxfId="4" priority="330" operator="lessThanOrEqual">
      <formula>I13</formula>
    </cfRule>
  </conditionalFormatting>
  <conditionalFormatting sqref="W14">
    <cfRule type="cellIs" dxfId="4" priority="336" operator="lessThanOrEqual">
      <formula>I14</formula>
    </cfRule>
  </conditionalFormatting>
  <conditionalFormatting sqref="W15">
    <cfRule type="cellIs" dxfId="4" priority="342" operator="lessThanOrEqual">
      <formula>I15</formula>
    </cfRule>
  </conditionalFormatting>
  <conditionalFormatting sqref="W16">
    <cfRule type="cellIs" dxfId="4" priority="347" operator="lessThanOrEqual">
      <formula>I16</formula>
    </cfRule>
  </conditionalFormatting>
  <conditionalFormatting sqref="W17">
    <cfRule type="cellIs" dxfId="4" priority="352" operator="lessThanOrEqual">
      <formula>I17</formula>
    </cfRule>
  </conditionalFormatting>
  <conditionalFormatting sqref="W21">
    <cfRule type="cellIs" dxfId="4" priority="358" operator="lessThanOrEqual">
      <formula>I21</formula>
    </cfRule>
  </conditionalFormatting>
  <conditionalFormatting sqref="W23">
    <cfRule type="cellIs" dxfId="4" priority="364" operator="lessThanOrEqual">
      <formula>I23</formula>
    </cfRule>
  </conditionalFormatting>
  <conditionalFormatting sqref="W24">
    <cfRule type="cellIs" dxfId="4" priority="370" operator="lessThanOrEqual">
      <formula>I24</formula>
    </cfRule>
  </conditionalFormatting>
  <conditionalFormatting sqref="W25">
    <cfRule type="cellIs" dxfId="4" priority="376" operator="lessThanOrEqual">
      <formula>I25</formula>
    </cfRule>
  </conditionalFormatting>
  <conditionalFormatting sqref="W26">
    <cfRule type="cellIs" dxfId="4" priority="382" operator="lessThanOrEqual">
      <formula>I26</formula>
    </cfRule>
  </conditionalFormatting>
  <conditionalFormatting sqref="W27">
    <cfRule type="cellIs" dxfId="4" priority="388" operator="lessThanOrEqual">
      <formula>I27</formula>
    </cfRule>
  </conditionalFormatting>
  <conditionalFormatting sqref="W28">
    <cfRule type="cellIs" dxfId="4" priority="394" operator="lessThanOrEqual">
      <formula>I28</formula>
    </cfRule>
  </conditionalFormatting>
  <conditionalFormatting sqref="W29">
    <cfRule type="cellIs" dxfId="4" priority="400" operator="lessThanOrEqual">
      <formula>I29</formula>
    </cfRule>
  </conditionalFormatting>
  <conditionalFormatting sqref="W32">
    <cfRule type="cellIs" dxfId="4" priority="406" operator="lessThanOrEqual">
      <formula>I32</formula>
    </cfRule>
  </conditionalFormatting>
  <conditionalFormatting sqref="W34">
    <cfRule type="cellIs" dxfId="4" priority="411" operator="lessThanOrEqual">
      <formula>I34</formula>
    </cfRule>
  </conditionalFormatting>
  <conditionalFormatting sqref="W36">
    <cfRule type="cellIs" dxfId="4" priority="416" operator="lessThanOrEqual">
      <formula>I36</formula>
    </cfRule>
  </conditionalFormatting>
  <conditionalFormatting sqref="W7">
    <cfRule type="cellIs" dxfId="4" priority="300" operator="lessThanOrEqual">
      <formula>I7</formula>
    </cfRule>
  </conditionalFormatting>
  <conditionalFormatting sqref="W9">
    <cfRule type="cellIs" dxfId="4" priority="306" operator="lessThanOrEqual">
      <formula>I9</formula>
    </cfRule>
  </conditionalFormatting>
  <conditionalFormatting sqref="X10">
    <cfRule type="cellIs" dxfId="4" priority="311" operator="lessThanOrEqual">
      <formula>J10</formula>
    </cfRule>
  </conditionalFormatting>
  <conditionalFormatting sqref="X11">
    <cfRule type="cellIs" dxfId="4" priority="317" operator="lessThanOrEqual">
      <formula>J11</formula>
    </cfRule>
  </conditionalFormatting>
  <conditionalFormatting sqref="X12">
    <cfRule type="cellIs" dxfId="4" priority="323" operator="lessThanOrEqual">
      <formula>J12</formula>
    </cfRule>
  </conditionalFormatting>
  <conditionalFormatting sqref="X13">
    <cfRule type="cellIs" dxfId="4" priority="329" operator="lessThanOrEqual">
      <formula>J13</formula>
    </cfRule>
  </conditionalFormatting>
  <conditionalFormatting sqref="X14">
    <cfRule type="cellIs" dxfId="4" priority="335" operator="lessThanOrEqual">
      <formula>J14</formula>
    </cfRule>
  </conditionalFormatting>
  <conditionalFormatting sqref="X15">
    <cfRule type="cellIs" dxfId="4" priority="341" operator="lessThanOrEqual">
      <formula>J15</formula>
    </cfRule>
  </conditionalFormatting>
  <conditionalFormatting sqref="X16">
    <cfRule type="cellIs" dxfId="4" priority="346" operator="lessThanOrEqual">
      <formula>J16</formula>
    </cfRule>
  </conditionalFormatting>
  <conditionalFormatting sqref="X17">
    <cfRule type="cellIs" dxfId="4" priority="351" operator="lessThanOrEqual">
      <formula>J17</formula>
    </cfRule>
  </conditionalFormatting>
  <conditionalFormatting sqref="X21">
    <cfRule type="cellIs" dxfId="4" priority="357" operator="lessThanOrEqual">
      <formula>J21</formula>
    </cfRule>
  </conditionalFormatting>
  <conditionalFormatting sqref="X23">
    <cfRule type="cellIs" dxfId="4" priority="363" operator="lessThanOrEqual">
      <formula>J23</formula>
    </cfRule>
  </conditionalFormatting>
  <conditionalFormatting sqref="X24">
    <cfRule type="cellIs" dxfId="4" priority="369" operator="lessThanOrEqual">
      <formula>J24</formula>
    </cfRule>
  </conditionalFormatting>
  <conditionalFormatting sqref="X25">
    <cfRule type="cellIs" dxfId="4" priority="375" operator="lessThanOrEqual">
      <formula>J25</formula>
    </cfRule>
  </conditionalFormatting>
  <conditionalFormatting sqref="X26">
    <cfRule type="cellIs" dxfId="4" priority="381" operator="lessThanOrEqual">
      <formula>J26</formula>
    </cfRule>
  </conditionalFormatting>
  <conditionalFormatting sqref="X27">
    <cfRule type="cellIs" dxfId="4" priority="387" operator="lessThanOrEqual">
      <formula>J27</formula>
    </cfRule>
  </conditionalFormatting>
  <conditionalFormatting sqref="X28">
    <cfRule type="cellIs" dxfId="4" priority="393" operator="lessThanOrEqual">
      <formula>J28</formula>
    </cfRule>
  </conditionalFormatting>
  <conditionalFormatting sqref="X29">
    <cfRule type="cellIs" dxfId="4" priority="399" operator="lessThanOrEqual">
      <formula>J29</formula>
    </cfRule>
  </conditionalFormatting>
  <conditionalFormatting sqref="X32">
    <cfRule type="cellIs" dxfId="4" priority="405" operator="lessThanOrEqual">
      <formula>J32</formula>
    </cfRule>
  </conditionalFormatting>
  <conditionalFormatting sqref="X34">
    <cfRule type="cellIs" dxfId="4" priority="410" operator="lessThanOrEqual">
      <formula>J34</formula>
    </cfRule>
  </conditionalFormatting>
  <conditionalFormatting sqref="X36">
    <cfRule type="cellIs" dxfId="4" priority="415" operator="lessThanOrEqual">
      <formula>J36</formula>
    </cfRule>
  </conditionalFormatting>
  <conditionalFormatting sqref="X7">
    <cfRule type="cellIs" dxfId="4" priority="299" operator="lessThanOrEqual">
      <formula>J7</formula>
    </cfRule>
  </conditionalFormatting>
  <conditionalFormatting sqref="X9">
    <cfRule type="cellIs" dxfId="4" priority="305" operator="lessThanOrEqual">
      <formula>J9</formula>
    </cfRule>
  </conditionalFormatting>
  <conditionalFormatting sqref="Z10">
    <cfRule type="cellIs" dxfId="1" priority="417" operator="equal">
      <formula>0</formula>
    </cfRule>
    <cfRule type="cellIs" dxfId="2" priority="418" operator="lessThan">
      <formula>H10</formula>
    </cfRule>
  </conditionalFormatting>
  <conditionalFormatting sqref="Z11">
    <cfRule type="cellIs" dxfId="1" priority="423" operator="equal">
      <formula>0</formula>
    </cfRule>
    <cfRule type="cellIs" dxfId="2" priority="424" operator="lessThan">
      <formula>H11</formula>
    </cfRule>
  </conditionalFormatting>
  <conditionalFormatting sqref="Z12">
    <cfRule type="cellIs" dxfId="1" priority="429" operator="equal">
      <formula>0</formula>
    </cfRule>
    <cfRule type="cellIs" dxfId="2" priority="430" operator="lessThan">
      <formula>H12</formula>
    </cfRule>
  </conditionalFormatting>
  <conditionalFormatting sqref="Z13">
    <cfRule type="cellIs" dxfId="1" priority="435" operator="equal">
      <formula>0</formula>
    </cfRule>
    <cfRule type="cellIs" dxfId="2" priority="436" operator="lessThan">
      <formula>H13</formula>
    </cfRule>
  </conditionalFormatting>
  <conditionalFormatting sqref="Z14">
    <cfRule type="cellIs" dxfId="1" priority="441" operator="equal">
      <formula>0</formula>
    </cfRule>
    <cfRule type="cellIs" dxfId="2" priority="442" operator="lessThan">
      <formula>H14</formula>
    </cfRule>
  </conditionalFormatting>
  <conditionalFormatting sqref="Z16">
    <cfRule type="cellIs" dxfId="1" priority="447" operator="equal">
      <formula>0</formula>
    </cfRule>
    <cfRule type="cellIs" dxfId="2" priority="448" operator="lessThan">
      <formula>H16</formula>
    </cfRule>
  </conditionalFormatting>
  <conditionalFormatting sqref="Z23">
    <cfRule type="cellIs" dxfId="1" priority="452" operator="equal">
      <formula>0</formula>
    </cfRule>
    <cfRule type="cellIs" dxfId="2" priority="453" operator="lessThan">
      <formula>H23</formula>
    </cfRule>
  </conditionalFormatting>
  <conditionalFormatting sqref="Z26">
    <cfRule type="cellIs" dxfId="1" priority="458" operator="equal">
      <formula>0</formula>
    </cfRule>
    <cfRule type="cellIs" dxfId="2" priority="459" operator="lessThan">
      <formula>H26</formula>
    </cfRule>
  </conditionalFormatting>
  <conditionalFormatting sqref="Z28">
    <cfRule type="cellIs" dxfId="1" priority="464" operator="equal">
      <formula>0</formula>
    </cfRule>
    <cfRule type="cellIs" dxfId="2" priority="465" operator="lessThan">
      <formula>H28</formula>
    </cfRule>
  </conditionalFormatting>
  <hyperlinks>
    <hyperlink ref="G7" r:id="rId1"/>
    <hyperlink ref="T7" r:id="rId2"/>
    <hyperlink ref="Y7" r:id="rId3"/>
    <hyperlink ref="AI7" r:id="rId4"/>
    <hyperlink ref="AN7" r:id="rId5"/>
    <hyperlink ref="AS7" r:id="rId6"/>
    <hyperlink ref="AX7" r:id="rId7"/>
    <hyperlink ref="T8" r:id="rId8"/>
    <hyperlink ref="AI8" r:id="rId9"/>
    <hyperlink ref="T9" r:id="rId10"/>
    <hyperlink ref="Y9" r:id="rId11"/>
    <hyperlink ref="AI9" r:id="rId12"/>
    <hyperlink ref="AN9" r:id="rId13"/>
    <hyperlink ref="T10" r:id="rId14"/>
    <hyperlink ref="Y10" r:id="rId15"/>
    <hyperlink ref="AD10" r:id="rId16"/>
    <hyperlink ref="AI10" r:id="rId17"/>
    <hyperlink ref="AN10" r:id="rId18"/>
    <hyperlink ref="T11" r:id="rId19"/>
    <hyperlink ref="Y11" r:id="rId20"/>
    <hyperlink ref="AD11" r:id="rId21"/>
    <hyperlink ref="AI11" r:id="rId22"/>
    <hyperlink ref="AN11" r:id="rId23"/>
    <hyperlink ref="T12" r:id="rId24"/>
    <hyperlink ref="Y12" r:id="rId25"/>
    <hyperlink ref="AD12" r:id="rId26"/>
    <hyperlink ref="AI12" r:id="rId27"/>
    <hyperlink ref="AN12" r:id="rId28"/>
    <hyperlink ref="T13" r:id="rId29"/>
    <hyperlink ref="Y13" r:id="rId30"/>
    <hyperlink ref="AD13" r:id="rId31"/>
    <hyperlink ref="AI13" r:id="rId32"/>
    <hyperlink ref="AN13" r:id="rId33"/>
    <hyperlink ref="T14" r:id="rId34"/>
    <hyperlink ref="Y14" r:id="rId35"/>
    <hyperlink ref="AD14" r:id="rId36"/>
    <hyperlink ref="AI14" r:id="rId37"/>
    <hyperlink ref="AN14" r:id="rId38"/>
    <hyperlink ref="AS14" r:id="rId39"/>
    <hyperlink ref="G15" r:id="rId40"/>
    <hyperlink ref="T15" r:id="rId41"/>
    <hyperlink ref="Y15" r:id="rId42"/>
    <hyperlink ref="AI15" r:id="rId43"/>
    <hyperlink ref="AN15" r:id="rId44"/>
    <hyperlink ref="G16" r:id="rId45"/>
    <hyperlink ref="T16" r:id="rId46"/>
    <hyperlink ref="Y16" r:id="rId47"/>
    <hyperlink ref="AD16" r:id="rId48"/>
    <hyperlink ref="AI16" r:id="rId49"/>
    <hyperlink ref="AN16" r:id="rId50"/>
    <hyperlink ref="AS16" r:id="rId51"/>
    <hyperlink ref="G17" r:id="rId52"/>
    <hyperlink ref="T17" r:id="rId53"/>
    <hyperlink ref="Y17" r:id="rId54"/>
    <hyperlink ref="AI17" r:id="rId55"/>
    <hyperlink ref="AN17" r:id="rId56"/>
    <hyperlink ref="AX17" r:id="rId57"/>
    <hyperlink ref="T18" r:id="rId58"/>
    <hyperlink ref="AI18" r:id="rId59"/>
    <hyperlink ref="AS18" r:id="rId60"/>
    <hyperlink ref="T19" r:id="rId61"/>
    <hyperlink ref="T20" r:id="rId62"/>
    <hyperlink ref="G21" r:id="rId63"/>
    <hyperlink ref="T21" r:id="rId64"/>
    <hyperlink ref="Y21" r:id="rId65"/>
    <hyperlink ref="AI21" r:id="rId66"/>
    <hyperlink ref="AN21" r:id="rId67"/>
    <hyperlink ref="G22" r:id="rId68"/>
    <hyperlink ref="T22" r:id="rId69"/>
    <hyperlink ref="AI22" r:id="rId70"/>
    <hyperlink ref="T23" r:id="rId71"/>
    <hyperlink ref="Y23" r:id="rId72"/>
    <hyperlink ref="AD23" r:id="rId73"/>
    <hyperlink ref="AI23" r:id="rId74"/>
    <hyperlink ref="AN23" r:id="rId75"/>
    <hyperlink ref="AS23" r:id="rId76"/>
    <hyperlink ref="T24" r:id="rId77"/>
    <hyperlink ref="Y24" r:id="rId78"/>
    <hyperlink ref="AI24" r:id="rId79"/>
    <hyperlink ref="T25" r:id="rId80"/>
    <hyperlink ref="Y25" r:id="rId81"/>
    <hyperlink ref="AI25" r:id="rId82"/>
    <hyperlink ref="AN25" r:id="rId83"/>
    <hyperlink ref="AS25" r:id="rId84"/>
    <hyperlink ref="T26" r:id="rId85"/>
    <hyperlink ref="Y26" r:id="rId86"/>
    <hyperlink ref="AD26" r:id="rId87"/>
    <hyperlink ref="AI26" r:id="rId88"/>
    <hyperlink ref="AN26" r:id="rId89"/>
    <hyperlink ref="AS26" r:id="rId90"/>
    <hyperlink ref="T27" r:id="rId91"/>
    <hyperlink ref="Y27" r:id="rId92"/>
    <hyperlink ref="AI27" r:id="rId93"/>
    <hyperlink ref="AN27" r:id="rId94"/>
    <hyperlink ref="T28" r:id="rId95"/>
    <hyperlink ref="Y28" r:id="rId96"/>
    <hyperlink ref="AD28" r:id="rId97"/>
    <hyperlink ref="AI28" r:id="rId98"/>
    <hyperlink ref="AN28" r:id="rId99"/>
    <hyperlink ref="AS28" r:id="rId100"/>
    <hyperlink ref="G29" r:id="rId101"/>
    <hyperlink ref="T29" r:id="rId102"/>
    <hyperlink ref="Y29" r:id="rId103"/>
    <hyperlink ref="AI29" r:id="rId104"/>
    <hyperlink ref="AN29" r:id="rId105"/>
    <hyperlink ref="AS29" r:id="rId106"/>
    <hyperlink ref="G30" r:id="rId107"/>
    <hyperlink ref="T30" r:id="rId108"/>
    <hyperlink ref="G31" r:id="rId109"/>
    <hyperlink ref="T31" r:id="rId110"/>
    <hyperlink ref="AI31" r:id="rId111"/>
    <hyperlink ref="G32" r:id="rId112"/>
    <hyperlink ref="T32" r:id="rId113"/>
    <hyperlink ref="Y32" r:id="rId114"/>
    <hyperlink ref="AI32" r:id="rId115"/>
    <hyperlink ref="AN32" r:id="rId116"/>
    <hyperlink ref="AS32" r:id="rId117"/>
    <hyperlink ref="G33" r:id="rId118"/>
    <hyperlink ref="T33" r:id="rId119"/>
    <hyperlink ref="AI33" r:id="rId120"/>
    <hyperlink ref="G34" r:id="rId121"/>
    <hyperlink ref="T34" r:id="rId122"/>
    <hyperlink ref="Y34" r:id="rId123"/>
    <hyperlink ref="AI34" r:id="rId124"/>
    <hyperlink ref="AN34" r:id="rId125"/>
    <hyperlink ref="G35" r:id="rId126"/>
    <hyperlink ref="T35" r:id="rId127"/>
    <hyperlink ref="AI35" r:id="rId128"/>
    <hyperlink ref="AX35" r:id="rId129"/>
    <hyperlink ref="G36" r:id="rId130"/>
    <hyperlink ref="T36" r:id="rId131"/>
    <hyperlink ref="Y36" r:id="rId132"/>
    <hyperlink ref="AI36" r:id="rId133"/>
    <hyperlink ref="AN36" r:id="rId134"/>
    <hyperlink ref="G37" r:id="rId135"/>
    <hyperlink ref="T37" r:id="rId136"/>
    <hyperlink ref="Y37" r:id="rId137"/>
    <hyperlink ref="AI37" r:id="rId138"/>
    <hyperlink ref="AN37" r:id="rId139"/>
    <hyperlink ref="G38" r:id="rId140"/>
    <hyperlink ref="T38" r:id="rId141"/>
    <hyperlink ref="AI38" r:id="rId142"/>
    <hyperlink ref="G39" r:id="rId143"/>
  </hyperlinks>
  <pageMargins left="0.7" right="0.7" top="0.75" bottom="0.75" header="0.3" footer="0.3"/>
  <legacyDrawing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2020-11-29T20:00:50Z</dcterms:created>
  <dcterms:modified xsi:type="dcterms:W3CDTF">2020-11-29T20:00:50Z</dcterms:modified>
</cp:coreProperties>
</file>