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X-kicost. " sheetId="1" r:id="rId1"/>
  </sheets>
  <definedNames>
    <definedName name="arrow_part_data">'reDIP-SX-kicost. '!$K$5:$O$38</definedName>
    <definedName name="BoardQty">'reDIP-SX-kicost. '!$J$1</definedName>
    <definedName name="digikey_part_data">'reDIP-SX-kicost. '!$P$5:$T$38</definedName>
    <definedName name="farnell_part_data">'reDIP-SX-kicost. '!$U$5:$Y$38</definedName>
    <definedName name="global_part_data">'reDIP-SX-kicost. '!$A$5:$J$38</definedName>
    <definedName name="lcsc_part_data">'reDIP-SX-kicost. '!$Z$5:$AD$38</definedName>
    <definedName name="mouser_part_data">'reDIP-SX-kicost. '!$AE$5:$AI$38</definedName>
    <definedName name="newark_part_data">'reDIP-SX-kicost. '!$AJ$5:$AN$38</definedName>
    <definedName name="PURCHASE_DESCRIPTION">'reDIP-SX-kicost. '!$J$41</definedName>
    <definedName name="rs_part_data">'reDIP-SX-kicost. '!$AO$5:$AS$38</definedName>
    <definedName name="tme_part_data">'reDIP-SX-kicost. '!$AT$5:$AX$38</definedName>
    <definedName name="TotalCost">'reDIP-SX-kicost. '!$J$3</definedName>
    <definedName name="USD_GBP">'reDIP-SX-kicost. '!$C$41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$0.79  $1,425.83
  3600   $0.74  $2,655.04
  5400   $0.71  $3,835.03
 12600   $0.68  $8,604.16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£1.04     £10.40
    50   £1.01     £50.50
   100   £0.83     £83.20
   250   £0.76    £191.25
   500   £0.59    £294.00
  1000   £0.68    £676.00
  1800   £0.62  £1,108.80
  2500   £0.57  £1,430.00
  4500   £0.57  £2,565.00
  9000   £0.57  £5,112.00
 45000   £0.57 £25,470.00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$1.37     $13.70
    50   $1.37     $68.50
   100   $1.10    $110.00
  1000   $0.76    $757.00
 10000   $0.68  $6,820.00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25   £1.09     £27.25
    50   £0.96     £48.00
   100   £0.83     £83.00
   250   £0.77    £192.50
  1800   £0.54    £979.20
  3600   £0.53  £1,908.00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1800   $0.83  $1,493.17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</t>
        </r>
      </text>
    </comment>
    <comment ref="U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£0.10      £1.05
   100   £0.06      £6.00
   150   £0.06      £9.00
   500   £0.05     £22.80
  2500   £0.03     £84.50
  5000   £0.03    £140.00
 10000   £0.02    £233.00
 50000   £0.02  £1,000.00</t>
        </r>
      </text>
    </comment>
    <comment ref="AB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$0.07      $0.65
   100   $0.05      $5.12
   300   $0.05     $14.58
  1000   $0.05     $46.00
  5000   $0.04    $224.50
 10000   $0.04    $443.00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$0.17      $1.74
    50   $0.17      $8.70
   100   $0.10      $9.90
  1000   $0.06     $61.00
 10000   $0.04    $430.00</t>
        </r>
      </text>
    </comment>
    <comment ref="AJ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$1.74
    25   $0.15      $3.72
    50   $0.12      $6.20
   100   $0.10      $9.90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$1.65
    50   $0.11      $5.50
   100   $0.09      $9.35
   500   $0.07     $33.00
  1000   $0.06     $57.75
  2500   $0.06    $137.50
  5000   $0.05    $254.40
 15000   $0.05    $684.75
 30000   $0.04  $1,320.00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£0.24      £2.36
   100   £0.15     £14.80
   150   £0.15     £22.20
   500   £0.11     £55.50
  2500   £0.08    £196.75
  7500   £0.07    £492.00
 15000   £0.06    £945.00
 75000   £0.05  £4,050.00</t>
        </r>
      </text>
    </comment>
    <comment ref="AB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$0.42
   200   $0.02      $3.22
   600   $0.02      $9.18
  2000   $0.01     $28.80
 10000   $0.01    $141.00
 20000   $0.01    $278.00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$1.21
    50   $0.12      $6.05
   100   $0.10      $9.70
  1000   $0.06     $60.00
 10000   $0.05    $510.00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$0.12      $1.21
    25   $0.11      $2.82
    50   $0.10      $5.25
   100   $0.10      $9.70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$0.01      $0.69
   100   $0.01      $1.13
   500   $0.01      $4.04
  1000   $0.01      $6.35
  2500   $0.01     $14.45
  5000   $0.01     $26.55
 15000   $0.00     $69.30
 30000   $0.00    $131.70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£0.06
   100   £0.01      £0.57
   150   £0.01      £0.86
   500   £0.00      £2.50
  2500   £0.00      £7.00
  7500   £0.00     £18.75
 15000   £0.00     £31.50
 75000   £0.00    £120.00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$0.01      $6.00
 10000   $0.00     $50.00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$0.15
    25   $0.01      $0.25
    50   $0.01      $0.35
   100   $0.00      $0.50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£0.19      £1.92
   100   £0.14     £13.70
   150   £0.14     £20.55
   500   £0.09     £43.20
  2500   £0.08    £204.75
  5000   £0.08    £387.00
 10000   £0.08    £751.00
 50000   £0.07  £3,260.00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$0.12      $0.58
    50   $0.09      $4.32
   150   $0.08     $12.15
   500   $0.08     $37.85
  2500   $0.07    $183.25
  5000   $0.07    $361.00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$0.23      $2.27
    50   $0.23     $11.35
   100   $0.19     $19.40
  1000   $0.12    $123.00
 10000   $0.11  $1,100.00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$0.12      $1.24
    50   $0.07      $3.71
   100   $0.06      $6.27
   500   $0.04     $21.45
  1000   $0.04     $37.95
  2500   $0.04     $90.75
  5000   $0.03    $165.00
 10000   $0.03    $313.50
 20000   $0.03    $594.00</t>
        </r>
      </text>
    </comment>
    <comment ref="U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£0.16      £1.57
   100   £0.09      £8.97
   150   £0.09     £13.46
   500   £0.07     £34.15
  2500   £0.05    £126.50
  5000   £0.04    £209.50
 10000   £0.03    £349.00
 50000   £0.03  £1,495.00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$0.63
   100   $0.05      $4.76
   300   $0.04     $13.41
  1000   $0.04     $41.70
  5000   $0.04    $202.50
 10000   $0.04    $398.00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$0.18      $0.18
    10   $0.08      $0.75
    50   $0.08      $3.75
   100   $0.06      $6.30
  1000   $0.04     $38.00
 10000   $0.03    $290.00</t>
        </r>
      </text>
    </comment>
    <comment ref="AJ1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$0.17      $1.73
    25   $0.14      $3.60
    50   $0.12      $5.80
   100   $0.09      $8.70
 10000   $0.03    $330.00
 20000   $0.03    $640.00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$0.33
    50   $0.02      $0.89
   100   $0.01      $1.46
   500   $0.01      $5.20
  1000   $0.01      $8.17
  2500   $0.01     $18.55
  5000   $0.01     $34.15
 15000   $0.01     $89.10
 30000   $0.01    $169.20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$2.45
  1500   $0.00      $7.05
  5000   $0.00     $22.00
 25000   $0.00    $107.50
 50000   $0.00    $210.00</t>
        </r>
      </text>
    </comment>
    <comment ref="AE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$0.18
    50   $0.02      $0.90
   100   $0.02      $1.50
  1000   $0.01      $9.00
 10000   $0.01     $60.00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</t>
        </r>
      </text>
    </comment>
    <comment ref="AQ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 £6.00
  5000   £0.00     £25.00
 10000   £0.00     £50.00
 15000   £0.00     £60.00
 60000   £0.00    £240.00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$0.34      $0.34
    10   $0.24      $2.36
   100   $0.12     $11.91
   500   $0.10     $48.59
  1000   $0.07     $72.10
  2000   $0.06    $121.32
  5000   $0.06    $290.00
 10000   $0.05    $501.60
 30000   $0.05  $1,476.60
 50000   $0.04  $2,062.50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$0.23      $2.31
    50   $0.23     $11.55
   100   $0.12     $12.50
  1000   $0.08     $76.00
 10000   $0.05    $520.00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$1.80
    10   $0.28      $2.76
   100   $0.15     $15.40
   500   $0.14     $68.00
  1000   $0.12    $118.00
  2500   $0.10    $257.50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$0.60      $0.60
    10   $0.52      $5.17
   100   $0.36     $35.78
   500   $0.30    $149.46
  1000   $0.25    $254.40
  3000   $0.23    $679.71
  6000   $0.21  $1,287.90
  9000   $0.21  $1,890.00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£0.51      £2.56
    10   £0.37      £3.72
   100   £0.26     £26.00
   150   £0.26     £39.00
   500   £0.19     £96.00
  3000   £0.16    £486.00
  9000   £0.16  £1,404.00
 24000   £0.15  £3,672.00
 45000   £0.15  £6,750.00</t>
        </r>
      </text>
    </comment>
    <comment ref="AB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$0.33      $3.28
    30   $0.31      $9.31
   100   $0.29     $29.22
   500   $0.28    $141.60
  1000   $0.28    $279.60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$0.49      $4.88
    50   $0.49     $24.40
   100   $0.34     $33.80
  1000   $0.24    $240.00
 10000   $0.19  $1,870.00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$0.50      $4.95
   100   $0.34     $33.70
   500   $0.28    $141.00
  3000   $0.22    $672.00
  9000   $0.19  $1,737.00
 24000   $0.19  $4,488.00
 45000   $0.18  $7,875.00</t>
        </r>
      </text>
    </comment>
    <comment ref="AQ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£0.35      £8.85
   100   £0.25     £24.80
   500   £0.21    £107.00
  1000   £0.18    £183.00
  3000   £0.17    £513.00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$0.71      $0.71
    10   $0.46      $4.65
   100   $0.31     $30.77
  1000   $0.24    $237.55
  2000   $0.21    $429.30
  6000   $0.20  $1,202.04
 10000   $0.19  $1,931.90
 50000   $0.19  $9,450.00</t>
        </r>
      </text>
    </comment>
    <comment ref="U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$0.43      $4.30
    50   $0.43     $21.50
   100   $0.28     $28.20
  1000   $0.22    $222.00
 10000   $0.18  $1,820.00</t>
        </r>
      </text>
    </comment>
    <comment ref="AJ1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 5   $0.36      $1.80
    25   $0.28      $7.00
   100   $0.24     $23.80
   500   $0.22    $108.50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$1.37     $13.72
    25   $1.29     $32.20
    50   $1.23     $61.60
   100   $1.18    $117.60
   250   $1.06    $266.00
   500   $0.98    $490.00
  1500   $0.81  $1,218.00
  3000   $0.78  $2,352.00
  7500   $0.74  $5,586.00
 10500   $0.73  $7,644.00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$1.51      $1.51
    10   $1.23     $12.30
    50   $1.23     $61.50
   100   $1.17    $117.00
  1000   $0.84    $839.00
 10000   $0.73  $7,280.00</t>
        </r>
      </text>
    </comment>
    <comment ref="AQ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1 £1,297.25  £1,297.25
     4   £5.31     £21.24
    20   £5.04    £100.80
   100   £4.78    £478.00
   200   £4.55    £910.00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$221.72</t>
        </r>
      </text>
    </comment>
    <comment ref="U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£1.45
    10   £0.20      £1.96
   100   £0.08      £7.78
   500   £0.06     £29.25
  1000   £0.04     £39.10
  5000   £0.03    £166.00</t>
        </r>
      </text>
    </comment>
    <comment ref="AG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 50   $0.27     $13.40
   100   $0.11     $11.20
  1000   $0.08     $76.00
 10000   $0.05    $510.00</t>
        </r>
      </text>
    </comment>
    <comment ref="AJ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$0.39      $1.95
    10   $0.27      $2.68
   100   $0.11     $11.20
   500   $0.09     $47.00
  1000   $0.08     $76.00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$302.00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$4.50
  5000   $0.00     $16.15
 15000   $0.00     $42.15
 30000   $0.00     $74.10
 75000   $0.00    $169.50</t>
        </r>
      </text>
    </comment>
    <comment ref="W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£352.50</t>
        </r>
      </text>
    </comment>
    <comment ref="AB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$0.35
   500   $0.01      $2.70
  1500   $0.01      $7.65
  5000   $0.00     $24.00
 25000   $0.00    $117.50
 50000   $0.00    $235.00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$0.15
    50   $0.02      $0.75
   100   $0.01      $0.60
  1000   $0.00      $5.00
 10000   $0.00     $30.00</t>
        </r>
      </text>
    </comment>
    <comment ref="A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</t>
        </r>
      </text>
    </comment>
    <comment ref="AQ2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15000   £0.00     £75.00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£150.00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15000   $0.00     $75.00
 30000   $0.00    $120.00</t>
        </r>
      </text>
    </comment>
    <comment ref="AQ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£25.00
 10000   £0.00     £50.00
 15000   £0.00     £60.00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B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$1.00
   500   $0.02      $7.70
  1500   $0.01     $21.90
  5000   $0.01     $69.00
 25000   $0.01    $335.00
 50000   $0.01    $660.00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£0.01     £11.00
  5000   £0.01     £45.00
 10000   £0.01     £80.00
 15000   £0.01     £90.00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100   $0.01      $1.10
  1000   $0.00      $4.96
  2500   $0.00     $10.75
  5000   $0.00     $17.75
 15000   $0.00     $46.35
 30000   $0.00     $81.30
 75000   $0.00    $186.75
105000   $0.00    $256.20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30000   £0.00    £147.00</t>
        </r>
      </text>
    </comment>
    <comment ref="AB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$0.32
   500   $0.00      $2.40
  1500   $0.00      $6.75
  5000   $0.00     $21.00
 25000   $0.00    $102.50
 50000   $0.00    $200.00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1000   £0.00      £4.00
  5000   £0.00     £20.00
 10000   £0.00     £40.00
 15000   £0.00     £60.00</t>
        </r>
      </text>
    </comment>
    <comment ref="P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$0.12    $367.71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£168.00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$0.43      $0.43
    10   $0.32      $3.21
    50   $0.32     $16.05
   100   $0.16     $16.50
  1000   $0.12    $119.00
 10000   $0.10    $990.00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2000   $1.14  $2,289.60</t>
        </r>
      </text>
    </comment>
    <comment ref="AB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$1.42      $1.42
    10   $1.05     $10.50
    30   $0.98     $29.48
   100   $0.92     $91.61
   500   $0.89    $442.75
  1000   $0.87    $871.00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$2.49      $2.49
    10   $2.25     $22.50
    50   $2.12    $106.00
   100   $1.70    $170.00
  1000   $1.15  $1,150.00
 10000   $1.10 $11,000.00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$0.38      $3.80
    25   $0.35      $8.68
   100   $0.26     $25.84
   250   $0.23     $58.54
   500   $0.19     $96.90
  1000   $0.15    $145.35
  2500   $0.13    $333.10
  5000   $0.13    $625.80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$0.54      $0.54
    10   $0.44      $4.38
    25   $0.40     $10.03
   100   $0.27     $27.05
   250   $0.22     $55.97
   500   $0.21    $102.61
  1000   $0.15    $153.91
  3000   $0.14    $433.74
  6000   $0.14    $811.56
 15000   $0.12  $1,860.90
 30000   $0.12  $3,696.00</t>
        </r>
      </text>
    </comment>
    <comment ref="W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£0.42      £2.11
    10   £0.28      £2.75
   100   £0.14     £14.20
   150   £0.14     £21.30
   500   £0.10     £52.50
  3000   £0.09    £274.20
  9000   £0.09    £793.80
 24000   £0.09  £2,092.80
 45000   £0.09  £3,870.00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$0.36      $3.64
    50   $0.36     $18.20
   100   $0.19     $18.60
  1000   $0.14    $140.00
 10000   $0.12  $1,160.00</t>
        </r>
      </text>
    </comment>
    <comment ref="A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$0.46      $2.30
    10   $0.34      $3.43
   100   $0.18     $17.50
  3000   $0.12    $345.00
  6000   $0.11    $678.00
 12000   $0.11  $1,332.00
 18000   $0.11  $1,980.00
 24000   $0.11  $2,592.00
 30000   $0.11  $3,180.00
300000   $0.10 $31,200.00</t>
        </r>
      </text>
    </comment>
    <comment ref="AQ3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18   £0.26      £4.72
   108   £0.13     £14.36
  1008   £0.10    £100.80
  3000   £0.08    £255.00
  3006   £0.09    £261.52
  9000   £0.08    £756.00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$0.18    $905.10</t>
        </r>
      </text>
    </comment>
    <comment ref="U3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£0.12    £585.00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$0.55      $0.55
    10   $0.44      $4.43
    50   $0.44     $22.15
   100   $0.36     $35.50
  1000   $0.22    $216.00
 10000   $0.18  $1,770.00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$3.40      $3.40
    10   $3.33     $33.33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£3.21      £3.21
    10   £2.72     £27.20
    25   £2.56     £64.00
    50   £2.40    £120.00
   100   £2.25    £225.00</t>
        </r>
      </text>
    </comment>
    <comment ref="AE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$3.33      $3.33
    10   $2.72     $27.20
    50   $2.72    $136.00
   100   $2.24    $224.00
  1000   $1.61  $1,610.00
 10000   $1.53 $15,300.00</t>
        </r>
      </text>
    </comment>
    <comment ref="AJ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$2.72     $27.20
    25   $2.56     $64.00
    50   $2.40    $120.00
   100   $2.24    $224.00
   250   $2.01    $502.50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$3.52      $3.52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
    10   $3.20     $32.00
    50   $3.20    $160.00
   100   $3.20    $320.00
  1000   $3.20  $3,200.00
 10000   $3.20 $32,000.00</t>
        </r>
      </text>
    </comment>
    <comment ref="AT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$4.10      $4.10
     5   $3.85     $19.25
    25   $3.60     $90.00
   100   $3.35    $335.00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25   $1.32     $32.90
  1500   $1.32  $1,974.00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£1.24      £1.24
    10   £1.24     £12.40
    25   £1.14     £28.50
    50   £1.06     £53.00
   100   £1.04    £104.00
   250   £1.02    £255.00
   500   £1.01    £505.00
  1000   £1.00    £996.00
  2500   £0.98  £2,452.50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$1.35     $13.50
    50   $1.30     $65.00
   100   $1.25    $125.00
  1000   $1.25  $1,250.00
 10000   $1.17 $11,700.00</t>
        </r>
      </text>
    </comment>
    <comment ref="AJ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$1.73      $1.73
    10   $1.61     $16.10
    25   $1.51     $37.75
    50   $1.41     $70.50
   100   $1.31    $131.00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$0.58      $5.77
    25   $0.54     $13.55
   100   $0.41     $41.10
   250   $0.35     $87.45
   500   $0.33    $166.16
  1000   $0.25    $253.60
  3000   $0.24    $708.33
  6000   $0.23  $1,386.00</t>
        </r>
      </text>
    </comment>
    <comment ref="U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$0.51      $5.11
    50   $0.51     $25.55
   100   $0.33     $33.00
  1000   $0.24    $239.00
 10000   $0.22  $2,190.00</t>
        </r>
      </text>
    </comment>
    <comment ref="AJ3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$0.29    $876.00
  9000   $0.28  $2,565.00
 24000   $0.26  $6,336.00
 45000   $0.25 $11,070.00</t>
        </r>
      </text>
    </comment>
    <comment ref="P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E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I40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<sst xmlns="http://schemas.openxmlformats.org/spreadsheetml/2006/main" count="585" uniqueCount="325">
  <si>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</si>
  <si>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</si>
  <si>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</si>
  <si>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</si>
  <si>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</si>
  <si>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</si>
  <si>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</si>
  <si>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</si>
  <si>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</si>
  <si>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</si>
  <si>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</si>
  <si>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</si>
  <si>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</si>
  <si>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</si>
  <si>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</si>
  <si>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</si>
  <si>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</si>
  <si>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</si>
  <si>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16V 10% X6S 0402</t>
  </si>
  <si>
    <t>C_0402_1005Metric</t>
  </si>
  <si>
    <t>Murata</t>
  </si>
  <si>
    <t>GRM155C81C225KE11D</t>
  </si>
  <si>
    <t>5V DC DERATED TO 1uF</t>
  </si>
  <si>
    <t>C2,C11-C14,C18-C22,C24</t>
  </si>
  <si>
    <t>CAP CER 1uF 6.3V 20% X6S 0201</t>
  </si>
  <si>
    <t>C_0201_0603Metric</t>
  </si>
  <si>
    <t>GRM033C80J105ME05D</t>
  </si>
  <si>
    <t>C11-C14,C18-C22: 1.55V DC AUDIO
C2,C24: 1.2V DC</t>
  </si>
  <si>
    <t>C26</t>
  </si>
  <si>
    <t>10n</t>
  </si>
  <si>
    <t>CAP CER 10nF 6.3V 10% X5R 0201</t>
  </si>
  <si>
    <t>GRM033R60J103KA01D</t>
  </si>
  <si>
    <t>1.2V DC</t>
  </si>
  <si>
    <t>C4</t>
  </si>
  <si>
    <t>CAP CER 4.7uF 6.3V 20% X5R 0201</t>
  </si>
  <si>
    <t>GRM035R60J475ME15D</t>
  </si>
  <si>
    <t>3.3V DC DERATED TO 1uF</t>
  </si>
  <si>
    <t>C5,C17,C29</t>
  </si>
  <si>
    <t>10uF</t>
  </si>
  <si>
    <t>CAP CER 10uF 6.3V 20% X5R 0402</t>
  </si>
  <si>
    <t>GRM155R60J106ME15D</t>
  </si>
  <si>
    <t>C29: 1.2V DC
C5,C17: 3.3V DC</t>
  </si>
  <si>
    <t>C6-C10,C15,C16,C23,C25,C27,C28,C30-C33</t>
  </si>
  <si>
    <t>0.1uF</t>
  </si>
  <si>
    <t>CAP CER 0.22uF 6.3V 20% X5R 0201</t>
  </si>
  <si>
    <t>GRM033R60J224KE15D</t>
  </si>
  <si>
    <t>C10,C15: 1.55V DC AUDIO DERATED TO 0.1uF
C6-C9,C16,C23,C25,C27,C28,C30-C33: 3.3V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</si>
  <si>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</si>
  <si>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</si>
  <si>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</si>
  <si>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</si>
  <si>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</si>
  <si>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</si>
  <si>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</si>
  <si>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</si>
  <si>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</si>
  <si>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</si>
  <si>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</si>
  <si>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</si>
  <si>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</si>
  <si>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</si>
  <si>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</si>
  <si>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</si>
  <si>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</si>
  <si>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</si>
  <si>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DX07S016JA1</t>
  </si>
  <si>
    <t>CONN USB-C</t>
  </si>
  <si>
    <t>USB_C_Receptacle_JAE_DX07S016JA1</t>
  </si>
  <si>
    <t>Japan Aviation Electronics Industry, Ltd.</t>
  </si>
  <si>
    <t>DX07S016JA1R1500</t>
  </si>
  <si>
    <t>J5,J6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</si>
  <si>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</si>
  <si>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</si>
  <si>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</si>
  <si>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</si>
  <si>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</si>
  <si>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J7,J8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</si>
  <si>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</si>
  <si>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</si>
  <si>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</si>
  <si>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</si>
  <si>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</si>
  <si>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</si>
  <si>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</si>
  <si>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</si>
  <si>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</si>
  <si>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</si>
  <si>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</si>
  <si>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</si>
  <si>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</si>
  <si>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</si>
  <si>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</si>
  <si>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</si>
  <si>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</si>
  <si>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</si>
  <si>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</si>
  <si>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</si>
  <si>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R13</t>
  </si>
  <si>
    <t>22</t>
  </si>
  <si>
    <t>RES 22Ω 50mW 5% 0201</t>
  </si>
  <si>
    <t>ERJ-1GNJ220C</t>
  </si>
  <si>
    <t>R2,R3,R5</t>
  </si>
  <si>
    <t>2.2k</t>
  </si>
  <si>
    <t>RES 2.2kΩ 50mW 5% 0201</t>
  </si>
  <si>
    <t>ERJ-1GNJ222C</t>
  </si>
  <si>
    <t>R4,R10,R11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</si>
  <si>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</si>
  <si>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</si>
  <si>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</si>
  <si>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</si>
  <si>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</si>
  <si>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</si>
  <si>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</si>
  <si>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R9,R12</t>
  </si>
  <si>
    <t>100</t>
  </si>
  <si>
    <t>RES 100Ω 50mW 5% 0201</t>
  </si>
  <si>
    <t>ERJ-1GNJ101C</t>
  </si>
  <si>
    <t>U1</t>
  </si>
  <si>
    <t>NCP163AMX120TBG</t>
  </si>
  <si>
    <t>IC REG LDO 1.2V 250mA XDFN4</t>
  </si>
  <si>
    <t>CASE711AJ_1.0x1.0mm_P0.65mm</t>
  </si>
  <si>
    <t>U10</t>
  </si>
  <si>
    <t>SN74CBTD16211DGVR</t>
  </si>
  <si>
    <t>IC BUS SWITCH WITH LEVEL SHIFTER TVSOP-56</t>
  </si>
  <si>
    <t>Texas_TVSOP-56_4.4x11.3mm_P0.4mm</t>
  </si>
  <si>
    <t>TI</t>
  </si>
  <si>
    <t>U11</t>
  </si>
  <si>
    <t>CBTD3306GT</t>
  </si>
  <si>
    <t>IC BUS SWITCH WITH LEVEL SHIFTER SOT833-1</t>
  </si>
  <si>
    <t>SOT-833-1</t>
  </si>
  <si>
    <t>CBTD3306GT,115</t>
  </si>
  <si>
    <t>U2</t>
  </si>
  <si>
    <t>NCP167AMX330TBG</t>
  </si>
  <si>
    <t>IC REG LDO 3.3V 700mA XDFN4</t>
  </si>
  <si>
    <t>U3</t>
  </si>
  <si>
    <t>FSA221UMX</t>
  </si>
  <si>
    <t>IC USB AUDIO SWITCH UQFN-10</t>
  </si>
  <si>
    <t>523BC_1.4x1.8_P0.4mm</t>
  </si>
  <si>
    <t>U4</t>
  </si>
  <si>
    <t>SGTL5000XNLA3</t>
  </si>
  <si>
    <t>IC AUDIO CODEC UQFN-20</t>
  </si>
  <si>
    <t>QFN-20-1EP_3x3mm_P0.4mm_EP1.65x1.65mm</t>
  </si>
  <si>
    <t>NXP</t>
  </si>
  <si>
    <t>ALTERNATIVE PART #: SGTL5000XNLA3R2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</si>
  <si>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</si>
  <si>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</si>
  <si>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</si>
  <si>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</si>
  <si>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</si>
  <si>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</si>
  <si>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</si>
  <si>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</si>
  <si>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</si>
  <si>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</si>
  <si>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</si>
  <si>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</si>
  <si>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</si>
  <si>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</si>
  <si>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</si>
  <si>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</si>
  <si>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</si>
  <si>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</si>
  <si>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</si>
  <si>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</si>
  <si>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</si>
  <si>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</si>
  <si>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</si>
  <si>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</si>
  <si>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</si>
  <si>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</si>
  <si>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</si>
  <si>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</si>
  <si>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</si>
  <si>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</si>
  <si>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</si>
  <si>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</si>
  <si>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</si>
  <si>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</si>
  <si>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</si>
  <si>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to. 04. mars 2021 kl. 15.51 +0100</t>
  </si>
  <si>
    <t>Board Qty:</t>
  </si>
  <si>
    <t>Total Cost:</t>
  </si>
  <si>
    <t>Unit Cost:</t>
  </si>
  <si>
    <t>$ date:</t>
  </si>
  <si>
    <t>2021-03-04 15:51:31</t>
  </si>
  <si>
    <t>Arrow</t>
  </si>
  <si>
    <t>Avail</t>
  </si>
  <si>
    <t>Purch</t>
  </si>
  <si>
    <t>Cat#</t>
  </si>
  <si>
    <t>Buy here</t>
  </si>
  <si>
    <t>Digi-Key</t>
  </si>
  <si>
    <t>WM4893CT-ND</t>
  </si>
  <si>
    <t>490-14595-1-ND</t>
  </si>
  <si>
    <t>NonStk</t>
  </si>
  <si>
    <t>490-13218-1-ND</t>
  </si>
  <si>
    <t>490-5403-1-ND</t>
  </si>
  <si>
    <t>490-13230-1-ND</t>
  </si>
  <si>
    <t>490-13238-1-ND</t>
  </si>
  <si>
    <t>490-10406-1-ND</t>
  </si>
  <si>
    <t>1727-1084-1-ND</t>
  </si>
  <si>
    <t>ESD7016MUTAGOSCT-ND</t>
  </si>
  <si>
    <t>67-2331-1-ND</t>
  </si>
  <si>
    <t>670-DX07S016JA1R1500CT-ND</t>
  </si>
  <si>
    <t>S1131EC-06-ND</t>
  </si>
  <si>
    <t>S1011EC-10-ND</t>
  </si>
  <si>
    <t>PEMH4,115-ND</t>
  </si>
  <si>
    <t>PDTA143ZMB,315-ND</t>
  </si>
  <si>
    <t>P15979CT-ND</t>
  </si>
  <si>
    <t>P123275CT-ND</t>
  </si>
  <si>
    <t>P123277CT-ND</t>
  </si>
  <si>
    <t>P123222CT-ND</t>
  </si>
  <si>
    <t>P123340CT-ND</t>
  </si>
  <si>
    <t>P123220CT-ND</t>
  </si>
  <si>
    <t>NCP163AMX120TBG-ND</t>
  </si>
  <si>
    <t>296-6475-2-ND</t>
  </si>
  <si>
    <t>1727-4621-1-ND</t>
  </si>
  <si>
    <t>NCP167AMX330TBGOSCT-ND</t>
  </si>
  <si>
    <t>FSA221UMXTR-ND</t>
  </si>
  <si>
    <t>SGTL5000XNLA3-ND</t>
  </si>
  <si>
    <t>1965-ESP32-PICO-V3-02-ND</t>
  </si>
  <si>
    <t>336-5888-1-ND</t>
  </si>
  <si>
    <t>FSA8049UCXFSCT-ND</t>
  </si>
  <si>
    <t>220-2212-1-ND</t>
  </si>
  <si>
    <t>Farnell</t>
  </si>
  <si>
    <t>3498912</t>
  </si>
  <si>
    <t>3581345</t>
  </si>
  <si>
    <t>3582762</t>
  </si>
  <si>
    <t>3243319</t>
  </si>
  <si>
    <t>3238402</t>
  </si>
  <si>
    <t>3582794</t>
  </si>
  <si>
    <t>2990684</t>
  </si>
  <si>
    <t>2535917</t>
  </si>
  <si>
    <t>3216559</t>
  </si>
  <si>
    <t>1758021</t>
  </si>
  <si>
    <t>2799511</t>
  </si>
  <si>
    <t>3303209</t>
  </si>
  <si>
    <t>3303211</t>
  </si>
  <si>
    <t>3303150</t>
  </si>
  <si>
    <t>3303281</t>
  </si>
  <si>
    <t>3303148</t>
  </si>
  <si>
    <t>3611550</t>
  </si>
  <si>
    <t>2981158</t>
  </si>
  <si>
    <t>3614346</t>
  </si>
  <si>
    <t>2308050</t>
  </si>
  <si>
    <t>3387002RL</t>
  </si>
  <si>
    <t>2100417</t>
  </si>
  <si>
    <t>LCSC</t>
  </si>
  <si>
    <t>C437523</t>
  </si>
  <si>
    <t>C385023</t>
  </si>
  <si>
    <t>C335103</t>
  </si>
  <si>
    <t>C412251</t>
  </si>
  <si>
    <t>C76931</t>
  </si>
  <si>
    <t>C463227</t>
  </si>
  <si>
    <t>C716999</t>
  </si>
  <si>
    <t>C242159</t>
  </si>
  <si>
    <t>C713500</t>
  </si>
  <si>
    <t>C2683750</t>
  </si>
  <si>
    <t>Mouser</t>
  </si>
  <si>
    <t>538479480001</t>
  </si>
  <si>
    <t>81GRM155C81C225KE1D</t>
  </si>
  <si>
    <t>81GRM033C80J105ME5D</t>
  </si>
  <si>
    <t>81GRM033R60J103KA1D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</si>
  <si>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</si>
  <si>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</si>
  <si>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</si>
  <si>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</si>
  <si>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</si>
  <si>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</si>
  <si>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656DX07S016JA1R1500</t>
  </si>
  <si>
    <t>771PEMH4115</t>
  </si>
  <si>
    <t>771PDTA143ZMB315</t>
  </si>
  <si>
    <t>667ERJ1GN0R00C</t>
  </si>
  <si>
    <t>667ERJ1GNJ220C</t>
  </si>
  <si>
    <t>667ERJ1GNJ222C</t>
  </si>
  <si>
    <t>667ERJ1GNJ103C</t>
  </si>
  <si>
    <t>667ERJ1GNJ512C</t>
  </si>
  <si>
    <t>667ERJ1GNJ101C</t>
  </si>
  <si>
    <t>863NCP163AMX120TBG</t>
  </si>
  <si>
    <t>59574CBTD16211DGVR</t>
  </si>
  <si>
    <t>863NCP167AMX330TBG</t>
  </si>
  <si>
    <t>512FSA221UMX</t>
  </si>
  <si>
    <t>841SGTL5000XNLA3</t>
  </si>
  <si>
    <t>356ESP32PICOV302</t>
  </si>
  <si>
    <t>634CP2102NA02QFN24R</t>
  </si>
  <si>
    <t>512FSA8049UCX</t>
  </si>
  <si>
    <t>842ICE40UP5KSG48I</t>
  </si>
  <si>
    <t>Newark</t>
  </si>
  <si>
    <t>51T4021</t>
  </si>
  <si>
    <t>92AH5000</t>
  </si>
  <si>
    <t>03AJ1531</t>
  </si>
  <si>
    <t>92AH8251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</si>
  <si>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</si>
  <si>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</si>
  <si>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</si>
  <si>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</si>
  <si>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</si>
  <si>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</si>
  <si>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</si>
  <si>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</si>
  <si>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51W5825</t>
  </si>
  <si>
    <t>51W5827</t>
  </si>
  <si>
    <t>23AC4811</t>
  </si>
  <si>
    <t>51W5889</t>
  </si>
  <si>
    <t>51W5773</t>
  </si>
  <si>
    <t>65AC4909</t>
  </si>
  <si>
    <t>84AC7230</t>
  </si>
  <si>
    <t>14R9111</t>
  </si>
  <si>
    <t>66AH5403</t>
  </si>
  <si>
    <t>95T0140</t>
  </si>
  <si>
    <t>RS Components</t>
  </si>
  <si>
    <t>7595325</t>
  </si>
  <si>
    <t>1852023</t>
  </si>
  <si>
    <t>8829708</t>
  </si>
  <si>
    <t>2017049</t>
  </si>
  <si>
    <t>1763574</t>
  </si>
  <si>
    <t>1797158</t>
  </si>
  <si>
    <t>1797128</t>
  </si>
  <si>
    <t>1797135</t>
  </si>
  <si>
    <t>1797129</t>
  </si>
  <si>
    <t>1859325</t>
  </si>
  <si>
    <t>TME</t>
  </si>
  <si>
    <t>479480001</t>
  </si>
  <si>
    <t>SMDLX0707RGBTR</t>
  </si>
  <si>
    <t>ESP32PICOV302</t>
  </si>
  <si>
    <t>KiCost® v.1.1.5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</si>
</sst>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ai=8078&amp;sig=0179731&amp;sid=459&amp;ppid=20326346&amp;vpid=114393393&amp;ct=offers" TargetMode="External"/><Relationship Id="rId3" Type="http://schemas.openxmlformats.org/officeDocument/2006/relationships/hyperlink" Target="https://octopart.com/click/track?c=1&amp;ai=8078&amp;sig=0e45de7&amp;sid=11744&amp;ppid=20326346&amp;vpid=656765463&amp;ct=offers" TargetMode="External"/><Relationship Id="rId4" Type="http://schemas.openxmlformats.org/officeDocument/2006/relationships/hyperlink" Target="https://octopart.com/click/track?ai=8078&amp;sig=015cfb3&amp;sid=2401&amp;ppid=20326346&amp;vpid=40439801&amp;ct=offers" TargetMode="External"/><Relationship Id="rId5" Type="http://schemas.openxmlformats.org/officeDocument/2006/relationships/hyperlink" Target="https://octopart.com/click/track?ai=8078&amp;sig=0432372&amp;sid=2402&amp;ppid=20326346&amp;vpid=39289629&amp;ct=offers" TargetMode="External"/><Relationship Id="rId6" Type="http://schemas.openxmlformats.org/officeDocument/2006/relationships/hyperlink" Target="https://octopart.com/click/track?ai=8078&amp;sig=090870c&amp;sid=10022&amp;ppid=20326346&amp;vpid=199068433&amp;ct=offers" TargetMode="External"/><Relationship Id="rId7" Type="http://schemas.openxmlformats.org/officeDocument/2006/relationships/hyperlink" Target="https://octopart.com/click/track?ai=8078&amp;sig=07af8cd&amp;sid=1532&amp;ppid=20326346&amp;vpid=586247583&amp;ct=offers" TargetMode="External"/><Relationship Id="rId8" Type="http://schemas.openxmlformats.org/officeDocument/2006/relationships/hyperlink" Target="https://www.murata.com/products/productdetail.aspx?partno=GRM155C81C225KE11D" TargetMode="External"/><Relationship Id="rId9" Type="http://schemas.openxmlformats.org/officeDocument/2006/relationships/hyperlink" Target="https://octopart.com/click/track?c=1&amp;ai=8078&amp;sig=0de3de3&amp;sid=459&amp;ppid=46692789&amp;vpid=410305221&amp;ct=offers" TargetMode="External"/><Relationship Id="rId10" Type="http://schemas.openxmlformats.org/officeDocument/2006/relationships/hyperlink" Target="https://octopart.com/click/track?c=1&amp;ai=8078&amp;sig=0241533&amp;sid=11744&amp;ppid=46692789&amp;vpid=667012154&amp;ct=offers" TargetMode="External"/><Relationship Id="rId11" Type="http://schemas.openxmlformats.org/officeDocument/2006/relationships/hyperlink" Target="https://octopart.com/click/track?ai=8078&amp;sig=005ea9f&amp;sid=27971&amp;ppid=46692789&amp;vpid=666930444&amp;ct=offers" TargetMode="External"/><Relationship Id="rId12" Type="http://schemas.openxmlformats.org/officeDocument/2006/relationships/hyperlink" Target="https://octopart.com/click/track?c=1&amp;ai=8078&amp;sig=06521e3&amp;sid=2401&amp;ppid=46692789&amp;vpid=230758256&amp;ct=offers" TargetMode="External"/><Relationship Id="rId13" Type="http://schemas.openxmlformats.org/officeDocument/2006/relationships/hyperlink" Target="https://octopart.com/click/track?c=1&amp;ai=8078&amp;sig=09b4599&amp;sid=2402&amp;ppid=46692789&amp;vpid=669036303&amp;ct=offers" TargetMode="External"/><Relationship Id="rId14" Type="http://schemas.openxmlformats.org/officeDocument/2006/relationships/hyperlink" Target="https://www.murata.com/products/productdetail.aspx?partno=GRM033C80J105ME05D" TargetMode="External"/><Relationship Id="rId15" Type="http://schemas.openxmlformats.org/officeDocument/2006/relationships/hyperlink" Target="https://octopart.com/click/track?ai=8078&amp;sig=0dd2dd5&amp;sid=459&amp;ppid=71220979&amp;vpid=252726184&amp;ct=offers" TargetMode="External"/><Relationship Id="rId16" Type="http://schemas.openxmlformats.org/officeDocument/2006/relationships/hyperlink" Target="https://octopart.com/click/track?c=1&amp;ai=8078&amp;sig=013a2f0&amp;sid=819&amp;ppid=71220979&amp;vpid=670691828&amp;ct=offers" TargetMode="External"/><Relationship Id="rId17" Type="http://schemas.openxmlformats.org/officeDocument/2006/relationships/hyperlink" Target="https://octopart.com/click/track?ai=8078&amp;sig=05d4785&amp;sid=27971&amp;ppid=71220979&amp;vpid=552547217&amp;ct=offers" TargetMode="External"/><Relationship Id="rId18" Type="http://schemas.openxmlformats.org/officeDocument/2006/relationships/hyperlink" Target="https://octopart.com/click/track?ai=8078&amp;sig=0e387aa&amp;sid=2401&amp;ppid=71220979&amp;vpid=262231651&amp;ct=offers" TargetMode="External"/><Relationship Id="rId19" Type="http://schemas.openxmlformats.org/officeDocument/2006/relationships/hyperlink" Target="https://octopart.com/click/track?c=1&amp;ai=8078&amp;sig=0e14f17&amp;sid=2402&amp;ppid=71220979&amp;vpid=671481163&amp;ct=offers" TargetMode="External"/><Relationship Id="rId20" Type="http://schemas.openxmlformats.org/officeDocument/2006/relationships/hyperlink" Target="https://www.murata.com/products/productdetail.aspx?partno=GRM033R60J103KA01D" TargetMode="External"/><Relationship Id="rId21" Type="http://schemas.openxmlformats.org/officeDocument/2006/relationships/hyperlink" Target="https://octopart.com/click/track?ai=8078&amp;sig=0eb3513&amp;sid=459&amp;ppid=17705771&amp;vpid=34233074&amp;ct=offers" TargetMode="External"/><Relationship Id="rId22" Type="http://schemas.openxmlformats.org/officeDocument/2006/relationships/hyperlink" Target="https://octopart.com/click/track?ai=8078&amp;sig=085ab43&amp;sid=11744&amp;ppid=17705771&amp;vpid=667940842&amp;ct=offers" TargetMode="External"/><Relationship Id="rId23" Type="http://schemas.openxmlformats.org/officeDocument/2006/relationships/hyperlink" Target="https://octopart.com/click/track?ai=8078&amp;sig=049a764&amp;sid=2401&amp;ppid=17705771&amp;vpid=37711093&amp;ct=offers" TargetMode="External"/><Relationship Id="rId24" Type="http://schemas.openxmlformats.org/officeDocument/2006/relationships/hyperlink" Target="https://octopart.com/click/track?ai=8078&amp;sig=0fb8275&amp;sid=2402&amp;ppid=17705771&amp;vpid=669843213&amp;ct=offers" TargetMode="External"/><Relationship Id="rId25" Type="http://schemas.openxmlformats.org/officeDocument/2006/relationships/hyperlink" Target="https://www.murata.com/products/productdetail.aspx?partno=GRM035R60J475ME15D" TargetMode="External"/><Relationship Id="rId26" Type="http://schemas.openxmlformats.org/officeDocument/2006/relationships/hyperlink" Target="https://octopart.com/click/track?ai=8078&amp;sig=02d1bd9&amp;sid=459&amp;ppid=67141176&amp;vpid=252726416&amp;ct=offers" TargetMode="External"/><Relationship Id="rId27" Type="http://schemas.openxmlformats.org/officeDocument/2006/relationships/hyperlink" Target="https://octopart.com/click/track?c=1&amp;ai=8078&amp;sig=0cbfc18&amp;sid=11744&amp;ppid=67141176&amp;vpid=585909672&amp;ct=offers" TargetMode="External"/><Relationship Id="rId28" Type="http://schemas.openxmlformats.org/officeDocument/2006/relationships/hyperlink" Target="https://octopart.com/click/track?ai=8078&amp;sig=0ec1763&amp;sid=27971&amp;ppid=67141176&amp;vpid=510777411&amp;ct=offers" TargetMode="External"/><Relationship Id="rId29" Type="http://schemas.openxmlformats.org/officeDocument/2006/relationships/hyperlink" Target="https://octopart.com/click/track?ai=8078&amp;sig=0e8e022&amp;sid=2401&amp;ppid=67141176&amp;vpid=262254328&amp;ct=offers" TargetMode="External"/><Relationship Id="rId30" Type="http://schemas.openxmlformats.org/officeDocument/2006/relationships/hyperlink" Target="https://octopart.com/click/track?c=1&amp;ai=8078&amp;sig=00b605a&amp;sid=2402&amp;ppid=67141176&amp;vpid=587966703&amp;ct=offers" TargetMode="External"/><Relationship Id="rId31" Type="http://schemas.openxmlformats.org/officeDocument/2006/relationships/hyperlink" Target="https://www.murata.com/products/productdetail.aspx?partno=GRM155R60J106ME15D" TargetMode="External"/><Relationship Id="rId32" Type="http://schemas.openxmlformats.org/officeDocument/2006/relationships/hyperlink" Target="https://octopart.com/click/track?ai=8078&amp;sig=018ad6b&amp;sid=459&amp;ppid=71220998&amp;vpid=252726526&amp;ct=offers" TargetMode="External"/><Relationship Id="rId33" Type="http://schemas.openxmlformats.org/officeDocument/2006/relationships/hyperlink" Target="https://octopart.com/click/track?c=1&amp;ai=8078&amp;sig=0115312&amp;sid=819&amp;ppid=71220998&amp;vpid=670691894&amp;ct=offers" TargetMode="External"/><Relationship Id="rId34" Type="http://schemas.openxmlformats.org/officeDocument/2006/relationships/hyperlink" Target="https://octopart.com/click/track?ai=8078&amp;sig=0543bf4&amp;sid=27971&amp;ppid=71220998&amp;vpid=582946846&amp;ct=offers" TargetMode="External"/><Relationship Id="rId35" Type="http://schemas.openxmlformats.org/officeDocument/2006/relationships/hyperlink" Target="https://octopart.com/click/track?ai=8078&amp;sig=0b273d0&amp;sid=2401&amp;ppid=71220998&amp;vpid=259388278&amp;ct=offers" TargetMode="External"/><Relationship Id="rId36" Type="http://schemas.openxmlformats.org/officeDocument/2006/relationships/hyperlink" Target="https://octopart.com/click/track?c=1&amp;ai=8078&amp;sig=0c372ee&amp;sid=2402&amp;ppid=71220998&amp;vpid=671481195&amp;ct=offers" TargetMode="External"/><Relationship Id="rId37" Type="http://schemas.openxmlformats.org/officeDocument/2006/relationships/hyperlink" Target="https://www.murata.com/products/productdetail.aspx?partno=GRM033R60J224KE15D" TargetMode="External"/><Relationship Id="rId38" Type="http://schemas.openxmlformats.org/officeDocument/2006/relationships/hyperlink" Target="https://octopart.com/click/track?ai=8078&amp;sig=0492ec2&amp;sid=459&amp;ppid=51454422&amp;vpid=172161550&amp;ct=offers" TargetMode="External"/><Relationship Id="rId39" Type="http://schemas.openxmlformats.org/officeDocument/2006/relationships/hyperlink" Target="https://octopart.com/click/track?ai=8078&amp;sig=0efc20f&amp;sid=819&amp;ppid=51454422&amp;vpid=528007216&amp;ct=offers" TargetMode="External"/><Relationship Id="rId40" Type="http://schemas.openxmlformats.org/officeDocument/2006/relationships/hyperlink" Target="https://octopart.com/click/track?ai=8078&amp;sig=0f2788c&amp;sid=27971&amp;ppid=51454422&amp;vpid=445986847&amp;ct=offers" TargetMode="External"/><Relationship Id="rId41" Type="http://schemas.openxmlformats.org/officeDocument/2006/relationships/hyperlink" Target="https://octopart.com/click/track?c=1&amp;ai=8078&amp;sig=0d30e90&amp;sid=2401&amp;ppid=51454422&amp;vpid=178169497&amp;ct=offers" TargetMode="External"/><Relationship Id="rId42" Type="http://schemas.openxmlformats.org/officeDocument/2006/relationships/hyperlink" Target="https://octopart.com/click/track?ai=8078&amp;sig=0d37eed&amp;sid=2402&amp;ppid=51454422&amp;vpid=529126546&amp;ct=offers" TargetMode="External"/><Relationship Id="rId43" Type="http://schemas.openxmlformats.org/officeDocument/2006/relationships/hyperlink" Target="https://octopart.com/click/track?c=1&amp;ai=8078&amp;sig=074e629&amp;sid=10022&amp;ppid=51454422&amp;vpid=562632809&amp;ct=offers" TargetMode="External"/><Relationship Id="rId44" Type="http://schemas.openxmlformats.org/officeDocument/2006/relationships/hyperlink" Target="https://assets.nexperia.com/documents/data-sheet/PMEG2010BELD.pdf" TargetMode="External"/><Relationship Id="rId45" Type="http://schemas.openxmlformats.org/officeDocument/2006/relationships/hyperlink" Target="https://octopart.com/click/track?ai=8078&amp;sig=05f022d&amp;sid=459&amp;ppid=78741408&amp;vpid=417205872&amp;ct=offers" TargetMode="External"/><Relationship Id="rId46" Type="http://schemas.openxmlformats.org/officeDocument/2006/relationships/hyperlink" Target="https://octopart.com/click/track?ai=8078&amp;sig=077655c&amp;sid=2401&amp;ppid=78741408&amp;vpid=416182007&amp;ct=offers" TargetMode="External"/><Relationship Id="rId47" Type="http://schemas.openxmlformats.org/officeDocument/2006/relationships/hyperlink" Target="https://octopart.com/click/track?c=1&amp;ai=8078&amp;sig=03a6e2e&amp;sid=2402&amp;ppid=78741408&amp;vpid=511382518&amp;ct=offers" TargetMode="External"/><Relationship Id="rId48" Type="http://schemas.openxmlformats.org/officeDocument/2006/relationships/hyperlink" Target="https://www.onsemi.com/pub/Collateral/ESD7016-D.PDF" TargetMode="External"/><Relationship Id="rId49" Type="http://schemas.openxmlformats.org/officeDocument/2006/relationships/hyperlink" Target="https://octopart.com/click/track?ai=8078&amp;sig=0f2b3ec&amp;sid=459&amp;ppid=25645602&amp;vpid=210238806&amp;ct=offers" TargetMode="External"/><Relationship Id="rId50" Type="http://schemas.openxmlformats.org/officeDocument/2006/relationships/hyperlink" Target="https://octopart.com/click/track?ai=8078&amp;sig=0403273&amp;sid=819&amp;ppid=25645602&amp;vpid=260702969&amp;ct=offers" TargetMode="External"/><Relationship Id="rId51" Type="http://schemas.openxmlformats.org/officeDocument/2006/relationships/hyperlink" Target="https://octopart.com/click/track?ai=8078&amp;sig=0d3fc6a&amp;sid=27971&amp;ppid=25645602&amp;vpid=609441157&amp;ct=offers" TargetMode="External"/><Relationship Id="rId52" Type="http://schemas.openxmlformats.org/officeDocument/2006/relationships/hyperlink" Target="https://octopart.com/click/track?ai=8078&amp;sig=0b9599e&amp;sid=2401&amp;ppid=25645602&amp;vpid=93676548&amp;ct=offers" TargetMode="External"/><Relationship Id="rId53" Type="http://schemas.openxmlformats.org/officeDocument/2006/relationships/hyperlink" Target="https://octopart.com/click/track?ai=8078&amp;sig=0a93035&amp;sid=2402&amp;ppid=25645602&amp;vpid=261509788&amp;ct=offers" TargetMode="External"/><Relationship Id="rId54" Type="http://schemas.openxmlformats.org/officeDocument/2006/relationships/hyperlink" Target="https://octopart.com/click/track?ai=8078&amp;sig=0d534f4&amp;sid=10022&amp;ppid=25645602&amp;vpid=229322189&amp;ct=offers" TargetMode="External"/><Relationship Id="rId55" Type="http://schemas.openxmlformats.org/officeDocument/2006/relationships/hyperlink" Target="https://www.lumex.com/spec/SMD-LX0707RGB-TR.pdf" TargetMode="External"/><Relationship Id="rId56" Type="http://schemas.openxmlformats.org/officeDocument/2006/relationships/hyperlink" Target="https://octopart.com/click/track?ai=8078&amp;sig=011841b&amp;sid=459&amp;ppid=98770141&amp;vpid=527582517&amp;ct=offers" TargetMode="External"/><Relationship Id="rId57" Type="http://schemas.openxmlformats.org/officeDocument/2006/relationships/hyperlink" Target="https://octopart.com/click/track?c=1&amp;ai=8078&amp;sig=08846a9&amp;sid=819&amp;ppid=98770141&amp;vpid=575179783&amp;ct=offers" TargetMode="External"/><Relationship Id="rId58" Type="http://schemas.openxmlformats.org/officeDocument/2006/relationships/hyperlink" Target="https://octopart.com/click/track?ai=8078&amp;sig=01b9309&amp;sid=2401&amp;ppid=98770141&amp;vpid=527691918&amp;ct=offers" TargetMode="External"/><Relationship Id="rId59" Type="http://schemas.openxmlformats.org/officeDocument/2006/relationships/hyperlink" Target="https://octopart.com/click/track?c=1&amp;ai=8078&amp;sig=0c78da6&amp;sid=2402&amp;ppid=98770141&amp;vpid=547451562&amp;ct=offers" TargetMode="External"/><Relationship Id="rId60" Type="http://schemas.openxmlformats.org/officeDocument/2006/relationships/hyperlink" Target="https://octopart.com/click/track?ai=8078&amp;sig=0c17e6a&amp;sid=1532&amp;ppid=98770141&amp;vpid=620806387&amp;ct=offers" TargetMode="External"/><Relationship Id="rId61" Type="http://schemas.openxmlformats.org/officeDocument/2006/relationships/hyperlink" Target="https://www.jae.com/en/connectors/series/detail/product/id=91780" TargetMode="External"/><Relationship Id="rId62" Type="http://schemas.openxmlformats.org/officeDocument/2006/relationships/hyperlink" Target="https://octopart.com/click/track?ai=8078&amp;sig=02a8cae&amp;sid=459&amp;ppid=106944056&amp;vpid=605161093&amp;ct=offers" TargetMode="External"/><Relationship Id="rId63" Type="http://schemas.openxmlformats.org/officeDocument/2006/relationships/hyperlink" Target="https://octopart.com/click/track?ai=8078&amp;sig=05cebac&amp;sid=2401&amp;ppid=106944056&amp;vpid=605115352&amp;ct=offers" TargetMode="External"/><Relationship Id="rId64" Type="http://schemas.openxmlformats.org/officeDocument/2006/relationships/hyperlink" Target="https://octopart.com/click/track?ai=8078&amp;sig=0e2ae8f&amp;sid=10022&amp;ppid=106944056&amp;vpid=654522308&amp;ct=offers" TargetMode="External"/><Relationship Id="rId65" Type="http://schemas.openxmlformats.org/officeDocument/2006/relationships/hyperlink" Target="https://drawings-pdf.s3.amazonaws.com/11635.pdf" TargetMode="External"/><Relationship Id="rId66" Type="http://schemas.openxmlformats.org/officeDocument/2006/relationships/hyperlink" Target="https://octopart.com/click/track?c=1&amp;ai=8078&amp;sig=01af8bd&amp;sid=459&amp;ppid=22265644&amp;vpid=47550630&amp;ct=offers" TargetMode="External"/><Relationship Id="rId67" Type="http://schemas.openxmlformats.org/officeDocument/2006/relationships/hyperlink" Target="https://drawings-pdf.s3.amazonaws.com/11635.pdf" TargetMode="External"/><Relationship Id="rId68" Type="http://schemas.openxmlformats.org/officeDocument/2006/relationships/hyperlink" Target="https://octopart.com/click/track?c=1&amp;ai=8078&amp;sig=02f1022&amp;sid=459&amp;ppid=22265699&amp;vpid=47550685&amp;ct=offers" TargetMode="External"/><Relationship Id="rId69" Type="http://schemas.openxmlformats.org/officeDocument/2006/relationships/hyperlink" Target="https://assets.nexperia.com/documents/data-sheet/PEMH4_PUMH4.pdf" TargetMode="External"/><Relationship Id="rId70" Type="http://schemas.openxmlformats.org/officeDocument/2006/relationships/hyperlink" Target="https://octopart.com/click/track?c=1&amp;ai=8078&amp;sig=0a777c0&amp;sid=459&amp;ppid=78754818&amp;vpid=413679980&amp;ct=offers" TargetMode="External"/><Relationship Id="rId71" Type="http://schemas.openxmlformats.org/officeDocument/2006/relationships/hyperlink" Target="https://octopart.com/click/track?c=1&amp;ai=8078&amp;sig=05dcde8&amp;sid=819&amp;ppid=78754818&amp;vpid=414861426&amp;ct=offers" TargetMode="External"/><Relationship Id="rId72" Type="http://schemas.openxmlformats.org/officeDocument/2006/relationships/hyperlink" Target="https://octopart.com/click/track?ai=8078&amp;sig=023faf4&amp;sid=2401&amp;ppid=78754818&amp;vpid=416181661&amp;ct=offers" TargetMode="External"/><Relationship Id="rId73" Type="http://schemas.openxmlformats.org/officeDocument/2006/relationships/hyperlink" Target="https://octopart.com/click/track?c=1&amp;ai=8078&amp;sig=0cc952a&amp;sid=2402&amp;ppid=78754818&amp;vpid=598286280&amp;ct=offers" TargetMode="External"/><Relationship Id="rId74" Type="http://schemas.openxmlformats.org/officeDocument/2006/relationships/hyperlink" Target="https://assets.nexperia.com/documents/data-sheet/PDTA143ZMB.pdf" TargetMode="External"/><Relationship Id="rId75" Type="http://schemas.openxmlformats.org/officeDocument/2006/relationships/hyperlink" Target="https://octopart.com/click/track?c=1&amp;ai=8078&amp;sig=0944463&amp;sid=459&amp;ppid=78754604&amp;vpid=413679736&amp;ct=offers" TargetMode="External"/><Relationship Id="rId76" Type="http://schemas.openxmlformats.org/officeDocument/2006/relationships/hyperlink" Target="https://octopart.com/click/track?ai=8078&amp;sig=0d6ccfc&amp;sid=2401&amp;ppid=78754604&amp;vpid=504003500&amp;ct=offers" TargetMode="External"/><Relationship Id="rId77" Type="http://schemas.openxmlformats.org/officeDocument/2006/relationships/hyperlink" Target="https://b2b-api.panasonic.eu/file_stream/pids/fileversion/1242" TargetMode="External"/><Relationship Id="rId78" Type="http://schemas.openxmlformats.org/officeDocument/2006/relationships/hyperlink" Target="https://octopart.com/click/track?ai=8078&amp;sig=06e3983&amp;sid=459&amp;ppid=16432844&amp;vpid=73994004&amp;ct=offers" TargetMode="External"/><Relationship Id="rId79" Type="http://schemas.openxmlformats.org/officeDocument/2006/relationships/hyperlink" Target="https://octopart.com/click/track?c=1&amp;ai=8078&amp;sig=00be688&amp;sid=819&amp;ppid=16432844&amp;vpid=670693408&amp;ct=offers" TargetMode="External"/><Relationship Id="rId80" Type="http://schemas.openxmlformats.org/officeDocument/2006/relationships/hyperlink" Target="https://octopart.com/click/track?ai=8078&amp;sig=0c11d98&amp;sid=27971&amp;ppid=16432844&amp;vpid=669037551&amp;ct=offers" TargetMode="External"/><Relationship Id="rId81" Type="http://schemas.openxmlformats.org/officeDocument/2006/relationships/hyperlink" Target="https://octopart.com/click/track?ai=8078&amp;sig=06ab724&amp;sid=2401&amp;ppid=16432844&amp;vpid=41840075&amp;ct=offers" TargetMode="External"/><Relationship Id="rId82" Type="http://schemas.openxmlformats.org/officeDocument/2006/relationships/hyperlink" Target="https://octopart.com/click/track?ai=8078&amp;sig=03714c0&amp;sid=2402&amp;ppid=16432844&amp;vpid=87993748&amp;ct=offers" TargetMode="External"/><Relationship Id="rId83" Type="http://schemas.openxmlformats.org/officeDocument/2006/relationships/hyperlink" Target="https://octopart.com/click/track?c=1&amp;ai=8078&amp;sig=0d1c851&amp;sid=10022&amp;ppid=16432844&amp;vpid=501237969&amp;ct=offers" TargetMode="External"/><Relationship Id="rId84" Type="http://schemas.openxmlformats.org/officeDocument/2006/relationships/hyperlink" Target="https://b2b-api.panasonic.eu/file_stream/pids/fileversion/1242" TargetMode="External"/><Relationship Id="rId85" Type="http://schemas.openxmlformats.org/officeDocument/2006/relationships/hyperlink" Target="https://octopart.com/click/track?ai=8078&amp;sig=052dc68&amp;sid=459&amp;ppid=42505965&amp;vpid=465235288&amp;ct=offers" TargetMode="External"/><Relationship Id="rId86" Type="http://schemas.openxmlformats.org/officeDocument/2006/relationships/hyperlink" Target="https://octopart.com/click/track?c=1&amp;ai=8078&amp;sig=0433a1d&amp;sid=819&amp;ppid=42505965&amp;vpid=603690885&amp;ct=offers" TargetMode="External"/><Relationship Id="rId87" Type="http://schemas.openxmlformats.org/officeDocument/2006/relationships/hyperlink" Target="https://octopart.com/click/track?ai=8078&amp;sig=0d716f6&amp;sid=2401&amp;ppid=42505965&amp;vpid=165486571&amp;ct=offers" TargetMode="External"/><Relationship Id="rId88" Type="http://schemas.openxmlformats.org/officeDocument/2006/relationships/hyperlink" Target="https://octopart.com/click/track?c=1&amp;ai=8078&amp;sig=0965e6c&amp;sid=2402&amp;ppid=42505965&amp;vpid=524371516&amp;ct=offers" TargetMode="External"/><Relationship Id="rId89" Type="http://schemas.openxmlformats.org/officeDocument/2006/relationships/hyperlink" Target="https://octopart.com/click/track?c=1&amp;ai=8078&amp;sig=0d745d8&amp;sid=10022&amp;ppid=42505965&amp;vpid=577025038&amp;ct=offers" TargetMode="External"/><Relationship Id="rId90" Type="http://schemas.openxmlformats.org/officeDocument/2006/relationships/hyperlink" Target="https://b2b-api.panasonic.eu/file_stream/pids/fileversion/1242" TargetMode="External"/><Relationship Id="rId91" Type="http://schemas.openxmlformats.org/officeDocument/2006/relationships/hyperlink" Target="https://octopart.com/click/track?ai=8078&amp;sig=0fe0904&amp;sid=459&amp;ppid=44403350&amp;vpid=465235292&amp;ct=offers" TargetMode="External"/><Relationship Id="rId92" Type="http://schemas.openxmlformats.org/officeDocument/2006/relationships/hyperlink" Target="https://octopart.com/click/track?c=1&amp;ai=8078&amp;sig=098df08&amp;sid=819&amp;ppid=44403350&amp;vpid=603690887&amp;ct=offers" TargetMode="External"/><Relationship Id="rId93" Type="http://schemas.openxmlformats.org/officeDocument/2006/relationships/hyperlink" Target="https://octopart.com/click/track?ai=8078&amp;sig=07d1d1b&amp;sid=2401&amp;ppid=44403350&amp;vpid=248150297&amp;ct=offers" TargetMode="External"/><Relationship Id="rId94" Type="http://schemas.openxmlformats.org/officeDocument/2006/relationships/hyperlink" Target="https://octopart.com/click/track?c=1&amp;ai=8078&amp;sig=01bc52e&amp;sid=2402&amp;ppid=44403350&amp;vpid=632042349&amp;ct=offers" TargetMode="External"/><Relationship Id="rId95" Type="http://schemas.openxmlformats.org/officeDocument/2006/relationships/hyperlink" Target="https://octopart.com/click/track?c=1&amp;ai=8078&amp;sig=0af6a94&amp;sid=10022&amp;ppid=44403350&amp;vpid=577025041&amp;ct=offers" TargetMode="External"/><Relationship Id="rId96" Type="http://schemas.openxmlformats.org/officeDocument/2006/relationships/hyperlink" Target="https://b2b-api.panasonic.eu/file_stream/pids/fileversion/1242" TargetMode="External"/><Relationship Id="rId97" Type="http://schemas.openxmlformats.org/officeDocument/2006/relationships/hyperlink" Target="https://octopart.com/click/track?ai=8078&amp;sig=0301d78&amp;sid=459&amp;ppid=44322539&amp;vpid=465235182&amp;ct=offers" TargetMode="External"/><Relationship Id="rId98" Type="http://schemas.openxmlformats.org/officeDocument/2006/relationships/hyperlink" Target="https://octopart.com/click/track?c=1&amp;ai=8078&amp;sig=0fd9335&amp;sid=819&amp;ppid=44322539&amp;vpid=603690832&amp;ct=offers" TargetMode="External"/><Relationship Id="rId99" Type="http://schemas.openxmlformats.org/officeDocument/2006/relationships/hyperlink" Target="https://octopart.com/click/track?ai=8078&amp;sig=06c973b&amp;sid=27971&amp;ppid=44322539&amp;vpid=495511688&amp;ct=offers" TargetMode="External"/><Relationship Id="rId100" Type="http://schemas.openxmlformats.org/officeDocument/2006/relationships/hyperlink" Target="https://octopart.com/click/track?ai=8078&amp;sig=0a64394&amp;sid=2401&amp;ppid=44322539&amp;vpid=120580014&amp;ct=offers" TargetMode="External"/><Relationship Id="rId101" Type="http://schemas.openxmlformats.org/officeDocument/2006/relationships/hyperlink" Target="https://octopart.com/click/track?c=1&amp;ai=8078&amp;sig=07aa8d7&amp;sid=2402&amp;ppid=44322539&amp;vpid=477474193&amp;ct=offers" TargetMode="External"/><Relationship Id="rId102" Type="http://schemas.openxmlformats.org/officeDocument/2006/relationships/hyperlink" Target="https://octopart.com/click/track?c=1&amp;ai=8078&amp;sig=0044e25&amp;sid=10022&amp;ppid=44322539&amp;vpid=577025032&amp;ct=offers" TargetMode="External"/><Relationship Id="rId103" Type="http://schemas.openxmlformats.org/officeDocument/2006/relationships/hyperlink" Target="https://b2b-api.panasonic.eu/file_stream/pids/fileversion/1242" TargetMode="External"/><Relationship Id="rId104" Type="http://schemas.openxmlformats.org/officeDocument/2006/relationships/hyperlink" Target="https://octopart.com/click/track?ai=8078&amp;sig=0dd36dc&amp;sid=459&amp;ppid=66942597&amp;vpid=465235418&amp;ct=offers" TargetMode="External"/><Relationship Id="rId105" Type="http://schemas.openxmlformats.org/officeDocument/2006/relationships/hyperlink" Target="https://octopart.com/click/track?c=1&amp;ai=8078&amp;sig=01b939b&amp;sid=819&amp;ppid=66942597&amp;vpid=603690950&amp;ct=offers" TargetMode="External"/><Relationship Id="rId106" Type="http://schemas.openxmlformats.org/officeDocument/2006/relationships/hyperlink" Target="https://octopart.com/click/track?ai=8078&amp;sig=07a33f5&amp;sid=2401&amp;ppid=66942597&amp;vpid=265943161&amp;ct=offers" TargetMode="External"/><Relationship Id="rId107" Type="http://schemas.openxmlformats.org/officeDocument/2006/relationships/hyperlink" Target="https://octopart.com/click/track?c=1&amp;ai=8078&amp;sig=0cb0675&amp;sid=2402&amp;ppid=66942597&amp;vpid=669843420&amp;ct=offers" TargetMode="External"/><Relationship Id="rId108" Type="http://schemas.openxmlformats.org/officeDocument/2006/relationships/hyperlink" Target="https://b2b-api.panasonic.eu/file_stream/pids/fileversion/1242" TargetMode="External"/><Relationship Id="rId109" Type="http://schemas.openxmlformats.org/officeDocument/2006/relationships/hyperlink" Target="https://octopart.com/click/track?ai=8078&amp;sig=080fecf&amp;sid=459&amp;ppid=44403300&amp;vpid=465235178&amp;ct=offers" TargetMode="External"/><Relationship Id="rId110" Type="http://schemas.openxmlformats.org/officeDocument/2006/relationships/hyperlink" Target="https://octopart.com/click/track?c=1&amp;ai=8078&amp;sig=0b30f5a&amp;sid=819&amp;ppid=44403300&amp;vpid=603690830&amp;ct=offers" TargetMode="External"/><Relationship Id="rId111" Type="http://schemas.openxmlformats.org/officeDocument/2006/relationships/hyperlink" Target="https://octopart.com/click/track?ai=8078&amp;sig=08d00b1&amp;sid=27971&amp;ppid=44403300&amp;vpid=669037577&amp;ct=offers" TargetMode="External"/><Relationship Id="rId112" Type="http://schemas.openxmlformats.org/officeDocument/2006/relationships/hyperlink" Target="https://octopart.com/click/track?ai=8078&amp;sig=0e9f721&amp;sid=2401&amp;ppid=44403300&amp;vpid=165486549&amp;ct=offers" TargetMode="External"/><Relationship Id="rId113" Type="http://schemas.openxmlformats.org/officeDocument/2006/relationships/hyperlink" Target="https://octopart.com/click/track?c=1&amp;ai=8078&amp;sig=0f3777c&amp;sid=2402&amp;ppid=44403300&amp;vpid=166626673&amp;ct=offers" TargetMode="External"/><Relationship Id="rId114" Type="http://schemas.openxmlformats.org/officeDocument/2006/relationships/hyperlink" Target="https://octopart.com/click/track?c=1&amp;ai=8078&amp;sig=0d979c3&amp;sid=10022&amp;ppid=44403300&amp;vpid=577025029&amp;ct=offers" TargetMode="External"/><Relationship Id="rId115" Type="http://schemas.openxmlformats.org/officeDocument/2006/relationships/hyperlink" Target="https://www.onsemi.com/pub/Collateral/NCP163-D.PDF" TargetMode="External"/><Relationship Id="rId116" Type="http://schemas.openxmlformats.org/officeDocument/2006/relationships/hyperlink" Target="https://octopart.com/click/track?c=1&amp;ai=8078&amp;sig=003992c&amp;sid=459&amp;ppid=85189370&amp;vpid=480804443&amp;ct=offers" TargetMode="External"/><Relationship Id="rId117" Type="http://schemas.openxmlformats.org/officeDocument/2006/relationships/hyperlink" Target="https://octopart.com/click/track?c=1&amp;ai=8078&amp;sig=05d5745&amp;sid=819&amp;ppid=85189370&amp;vpid=679567311&amp;ct=offers" TargetMode="External"/><Relationship Id="rId118" Type="http://schemas.openxmlformats.org/officeDocument/2006/relationships/hyperlink" Target="https://octopart.com/click/track?ai=8078&amp;sig=0203d55&amp;sid=2401&amp;ppid=85189370&amp;vpid=458432971&amp;ct=offers" TargetMode="External"/><Relationship Id="rId119" Type="http://schemas.openxmlformats.org/officeDocument/2006/relationships/hyperlink" Target="https://octopart.com/click/track?c=1&amp;ai=8078&amp;sig=02e0072&amp;sid=2402&amp;ppid=85189370&amp;vpid=508722815&amp;ct=offers" TargetMode="External"/><Relationship Id="rId120" Type="http://schemas.openxmlformats.org/officeDocument/2006/relationships/hyperlink" Target="https://www.ti.com/lit/ds/symlink/sn74cbtd16211.pdf" TargetMode="External"/><Relationship Id="rId121" Type="http://schemas.openxmlformats.org/officeDocument/2006/relationships/hyperlink" Target="https://octopart.com/click/track?c=1&amp;ai=8078&amp;sig=0aac5c3&amp;sid=459&amp;ppid=472676&amp;vpid=1588405&amp;ct=offers" TargetMode="External"/><Relationship Id="rId122" Type="http://schemas.openxmlformats.org/officeDocument/2006/relationships/hyperlink" Target="https://octopart.com/click/track?ai=8078&amp;sig=0221cb4&amp;sid=27971&amp;ppid=472676&amp;vpid=696942338&amp;ct=offers" TargetMode="External"/><Relationship Id="rId123" Type="http://schemas.openxmlformats.org/officeDocument/2006/relationships/hyperlink" Target="https://octopart.com/click/track?ai=8078&amp;sig=0681b00&amp;sid=2401&amp;ppid=472676&amp;vpid=46887142&amp;ct=offers" TargetMode="External"/><Relationship Id="rId124" Type="http://schemas.openxmlformats.org/officeDocument/2006/relationships/hyperlink" Target="https://assets.nexperia.com/documents/data-sheet/CBTD3306.pdf" TargetMode="External"/><Relationship Id="rId125" Type="http://schemas.openxmlformats.org/officeDocument/2006/relationships/hyperlink" Target="https://octopart.com/click/track?ai=8078&amp;sig=003f4c3&amp;sid=459&amp;ppid=78740399&amp;vpid=417202772&amp;ct=offers" TargetMode="External"/><Relationship Id="rId126" Type="http://schemas.openxmlformats.org/officeDocument/2006/relationships/hyperlink" Target="https://www.onsemi.com/pub/Collateral/NCP167-D.PDF" TargetMode="External"/><Relationship Id="rId127" Type="http://schemas.openxmlformats.org/officeDocument/2006/relationships/hyperlink" Target="https://octopart.com/click/track?ai=8078&amp;sig=08df17c&amp;sid=459&amp;ppid=85869721&amp;vpid=510801591&amp;ct=offers" TargetMode="External"/><Relationship Id="rId128" Type="http://schemas.openxmlformats.org/officeDocument/2006/relationships/hyperlink" Target="https://octopart.com/click/track?ai=8078&amp;sig=0ba8a94&amp;sid=819&amp;ppid=85869721&amp;vpid=521259823&amp;ct=offers" TargetMode="External"/><Relationship Id="rId129" Type="http://schemas.openxmlformats.org/officeDocument/2006/relationships/hyperlink" Target="https://octopart.com/click/track?ai=8078&amp;sig=093fed6&amp;sid=2401&amp;ppid=85869721&amp;vpid=480971673&amp;ct=offers" TargetMode="External"/><Relationship Id="rId130" Type="http://schemas.openxmlformats.org/officeDocument/2006/relationships/hyperlink" Target="https://octopart.com/click/track?ai=8078&amp;sig=061a238&amp;sid=2402&amp;ppid=85869721&amp;vpid=530859240&amp;ct=offers" TargetMode="External"/><Relationship Id="rId131" Type="http://schemas.openxmlformats.org/officeDocument/2006/relationships/hyperlink" Target="https://octopart.com/click/track?c=1&amp;ai=8078&amp;sig=0f05a71&amp;sid=10022&amp;ppid=85869721&amp;vpid=562641330&amp;ct=offers" TargetMode="External"/><Relationship Id="rId132" Type="http://schemas.openxmlformats.org/officeDocument/2006/relationships/hyperlink" Target="https://www.onsemi.com/pub/Collateral/FSA221-D.pdf" TargetMode="External"/><Relationship Id="rId133" Type="http://schemas.openxmlformats.org/officeDocument/2006/relationships/hyperlink" Target="https://octopart.com/click/track?c=1&amp;ai=8078&amp;sig=0bf5e3c&amp;sid=459&amp;ppid=84328203&amp;vpid=452466845&amp;ct=offers" TargetMode="External"/><Relationship Id="rId134" Type="http://schemas.openxmlformats.org/officeDocument/2006/relationships/hyperlink" Target="https://octopart.com/click/track?c=1&amp;ai=8078&amp;sig=0651f87&amp;sid=819&amp;ppid=84328203&amp;vpid=679564055&amp;ct=offers" TargetMode="External"/><Relationship Id="rId135" Type="http://schemas.openxmlformats.org/officeDocument/2006/relationships/hyperlink" Target="https://octopart.com/click/track?ai=8078&amp;sig=07ee363&amp;sid=2401&amp;ppid=84328203&amp;vpid=438583992&amp;ct=offers" TargetMode="External"/><Relationship Id="rId136" Type="http://schemas.openxmlformats.org/officeDocument/2006/relationships/hyperlink" Target="https://www.nxp.com/docs/en/data-sheet/SGTL5000.pdf" TargetMode="External"/><Relationship Id="rId137" Type="http://schemas.openxmlformats.org/officeDocument/2006/relationships/hyperlink" Target="https://octopart.com/click/track?c=1&amp;ai=8078&amp;sig=0e67bb5&amp;sid=459&amp;ppid=70302733&amp;vpid=248305906&amp;ct=offers" TargetMode="External"/><Relationship Id="rId138" Type="http://schemas.openxmlformats.org/officeDocument/2006/relationships/hyperlink" Target="https://octopart.com/click/track?c=1&amp;ai=8078&amp;sig=0d698c2&amp;sid=11744&amp;ppid=70302733&amp;vpid=247788338&amp;ct=offers" TargetMode="External"/><Relationship Id="rId139" Type="http://schemas.openxmlformats.org/officeDocument/2006/relationships/hyperlink" Target="https://octopart.com/click/track?c=1&amp;ai=8078&amp;sig=047f522&amp;sid=2401&amp;ppid=70302733&amp;vpid=251555959&amp;ct=offers" TargetMode="External"/><Relationship Id="rId140" Type="http://schemas.openxmlformats.org/officeDocument/2006/relationships/hyperlink" Target="https://octopart.com/click/track?c=1&amp;ai=8078&amp;sig=00417c4&amp;sid=2402&amp;ppid=70302733&amp;vpid=270421497&amp;ct=offers" TargetMode="External"/><Relationship Id="rId141" Type="http://schemas.openxmlformats.org/officeDocument/2006/relationships/hyperlink" Target="https://www.espressif.com/sites/default/files/documentation/esp32-pico-v3-02_datasheet_en.pdf" TargetMode="External"/><Relationship Id="rId142" Type="http://schemas.openxmlformats.org/officeDocument/2006/relationships/hyperlink" Target="https://octopart.com/click/track?c=1&amp;ai=8078&amp;sig=02cf195&amp;sid=459&amp;ppid=112268551&amp;vpid=658695230&amp;ct=offers" TargetMode="External"/><Relationship Id="rId143" Type="http://schemas.openxmlformats.org/officeDocument/2006/relationships/hyperlink" Target="https://octopart.com/click/track?ai=8078&amp;sig=0e7b5ee&amp;sid=2401&amp;ppid=112268551&amp;vpid=659792027&amp;ct=offers" TargetMode="External"/><Relationship Id="rId144" Type="http://schemas.openxmlformats.org/officeDocument/2006/relationships/hyperlink" Target="https://octopart.com/click/track?ai=8078&amp;sig=0c4a647&amp;sid=1532&amp;ppid=112268551&amp;vpid=664302667&amp;ct=offers" TargetMode="External"/><Relationship Id="rId145" Type="http://schemas.openxmlformats.org/officeDocument/2006/relationships/hyperlink" Target="https://www.silabs.com/documents/public/data-sheets/cp2102n-datasheet.pdf" TargetMode="External"/><Relationship Id="rId146" Type="http://schemas.openxmlformats.org/officeDocument/2006/relationships/hyperlink" Target="https://octopart.com/click/track?c=1&amp;ai=8078&amp;sig=0ea183e&amp;sid=459&amp;ppid=99772192&amp;vpid=533329931&amp;ct=offers" TargetMode="External"/><Relationship Id="rId147" Type="http://schemas.openxmlformats.org/officeDocument/2006/relationships/hyperlink" Target="https://octopart.com/click/track?c=1&amp;ai=8078&amp;sig=039ff2d&amp;sid=819&amp;ppid=99772192&amp;vpid=614748455&amp;ct=offers" TargetMode="External"/><Relationship Id="rId148" Type="http://schemas.openxmlformats.org/officeDocument/2006/relationships/hyperlink" Target="https://octopart.com/click/track?c=1&amp;ai=8078&amp;sig=08e6d81&amp;sid=2401&amp;ppid=99772192&amp;vpid=534001944&amp;ct=offers" TargetMode="External"/><Relationship Id="rId149" Type="http://schemas.openxmlformats.org/officeDocument/2006/relationships/hyperlink" Target="https://octopart.com/click/track?c=1&amp;ai=8078&amp;sig=00399cc&amp;sid=2402&amp;ppid=99772192&amp;vpid=614834886&amp;ct=offers" TargetMode="External"/><Relationship Id="rId150" Type="http://schemas.openxmlformats.org/officeDocument/2006/relationships/hyperlink" Target="https://www.onsemi.com/pub/Collateral/FSA8049-D.pdf" TargetMode="External"/><Relationship Id="rId151" Type="http://schemas.openxmlformats.org/officeDocument/2006/relationships/hyperlink" Target="https://octopart.com/click/track?ai=8078&amp;sig=04f3049&amp;sid=459&amp;ppid=84328290&amp;vpid=452467072&amp;ct=offers" TargetMode="External"/><Relationship Id="rId152" Type="http://schemas.openxmlformats.org/officeDocument/2006/relationships/hyperlink" Target="https://octopart.com/click/track?c=1&amp;ai=8078&amp;sig=0bddf8a&amp;sid=11744&amp;ppid=84328290&amp;vpid=440102216&amp;ct=offers" TargetMode="External"/><Relationship Id="rId153" Type="http://schemas.openxmlformats.org/officeDocument/2006/relationships/hyperlink" Target="https://octopart.com/click/track?ai=8078&amp;sig=0683f8d&amp;sid=2401&amp;ppid=84328290&amp;vpid=438584064&amp;ct=offers" TargetMode="External"/><Relationship Id="rId154" Type="http://schemas.openxmlformats.org/officeDocument/2006/relationships/hyperlink" Target="https://octopart.com/click/track?c=1&amp;ai=8078&amp;sig=08b34e2&amp;sid=2402&amp;ppid=84328290&amp;vpid=518569690&amp;ct=offers" TargetMode="External"/><Relationship Id="rId155" Type="http://schemas.openxmlformats.org/officeDocument/2006/relationships/hyperlink" Target="http://www.latticesemi.com/Products/FPGAandCPLD/iCE40UltraPlus" TargetMode="External"/><Relationship Id="rId156" Type="http://schemas.openxmlformats.org/officeDocument/2006/relationships/hyperlink" Target="https://octopart.com/click/track?c=1&amp;ai=8078&amp;sig=08e94d1&amp;sid=459&amp;ppid=87369311&amp;vpid=495120370&amp;ct=offers" TargetMode="External"/><Relationship Id="rId157" Type="http://schemas.openxmlformats.org/officeDocument/2006/relationships/hyperlink" Target="https://octopart.com/click/track?c=1&amp;ai=8078&amp;sig=0cde656&amp;sid=2401&amp;ppid=87369311&amp;vpid=477152809&amp;ct=offers" TargetMode="External"/><Relationship Id="rId158" Type="http://schemas.openxmlformats.org/officeDocument/2006/relationships/hyperlink" Target="https://www.apmemory.com/wp-content/uploads/APM_PSRAM_QSPI-APS6404L-3SQR-v2.3-PKG.pdf" TargetMode="External"/><Relationship Id="rId159" Type="http://schemas.openxmlformats.org/officeDocument/2006/relationships/hyperlink" Target="https://www.arrow.com/en/bom-tool/" TargetMode="External"/><Relationship Id="rId160" Type="http://schemas.openxmlformats.org/officeDocument/2006/relationships/hyperlink" Target="https://www.digikey.com/ordering/shoppingcart" TargetMode="External"/><Relationship Id="rId161" Type="http://schemas.openxmlformats.org/officeDocument/2006/relationships/hyperlink" Target="https://www.newark.com/quick-order?isQuickPaste=true" TargetMode="External"/><Relationship Id="rId162" Type="http://schemas.openxmlformats.org/officeDocument/2006/relationships/hyperlink" Target="https://lcsc.com/bom.html" TargetMode="External"/><Relationship Id="rId163" Type="http://schemas.openxmlformats.org/officeDocument/2006/relationships/hyperlink" Target="https://mouser.com/bom/" TargetMode="External"/><Relationship Id="rId164" Type="http://schemas.openxmlformats.org/officeDocument/2006/relationships/hyperlink" Target="https://www.newark.com/quick-order?isQuickPaste=true" TargetMode="External"/><Relationship Id="rId165" Type="http://schemas.openxmlformats.org/officeDocument/2006/relationships/hyperlink" Target="https://uk.rs-online.com/web/mylists/manualQuotes.html?method=showEnquiryCreationPage&amp;mode=new" TargetMode="External"/><Relationship Id="rId166" Type="http://schemas.openxmlformats.org/officeDocument/2006/relationships/hyperlink" Target="https://www.tme.eu/en/Profile/QuickBuy/load.html" TargetMode="External"/><Relationship Id="rId167" Type="http://schemas.openxmlformats.org/officeDocument/2006/relationships/vmlDrawing" Target="../drawings/vmlDrawing1.vml"/><Relationship Id="rId16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174</v>
      </c>
      <c r="B1" s="2" t="s">
        <v>175</v>
      </c>
      <c r="I1" s="3" t="s">
        <v>180</v>
      </c>
      <c r="J1" s="3">
        <v>100</v>
      </c>
    </row>
    <row r="2" spans="1:50">
      <c r="A2" s="1" t="s">
        <v>176</v>
      </c>
      <c r="B2" s="2" t="s">
        <v>177</v>
      </c>
      <c r="I2" s="1" t="s">
        <v>182</v>
      </c>
      <c r="J2" s="4">
        <f>TotalCost/BoardQty</f>
        <v>0</v>
      </c>
    </row>
    <row r="3" spans="1:50">
      <c r="A3" s="1" t="s">
        <v>178</v>
      </c>
      <c r="B3" s="2" t="s">
        <v>179</v>
      </c>
      <c r="I3" s="1" t="s">
        <v>181</v>
      </c>
      <c r="J3" s="5">
        <f>SUM(J7:J38)</f>
        <v>0</v>
      </c>
      <c r="N3" s="5">
        <f>SUM(N7:N38)</f>
        <v>0</v>
      </c>
      <c r="O3" s="6">
        <f>(COUNTA(N7:N38)&amp;" of "&amp;ROWS(N7:N38)&amp;" parts found")</f>
        <v>0</v>
      </c>
      <c r="S3" s="5">
        <f>SUM(S7:S38)</f>
        <v>0</v>
      </c>
      <c r="T3" s="6">
        <f>(COUNTA(S7:S38)&amp;" of "&amp;ROWS(S7:S38)&amp;" parts found")</f>
        <v>0</v>
      </c>
      <c r="X3" s="5">
        <f>SUM(X7:X38)</f>
        <v>0</v>
      </c>
      <c r="Y3" s="6">
        <f>(COUNTA(X7:X38)&amp;" of "&amp;ROWS(X7:X38)&amp;" parts found")</f>
        <v>0</v>
      </c>
      <c r="AC3" s="5">
        <f>SUM(AC7:AC38)</f>
        <v>0</v>
      </c>
      <c r="AD3" s="6">
        <f>(COUNTA(AC7:AC38)&amp;" of "&amp;ROWS(AC7:AC38)&amp;" parts found")</f>
        <v>0</v>
      </c>
      <c r="AH3" s="5">
        <f>SUM(AH7:AH38)</f>
        <v>0</v>
      </c>
      <c r="AI3" s="6">
        <f>(COUNTA(AH7:AH38)&amp;" of "&amp;ROWS(AH7:AH38)&amp;" parts found")</f>
        <v>0</v>
      </c>
      <c r="AM3" s="5">
        <f>SUM(AM7:AM38)</f>
        <v>0</v>
      </c>
      <c r="AN3" s="6">
        <f>(COUNTA(AM7:AM38)&amp;" of "&amp;ROWS(AM7:AM38)&amp;" parts found")</f>
        <v>0</v>
      </c>
      <c r="AR3" s="5">
        <f>SUM(AR7:AR38)</f>
        <v>0</v>
      </c>
      <c r="AS3" s="6">
        <f>(COUNTA(AR7:AR38)&amp;" of "&amp;ROWS(AR7:AR38)&amp;" parts found")</f>
        <v>0</v>
      </c>
      <c r="AW3" s="5">
        <f>SUM(AW7:AW38)</f>
        <v>0</v>
      </c>
      <c r="AX3" s="6">
        <f>(COUNTA(AW7:AW38)&amp;" of "&amp;ROWS(AW7:AW38)&amp;" parts found")</f>
        <v>0</v>
      </c>
    </row>
    <row r="4" spans="1:50">
      <c r="A4" s="1" t="s">
        <v>183</v>
      </c>
      <c r="B4" s="2" t="s">
        <v>184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185</v>
      </c>
      <c r="L5" s="8"/>
      <c r="M5" s="8"/>
      <c r="N5" s="8"/>
      <c r="O5" s="8"/>
      <c r="P5" s="9" t="s">
        <v>190</v>
      </c>
      <c r="Q5" s="9"/>
      <c r="R5" s="9"/>
      <c r="S5" s="9"/>
      <c r="T5" s="9"/>
      <c r="U5" s="10" t="s">
        <v>223</v>
      </c>
      <c r="V5" s="10"/>
      <c r="W5" s="10"/>
      <c r="X5" s="10"/>
      <c r="Y5" s="10"/>
      <c r="Z5" s="11" t="s">
        <v>246</v>
      </c>
      <c r="AA5" s="11"/>
      <c r="AB5" s="11"/>
      <c r="AC5" s="11"/>
      <c r="AD5" s="11"/>
      <c r="AE5" s="12" t="s">
        <v>257</v>
      </c>
      <c r="AF5" s="12"/>
      <c r="AG5" s="12"/>
      <c r="AH5" s="12"/>
      <c r="AI5" s="12"/>
      <c r="AJ5" s="13" t="s">
        <v>286</v>
      </c>
      <c r="AK5" s="13"/>
      <c r="AL5" s="13"/>
      <c r="AM5" s="13"/>
      <c r="AN5" s="13"/>
      <c r="AO5" s="14" t="s">
        <v>309</v>
      </c>
      <c r="AP5" s="14"/>
      <c r="AQ5" s="14"/>
      <c r="AR5" s="14"/>
      <c r="AS5" s="14"/>
      <c r="AT5" s="15" t="s">
        <v>320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186</v>
      </c>
      <c r="L6" s="16" t="s">
        <v>187</v>
      </c>
      <c r="M6" s="16" t="s">
        <v>8</v>
      </c>
      <c r="N6" s="16" t="s">
        <v>9</v>
      </c>
      <c r="O6" s="16" t="s">
        <v>188</v>
      </c>
      <c r="P6" s="16" t="s">
        <v>186</v>
      </c>
      <c r="Q6" s="16" t="s">
        <v>187</v>
      </c>
      <c r="R6" s="16" t="s">
        <v>8</v>
      </c>
      <c r="S6" s="16" t="s">
        <v>9</v>
      </c>
      <c r="T6" s="16" t="s">
        <v>188</v>
      </c>
      <c r="U6" s="16" t="s">
        <v>186</v>
      </c>
      <c r="V6" s="16" t="s">
        <v>187</v>
      </c>
      <c r="W6" s="16" t="s">
        <v>8</v>
      </c>
      <c r="X6" s="16" t="s">
        <v>9</v>
      </c>
      <c r="Y6" s="16" t="s">
        <v>188</v>
      </c>
      <c r="Z6" s="16" t="s">
        <v>186</v>
      </c>
      <c r="AA6" s="16" t="s">
        <v>187</v>
      </c>
      <c r="AB6" s="16" t="s">
        <v>8</v>
      </c>
      <c r="AC6" s="16" t="s">
        <v>9</v>
      </c>
      <c r="AD6" s="16" t="s">
        <v>188</v>
      </c>
      <c r="AE6" s="16" t="s">
        <v>186</v>
      </c>
      <c r="AF6" s="16" t="s">
        <v>187</v>
      </c>
      <c r="AG6" s="16" t="s">
        <v>8</v>
      </c>
      <c r="AH6" s="16" t="s">
        <v>9</v>
      </c>
      <c r="AI6" s="16" t="s">
        <v>188</v>
      </c>
      <c r="AJ6" s="16" t="s">
        <v>186</v>
      </c>
      <c r="AK6" s="16" t="s">
        <v>187</v>
      </c>
      <c r="AL6" s="16" t="s">
        <v>8</v>
      </c>
      <c r="AM6" s="16" t="s">
        <v>9</v>
      </c>
      <c r="AN6" s="16" t="s">
        <v>188</v>
      </c>
      <c r="AO6" s="16" t="s">
        <v>186</v>
      </c>
      <c r="AP6" s="16" t="s">
        <v>187</v>
      </c>
      <c r="AQ6" s="16" t="s">
        <v>8</v>
      </c>
      <c r="AR6" s="16" t="s">
        <v>9</v>
      </c>
      <c r="AS6" s="16" t="s">
        <v>188</v>
      </c>
      <c r="AT6" s="16" t="s">
        <v>186</v>
      </c>
      <c r="AU6" s="16" t="s">
        <v>187</v>
      </c>
      <c r="AV6" s="16" t="s">
        <v>8</v>
      </c>
      <c r="AW6" s="16" t="s">
        <v>9</v>
      </c>
      <c r="AX6" s="16" t="s">
        <v>188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13886</v>
      </c>
      <c r="R7" s="18">
        <f>iferror(lookup(if(Q7="",H7,Q7),{0,1,10,25,100,250,500,1800,3600,5400,12600},{0.0,1.61,1.448,1.3656,1.1636,1.0926,0.95602,0.79213,0.73751,0.71019,0.68287}),"")</f>
        <v>0</v>
      </c>
      <c r="S7" s="18">
        <f>iferror(if(Q7="",H7,Q7)*R7,"")</f>
        <v>0</v>
      </c>
      <c r="T7" s="19" t="s">
        <v>191</v>
      </c>
      <c r="U7" s="17">
        <v>6355</v>
      </c>
      <c r="W7" s="18">
        <f>iferror(USD_GBP*lookup(if(V7="",H7,V7),{0,1,10,50,100,250,500,1000,1800,2500,4500,9000,45000},{0.0,1.1,1.04,1.01,0.832,0.765,0.588,0.676,0.616,0.572,0.57,0.568,0.566}),"")</f>
        <v>0</v>
      </c>
      <c r="X7" s="18">
        <f>iferror(if(V7="",H7,V7)*W7,"")</f>
        <v>0</v>
      </c>
      <c r="Y7" s="19" t="s">
        <v>224</v>
      </c>
      <c r="AE7" s="17">
        <v>1402</v>
      </c>
      <c r="AG7" s="18">
        <f>iferror(lookup(if(AF7="",H7,AF7),{0,1,10,50,100,1000,10000},{0.0,1.61,1.37,1.37,1.1,0.757,0.682}),"")</f>
        <v>0</v>
      </c>
      <c r="AH7" s="18">
        <f>iferror(if(AF7="",H7,AF7)*AG7,"")</f>
        <v>0</v>
      </c>
      <c r="AI7" s="19" t="s">
        <v>258</v>
      </c>
      <c r="AJ7" s="17">
        <v>9000</v>
      </c>
      <c r="AN7" s="19" t="s">
        <v>287</v>
      </c>
      <c r="AO7" s="17">
        <v>6962</v>
      </c>
      <c r="AQ7" s="18">
        <f>iferror(USD_GBP*lookup(if(AP7="",H7,AP7),{0,1,25,50,100,250,1800,3600},{0.0,1.28,1.09,0.96,0.83,0.77,0.544,0.53}),"")</f>
        <v>0</v>
      </c>
      <c r="AR7" s="18">
        <f>iferror(if(AP7="",H7,AP7)*AQ7,"")</f>
        <v>0</v>
      </c>
      <c r="AS7" s="19" t="s">
        <v>310</v>
      </c>
      <c r="AT7" s="20" t="s">
        <v>193</v>
      </c>
      <c r="AV7" s="18">
        <f>iferror(lookup(if(AU7="",H7,AU7),{0,1,1800},{0.0,0.82954,0.82954}),"")</f>
        <v>0</v>
      </c>
      <c r="AW7" s="18">
        <f>iferror(if(AU7="",H7,AU7)*AV7,"")</f>
        <v>0</v>
      </c>
      <c r="AX7" s="19" t="s">
        <v>321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193</v>
      </c>
      <c r="R8" s="18">
        <f>iferror(lookup(if(Q8="",H8,Q8),{0,1,10,50,100,500,1000,2500,5000,10000,20000},{0.0,0.28,0.19,0.1138,0.0961,0.06578,0.05819,0.05566,0.0506,0.04807,0.04554}),"")</f>
        <v>0</v>
      </c>
      <c r="S8" s="18">
        <f>iferror(if(Q8="",H8,Q8)*R8,"")</f>
        <v>0</v>
      </c>
      <c r="T8" s="19" t="s">
        <v>192</v>
      </c>
      <c r="U8" s="20" t="s">
        <v>193</v>
      </c>
      <c r="W8" s="18">
        <f>iferror(USD_GBP*lookup(if(V8="",H8,V8),{0,1,10,100,150,500,2500,5000,10000,50000},{0.0,0.105,0.105,0.06,0.06,0.0456,0.0338,0.028,0.0233,0.02}),"")</f>
        <v>0</v>
      </c>
      <c r="X8" s="18">
        <f>iferror(if(V8="",H8,V8)*W8,"")</f>
        <v>0</v>
      </c>
      <c r="Y8" s="19" t="s">
        <v>225</v>
      </c>
      <c r="Z8" s="17">
        <v>4280</v>
      </c>
      <c r="AB8" s="18">
        <f>iferror(lookup(if(AA8="",H8,AA8),{0,1,10,100,300,1000,5000,10000},{0.0,0.0653,0.0653,0.0512,0.0486,0.046,0.0449,0.0443}),"")</f>
        <v>0</v>
      </c>
      <c r="AC8" s="18">
        <f>iferror(if(AA8="",H8,AA8)*AB8,"")</f>
        <v>0</v>
      </c>
      <c r="AD8" s="19" t="s">
        <v>247</v>
      </c>
      <c r="AE8" s="20" t="s">
        <v>193</v>
      </c>
      <c r="AG8" s="18">
        <f>iferror(lookup(if(AF8="",H8,AF8),{0,1,10,50,100,1000,10000},{0.0,0.26,0.174,0.174,0.099,0.061,0.043}),"")</f>
        <v>0</v>
      </c>
      <c r="AH8" s="18">
        <f>iferror(if(AF8="",H8,AF8)*AG8,"")</f>
        <v>0</v>
      </c>
      <c r="AI8" s="19" t="s">
        <v>259</v>
      </c>
      <c r="AJ8" s="20" t="s">
        <v>193</v>
      </c>
      <c r="AL8" s="18">
        <f>iferror(lookup(if(AK8="",H8,AK8),{0,1,10,25,50,100},{0.0,0.174,0.174,0.149,0.124,0.099}),"")</f>
        <v>0</v>
      </c>
      <c r="AM8" s="18">
        <f>iferror(if(AK8="",H8,AK8)*AL8,"")</f>
        <v>0</v>
      </c>
      <c r="AN8" s="19" t="s">
        <v>288</v>
      </c>
    </row>
    <row r="9" spans="1:50">
      <c r="A9" s="17" t="s">
        <v>23</v>
      </c>
      <c r="B9" s="17" t="s">
        <v>17</v>
      </c>
      <c r="C9" s="17" t="s">
        <v>24</v>
      </c>
      <c r="D9" s="17" t="s">
        <v>27</v>
      </c>
      <c r="E9" s="17" t="s">
        <v>25</v>
      </c>
      <c r="F9" s="17" t="s">
        <v>20</v>
      </c>
      <c r="G9" s="17" t="s">
        <v>26</v>
      </c>
      <c r="H9" s="17">
        <f>BoardQty*11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1608714</v>
      </c>
      <c r="R9" s="18">
        <f>iferror(lookup(if(Q9="",H9,Q9),{0,1,10,50,100,500,1000,2500,5000,15000,30000},{0.0,0.24,0.165,0.11,0.0935,0.066,0.05775,0.055,0.05088,0.04565,0.044}),"")</f>
        <v>0</v>
      </c>
      <c r="S9" s="18">
        <f>iferror(if(Q9="",H9,Q9)*R9,"")</f>
        <v>0</v>
      </c>
      <c r="T9" s="19" t="s">
        <v>194</v>
      </c>
      <c r="U9" s="20" t="s">
        <v>193</v>
      </c>
      <c r="W9" s="18">
        <f>iferror(USD_GBP*lookup(if(V9="",H9,V9),{0,1,10,100,150,500,2500,7500,15000,75000},{0.0,0.236,0.236,0.148,0.148,0.111,0.0787,0.0656,0.063,0.054}),"")</f>
        <v>0</v>
      </c>
      <c r="X9" s="18">
        <f>iferror(if(V9="",H9,V9)*W9,"")</f>
        <v>0</v>
      </c>
      <c r="Y9" s="19" t="s">
        <v>226</v>
      </c>
      <c r="Z9" s="17">
        <v>4160</v>
      </c>
      <c r="AB9" s="18">
        <f>iferror(lookup(if(AA9="",H9,AA9),{0,1,20,200,600,2000,10000,20000},{0.0,0.0208,0.0208,0.0161,0.0153,0.0144,0.0141,0.0139}),"")</f>
        <v>0</v>
      </c>
      <c r="AC9" s="18">
        <f>iferror(if(AA9="",H9,AA9)*AB9,"")</f>
        <v>0</v>
      </c>
      <c r="AD9" s="19" t="s">
        <v>248</v>
      </c>
      <c r="AE9" s="17">
        <v>2238412</v>
      </c>
      <c r="AG9" s="18">
        <f>iferror(lookup(if(AF9="",H9,AF9),{0,1,10,50,100,1000,10000},{0.0,0.26,0.121,0.121,0.097,0.06,0.051}),"")</f>
        <v>0</v>
      </c>
      <c r="AH9" s="18">
        <f>iferror(if(AF9="",H9,AF9)*AG9,"")</f>
        <v>0</v>
      </c>
      <c r="AI9" s="19" t="s">
        <v>260</v>
      </c>
      <c r="AJ9" s="20" t="s">
        <v>193</v>
      </c>
      <c r="AL9" s="18">
        <f>iferror(lookup(if(AK9="",H9,AK9),{0,1,10,25,50,100},{0.0,0.121,0.121,0.113,0.105,0.097}),"")</f>
        <v>0</v>
      </c>
      <c r="AM9" s="18">
        <f>iferror(if(AK9="",H9,AK9)*AL9,"")</f>
        <v>0</v>
      </c>
      <c r="AN9" s="19" t="s">
        <v>289</v>
      </c>
    </row>
    <row r="10" spans="1:50">
      <c r="A10" s="17" t="s">
        <v>28</v>
      </c>
      <c r="B10" s="17" t="s">
        <v>29</v>
      </c>
      <c r="C10" s="17" t="s">
        <v>30</v>
      </c>
      <c r="D10" s="17" t="s">
        <v>32</v>
      </c>
      <c r="E10" s="17" t="s">
        <v>25</v>
      </c>
      <c r="F10" s="17" t="s">
        <v>20</v>
      </c>
      <c r="G10" s="17" t="s">
        <v>31</v>
      </c>
      <c r="H10" s="17">
        <f>BoardQty*1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1156207</v>
      </c>
      <c r="R10" s="18">
        <f>iferror(lookup(if(Q10="",H10,Q10),{0,1,10,50,100,500,1000,2500,5000,15000,30000},{0.0,0.1,0.025,0.0138,0.0113,0.00808,0.00635,0.00578,0.00531,0.00462,0.00439}),"")</f>
        <v>0</v>
      </c>
      <c r="S10" s="18">
        <f>iferror(if(Q10="",H10,Q10)*R10,"")</f>
        <v>0</v>
      </c>
      <c r="T10" s="19" t="s">
        <v>195</v>
      </c>
      <c r="U10" s="17">
        <v>60000</v>
      </c>
      <c r="W10" s="18">
        <f>iferror(USD_GBP*lookup(if(V10="",H10,V10),{0,1,10,100,150,500,2500,7500,15000,75000},{0.0,0.0064,0.0064,0.0057,0.0057,0.005,0.0028,0.0025,0.0021,0.0016}),"")</f>
        <v>0</v>
      </c>
      <c r="X10" s="18">
        <f>iferror(if(V10="",H10,V10)*W10,"")</f>
        <v>0</v>
      </c>
      <c r="Y10" s="19" t="s">
        <v>227</v>
      </c>
      <c r="AE10" s="17">
        <v>463372</v>
      </c>
      <c r="AG10" s="18">
        <f>iferror(lookup(if(AF10="",H10,AF10),{0,1,10,50,100,1000,10000},{0.0,0.1,0.027,0.027,0.011,0.006,0.005}),"")</f>
        <v>0</v>
      </c>
      <c r="AH10" s="18">
        <f>iferror(if(AF10="",H10,AF10)*AG10,"")</f>
        <v>0</v>
      </c>
      <c r="AI10" s="19" t="s">
        <v>261</v>
      </c>
      <c r="AJ10" s="17">
        <v>60000</v>
      </c>
      <c r="AL10" s="18">
        <f>iferror(lookup(if(AK10="",H10,AK10),{0,1,10,25,50,100},{0.0,0.015,0.015,0.01,0.007,0.005}),"")</f>
        <v>0</v>
      </c>
      <c r="AM10" s="18">
        <f>iferror(if(AK10="",H10,AK10)*AL10,"")</f>
        <v>0</v>
      </c>
      <c r="AN10" s="19" t="s">
        <v>290</v>
      </c>
    </row>
    <row r="11" spans="1:50">
      <c r="A11" s="17" t="s">
        <v>33</v>
      </c>
      <c r="B11" s="17" t="s">
        <v>17</v>
      </c>
      <c r="C11" s="17" t="s">
        <v>34</v>
      </c>
      <c r="D11" s="17" t="s">
        <v>36</v>
      </c>
      <c r="E11" s="17" t="s">
        <v>25</v>
      </c>
      <c r="F11" s="17" t="s">
        <v>20</v>
      </c>
      <c r="G11" s="17" t="s">
        <v>35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513868</v>
      </c>
      <c r="R11" s="18">
        <f>iferror(lookup(if(Q11="",H11,Q11),{0,1,10,50,100,500,1000,2500,5000,10000,20000},{0.0,0.42,0.294,0.2056,0.1762,0.13216,0.11161,0.10573,0.09986,0.09398,0.09105}),"")</f>
        <v>0</v>
      </c>
      <c r="S11" s="18">
        <f>iferror(if(Q11="",H11,Q11)*R11,"")</f>
        <v>0</v>
      </c>
      <c r="T11" s="19" t="s">
        <v>196</v>
      </c>
      <c r="U11" s="20" t="s">
        <v>193</v>
      </c>
      <c r="W11" s="18">
        <f>iferror(USD_GBP*lookup(if(V11="",H11,V11),{0,1,10,100,150,500,2500,5000,10000,50000},{0.0,0.192,0.192,0.137,0.137,0.0864,0.0819,0.0774,0.0751,0.0652}),"")</f>
        <v>0</v>
      </c>
      <c r="X11" s="18">
        <f>iferror(if(V11="",H11,V11)*W11,"")</f>
        <v>0</v>
      </c>
      <c r="Y11" s="19" t="s">
        <v>228</v>
      </c>
      <c r="Z11" s="17">
        <v>61740</v>
      </c>
      <c r="AB11" s="18">
        <f>iferror(lookup(if(AA11="",H11,AA11),{0,1,5,50,150,500,2500,5000},{0.0,0.115,0.115,0.0863,0.081,0.0757,0.0733,0.0722}),"")</f>
        <v>0</v>
      </c>
      <c r="AC11" s="18">
        <f>iferror(if(AA11="",H11,AA11)*AB11,"")</f>
        <v>0</v>
      </c>
      <c r="AD11" s="19" t="s">
        <v>249</v>
      </c>
      <c r="AE11" s="17">
        <v>873332</v>
      </c>
      <c r="AG11" s="18">
        <f>iferror(lookup(if(AF11="",H11,AF11),{0,1,10,50,100,1000,10000},{0.0,0.47,0.227,0.227,0.194,0.123,0.11}),"")</f>
        <v>0</v>
      </c>
      <c r="AH11" s="18">
        <f>iferror(if(AF11="",H11,AF11)*AG11,"")</f>
        <v>0</v>
      </c>
      <c r="AI11" s="19" t="s">
        <v>262</v>
      </c>
      <c r="AJ11" s="20" t="s">
        <v>193</v>
      </c>
      <c r="AL11" s="18">
        <f>iferror(lookup(if(AK11="",H11,AK11),{0,1,10,25,50,100},{0.0,0.227,0.227,0.216,0.205,0.194}),"")</f>
        <v>0</v>
      </c>
      <c r="AM11" s="18">
        <f>iferror(if(AK11="",H11,AK11)*AL11,"")</f>
        <v>0</v>
      </c>
      <c r="AN11" s="19" t="s">
        <v>291</v>
      </c>
    </row>
    <row r="12" spans="1:50">
      <c r="A12" s="17" t="s">
        <v>37</v>
      </c>
      <c r="B12" s="17" t="s">
        <v>38</v>
      </c>
      <c r="C12" s="17" t="s">
        <v>39</v>
      </c>
      <c r="D12" s="17" t="s">
        <v>41</v>
      </c>
      <c r="E12" s="17" t="s">
        <v>19</v>
      </c>
      <c r="F12" s="17" t="s">
        <v>20</v>
      </c>
      <c r="G12" s="17" t="s">
        <v>40</v>
      </c>
      <c r="H12" s="17">
        <f>BoardQty*3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266438</v>
      </c>
      <c r="R12" s="18">
        <f>iferror(lookup(if(Q12="",H12,Q12),{0,1,10,50,100,500,1000,2500,5000,10000,20000},{0.0,0.18,0.124,0.0742,0.0627,0.0429,0.03795,0.0363,0.033,0.03135,0.0297}),"")</f>
        <v>0</v>
      </c>
      <c r="S12" s="18">
        <f>iferror(if(Q12="",H12,Q12)*R12,"")</f>
        <v>0</v>
      </c>
      <c r="T12" s="19" t="s">
        <v>197</v>
      </c>
      <c r="U12" s="20" t="s">
        <v>193</v>
      </c>
      <c r="W12" s="18">
        <f>iferror(USD_GBP*lookup(if(V12="",H12,V12),{0,1,10,100,150,500,2500,5000,10000,50000},{0.0,0.157,0.157,0.0897,0.0897,0.0683,0.0506,0.0419,0.0349,0.0299}),"")</f>
        <v>0</v>
      </c>
      <c r="X12" s="18">
        <f>iferror(if(V12="",H12,V12)*W12,"")</f>
        <v>0</v>
      </c>
      <c r="Y12" s="19" t="s">
        <v>229</v>
      </c>
      <c r="Z12" s="17">
        <v>90</v>
      </c>
      <c r="AB12" s="18">
        <f>iferror(lookup(if(AA12="",H12,AA12),{0,1,10,100,300,1000,5000,10000},{0.0,0.0634,0.0634,0.0476,0.0447,0.0417,0.0405,0.0398}),"")</f>
        <v>0</v>
      </c>
      <c r="AC12" s="18">
        <f>iferror(if(AA12="",H12,AA12)*AB12,"")</f>
        <v>0</v>
      </c>
      <c r="AD12" s="19" t="s">
        <v>250</v>
      </c>
      <c r="AE12" s="17">
        <v>300465</v>
      </c>
      <c r="AG12" s="18">
        <f>iferror(lookup(if(AF12="",H12,AF12),{0,1,10,50,100,1000,10000},{0.0,0.18,0.075,0.075,0.063,0.038,0.029}),"")</f>
        <v>0</v>
      </c>
      <c r="AH12" s="18">
        <f>iferror(if(AF12="",H12,AF12)*AG12,"")</f>
        <v>0</v>
      </c>
      <c r="AI12" s="19" t="s">
        <v>263</v>
      </c>
      <c r="AJ12" s="20" t="s">
        <v>193</v>
      </c>
      <c r="AL12" s="18">
        <f>iferror(lookup(if(AK12="",H12,AK12),{0,1,10,25,50,100,10000,20000},{0.0,0.173,0.173,0.144,0.116,0.087,0.033,0.032}),"")</f>
        <v>0</v>
      </c>
      <c r="AM12" s="18">
        <f>iferror(if(AK12="",H12,AK12)*AL12,"")</f>
        <v>0</v>
      </c>
      <c r="AN12" s="19" t="s">
        <v>292</v>
      </c>
    </row>
    <row r="13" spans="1:50">
      <c r="A13" s="17" t="s">
        <v>42</v>
      </c>
      <c r="B13" s="17" t="s">
        <v>43</v>
      </c>
      <c r="C13" s="17" t="s">
        <v>44</v>
      </c>
      <c r="D13" s="17" t="s">
        <v>46</v>
      </c>
      <c r="E13" s="17" t="s">
        <v>25</v>
      </c>
      <c r="F13" s="17" t="s">
        <v>20</v>
      </c>
      <c r="G13" s="17" t="s">
        <v>45</v>
      </c>
      <c r="H13" s="17">
        <f>BoardQty*15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11631</v>
      </c>
      <c r="R13" s="18">
        <f>iferror(lookup(if(Q13="",H13,Q13),{0,1,10,50,100,500,1000,2500,5000,15000,30000},{0.0,0.1,0.033,0.0178,0.0146,0.0104,0.00817,0.00742,0.00683,0.00594,0.00564}),"")</f>
        <v>0</v>
      </c>
      <c r="S13" s="18">
        <f>iferror(if(Q13="",H13,Q13)*R13,"")</f>
        <v>0</v>
      </c>
      <c r="T13" s="19" t="s">
        <v>198</v>
      </c>
      <c r="U13" s="17">
        <v>588</v>
      </c>
      <c r="W13" s="18">
        <f>iferror(USD_GBP*lookup(if(V13="",H13,V13),{0,1,10,100,150,500,2500,7500,15000,75000},{0.0,0.0202,0.0202,0.0159,0.0159,0.0076,0.0059,0.0058,0.004,0.0039}),"")</f>
        <v>0</v>
      </c>
      <c r="X13" s="18">
        <f>iferror(if(V13="",H13,V13)*W13,"")</f>
        <v>0</v>
      </c>
      <c r="Y13" s="19" t="s">
        <v>230</v>
      </c>
      <c r="Z13" s="17">
        <v>19600</v>
      </c>
      <c r="AB13" s="18">
        <f>iferror(lookup(if(AA13="",H13,AA13),{0,1,50,500,1500,5000,25000,50000},{0.0,0.0063,0.0063,0.0049,0.0047,0.0044,0.0043,0.0042}),"")</f>
        <v>0</v>
      </c>
      <c r="AC13" s="18">
        <f>iferror(if(AA13="",H13,AA13)*AB13,"")</f>
        <v>0</v>
      </c>
      <c r="AD13" s="19" t="s">
        <v>251</v>
      </c>
      <c r="AE13" s="20" t="s">
        <v>193</v>
      </c>
      <c r="AG13" s="18">
        <f>iferror(lookup(if(AF13="",H13,AF13),{0,1,10,50,100,1000,10000},{0.0,0.1,0.018,0.018,0.015,0.009,0.006}),"")</f>
        <v>0</v>
      </c>
      <c r="AH13" s="18">
        <f>iferror(if(AF13="",H13,AF13)*AG13,"")</f>
        <v>0</v>
      </c>
      <c r="AI13" s="19" t="s">
        <v>264</v>
      </c>
      <c r="AJ13" s="17">
        <v>375</v>
      </c>
      <c r="AL13" s="18">
        <f>iferror(lookup(if(AK13="",H13,AK13),{0,1,10,25,50,100},{0.0,0.034,0.034,0.028,0.021,0.015}),"")</f>
        <v>0</v>
      </c>
      <c r="AM13" s="18">
        <f>iferror(if(AK13="",H13,AK13)*AL13,"")</f>
        <v>0</v>
      </c>
      <c r="AN13" s="19" t="s">
        <v>293</v>
      </c>
      <c r="AO13" s="17">
        <v>7000</v>
      </c>
      <c r="AQ13" s="18">
        <f>iferror(USD_GBP*lookup(if(AP13="",H13,AP13),{0,1,1000,5000,10000,15000,60000},{0.0,0.006,0.006,0.005,0.005,0.004,0.004}),"")</f>
        <v>0</v>
      </c>
      <c r="AR13" s="18">
        <f>iferror(if(AP13="",H13,AP13)*AQ13,"")</f>
        <v>0</v>
      </c>
      <c r="AS13" s="19" t="s">
        <v>311</v>
      </c>
    </row>
    <row r="14" spans="1:50">
      <c r="A14" s="17" t="s">
        <v>47</v>
      </c>
      <c r="B14" s="17" t="s">
        <v>48</v>
      </c>
      <c r="C14" s="17" t="s">
        <v>49</v>
      </c>
      <c r="E14" s="17" t="s">
        <v>50</v>
      </c>
      <c r="F14" s="17" t="s">
        <v>51</v>
      </c>
      <c r="G14" s="17" t="s">
        <v>52</v>
      </c>
      <c r="H14" s="17">
        <f>BoardQty*2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44732</v>
      </c>
      <c r="R14" s="18">
        <f>iferror(lookup(if(Q14="",H14,Q14),{0,1,10,100,500,1000,2000,5000,10000,30000,50000},{0.0,0.34,0.236,0.1191,0.09718,0.0721,0.06066,0.058,0.05016,0.04922,0.04125}),"")</f>
        <v>0</v>
      </c>
      <c r="S14" s="18">
        <f>iferror(if(Q14="",H14,Q14)*R14,"")</f>
        <v>0</v>
      </c>
      <c r="T14" s="19" t="s">
        <v>199</v>
      </c>
      <c r="AE14" s="17">
        <v>8068</v>
      </c>
      <c r="AG14" s="18">
        <f>iferror(lookup(if(AF14="",H14,AF14),{0,1,10,50,100,1000,10000},{0.0,0.35,0.231,0.231,0.125,0.076,0.052}),"")</f>
        <v>0</v>
      </c>
      <c r="AH14" s="18">
        <f>iferror(if(AF14="",H14,AF14)*AG14,"")</f>
        <v>0</v>
      </c>
      <c r="AI14" s="19" t="s">
        <v>265</v>
      </c>
      <c r="AJ14" s="20" t="s">
        <v>193</v>
      </c>
      <c r="AL14" s="18">
        <f>iferror(lookup(if(AK14="",H14,AK14),{0,1,5,10,100,500,1000,2500},{0.0,0.36,0.36,0.276,0.154,0.136,0.118,0.103}),"")</f>
        <v>0</v>
      </c>
      <c r="AM14" s="18">
        <f>iferror(if(AK14="",H14,AK14)*AL14,"")</f>
        <v>0</v>
      </c>
      <c r="AN14" s="19" t="s">
        <v>294</v>
      </c>
    </row>
    <row r="15" spans="1:50">
      <c r="A15" s="17" t="s">
        <v>53</v>
      </c>
      <c r="B15" s="17" t="s">
        <v>54</v>
      </c>
      <c r="C15" s="17" t="s">
        <v>55</v>
      </c>
      <c r="E15" s="17" t="s">
        <v>56</v>
      </c>
      <c r="F15" s="17" t="s">
        <v>57</v>
      </c>
      <c r="G15" s="17" t="s">
        <v>58</v>
      </c>
      <c r="H15" s="17">
        <f>BoardQty*1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3739</v>
      </c>
      <c r="R15" s="18">
        <f>iferror(lookup(if(Q15="",H15,Q15),{0,1,10,100,500,1000,3000,6000,9000},{0.0,0.6,0.517,0.3578,0.29892,0.2544,0.22657,0.21465,0.21}),"")</f>
        <v>0</v>
      </c>
      <c r="S15" s="18">
        <f>iferror(if(Q15="",H15,Q15)*R15,"")</f>
        <v>0</v>
      </c>
      <c r="T15" s="19" t="s">
        <v>200</v>
      </c>
      <c r="U15" s="17">
        <v>7462</v>
      </c>
      <c r="W15" s="18">
        <f>iferror(USD_GBP*lookup(if(V15="",H15,V15),{0,1,5,10,100,150,500,3000,9000,24000,45000},{0.0,0.513,0.513,0.372,0.26,0.26,0.192,0.162,0.156,0.153,0.15}),"")</f>
        <v>0</v>
      </c>
      <c r="X15" s="18">
        <f>iferror(if(V15="",H15,V15)*W15,"")</f>
        <v>0</v>
      </c>
      <c r="Y15" s="19" t="s">
        <v>231</v>
      </c>
      <c r="Z15" s="17">
        <v>3327</v>
      </c>
      <c r="AB15" s="18">
        <f>iferror(lookup(if(AA15="",H15,AA15),{0,1,10,30,100,500,1000},{0.0,0.431,0.3282,0.3102,0.2922,0.2832,0.2796}),"")</f>
        <v>0</v>
      </c>
      <c r="AC15" s="18">
        <f>iferror(if(AA15="",H15,AA15)*AB15,"")</f>
        <v>0</v>
      </c>
      <c r="AD15" s="19" t="s">
        <v>252</v>
      </c>
      <c r="AE15" s="17">
        <v>14540</v>
      </c>
      <c r="AG15" s="18">
        <f>iferror(lookup(if(AF15="",H15,AF15),{0,1,10,50,100,1000,10000},{0.0,0.56,0.488,0.488,0.338,0.24,0.187}),"")</f>
        <v>0</v>
      </c>
      <c r="AH15" s="18">
        <f>iferror(if(AF15="",H15,AF15)*AG15,"")</f>
        <v>0</v>
      </c>
      <c r="AI15" s="19" t="s">
        <v>266</v>
      </c>
      <c r="AJ15" s="17">
        <v>444</v>
      </c>
      <c r="AL15" s="18">
        <f>iferror(lookup(if(AK15="",H15,AK15),{0,1,10,100,500,3000,9000,24000,45000},{0.0,0.56,0.495,0.337,0.282,0.224,0.193,0.187,0.175}),"")</f>
        <v>0</v>
      </c>
      <c r="AM15" s="18">
        <f>iferror(if(AK15="",H15,AK15)*AL15,"")</f>
        <v>0</v>
      </c>
      <c r="AN15" s="19" t="s">
        <v>295</v>
      </c>
      <c r="AO15" s="17">
        <v>3275</v>
      </c>
      <c r="AQ15" s="18">
        <f>iferror(USD_GBP*lookup(if(AP15="",H15,AP15),{0,1,25,100,500,1000,3000},{0.0,0.354,0.354,0.248,0.214,0.183,0.171}),"")</f>
        <v>0</v>
      </c>
      <c r="AR15" s="18">
        <f>iferror(if(AP15="",H15,AP15)*AQ15,"")</f>
        <v>0</v>
      </c>
      <c r="AS15" s="19" t="s">
        <v>312</v>
      </c>
    </row>
    <row r="16" spans="1:50">
      <c r="A16" s="17" t="s">
        <v>59</v>
      </c>
      <c r="B16" s="17" t="s">
        <v>60</v>
      </c>
      <c r="C16" s="17" t="s">
        <v>61</v>
      </c>
      <c r="D16" s="17" t="s">
        <v>63</v>
      </c>
      <c r="E16" s="17" t="s">
        <v>60</v>
      </c>
      <c r="F16" s="17" t="s">
        <v>62</v>
      </c>
      <c r="G16" s="17" t="s">
        <v>60</v>
      </c>
      <c r="H16" s="17">
        <f>BoardQty*2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20491</v>
      </c>
      <c r="R16" s="18">
        <f>iferror(lookup(if(Q16="",H16,Q16),{0,1,10,100,1000,2000,6000,10000,50000},{0.0,0.71,0.465,0.3077,0.23755,0.21465,0.20034,0.19319,0.189}),"")</f>
        <v>0</v>
      </c>
      <c r="S16" s="18">
        <f>iferror(if(Q16="",H16,Q16)*R16,"")</f>
        <v>0</v>
      </c>
      <c r="T16" s="19" t="s">
        <v>201</v>
      </c>
      <c r="U16" s="20" t="s">
        <v>193</v>
      </c>
      <c r="W16" s="18">
        <f>iferror(USD_GBP*lookup(if(V16="",H16,V16),{0,1,10,100,500},{0.0,0.683,0.451,0.347,0.299}),"")</f>
        <v>0</v>
      </c>
      <c r="X16" s="18">
        <f>iferror(if(V16="",H16,V16)*W16,"")</f>
        <v>0</v>
      </c>
      <c r="Y16" s="19" t="s">
        <v>232</v>
      </c>
      <c r="AE16" s="17">
        <v>28631</v>
      </c>
      <c r="AG16" s="18">
        <f>iferror(lookup(if(AF16="",H16,AF16),{0,1,10,50,100,1000,10000},{0.0,0.66,0.43,0.43,0.282,0.222,0.182}),"")</f>
        <v>0</v>
      </c>
      <c r="AH16" s="18">
        <f>iferror(if(AF16="",H16,AF16)*AG16,"")</f>
        <v>0</v>
      </c>
      <c r="AI16" s="19" t="s">
        <v>267</v>
      </c>
      <c r="AJ16" s="20" t="s">
        <v>193</v>
      </c>
      <c r="AN16" s="19" t="s">
        <v>296</v>
      </c>
      <c r="AT16" s="17">
        <v>1989</v>
      </c>
      <c r="AV16" s="18">
        <f>iferror(lookup(if(AU16="",H16,AU16),{0,1,5,25,100,500},{0.0,0.8,0.36,0.28,0.238,0.217}),"")</f>
        <v>0</v>
      </c>
      <c r="AW16" s="18">
        <f>iferror(if(AU16="",H16,AU16)*AV16,"")</f>
        <v>0</v>
      </c>
      <c r="AX16" s="19" t="s">
        <v>322</v>
      </c>
    </row>
    <row r="17" spans="1:45">
      <c r="A17" s="17" t="s">
        <v>64</v>
      </c>
      <c r="B17" s="17" t="s">
        <v>65</v>
      </c>
      <c r="C17" s="17" t="s">
        <v>66</v>
      </c>
      <c r="E17" s="17" t="s">
        <v>67</v>
      </c>
      <c r="F17" s="17" t="s">
        <v>68</v>
      </c>
      <c r="G17" s="17" t="s">
        <v>69</v>
      </c>
      <c r="H17" s="17">
        <f>BoardQty*1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1356</v>
      </c>
      <c r="R17" s="18">
        <f>iferror(lookup(if(Q17="",H17,Q17),{0,1,10,25,50,100,250,500,1500,3000,7500,10500},{0.0,1.51,1.372,1.288,1.232,1.176,1.064,0.98,0.812,0.784,0.7448,0.728}),"")</f>
        <v>0</v>
      </c>
      <c r="S17" s="18">
        <f>iferror(if(Q17="",H17,Q17)*R17,"")</f>
        <v>0</v>
      </c>
      <c r="T17" s="19" t="s">
        <v>202</v>
      </c>
      <c r="AE17" s="17">
        <v>15587</v>
      </c>
      <c r="AG17" s="18">
        <f>iferror(lookup(if(AF17="",H17,AF17),{0,1,10,50,100,1000,10000},{0.0,1.51,1.23,1.23,1.17,0.839,0.728}),"")</f>
        <v>0</v>
      </c>
      <c r="AH17" s="18">
        <f>iferror(if(AF17="",H17,AF17)*AG17,"")</f>
        <v>0</v>
      </c>
      <c r="AI17" s="19" t="s">
        <v>268</v>
      </c>
      <c r="AO17" s="17">
        <v>66</v>
      </c>
      <c r="AQ17" s="18">
        <f>iferror(USD_GBP*lookup(if(AP17="",H17,AP17),{0,1,4,20,100,200},{0.0,1297.25,5.31,5.04,4.78,4.55}),"")</f>
        <v>0</v>
      </c>
      <c r="AR17" s="18">
        <f>iferror(if(AP17="",H17,AP17)*AQ17,"")</f>
        <v>0</v>
      </c>
      <c r="AS17" s="19" t="s">
        <v>313</v>
      </c>
    </row>
    <row r="18" spans="1:45">
      <c r="A18" s="17" t="s">
        <v>70</v>
      </c>
      <c r="B18" s="17" t="s">
        <v>71</v>
      </c>
      <c r="C18" s="17" t="s">
        <v>72</v>
      </c>
      <c r="E18" s="17" t="s">
        <v>73</v>
      </c>
      <c r="F18" s="17" t="s">
        <v>74</v>
      </c>
      <c r="G18" s="17" t="s">
        <v>75</v>
      </c>
      <c r="H18" s="17">
        <f>BoardQty*2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17">
        <v>1340</v>
      </c>
      <c r="R18" s="18">
        <f>iferror(lookup(if(Q18="",H18,Q18),{0,1,10,25,50,100,250,500},{0.0,0.25,0.236,0.2012,0.1758,0.1633,0.14448,0.1382}),"")</f>
        <v>0</v>
      </c>
      <c r="S18" s="18">
        <f>iferror(if(Q18="",H18,Q18)*R18,"")</f>
        <v>0</v>
      </c>
      <c r="T18" s="19" t="s">
        <v>203</v>
      </c>
    </row>
    <row r="19" spans="1:45">
      <c r="A19" s="17" t="s">
        <v>76</v>
      </c>
      <c r="B19" s="17" t="s">
        <v>77</v>
      </c>
      <c r="C19" s="17" t="s">
        <v>78</v>
      </c>
      <c r="E19" s="17" t="s">
        <v>79</v>
      </c>
      <c r="F19" s="17" t="s">
        <v>74</v>
      </c>
      <c r="G19" s="17" t="s">
        <v>80</v>
      </c>
      <c r="H19" s="17">
        <f>BoardQty*2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5656</v>
      </c>
      <c r="R19" s="18">
        <f>iferror(lookup(if(Q19="",H19,Q19),{0,1,10,25,50,100,250,500},{0.0,0.29,0.271,0.2324,0.1974,0.1896,0.17028,0.16254}),"")</f>
        <v>0</v>
      </c>
      <c r="S19" s="18">
        <f>iferror(if(Q19="",H19,Q19)*R19,"")</f>
        <v>0</v>
      </c>
      <c r="T19" s="19" t="s">
        <v>204</v>
      </c>
    </row>
    <row r="20" spans="1:45">
      <c r="A20" s="17" t="s">
        <v>81</v>
      </c>
      <c r="B20" s="17" t="s">
        <v>82</v>
      </c>
      <c r="C20" s="17" t="s">
        <v>83</v>
      </c>
      <c r="E20" s="17" t="s">
        <v>84</v>
      </c>
      <c r="F20" s="17" t="s">
        <v>51</v>
      </c>
      <c r="G20" s="17" t="s">
        <v>85</v>
      </c>
      <c r="H20" s="17">
        <f>BoardQty*1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20" t="s">
        <v>193</v>
      </c>
      <c r="R20" s="18">
        <f>iferror(lookup(if(Q20="",H20,Q20),{0,1,4000},{0.0,0.05543,0.05543}),"")</f>
        <v>0</v>
      </c>
      <c r="S20" s="18">
        <f>iferror(if(Q20="",H20,Q20)*R20,"")</f>
        <v>0</v>
      </c>
      <c r="T20" s="19" t="s">
        <v>205</v>
      </c>
      <c r="U20" s="20" t="s">
        <v>193</v>
      </c>
      <c r="W20" s="18">
        <f>iferror(USD_GBP*lookup(if(V20="",H20,V20),{0,1,5,10,100,500,1000,5000},{0.0,0.29,0.29,0.196,0.0778,0.0585,0.0391,0.0332}),"")</f>
        <v>0</v>
      </c>
      <c r="X20" s="18">
        <f>iferror(if(V20="",H20,V20)*W20,"")</f>
        <v>0</v>
      </c>
      <c r="Y20" s="19" t="s">
        <v>233</v>
      </c>
      <c r="AE20" s="17">
        <v>2579</v>
      </c>
      <c r="AG20" s="18">
        <f>iferror(lookup(if(AF20="",H20,AF20),{0,1,10,50,100,1000,10000},{0.0,0.39,0.268,0.268,0.112,0.076,0.051}),"")</f>
        <v>0</v>
      </c>
      <c r="AH20" s="18">
        <f>iferror(if(AF20="",H20,AF20)*AG20,"")</f>
        <v>0</v>
      </c>
      <c r="AI20" s="19" t="s">
        <v>269</v>
      </c>
      <c r="AJ20" s="20" t="s">
        <v>193</v>
      </c>
      <c r="AL20" s="18">
        <f>iferror(lookup(if(AK20="",H20,AK20),{0,1,5,10,100,500,1000},{0.0,0.39,0.39,0.268,0.112,0.094,0.076}),"")</f>
        <v>0</v>
      </c>
      <c r="AM20" s="18">
        <f>iferror(if(AK20="",H20,AK20)*AL20,"")</f>
        <v>0</v>
      </c>
      <c r="AN20" s="19" t="s">
        <v>297</v>
      </c>
    </row>
    <row r="21" spans="1:45">
      <c r="A21" s="17" t="s">
        <v>86</v>
      </c>
      <c r="B21" s="17" t="s">
        <v>87</v>
      </c>
      <c r="C21" s="17" t="s">
        <v>88</v>
      </c>
      <c r="E21" s="17" t="s">
        <v>89</v>
      </c>
      <c r="F21" s="17" t="s">
        <v>51</v>
      </c>
      <c r="G21" s="17" t="s">
        <v>90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20" t="s">
        <v>193</v>
      </c>
      <c r="R21" s="18">
        <f>iferror(lookup(if(Q21="",H21,Q21),{0,1,10000},{0.0,0.0302,0.0302}),"")</f>
        <v>0</v>
      </c>
      <c r="S21" s="18">
        <f>iferror(if(Q21="",H21,Q21)*R21,"")</f>
        <v>0</v>
      </c>
      <c r="T21" s="19" t="s">
        <v>206</v>
      </c>
      <c r="AE21" s="17">
        <v>10000</v>
      </c>
      <c r="AG21" s="18">
        <f>iferror(lookup(if(AF21="",H21,AF21),{0,1,10,50,100,1000,10000},{0.0,0.35,0.243,0.243,0.102,0.069,0.046}),"")</f>
        <v>0</v>
      </c>
      <c r="AH21" s="18">
        <f>iferror(if(AF21="",H21,AF21)*AG21,"")</f>
        <v>0</v>
      </c>
      <c r="AI21" s="19" t="s">
        <v>270</v>
      </c>
    </row>
    <row r="22" spans="1:45">
      <c r="A22" s="17" t="s">
        <v>91</v>
      </c>
      <c r="B22" s="17" t="s">
        <v>92</v>
      </c>
      <c r="C22" s="17" t="s">
        <v>93</v>
      </c>
      <c r="E22" s="17" t="s">
        <v>94</v>
      </c>
      <c r="F22" s="17" t="s">
        <v>95</v>
      </c>
      <c r="G22" s="17" t="s">
        <v>96</v>
      </c>
      <c r="H22" s="17">
        <f>BoardQty*2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17">
        <v>2450322</v>
      </c>
      <c r="R22" s="18">
        <f>iferror(lookup(if(Q22="",H22,Q22),{0,1,10,25,50,100,250,500,1000,5000,15000,30000,75000},{0.0,0.1,0.025,0.018,0.0136,0.01,0.00764,0.00612,0.0045,0.00323,0.00281,0.00247,0.00226}),"")</f>
        <v>0</v>
      </c>
      <c r="S22" s="18">
        <f>iferror(if(Q22="",H22,Q22)*R22,"")</f>
        <v>0</v>
      </c>
      <c r="T22" s="19" t="s">
        <v>207</v>
      </c>
      <c r="U22" s="17">
        <v>95971</v>
      </c>
      <c r="W22" s="18">
        <f>iferror(USD_GBP*lookup(if(V22="",H22,V22),{0,1,10,100,150,500,2500,7500,15000,75000},{0.0,0.04,0.04,0.024,0.024,0.018,0.012,0.009,0.007,0.0047}),"")</f>
        <v>0</v>
      </c>
      <c r="X22" s="18">
        <f>iferror(if(V22="",H22,V22)*W22,"")</f>
        <v>0</v>
      </c>
      <c r="Y22" s="19" t="s">
        <v>234</v>
      </c>
      <c r="Z22" s="17">
        <v>3000</v>
      </c>
      <c r="AB22" s="18">
        <f>iferror(lookup(if(AA22="",H22,AA22),{0,1,50,500,1500,5000,25000,50000},{0.0,0.007,0.007,0.0054,0.0051,0.0048,0.0047,0.0047}),"")</f>
        <v>0</v>
      </c>
      <c r="AC22" s="18">
        <f>iferror(if(AA22="",H22,AA22)*AB22,"")</f>
        <v>0</v>
      </c>
      <c r="AD22" s="19" t="s">
        <v>253</v>
      </c>
      <c r="AE22" s="17">
        <v>2025194</v>
      </c>
      <c r="AG22" s="18">
        <f>iferror(lookup(if(AF22="",H22,AF22),{0,1,10,50,100,1000,10000},{0.0,0.1,0.015,0.015,0.006,0.005,0.003}),"")</f>
        <v>0</v>
      </c>
      <c r="AH22" s="18">
        <f>iferror(if(AF22="",H22,AF22)*AG22,"")</f>
        <v>0</v>
      </c>
      <c r="AI22" s="19" t="s">
        <v>271</v>
      </c>
      <c r="AJ22" s="17">
        <v>95971</v>
      </c>
      <c r="AL22" s="18">
        <f>iferror(lookup(if(AK22="",H22,AK22),{0,1,25,100,250,500,1000,2500,5000},{0.0,0.211,0.021,0.009,0.008,0.007,0.006,0.005,0.004}),"")</f>
        <v>0</v>
      </c>
      <c r="AM22" s="18">
        <f>iferror(if(AK22="",H22,AK22)*AL22,"")</f>
        <v>0</v>
      </c>
      <c r="AN22" s="19" t="s">
        <v>298</v>
      </c>
      <c r="AO22" s="17">
        <v>1074637</v>
      </c>
      <c r="AQ22" s="18">
        <f>iferror(USD_GBP*lookup(if(AP22="",H22,AP22),{0,1,1000,15000},{0.0,0.004,0.004,0.005}),"")</f>
        <v>0</v>
      </c>
      <c r="AR22" s="18">
        <f>iferror(if(AP22="",H22,AP22)*AQ22,"")</f>
        <v>0</v>
      </c>
      <c r="AS22" s="19" t="s">
        <v>314</v>
      </c>
    </row>
    <row r="23" spans="1:45">
      <c r="A23" s="17" t="s">
        <v>97</v>
      </c>
      <c r="B23" s="17" t="s">
        <v>98</v>
      </c>
      <c r="C23" s="17" t="s">
        <v>99</v>
      </c>
      <c r="E23" s="17" t="s">
        <v>94</v>
      </c>
      <c r="F23" s="17" t="s">
        <v>95</v>
      </c>
      <c r="G23" s="17" t="s">
        <v>100</v>
      </c>
      <c r="H23" s="17">
        <f>BoardQty*1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3284</v>
      </c>
      <c r="R23" s="18">
        <f>iferror(lookup(if(Q23="",H23,Q23),{0,1,10,100,1000,2500,5000,15000,30000,75000,105000},{0.0,0.1,0.027,0.011,0.00496,0.0043,0.00355,0.00309,0.00271,0.00249,0.00244}),"")</f>
        <v>0</v>
      </c>
      <c r="S23" s="18">
        <f>iferror(if(Q23="",H23,Q23)*R23,"")</f>
        <v>0</v>
      </c>
      <c r="T23" s="19" t="s">
        <v>208</v>
      </c>
      <c r="U23" s="20" t="s">
        <v>193</v>
      </c>
      <c r="W23" s="18">
        <f>iferror(USD_GBP*lookup(if(V23="",H23,V23),{0,1,30000},{0.0,0.0049,0.0049}),"")</f>
        <v>0</v>
      </c>
      <c r="X23" s="18">
        <f>iferror(if(V23="",H23,V23)*W23,"")</f>
        <v>0</v>
      </c>
      <c r="Y23" s="19" t="s">
        <v>235</v>
      </c>
      <c r="AE23" s="17">
        <v>69604</v>
      </c>
      <c r="AG23" s="18">
        <f>iferror(lookup(if(AF23="",H23,AF23),{0,1,10,50,100,1000,10000},{0.0,0.1,0.026,0.026,0.011,0.005,0.003}),"")</f>
        <v>0</v>
      </c>
      <c r="AH23" s="18">
        <f>iferror(if(AF23="",H23,AF23)*AG23,"")</f>
        <v>0</v>
      </c>
      <c r="AI23" s="19" t="s">
        <v>272</v>
      </c>
      <c r="AJ23" s="20" t="s">
        <v>193</v>
      </c>
      <c r="AN23" s="19" t="s">
        <v>299</v>
      </c>
      <c r="AO23" s="17">
        <v>23000</v>
      </c>
      <c r="AQ23" s="18">
        <f>iferror(USD_GBP*lookup(if(AP23="",H23,AP23),{0,1,1000,5000,10000,15000},{0.0,0.011,0.011,0.009,0.008,0.006}),"")</f>
        <v>0</v>
      </c>
      <c r="AR23" s="18">
        <f>iferror(if(AP23="",H23,AP23)*AQ23,"")</f>
        <v>0</v>
      </c>
      <c r="AS23" s="19" t="s">
        <v>315</v>
      </c>
    </row>
    <row r="24" spans="1:45">
      <c r="A24" s="17" t="s">
        <v>101</v>
      </c>
      <c r="B24" s="17" t="s">
        <v>102</v>
      </c>
      <c r="C24" s="17" t="s">
        <v>103</v>
      </c>
      <c r="E24" s="17" t="s">
        <v>94</v>
      </c>
      <c r="F24" s="17" t="s">
        <v>95</v>
      </c>
      <c r="G24" s="17" t="s">
        <v>104</v>
      </c>
      <c r="H24" s="17">
        <f>BoardQty*3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3807</v>
      </c>
      <c r="R24" s="18">
        <f>iferror(lookup(if(Q24="",H24,Q24),{0,1,10,100,1000,2500,5000,15000,30000,75000,105000},{0.0,0.1,0.027,0.011,0.00496,0.0043,0.00355,0.00309,0.00271,0.00249,0.00244}),"")</f>
        <v>0</v>
      </c>
      <c r="S24" s="18">
        <f>iferror(if(Q24="",H24,Q24)*R24,"")</f>
        <v>0</v>
      </c>
      <c r="T24" s="19" t="s">
        <v>209</v>
      </c>
      <c r="U24" s="20" t="s">
        <v>193</v>
      </c>
      <c r="W24" s="18">
        <f>iferror(USD_GBP*lookup(if(V24="",H24,V24),{0,1,30000},{0.0,0.005,0.005}),"")</f>
        <v>0</v>
      </c>
      <c r="X24" s="18">
        <f>iferror(if(V24="",H24,V24)*W24,"")</f>
        <v>0</v>
      </c>
      <c r="Y24" s="19" t="s">
        <v>236</v>
      </c>
      <c r="AE24" s="17">
        <v>48181</v>
      </c>
      <c r="AG24" s="18">
        <f>iferror(lookup(if(AF24="",H24,AF24),{0,1,10,50,100,1000,10000},{0.0,0.1,0.025,0.025,0.008,0.005,0.003}),"")</f>
        <v>0</v>
      </c>
      <c r="AH24" s="18">
        <f>iferror(if(AF24="",H24,AF24)*AG24,"")</f>
        <v>0</v>
      </c>
      <c r="AI24" s="19" t="s">
        <v>273</v>
      </c>
      <c r="AJ24" s="20" t="s">
        <v>193</v>
      </c>
      <c r="AL24" s="18">
        <f>iferror(lookup(if(AK24="",H24,AK24),{0,1,15000,30000},{0.0,0.005,0.005,0.004}),"")</f>
        <v>0</v>
      </c>
      <c r="AM24" s="18">
        <f>iferror(if(AK24="",H24,AK24)*AL24,"")</f>
        <v>0</v>
      </c>
      <c r="AN24" s="19" t="s">
        <v>300</v>
      </c>
      <c r="AO24" s="17">
        <v>40000</v>
      </c>
      <c r="AQ24" s="18">
        <f>iferror(USD_GBP*lookup(if(AP24="",H24,AP24),{0,1,1000,5000,10000,15000},{0.0,0.004,0.004,0.005,0.005,0.004}),"")</f>
        <v>0</v>
      </c>
      <c r="AR24" s="18">
        <f>iferror(if(AP24="",H24,AP24)*AQ24,"")</f>
        <v>0</v>
      </c>
      <c r="AS24" s="19" t="s">
        <v>316</v>
      </c>
    </row>
    <row r="25" spans="1:45">
      <c r="A25" s="17" t="s">
        <v>105</v>
      </c>
      <c r="B25" s="17" t="s">
        <v>106</v>
      </c>
      <c r="C25" s="17" t="s">
        <v>107</v>
      </c>
      <c r="E25" s="17" t="s">
        <v>94</v>
      </c>
      <c r="F25" s="17" t="s">
        <v>95</v>
      </c>
      <c r="G25" s="17" t="s">
        <v>108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240563</v>
      </c>
      <c r="R25" s="18">
        <f>iferror(lookup(if(Q25="",H25,Q25),{0,1,10,100,1000,2500,5000,15000,30000,75000,105000},{0.0,0.1,0.027,0.011,0.00496,0.0043,0.00355,0.00309,0.00271,0.00249,0.00244}),"")</f>
        <v>0</v>
      </c>
      <c r="S25" s="18">
        <f>iferror(if(Q25="",H25,Q25)*R25,"")</f>
        <v>0</v>
      </c>
      <c r="T25" s="19" t="s">
        <v>210</v>
      </c>
      <c r="U25" s="20" t="s">
        <v>193</v>
      </c>
      <c r="W25" s="18">
        <f>iferror(USD_GBP*lookup(if(V25="",H25,V25),{0,1,30000},{0.0,0.0049,0.0049}),"")</f>
        <v>0</v>
      </c>
      <c r="X25" s="18">
        <f>iferror(if(V25="",H25,V25)*W25,"")</f>
        <v>0</v>
      </c>
      <c r="Y25" s="19" t="s">
        <v>237</v>
      </c>
      <c r="Z25" s="17">
        <v>4050</v>
      </c>
      <c r="AB25" s="18">
        <f>iferror(lookup(if(AA25="",H25,AA25),{0,1,50,500,1500,5000,25000,50000},{0.0,0.0199,0.0199,0.0154,0.0146,0.0138,0.0134,0.0132}),"")</f>
        <v>0</v>
      </c>
      <c r="AC25" s="18">
        <f>iferror(if(AA25="",H25,AA25)*AB25,"")</f>
        <v>0</v>
      </c>
      <c r="AD25" s="19" t="s">
        <v>254</v>
      </c>
      <c r="AE25" s="17">
        <v>623070</v>
      </c>
      <c r="AG25" s="18">
        <f>iferror(lookup(if(AF25="",H25,AF25),{0,1,10,50,100,1000,10000},{0.0,0.1,0.026,0.026,0.011,0.005,0.003}),"")</f>
        <v>0</v>
      </c>
      <c r="AH25" s="18">
        <f>iferror(if(AF25="",H25,AF25)*AG25,"")</f>
        <v>0</v>
      </c>
      <c r="AI25" s="19" t="s">
        <v>274</v>
      </c>
      <c r="AJ25" s="20" t="s">
        <v>193</v>
      </c>
      <c r="AN25" s="19" t="s">
        <v>301</v>
      </c>
      <c r="AO25" s="17">
        <v>25000</v>
      </c>
      <c r="AQ25" s="18">
        <f>iferror(USD_GBP*lookup(if(AP25="",H25,AP25),{0,1,1000,5000,10000,15000},{0.0,0.011,0.011,0.009,0.008,0.006}),"")</f>
        <v>0</v>
      </c>
      <c r="AR25" s="18">
        <f>iferror(if(AP25="",H25,AP25)*AQ25,"")</f>
        <v>0</v>
      </c>
      <c r="AS25" s="19" t="s">
        <v>317</v>
      </c>
    </row>
    <row r="26" spans="1:45">
      <c r="A26" s="17" t="s">
        <v>109</v>
      </c>
      <c r="B26" s="17" t="s">
        <v>110</v>
      </c>
      <c r="C26" s="17" t="s">
        <v>111</v>
      </c>
      <c r="E26" s="17" t="s">
        <v>94</v>
      </c>
      <c r="F26" s="17" t="s">
        <v>95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12271</v>
      </c>
      <c r="R26" s="18">
        <f>iferror(lookup(if(Q26="",H26,Q26),{0,1,10,100,1000,2500,5000,15000,30000,75000,105000},{0.0,0.1,0.027,0.011,0.00496,0.0043,0.00355,0.00309,0.00271,0.00249,0.00244}),"")</f>
        <v>0</v>
      </c>
      <c r="S26" s="18">
        <f>iferror(if(Q26="",H26,Q26)*R26,"")</f>
        <v>0</v>
      </c>
      <c r="T26" s="19" t="s">
        <v>211</v>
      </c>
      <c r="U26" s="20" t="s">
        <v>193</v>
      </c>
      <c r="W26" s="18">
        <f>iferror(USD_GBP*lookup(if(V26="",H26,V26),{0,1,30000},{0.0,0.0049,0.0049}),"")</f>
        <v>0</v>
      </c>
      <c r="X26" s="18">
        <f>iferror(if(V26="",H26,V26)*W26,"")</f>
        <v>0</v>
      </c>
      <c r="Y26" s="19" t="s">
        <v>238</v>
      </c>
      <c r="AE26" s="17">
        <v>81725</v>
      </c>
      <c r="AG26" s="18">
        <f>iferror(lookup(if(AF26="",H26,AF26),{0,1,10,50,100,1000,10000},{0.0,0.1,0.027,0.027,0.011,0.005,0.003}),"")</f>
        <v>0</v>
      </c>
      <c r="AH26" s="18">
        <f>iferror(if(AF26="",H26,AF26)*AG26,"")</f>
        <v>0</v>
      </c>
      <c r="AI26" s="19" t="s">
        <v>275</v>
      </c>
      <c r="AJ26" s="20" t="s">
        <v>193</v>
      </c>
      <c r="AN26" s="19" t="s">
        <v>302</v>
      </c>
    </row>
    <row r="27" spans="1:45">
      <c r="A27" s="17" t="s">
        <v>113</v>
      </c>
      <c r="B27" s="17" t="s">
        <v>114</v>
      </c>
      <c r="C27" s="17" t="s">
        <v>115</v>
      </c>
      <c r="E27" s="17" t="s">
        <v>94</v>
      </c>
      <c r="F27" s="17" t="s">
        <v>95</v>
      </c>
      <c r="G27" s="17" t="s">
        <v>116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191797</v>
      </c>
      <c r="R27" s="18">
        <f>iferror(lookup(if(Q27="",H27,Q27),{0,1,10,100,1000,2500,5000,15000,30000,75000,105000},{0.0,0.1,0.027,0.011,0.00496,0.0043,0.00355,0.00309,0.00271,0.00249,0.00244}),"")</f>
        <v>0</v>
      </c>
      <c r="S27" s="18">
        <f>iferror(if(Q27="",H27,Q27)*R27,"")</f>
        <v>0</v>
      </c>
      <c r="T27" s="19" t="s">
        <v>212</v>
      </c>
      <c r="U27" s="20" t="s">
        <v>193</v>
      </c>
      <c r="W27" s="18">
        <f>iferror(USD_GBP*lookup(if(V27="",H27,V27),{0,1,30000},{0.0,0.0049,0.0049}),"")</f>
        <v>0</v>
      </c>
      <c r="X27" s="18">
        <f>iferror(if(V27="",H27,V27)*W27,"")</f>
        <v>0</v>
      </c>
      <c r="Y27" s="19" t="s">
        <v>239</v>
      </c>
      <c r="Z27" s="17">
        <v>14800</v>
      </c>
      <c r="AB27" s="18">
        <f>iferror(lookup(if(AA27="",H27,AA27),{0,1,50,500,1500,5000,25000,50000},{0.0,0.0063,0.0063,0.0048,0.0045,0.0042,0.0041,0.004}),"")</f>
        <v>0</v>
      </c>
      <c r="AC27" s="18">
        <f>iferror(if(AA27="",H27,AA27)*AB27,"")</f>
        <v>0</v>
      </c>
      <c r="AD27" s="19" t="s">
        <v>255</v>
      </c>
      <c r="AE27" s="17">
        <v>99927</v>
      </c>
      <c r="AG27" s="18">
        <f>iferror(lookup(if(AF27="",H27,AF27),{0,1,10,50,100,1000,10000},{0.0,0.1,0.027,0.027,0.011,0.005,0.003}),"")</f>
        <v>0</v>
      </c>
      <c r="AH27" s="18">
        <f>iferror(if(AF27="",H27,AF27)*AG27,"")</f>
        <v>0</v>
      </c>
      <c r="AI27" s="19" t="s">
        <v>276</v>
      </c>
      <c r="AJ27" s="20" t="s">
        <v>193</v>
      </c>
      <c r="AN27" s="19" t="s">
        <v>303</v>
      </c>
      <c r="AO27" s="17">
        <v>53000</v>
      </c>
      <c r="AQ27" s="18">
        <f>iferror(USD_GBP*lookup(if(AP27="",H27,AP27),{0,1,1000,5000,10000,15000},{0.0,0.004,0.004,0.004,0.004,0.004}),"")</f>
        <v>0</v>
      </c>
      <c r="AR27" s="18">
        <f>iferror(if(AP27="",H27,AP27)*AQ27,"")</f>
        <v>0</v>
      </c>
      <c r="AS27" s="19" t="s">
        <v>318</v>
      </c>
    </row>
    <row r="28" spans="1:45">
      <c r="A28" s="17" t="s">
        <v>117</v>
      </c>
      <c r="B28" s="17" t="s">
        <v>118</v>
      </c>
      <c r="C28" s="17" t="s">
        <v>119</v>
      </c>
      <c r="E28" s="17" t="s">
        <v>120</v>
      </c>
      <c r="F28" s="17" t="s">
        <v>57</v>
      </c>
      <c r="G28" s="17" t="s">
        <v>118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20" t="s">
        <v>193</v>
      </c>
      <c r="R28" s="18">
        <f>iferror(lookup(if(Q28="",H28,Q28),{0,1,3000},{0.0,0.12257,0.12257}),"")</f>
        <v>0</v>
      </c>
      <c r="S28" s="18">
        <f>iferror(if(Q28="",H28,Q28)*R28,"")</f>
        <v>0</v>
      </c>
      <c r="T28" s="19" t="s">
        <v>213</v>
      </c>
      <c r="U28" s="20" t="s">
        <v>193</v>
      </c>
      <c r="W28" s="18">
        <f>iferror(USD_GBP*lookup(if(V28="",H28,V28),{0,1,3000},{0.0,0.056,0.056}),"")</f>
        <v>0</v>
      </c>
      <c r="X28" s="18">
        <f>iferror(if(V28="",H28,V28)*W28,"")</f>
        <v>0</v>
      </c>
      <c r="Y28" s="19" t="s">
        <v>240</v>
      </c>
      <c r="AE28" s="17">
        <v>121</v>
      </c>
      <c r="AG28" s="18">
        <f>iferror(lookup(if(AF28="",H28,AF28),{0,1,10,50,100,1000,10000},{0.0,0.43,0.321,0.321,0.165,0.119,0.099}),"")</f>
        <v>0</v>
      </c>
      <c r="AH28" s="18">
        <f>iferror(if(AF28="",H28,AF28)*AG28,"")</f>
        <v>0</v>
      </c>
      <c r="AI28" s="19" t="s">
        <v>277</v>
      </c>
      <c r="AJ28" s="20" t="s">
        <v>193</v>
      </c>
      <c r="AN28" s="19" t="s">
        <v>304</v>
      </c>
    </row>
    <row r="29" spans="1:45">
      <c r="A29" s="17" t="s">
        <v>121</v>
      </c>
      <c r="B29" s="17" t="s">
        <v>122</v>
      </c>
      <c r="C29" s="17" t="s">
        <v>123</v>
      </c>
      <c r="E29" s="17" t="s">
        <v>124</v>
      </c>
      <c r="F29" s="17" t="s">
        <v>125</v>
      </c>
      <c r="G29" s="17" t="s">
        <v>122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20" t="s">
        <v>193</v>
      </c>
      <c r="R29" s="18">
        <f>iferror(lookup(if(Q29="",H29,Q29),{0,1,2000},{0.0,1.1448,1.1448}),"")</f>
        <v>0</v>
      </c>
      <c r="S29" s="18">
        <f>iferror(if(Q29="",H29,Q29)*R29,"")</f>
        <v>0</v>
      </c>
      <c r="T29" s="19" t="s">
        <v>214</v>
      </c>
      <c r="Z29" s="17">
        <v>1996</v>
      </c>
      <c r="AB29" s="18">
        <f>iferror(lookup(if(AA29="",H29,AA29),{0,1,10,30,100,500,1000},{0.0,1.4156,1.0496,0.9828,0.9161,0.8855,0.871}),"")</f>
        <v>0</v>
      </c>
      <c r="AC29" s="18">
        <f>iferror(if(AA29="",H29,AA29)*AB29,"")</f>
        <v>0</v>
      </c>
      <c r="AD29" s="19" t="s">
        <v>256</v>
      </c>
      <c r="AE29" s="17">
        <v>627</v>
      </c>
      <c r="AG29" s="18">
        <f>iferror(lookup(if(AF29="",H29,AF29),{0,1,10,50,100,1000,10000},{0.0,2.49,2.25,2.12,1.7,1.15,1.1}),"")</f>
        <v>0</v>
      </c>
      <c r="AH29" s="18">
        <f>iferror(if(AF29="",H29,AF29)*AG29,"")</f>
        <v>0</v>
      </c>
      <c r="AI29" s="19" t="s">
        <v>278</v>
      </c>
    </row>
    <row r="30" spans="1:45">
      <c r="A30" s="17" t="s">
        <v>126</v>
      </c>
      <c r="B30" s="17" t="s">
        <v>127</v>
      </c>
      <c r="C30" s="17" t="s">
        <v>128</v>
      </c>
      <c r="E30" s="17" t="s">
        <v>129</v>
      </c>
      <c r="F30" s="17" t="s">
        <v>51</v>
      </c>
      <c r="G30" s="17" t="s">
        <v>130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3911</v>
      </c>
      <c r="R30" s="18">
        <f>iferror(lookup(if(Q30="",H30,Q30),{0,1,10,25,100,250,500,1000,2500,5000},{0.0,0.47,0.38,0.3472,0.2584,0.23416,0.1938,0.14535,0.13324,0.12516}),"")</f>
        <v>0</v>
      </c>
      <c r="S30" s="18">
        <f>iferror(if(Q30="",H30,Q30)*R30,"")</f>
        <v>0</v>
      </c>
      <c r="T30" s="19" t="s">
        <v>215</v>
      </c>
    </row>
    <row r="31" spans="1:45">
      <c r="A31" s="17" t="s">
        <v>131</v>
      </c>
      <c r="B31" s="17" t="s">
        <v>132</v>
      </c>
      <c r="C31" s="17" t="s">
        <v>133</v>
      </c>
      <c r="E31" s="17" t="s">
        <v>120</v>
      </c>
      <c r="F31" s="17" t="s">
        <v>57</v>
      </c>
      <c r="G31" s="17" t="s">
        <v>132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3211</v>
      </c>
      <c r="R31" s="18">
        <f>iferror(lookup(if(Q31="",H31,Q31),{0,1,10,25,100,250,500,1000,3000,6000,15000,30000},{0.0,0.54,0.438,0.4012,0.2705,0.22388,0.20522,0.15391,0.14458,0.13526,0.12406,0.1232}),"")</f>
        <v>0</v>
      </c>
      <c r="S31" s="18">
        <f>iferror(if(Q31="",H31,Q31)*R31,"")</f>
        <v>0</v>
      </c>
      <c r="T31" s="19" t="s">
        <v>216</v>
      </c>
      <c r="U31" s="17">
        <v>695</v>
      </c>
      <c r="W31" s="18">
        <f>iferror(USD_GBP*lookup(if(V31="",H31,V31),{0,1,5,10,100,150,500,3000,9000,24000,45000},{0.0,0.422,0.422,0.275,0.142,0.142,0.105,0.0914,0.0882,0.0872,0.086}),"")</f>
        <v>0</v>
      </c>
      <c r="X31" s="18">
        <f>iferror(if(V31="",H31,V31)*W31,"")</f>
        <v>0</v>
      </c>
      <c r="Y31" s="19" t="s">
        <v>241</v>
      </c>
      <c r="AE31" s="17">
        <v>6644</v>
      </c>
      <c r="AG31" s="18">
        <f>iferror(lookup(if(AF31="",H31,AF31),{0,1,10,50,100,1000,10000},{0.0,0.49,0.364,0.364,0.186,0.14,0.116}),"")</f>
        <v>0</v>
      </c>
      <c r="AH31" s="18">
        <f>iferror(if(AF31="",H31,AF31)*AG31,"")</f>
        <v>0</v>
      </c>
      <c r="AI31" s="19" t="s">
        <v>279</v>
      </c>
      <c r="AJ31" s="17">
        <v>655</v>
      </c>
      <c r="AL31" s="18">
        <f>iferror(lookup(if(AK31="",H31,AK31),{0,1,5,10,100,3000,6000,12000,18000,24000,30000,300000},{0.0,0.46,0.46,0.343,0.175,0.115,0.113,0.111,0.11,0.108,0.106,0.104}),"")</f>
        <v>0</v>
      </c>
      <c r="AM31" s="18">
        <f>iferror(if(AK31="",H31,AK31)*AL31,"")</f>
        <v>0</v>
      </c>
      <c r="AN31" s="19" t="s">
        <v>305</v>
      </c>
      <c r="AO31" s="17">
        <v>2856</v>
      </c>
      <c r="AQ31" s="18">
        <f>iferror(USD_GBP*lookup(if(AP31="",H31,AP31),{0,1,18,108,1008,3000,3006,9000},{0.0,0.262,0.262,0.133,0.1,0.085,0.087,0.084}),"")</f>
        <v>0</v>
      </c>
      <c r="AR31" s="18">
        <f>iferror(if(AP31="",H31,AP31)*AQ31,"")</f>
        <v>0</v>
      </c>
      <c r="AS31" s="19" t="s">
        <v>319</v>
      </c>
    </row>
    <row r="32" spans="1:45">
      <c r="A32" s="17" t="s">
        <v>134</v>
      </c>
      <c r="B32" s="17" t="s">
        <v>135</v>
      </c>
      <c r="C32" s="17" t="s">
        <v>136</v>
      </c>
      <c r="E32" s="17" t="s">
        <v>137</v>
      </c>
      <c r="F32" s="17" t="s">
        <v>57</v>
      </c>
      <c r="G32" s="17" t="s">
        <v>135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20" t="s">
        <v>193</v>
      </c>
      <c r="R32" s="18">
        <f>iferror(lookup(if(Q32="",H32,Q32),{0,1,5000},{0.0,0.18102,0.18102}),"")</f>
        <v>0</v>
      </c>
      <c r="S32" s="18">
        <f>iferror(if(Q32="",H32,Q32)*R32,"")</f>
        <v>0</v>
      </c>
      <c r="T32" s="19" t="s">
        <v>217</v>
      </c>
      <c r="U32" s="20" t="s">
        <v>193</v>
      </c>
      <c r="W32" s="18">
        <f>iferror(USD_GBP*lookup(if(V32="",H32,V32),{0,1,5000},{0.0,0.117,0.117}),"")</f>
        <v>0</v>
      </c>
      <c r="X32" s="18">
        <f>iferror(if(V32="",H32,V32)*W32,"")</f>
        <v>0</v>
      </c>
      <c r="Y32" s="19" t="s">
        <v>242</v>
      </c>
      <c r="AE32" s="17">
        <v>3515</v>
      </c>
      <c r="AG32" s="18">
        <f>iferror(lookup(if(AF32="",H32,AF32),{0,1,10,50,100,1000,10000},{0.0,0.55,0.443,0.443,0.355,0.216,0.177}),"")</f>
        <v>0</v>
      </c>
      <c r="AH32" s="18">
        <f>iferror(if(AF32="",H32,AF32)*AG32,"")</f>
        <v>0</v>
      </c>
      <c r="AI32" s="19" t="s">
        <v>280</v>
      </c>
    </row>
    <row r="33" spans="1:50">
      <c r="A33" s="17" t="s">
        <v>138</v>
      </c>
      <c r="B33" s="17" t="s">
        <v>139</v>
      </c>
      <c r="C33" s="17" t="s">
        <v>140</v>
      </c>
      <c r="D33" s="17" t="s">
        <v>143</v>
      </c>
      <c r="E33" s="17" t="s">
        <v>141</v>
      </c>
      <c r="F33" s="17" t="s">
        <v>142</v>
      </c>
      <c r="G33" s="17" t="s">
        <v>139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193</v>
      </c>
      <c r="R33" s="18">
        <f>iferror(lookup(if(Q33="",H33,Q33),{0,1,10},{0.0,3.4,3.333}),"")</f>
        <v>0</v>
      </c>
      <c r="S33" s="18">
        <f>iferror(if(Q33="",H33,Q33)*R33,"")</f>
        <v>0</v>
      </c>
      <c r="T33" s="19" t="s">
        <v>218</v>
      </c>
      <c r="U33" s="20" t="s">
        <v>193</v>
      </c>
      <c r="W33" s="18">
        <f>iferror(USD_GBP*lookup(if(V33="",H33,V33),{0,1,10,25,50,100},{0.0,3.21,2.72,2.56,2.4,2.25}),"")</f>
        <v>0</v>
      </c>
      <c r="X33" s="18">
        <f>iferror(if(V33="",H33,V33)*W33,"")</f>
        <v>0</v>
      </c>
      <c r="Y33" s="19" t="s">
        <v>243</v>
      </c>
      <c r="AE33" s="20" t="s">
        <v>193</v>
      </c>
      <c r="AG33" s="18">
        <f>iferror(lookup(if(AF33="",H33,AF33),{0,1,10,50,100,1000,10000},{0.0,3.33,2.72,2.72,2.24,1.61,1.53}),"")</f>
        <v>0</v>
      </c>
      <c r="AH33" s="18">
        <f>iferror(if(AF33="",H33,AF33)*AG33,"")</f>
        <v>0</v>
      </c>
      <c r="AI33" s="19" t="s">
        <v>281</v>
      </c>
      <c r="AJ33" s="20" t="s">
        <v>193</v>
      </c>
      <c r="AL33" s="18">
        <f>iferror(lookup(if(AK33="",H33,AK33),{0,1,10,25,50,100,250},{0.0,3.21,2.72,2.56,2.4,2.24,2.01}),"")</f>
        <v>0</v>
      </c>
      <c r="AM33" s="18">
        <f>iferror(if(AK33="",H33,AK33)*AL33,"")</f>
        <v>0</v>
      </c>
      <c r="AN33" s="19" t="s">
        <v>306</v>
      </c>
    </row>
    <row r="34" spans="1:50">
      <c r="A34" s="17" t="s">
        <v>144</v>
      </c>
      <c r="B34" s="17" t="s">
        <v>145</v>
      </c>
      <c r="C34" s="17" t="s">
        <v>146</v>
      </c>
      <c r="E34" s="17" t="s">
        <v>147</v>
      </c>
      <c r="F34" s="17" t="s">
        <v>148</v>
      </c>
      <c r="G34" s="17" t="s">
        <v>145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193</v>
      </c>
      <c r="R34" s="18">
        <f>iferror(lookup(if(Q34="",H34,Q34),{0,1},{0.0,3.52}),"")</f>
        <v>0</v>
      </c>
      <c r="S34" s="18">
        <f>iferror(if(Q34="",H34,Q34)*R34,"")</f>
        <v>0</v>
      </c>
      <c r="T34" s="19" t="s">
        <v>219</v>
      </c>
      <c r="AE34" s="17">
        <v>23</v>
      </c>
      <c r="AG34" s="18">
        <f>iferror(lookup(if(AF34="",H34,AF34),{0,1,10,50,100,1000,10000},{0.0,3.2,3.2,3.2,3.2,3.2,3.2}),"")</f>
        <v>0</v>
      </c>
      <c r="AH34" s="18">
        <f>iferror(if(AF34="",H34,AF34)*AG34,"")</f>
        <v>0</v>
      </c>
      <c r="AI34" s="19" t="s">
        <v>282</v>
      </c>
      <c r="AT34" s="20" t="s">
        <v>193</v>
      </c>
      <c r="AV34" s="18">
        <f>iferror(lookup(if(AU34="",H34,AU34),{0,1,5,25,100},{0.0,4.1,3.85,3.6,3.35}),"")</f>
        <v>0</v>
      </c>
      <c r="AW34" s="18">
        <f>iferror(if(AU34="",H34,AU34)*AV34,"")</f>
        <v>0</v>
      </c>
      <c r="AX34" s="19" t="s">
        <v>323</v>
      </c>
    </row>
    <row r="35" spans="1:50">
      <c r="A35" s="17" t="s">
        <v>149</v>
      </c>
      <c r="B35" s="17" t="s">
        <v>150</v>
      </c>
      <c r="C35" s="17" t="s">
        <v>151</v>
      </c>
      <c r="E35" s="17" t="s">
        <v>152</v>
      </c>
      <c r="F35" s="17" t="s">
        <v>153</v>
      </c>
      <c r="G35" s="17" t="s">
        <v>154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193</v>
      </c>
      <c r="R35" s="18">
        <f>iferror(lookup(if(Q35="",H35,Q35),{0,1,25,1500},{0.0,1.35,1.316,1.316}),"")</f>
        <v>0</v>
      </c>
      <c r="S35" s="18">
        <f>iferror(if(Q35="",H35,Q35)*R35,"")</f>
        <v>0</v>
      </c>
      <c r="T35" s="19" t="s">
        <v>220</v>
      </c>
      <c r="U35" s="20" t="s">
        <v>193</v>
      </c>
      <c r="W35" s="18">
        <f>iferror(USD_GBP*lookup(if(V35="",H35,V35),{0,1,10,25,50,100,250,500,1000,2500},{0.0,1.24,1.24,1.14,1.06,1.04,1.02,1.01,0.996,0.981}),"")</f>
        <v>0</v>
      </c>
      <c r="X35" s="18">
        <f>iferror(if(V35="",H35,V35)*W35,"")</f>
        <v>0</v>
      </c>
      <c r="Y35" s="19" t="s">
        <v>244</v>
      </c>
      <c r="AE35" s="20" t="s">
        <v>193</v>
      </c>
      <c r="AG35" s="18">
        <f>iferror(lookup(if(AF35="",H35,AF35),{0,1,10,50,100,1000,10000},{0.0,1.35,1.35,1.3,1.25,1.25,1.17}),"")</f>
        <v>0</v>
      </c>
      <c r="AH35" s="18">
        <f>iferror(if(AF35="",H35,AF35)*AG35,"")</f>
        <v>0</v>
      </c>
      <c r="AI35" s="19" t="s">
        <v>283</v>
      </c>
      <c r="AJ35" s="20" t="s">
        <v>193</v>
      </c>
      <c r="AL35" s="18">
        <f>iferror(lookup(if(AK35="",H35,AK35),{0,1,10,25,50,100},{0.0,1.73,1.61,1.51,1.41,1.31}),"")</f>
        <v>0</v>
      </c>
      <c r="AM35" s="18">
        <f>iferror(if(AK35="",H35,AK35)*AL35,"")</f>
        <v>0</v>
      </c>
      <c r="AN35" s="19" t="s">
        <v>307</v>
      </c>
    </row>
    <row r="36" spans="1:50">
      <c r="A36" s="17" t="s">
        <v>155</v>
      </c>
      <c r="B36" s="17" t="s">
        <v>156</v>
      </c>
      <c r="C36" s="17" t="s">
        <v>157</v>
      </c>
      <c r="E36" s="17" t="s">
        <v>158</v>
      </c>
      <c r="F36" s="17" t="s">
        <v>57</v>
      </c>
      <c r="G36" s="17" t="s">
        <v>156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7318</v>
      </c>
      <c r="R36" s="18">
        <f>iferror(lookup(if(Q36="",H36,Q36),{0,1,10,25,100,250,500,1000,3000,6000},{0.0,0.66,0.577,0.542,0.411,0.3498,0.33232,0.2536,0.23611,0.231}),"")</f>
        <v>0</v>
      </c>
      <c r="S36" s="18">
        <f>iferror(if(Q36="",H36,Q36)*R36,"")</f>
        <v>0</v>
      </c>
      <c r="T36" s="19" t="s">
        <v>221</v>
      </c>
      <c r="U36" s="20" t="s">
        <v>193</v>
      </c>
      <c r="Y36" s="19" t="s">
        <v>245</v>
      </c>
      <c r="AE36" s="17">
        <v>3026</v>
      </c>
      <c r="AG36" s="18">
        <f>iferror(lookup(if(AF36="",H36,AF36),{0,1,10,50,100,1000,10000},{0.0,0.62,0.511,0.511,0.33,0.239,0.219}),"")</f>
        <v>0</v>
      </c>
      <c r="AH36" s="18">
        <f>iferror(if(AF36="",H36,AF36)*AG36,"")</f>
        <v>0</v>
      </c>
      <c r="AI36" s="19" t="s">
        <v>284</v>
      </c>
      <c r="AJ36" s="20" t="s">
        <v>193</v>
      </c>
      <c r="AL36" s="18">
        <f>iferror(lookup(if(AK36="",H36,AK36),{0,1,3000,9000,24000,45000},{0.0,0.292,0.292,0.285,0.264,0.246}),"")</f>
        <v>0</v>
      </c>
      <c r="AM36" s="18">
        <f>iferror(if(AK36="",H36,AK36)*AL36,"")</f>
        <v>0</v>
      </c>
      <c r="AN36" s="19" t="s">
        <v>308</v>
      </c>
    </row>
    <row r="37" spans="1:50">
      <c r="A37" s="17" t="s">
        <v>159</v>
      </c>
      <c r="B37" s="17" t="s">
        <v>160</v>
      </c>
      <c r="C37" s="17" t="s">
        <v>161</v>
      </c>
      <c r="E37" s="17" t="s">
        <v>162</v>
      </c>
      <c r="F37" s="17" t="s">
        <v>163</v>
      </c>
      <c r="G37" s="17" t="s">
        <v>160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20" t="s">
        <v>193</v>
      </c>
      <c r="R37" s="18">
        <f>iferror(lookup(if(Q37="",H37,Q37),{0,1,25,100,2000},{0.0,6.0,5.25,5.005,5.005}),"")</f>
        <v>0</v>
      </c>
      <c r="S37" s="18">
        <f>iferror(if(Q37="",H37,Q37)*R37,"")</f>
        <v>0</v>
      </c>
      <c r="T37" s="19" t="s">
        <v>222</v>
      </c>
      <c r="AE37" s="20" t="s">
        <v>193</v>
      </c>
      <c r="AG37" s="18">
        <f>iferror(lookup(if(AF37="",H37,AF37),{0,1,10,50,100,1000,10000},{0.0,6.06,6.06,5.31,5.06,5.06,5.05}),"")</f>
        <v>0</v>
      </c>
      <c r="AH37" s="18">
        <f>iferror(if(AF37="",H37,AF37)*AG37,"")</f>
        <v>0</v>
      </c>
      <c r="AI37" s="19" t="s">
        <v>285</v>
      </c>
    </row>
    <row r="38" spans="1:50">
      <c r="A38" s="17" t="s">
        <v>164</v>
      </c>
      <c r="B38" s="17" t="s">
        <v>165</v>
      </c>
      <c r="C38" s="17" t="s">
        <v>166</v>
      </c>
      <c r="D38" s="17" t="s">
        <v>169</v>
      </c>
      <c r="E38" s="17" t="s">
        <v>167</v>
      </c>
      <c r="F38" s="17" t="s">
        <v>168</v>
      </c>
      <c r="G38" s="17" t="s">
        <v>165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</row>
    <row r="40" spans="1:50">
      <c r="B40" s="21" t="s">
        <v>172</v>
      </c>
      <c r="I40" s="1" t="s">
        <v>170</v>
      </c>
      <c r="J40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K40" s="19" t="s">
        <v>189</v>
      </c>
      <c r="L40" s="6">
        <f>IFERROR(IF(OR(L7:L38),COUNTIFS(L7:L38,"&gt;0",N7:N38,"&lt;&gt;")&amp;" of "&amp;(ROWS(N7:N38)-COUNTBLANK(N7:N38))&amp;" parts purchased",""),"")</f>
        <v>0</v>
      </c>
      <c r="N40" s="5">
        <f>SUMIF(L7:L38,"&gt;0",N7:N38)</f>
        <v>0</v>
      </c>
      <c r="P40" s="19" t="s">
        <v>189</v>
      </c>
      <c r="Q40" s="6">
        <f>IFERROR(IF(OR(Q7:Q38),COUNTIFS(Q7:Q38,"&gt;0",S7:S38,"&lt;&gt;")&amp;" of "&amp;(ROWS(S7:S38)-COUNTBLANK(S7:S38))&amp;" parts purchased",""),"")</f>
        <v>0</v>
      </c>
      <c r="S40" s="5">
        <f>SUMIF(Q7:Q38,"&gt;0",S7:S38)</f>
        <v>0</v>
      </c>
      <c r="U40" s="19" t="s">
        <v>189</v>
      </c>
      <c r="V40" s="6">
        <f>IFERROR(IF(OR(V7:V38),COUNTIFS(V7:V38,"&gt;0",X7:X38,"&lt;&gt;")&amp;" of "&amp;(ROWS(X7:X38)-COUNTBLANK(X7:X38))&amp;" parts purchased",""),"")</f>
        <v>0</v>
      </c>
      <c r="X40" s="5">
        <f>SUMIF(V7:V38,"&gt;0",X7:X38)</f>
        <v>0</v>
      </c>
      <c r="Z40" s="19" t="s">
        <v>189</v>
      </c>
      <c r="AA40" s="6">
        <f>IFERROR(IF(OR(AA7:AA38),COUNTIFS(AA7:AA38,"&gt;0",AC7:AC38,"&lt;&gt;")&amp;" of "&amp;(ROWS(AC7:AC38)-COUNTBLANK(AC7:AC38))&amp;" parts purchased",""),"")</f>
        <v>0</v>
      </c>
      <c r="AC40" s="5">
        <f>SUMIF(AA7:AA38,"&gt;0",AC7:AC38)</f>
        <v>0</v>
      </c>
      <c r="AE40" s="19" t="s">
        <v>189</v>
      </c>
      <c r="AF40" s="6">
        <f>IFERROR(IF(OR(AF7:AF38),COUNTIFS(AF7:AF38,"&gt;0",AH7:AH38,"&lt;&gt;")&amp;" of "&amp;(ROWS(AH7:AH38)-COUNTBLANK(AH7:AH38))&amp;" parts purchased",""),"")</f>
        <v>0</v>
      </c>
      <c r="AH40" s="5">
        <f>SUMIF(AF7:AF38,"&gt;0",AH7:AH38)</f>
        <v>0</v>
      </c>
      <c r="AJ40" s="19" t="s">
        <v>189</v>
      </c>
      <c r="AK40" s="6">
        <f>IFERROR(IF(OR(AK7:AK38),COUNTIFS(AK7:AK38,"&gt;0",AM7:AM38,"&lt;&gt;")&amp;" of "&amp;(ROWS(AM7:AM38)-COUNTBLANK(AM7:AM38))&amp;" parts purchased",""),"")</f>
        <v>0</v>
      </c>
      <c r="AM40" s="5">
        <f>SUMIF(AK7:AK38,"&gt;0",AM7:AM38)</f>
        <v>0</v>
      </c>
      <c r="AO40" s="19" t="s">
        <v>189</v>
      </c>
      <c r="AP40" s="6">
        <f>IFERROR(IF(OR(AP7:AP38),COUNTIFS(AP7:AP38,"&gt;0",AR7:AR38,"&lt;&gt;")&amp;" of "&amp;(ROWS(AR7:AR38)-COUNTBLANK(AR7:AR38))&amp;" parts purchased",""),"")</f>
        <v>0</v>
      </c>
      <c r="AR40" s="5">
        <f>SUMIF(AP7:AP38,"&gt;0",AR7:AR38)</f>
        <v>0</v>
      </c>
      <c r="AT40" s="19" t="s">
        <v>189</v>
      </c>
      <c r="AU40" s="6">
        <f>IFERROR(IF(OR(AU7:AU38),COUNTIFS(AU7:AU38,"&gt;0",AW7:AW38,"&lt;&gt;")&amp;" of "&amp;(ROWS(AW7:AW38)-COUNTBLANK(AW7:AW38))&amp;" parts purchased",""),"")</f>
        <v>0</v>
      </c>
      <c r="AW40" s="5">
        <f>SUMIF(AU7:AU38,"&gt;0",AW7:AW38)</f>
        <v>0</v>
      </c>
    </row>
    <row r="41" spans="1:50">
      <c r="B41" s="21" t="s">
        <v>173</v>
      </c>
      <c r="C41">
        <v>1.293904700565222</v>
      </c>
      <c r="I41" s="21" t="s">
        <v>171</v>
      </c>
      <c r="L41">
        <f t="array" ref="L4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1">
        <f t="array" ref="Q4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1">
        <f t="array" ref="V4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1" s="6">
        <f>IFERROR(IF(COUNTIFS(AA7:AA38,"&gt;0",AC7:AC38,"&lt;&gt;")&gt;0,"Quantity,Comment,Designator,Footprint,LCSC Part #(optional)",""),"")</f>
        <v>0</v>
      </c>
      <c r="AF41">
        <f t="array" ref="AF4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1">
        <f t="array" ref="AK4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1">
        <f t="array" ref="AP4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1">
        <f t="array" ref="AU4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2" spans="1:50">
      <c r="L42">
        <f t="array" ref="L4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2">
        <f t="array" ref="Q4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2">
        <f t="array" ref="V4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2">
        <f t="array" ref="AA4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2">
        <f t="array" ref="AF4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2">
        <f t="array" ref="AK4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2">
        <f t="array" ref="AP4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2">
        <f t="array" ref="AU4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3" spans="1:50">
      <c r="A43" s="2" t="s">
        <v>324</v>
      </c>
      <c r="L43">
        <f t="array" ref="L4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3">
        <f t="array" ref="Q4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3">
        <f t="array" ref="V4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3">
        <f t="array" ref="AA4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3">
        <f t="array" ref="AF4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3">
        <f t="array" ref="AK4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3">
        <f t="array" ref="AP4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3">
        <f t="array" ref="AU4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4" spans="1:50">
      <c r="L44">
        <f t="array" ref="L4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4">
        <f t="array" ref="Q4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4">
        <f t="array" ref="V4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4">
        <f t="array" ref="AA4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4">
        <f t="array" ref="AF4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4">
        <f t="array" ref="AK4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4">
        <f t="array" ref="AP4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4">
        <f t="array" ref="AU4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5" spans="1:50">
      <c r="L45">
        <f t="array" ref="L4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5">
        <f t="array" ref="Q4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5">
        <f t="array" ref="V4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5">
        <f t="array" ref="AA4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5">
        <f t="array" ref="AF4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5">
        <f t="array" ref="AK4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5">
        <f t="array" ref="AP4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5">
        <f t="array" ref="AU4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6" spans="1:50">
      <c r="L46">
        <f t="array" ref="L4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6">
        <f t="array" ref="Q4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6">
        <f t="array" ref="V4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6">
        <f t="array" ref="AA4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6">
        <f t="array" ref="AF4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6">
        <f t="array" ref="AK4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6">
        <f t="array" ref="AP4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6">
        <f t="array" ref="AU4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7" spans="1:50">
      <c r="L47">
        <f t="array" ref="L4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7">
        <f t="array" ref="Q4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7">
        <f t="array" ref="V4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7">
        <f t="array" ref="AA4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7">
        <f t="array" ref="AF4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7">
        <f t="array" ref="AK4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7">
        <f t="array" ref="AP4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7">
        <f t="array" ref="AU4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8" spans="1:50">
      <c r="L48">
        <f t="array" ref="L4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8">
        <f t="array" ref="Q4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8">
        <f t="array" ref="V4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8">
        <f t="array" ref="AA4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8">
        <f t="array" ref="AF4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8">
        <f t="array" ref="AK4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8">
        <f t="array" ref="AP4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8">
        <f t="array" ref="AU4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49" spans="12:47">
      <c r="L49">
        <f t="array" ref="L4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49">
        <f t="array" ref="Q4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49">
        <f t="array" ref="V4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49">
        <f t="array" ref="AA4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49">
        <f t="array" ref="AF4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49">
        <f t="array" ref="AK4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49">
        <f t="array" ref="AP4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49">
        <f t="array" ref="AU4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0" spans="12:47">
      <c r="L50">
        <f t="array" ref="L5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0">
        <f t="array" ref="Q5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0">
        <f t="array" ref="V5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0">
        <f t="array" ref="AA5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0">
        <f t="array" ref="AF5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0">
        <f t="array" ref="AK5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0">
        <f t="array" ref="AP5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0">
        <f t="array" ref="AU5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1" spans="12:47">
      <c r="L51">
        <f t="array" ref="L5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1">
        <f t="array" ref="Q5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1">
        <f t="array" ref="V5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1">
        <f t="array" ref="AA5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1">
        <f t="array" ref="AF5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1">
        <f t="array" ref="AK5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1">
        <f t="array" ref="AP5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1">
        <f t="array" ref="AU5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2" spans="12:47">
      <c r="L52">
        <f t="array" ref="L5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2">
        <f t="array" ref="Q5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2">
        <f t="array" ref="V5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2">
        <f t="array" ref="AA5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2">
        <f t="array" ref="AF5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2">
        <f t="array" ref="AK5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2">
        <f t="array" ref="AP5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2">
        <f t="array" ref="AU5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3" spans="12:47">
      <c r="L53">
        <f t="array" ref="L5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3">
        <f t="array" ref="Q5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3">
        <f t="array" ref="V5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3">
        <f t="array" ref="AA5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3">
        <f t="array" ref="AF5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3">
        <f t="array" ref="AK5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3">
        <f t="array" ref="AP5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3">
        <f t="array" ref="AU5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4" spans="12:47">
      <c r="L54">
        <f t="array" ref="L5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4">
        <f t="array" ref="Q5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4">
        <f t="array" ref="V5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4">
        <f t="array" ref="AA5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4">
        <f t="array" ref="AF5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4">
        <f t="array" ref="AK5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4">
        <f t="array" ref="AP5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4">
        <f t="array" ref="AU5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5" spans="12:47">
      <c r="L55">
        <f t="array" ref="L5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5">
        <f t="array" ref="Q5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5">
        <f t="array" ref="V5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5">
        <f t="array" ref="AA5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5">
        <f t="array" ref="AF5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5">
        <f t="array" ref="AK5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5">
        <f t="array" ref="AP5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5">
        <f t="array" ref="AU5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6" spans="12:47">
      <c r="L56">
        <f t="array" ref="L5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6">
        <f t="array" ref="Q5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6">
        <f t="array" ref="V5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6">
        <f t="array" ref="AA5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6">
        <f t="array" ref="AF5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6">
        <f t="array" ref="AK5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6">
        <f t="array" ref="AP5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6">
        <f t="array" ref="AU5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7" spans="12:47">
      <c r="L57">
        <f t="array" ref="L5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7">
        <f t="array" ref="Q5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7">
        <f t="array" ref="V5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7">
        <f t="array" ref="AA5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7">
        <f t="array" ref="AF5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7">
        <f t="array" ref="AK5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7">
        <f t="array" ref="AP5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7">
        <f t="array" ref="AU5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8" spans="12:47">
      <c r="L58">
        <f t="array" ref="L5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8">
        <f t="array" ref="Q5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8">
        <f t="array" ref="V5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8">
        <f t="array" ref="AA5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8">
        <f t="array" ref="AF5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8">
        <f t="array" ref="AK5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8">
        <f t="array" ref="AP5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8">
        <f t="array" ref="AU5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59" spans="12:47">
      <c r="L59">
        <f t="array" ref="L5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59">
        <f t="array" ref="Q5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59">
        <f t="array" ref="V5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59">
        <f t="array" ref="AA5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59">
        <f t="array" ref="AF5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59">
        <f t="array" ref="AK5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59">
        <f t="array" ref="AP5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59">
        <f t="array" ref="AU5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0" spans="12:47">
      <c r="L60">
        <f t="array" ref="L6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0">
        <f t="array" ref="Q6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0">
        <f t="array" ref="V6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0">
        <f t="array" ref="AA6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0">
        <f t="array" ref="AF6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0">
        <f t="array" ref="AK6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0">
        <f t="array" ref="AP6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0">
        <f t="array" ref="AU6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1" spans="12:47">
      <c r="L61">
        <f t="array" ref="L6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1">
        <f t="array" ref="Q6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1">
        <f t="array" ref="V6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1">
        <f t="array" ref="AA6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1">
        <f t="array" ref="AF6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1">
        <f t="array" ref="AK6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1">
        <f t="array" ref="AP6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1">
        <f t="array" ref="AU6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2" spans="12:47">
      <c r="L62">
        <f t="array" ref="L6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2">
        <f t="array" ref="Q6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2">
        <f t="array" ref="V6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2">
        <f t="array" ref="AA6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2">
        <f t="array" ref="AF6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2">
        <f t="array" ref="AK6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2">
        <f t="array" ref="AP6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2">
        <f t="array" ref="AU6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3" spans="12:47">
      <c r="L63">
        <f t="array" ref="L63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3">
        <f t="array" ref="Q63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3">
        <f t="array" ref="V63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3">
        <f t="array" ref="AA6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3">
        <f t="array" ref="AF63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3">
        <f t="array" ref="AK63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3">
        <f t="array" ref="AP63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3">
        <f t="array" ref="AU63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4" spans="12:47">
      <c r="L64">
        <f t="array" ref="L64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4">
        <f t="array" ref="Q64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4">
        <f t="array" ref="V64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4">
        <f t="array" ref="AA64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4">
        <f t="array" ref="AF64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4">
        <f t="array" ref="AK64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4">
        <f t="array" ref="AP64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4">
        <f t="array" ref="AU64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5" spans="12:47">
      <c r="L65">
        <f t="array" ref="L65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5">
        <f t="array" ref="Q65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5">
        <f t="array" ref="V65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5">
        <f t="array" ref="AA65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5">
        <f t="array" ref="AF65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5">
        <f t="array" ref="AK65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5">
        <f t="array" ref="AP65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5">
        <f t="array" ref="AU65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6" spans="12:47">
      <c r="L66">
        <f t="array" ref="L66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6">
        <f t="array" ref="Q66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6">
        <f t="array" ref="V66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6">
        <f t="array" ref="AA66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6">
        <f t="array" ref="AF66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6">
        <f t="array" ref="AK66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6">
        <f t="array" ref="AP66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6">
        <f t="array" ref="AU66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7" spans="12:47">
      <c r="L67">
        <f t="array" ref="L67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7">
        <f t="array" ref="Q67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7">
        <f t="array" ref="V67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7">
        <f t="array" ref="AA67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7">
        <f t="array" ref="AF67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7">
        <f t="array" ref="AK67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7">
        <f t="array" ref="AP67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7">
        <f t="array" ref="AU67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8" spans="12:47">
      <c r="L68">
        <f t="array" ref="L68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8">
        <f t="array" ref="Q68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8">
        <f t="array" ref="V68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8">
        <f t="array" ref="AA68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8">
        <f t="array" ref="AF68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8">
        <f t="array" ref="AK68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8">
        <f t="array" ref="AP68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8">
        <f t="array" ref="AU68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69" spans="12:47">
      <c r="L69">
        <f t="array" ref="L69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69">
        <f t="array" ref="Q69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69">
        <f t="array" ref="V69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69">
        <f t="array" ref="AA69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69">
        <f t="array" ref="AF69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69">
        <f t="array" ref="AK69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69">
        <f t="array" ref="AP69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69">
        <f t="array" ref="AU69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0" spans="12:47">
      <c r="L70">
        <f t="array" ref="L70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0">
        <f t="array" ref="Q70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0">
        <f t="array" ref="V70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0">
        <f t="array" ref="AA70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0">
        <f t="array" ref="AF70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0">
        <f t="array" ref="AK70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0">
        <f t="array" ref="AP70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0">
        <f t="array" ref="AU70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1" spans="12:47">
      <c r="L71">
        <f t="array" ref="L71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1">
        <f t="array" ref="Q71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1">
        <f t="array" ref="V71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1">
        <f t="array" ref="AA71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1">
        <f t="array" ref="AF71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1">
        <f t="array" ref="AK71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1">
        <f t="array" ref="AP71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1">
        <f t="array" ref="AU71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2" spans="12:47">
      <c r="L72">
        <f t="array" ref="L72">IFERROR(CONCATENATE(INDEX(O7:O38,SMALL(IF(ISNUMBER(L7:L38),IF(L7:L38&gt;0,IF(O7:O38&lt;&gt;"",ROW(L7:L38)-MIN(ROW(L7:L38))+1))),ROW()-ROW(A$41)+1)),",",TEXT(INDEX(L7:L38,SMALL(IF(ISNUMBER(L7:L38),IF(L7:L38&gt;0,IF(O7:O38&lt;&gt;"",ROW(L7:L38)-MIN(ROW(L7:L38))+1))),ROW()-ROW(A$41)+1)),"##0"),",",SUBSTITUTE(INDEX(IF(PURCHASE_DESCRIPTION&lt;&gt;"",PURCHASE_DESCRIPTION&amp;":","")&amp;A7:A38,SMALL(IF(ISNUMBER(L7:L38),IF(L7:L38&gt;0,IF(O7:O38&lt;&gt;"",ROW(L7:L38)-MIN(ROW(L7:L38))+1))),ROW()-ROW(A$41)+1)),",",";")),"")</f>
        <v>0</v>
      </c>
      <c r="Q72">
        <f t="array" ref="Q72">IFERROR(CONCATENATE(TEXT(INDEX(Q7:Q38,SMALL(IF(ISNUMBER(Q7:Q38),IF(Q7:Q38&gt;0,IF(T7:T38&lt;&gt;"",ROW(Q7:Q38)-MIN(ROW(Q7:Q38))+1))),ROW()-ROW(A$41)+1)),"##0"),",",INDEX(T7:T38,SMALL(IF(ISNUMBER(Q7:Q38),IF(Q7:Q38&gt;0,IF(T7:T38&lt;&gt;"",ROW(Q7:Q38)-MIN(ROW(Q7:Q38))+1))),ROW()-ROW(A$41)+1)),",",SUBSTITUTE(INDEX(IF(PURCHASE_DESCRIPTION&lt;&gt;"",PURCHASE_DESCRIPTION&amp;":","")&amp;A7:A38,SMALL(IF(ISNUMBER(Q7:Q38),IF(Q7:Q38&gt;0,IF(T7:T38&lt;&gt;"",ROW(Q7:Q38)-MIN(ROW(Q7:Q38))+1))),ROW()-ROW(A$41)+1)),",",";")),"")</f>
        <v>0</v>
      </c>
      <c r="V72">
        <f t="array" ref="V72">IFERROR(CONCATENATE(INDEX(Y7:Y38,SMALL(IF(ISNUMBER(V7:V38),IF(V7:V38&gt;0,IF(Y7:Y38&lt;&gt;"",ROW(V7:V38)-MIN(ROW(V7:V38))+1))),ROW()-ROW(A$41)+1)),",",TEXT(INDEX(V7:V38,SMALL(IF(ISNUMBER(V7:V38),IF(V7:V38&gt;0,IF(Y7:Y38&lt;&gt;"",ROW(V7:V38)-MIN(ROW(V7:V38))+1))),ROW()-ROW(A$41)+1)),"##0"),",",SUBSTITUTE(SUBSTITUTE(INDEX(IF(PURCHASE_DESCRIPTION&lt;&gt;"",PURCHASE_DESCRIPTION&amp;":","")&amp;A7:A38,SMALL(IF(ISNUMBER(V7:V38),IF(V7:V38&gt;0,IF(Y7:Y38&lt;&gt;"",ROW(V7:V38)-MIN(ROW(V7:V38))+1))),ROW()-ROW(A$41)+1)),",",";"),"
",";"),",",SUBSTITUTE(SUBSTITUTE(INDEX(IF(PURCHASE_DESCRIPTION&lt;&gt;"",PURCHASE_DESCRIPTION&amp;":","")&amp;C7:C38,SMALL(IF(ISNUMBER(V7:V38),IF(V7:V38&gt;0,IF(Y7:Y38&lt;&gt;"",ROW(V7:V38)-MIN(ROW(V7:V38))+1))),ROW()-ROW(A$41)+1)),",",";"),"
",";"),",",SUBSTITUTE(SUBSTITUTE(INDEX(IF(PURCHASE_DESCRIPTION&lt;&gt;"",PURCHASE_DESCRIPTION&amp;":","")&amp;F7:F38,SMALL(IF(ISNUMBER(V7:V38),IF(V7:V38&gt;0,IF(Y7:Y38&lt;&gt;"",ROW(V7:V38)-MIN(ROW(V7:V38))+1))),ROW()-ROW(A$41)+1)),",",";"),"
",";"),",",SUBSTITUTE(SUBSTITUTE(INDEX(IF(PURCHASE_DESCRIPTION&lt;&gt;"",PURCHASE_DESCRIPTION&amp;":","")&amp;D7:D38,SMALL(IF(ISNUMBER(V7:V38),IF(V7:V38&gt;0,IF(Y7:Y38&lt;&gt;"",ROW(V7:V38)-MIN(ROW(V7:V38))+1))),ROW()-ROW(A$41)+1)),",",";"),"
",";")),"")</f>
        <v>0</v>
      </c>
      <c r="AA72">
        <f t="array" ref="AA72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  <c r="AF72">
        <f t="array" ref="AF72">IFERROR(CONCATENATE(INDEX(AI7:AI38,SMALL(IF(ISNUMBER(AF7:AF38),IF(AF7:AF38&gt;0,IF(AI7:AI38&lt;&gt;"",ROW(AF7:AF38)-MIN(ROW(AF7:AF38))+1))),ROW()-ROW(A$41)+1)),"|",TEXT(INDEX(AF7:AF38,SMALL(IF(ISNUMBER(AF7:AF38),IF(AF7:AF38&gt;0,IF(AI7:AI38&lt;&gt;"",ROW(AF7:AF38)-MIN(ROW(AF7:AF38))+1))),ROW()-ROW(A$41)+1)),"##0"),"|",SUBSTITUTE(SUBSTITUTE(INDEX(IF(PURCHASE_DESCRIPTION&lt;&gt;"",PURCHASE_DESCRIPTION&amp;":","")&amp;A7:A38,SMALL(IF(ISNUMBER(AF7:AF38),IF(AF7:AF38&gt;0,IF(AI7:AI38&lt;&gt;"",ROW(AF7:AF38)-MIN(ROW(AF7:AF38))+1))),ROW()-ROW(A$41)+1)),"|",";")," ","_")),"")</f>
        <v>0</v>
      </c>
      <c r="AK72">
        <f t="array" ref="AK72">IFERROR(CONCATENATE(INDEX(AN7:AN38,SMALL(IF(ISNUMBER(AK7:AK38),IF(AK7:AK38&gt;0,IF(AN7:AN38&lt;&gt;"",ROW(AK7:AK38)-MIN(ROW(AK7:AK38))+1))),ROW()-ROW(A$41)+1)),",",TEXT(INDEX(AK7:AK38,SMALL(IF(ISNUMBER(AK7:AK38),IF(AK7:AK38&gt;0,IF(AN7:AN38&lt;&gt;"",ROW(AK7:AK38)-MIN(ROW(AK7:AK38))+1))),ROW()-ROW(A$41)+1)),"##0"),",",SUBSTITUTE(SUBSTITUTE(INDEX(IF(PURCHASE_DESCRIPTION&lt;&gt;"",PURCHASE_DESCRIPTION&amp;":","")&amp;A7:A38,SMALL(IF(ISNUMBER(AK7:AK38),IF(AK7:AK38&gt;0,IF(AN7:AN38&lt;&gt;"",ROW(AK7:AK38)-MIN(ROW(AK7:AK38))+1))),ROW()-ROW(A$41)+1)),",",";"),"
",";"),",",SUBSTITUTE(SUBSTITUTE(INDEX(IF(PURCHASE_DESCRIPTION&lt;&gt;"",PURCHASE_DESCRIPTION&amp;":","")&amp;C7:C38,SMALL(IF(ISNUMBER(AK7:AK38),IF(AK7:AK38&gt;0,IF(AN7:AN38&lt;&gt;"",ROW(AK7:AK38)-MIN(ROW(AK7:AK38))+1))),ROW()-ROW(A$41)+1)),",",";"),"
",";"),",",SUBSTITUTE(SUBSTITUTE(INDEX(IF(PURCHASE_DESCRIPTION&lt;&gt;"",PURCHASE_DESCRIPTION&amp;":","")&amp;F7:F38,SMALL(IF(ISNUMBER(AK7:AK38),IF(AK7:AK38&gt;0,IF(AN7:AN38&lt;&gt;"",ROW(AK7:AK38)-MIN(ROW(AK7:AK38))+1))),ROW()-ROW(A$41)+1)),",",";"),"
",";"),",",SUBSTITUTE(SUBSTITUTE(INDEX(IF(PURCHASE_DESCRIPTION&lt;&gt;"",PURCHASE_DESCRIPTION&amp;":","")&amp;D7:D38,SMALL(IF(ISNUMBER(AK7:AK38),IF(AK7:AK38&gt;0,IF(AN7:AN38&lt;&gt;"",ROW(AK7:AK38)-MIN(ROW(AK7:AK38))+1))),ROW()-ROW(A$41)+1)),",",";"),"
",";")),"")</f>
        <v>0</v>
      </c>
      <c r="AP72">
        <f t="array" ref="AP72">IFERROR(CONCATENATE(INDEX(AS7:AS38,SMALL(IF(ISNUMBER(AP7:AP38),IF(AP7:AP38&gt;0,IF(AS7:AS38&lt;&gt;"",ROW(AP7:AP38)-MIN(ROW(AP7:AP38))+1))),ROW()-ROW(A$41)+1)),",",TEXT(INDEX(AP7:AP38,SMALL(IF(ISNUMBER(AP7:AP38),IF(AP7:AP38&gt;0,IF(AS7:AS38&lt;&gt;"",ROW(AP7:AP38)-MIN(ROW(AP7:AP38))+1))),ROW()-ROW(A$41)+1)),"##0"),",",,",",,",",,",",INDEX(G7:G38,SMALL(IF(ISNUMBER(AP7:AP38),IF(AP7:AP38&gt;0,IF(AS7:AS38&lt;&gt;"",ROW(AP7:AP38)-MIN(ROW(AP7:AP38))+1))),ROW()-ROW(A$41)+1)),",",SUBSTITUTE(INDEX(IF(PURCHASE_DESCRIPTION&lt;&gt;"",PURCHASE_DESCRIPTION&amp;":","")&amp;A7:A38,SMALL(IF(ISNUMBER(AP7:AP38),IF(AP7:AP38&gt;0,IF(AS7:AS38&lt;&gt;"",ROW(AP7:AP38)-MIN(ROW(AP7:AP38))+1))),ROW()-ROW(A$41)+1)),",",";")),"")</f>
        <v>0</v>
      </c>
      <c r="AU72">
        <f t="array" ref="AU72">IFERROR(CONCATENATE(INDEX(AX7:AX38,SMALL(IF(ISNUMBER(AU7:AU38),IF(AU7:AU38&gt;0,IF(AX7:AX38&lt;&gt;"",ROW(AU7:AU38)-MIN(ROW(AU7:AU38))+1))),ROW()-ROW(A$41)+1))," ",TEXT(INDEX(AU7:AU38,SMALL(IF(ISNUMBER(AU7:AU38),IF(AU7:AU38&gt;0,IF(AX7:AX38&lt;&gt;"",ROW(AU7:AU38)-MIN(ROW(AU7:AU38))+1))),ROW()-ROW(A$41)+1)),"##0")," ",SUBSTITUTE(INDEX(IF(PURCHASE_DESCRIPTION&lt;&gt;"",PURCHASE_DESCRIPTION&amp;":","")&amp;A7:A38,SMALL(IF(ISNUMBER(AU7:AU38),IF(AU7:AU38&gt;0,IF(AX7:AX38&lt;&gt;"",ROW(AU7:AU38)-MIN(ROW(AU7:AU38))+1))),ROW()-ROW(A$41)+1))," ",";")),"")</f>
        <v>0</v>
      </c>
    </row>
    <row r="73" spans="12:47">
      <c r="AA73">
        <f t="array" ref="AA73">IFERROR(CONCATENATE(TEXT(INDEX(AA7:AA38,SMALL(IF(ISNUMBER(AA7:AA38),IF(AA7:AA38&gt;0,IF(AD7:AD38&lt;&gt;"",ROW(AA7:AA38)-MIN(ROW(AA7:AA38))+1))),ROW()-ROW(A$42)+1)),"##0"),",",SUBSTITUTE(INDEX(IF(PURCHASE_DESCRIPTION&lt;&gt;"",PURCHASE_DESCRIPTION&amp;":","")&amp;A7:A38,SMALL(IF(ISNUMBER(AA7:AA38),IF(AA7:AA38&gt;0,IF(AD7:AD38&lt;&gt;"",ROW(AA7:AA38)-MIN(ROW(AA7:AA38))+1))),ROW()-ROW(A$42)+1)),",",";"),",",SUBSTITUTE(INDEX(IF(PURCHASE_DESCRIPTION&lt;&gt;"",PURCHASE_DESCRIPTION&amp;":","")&amp;E7:E38,SMALL(IF(ISNUMBER(AA7:AA38),IF(AA7:AA38&gt;0,IF(AD7:AD38&lt;&gt;"",ROW(AA7:AA38)-MIN(ROW(AA7:AA38))+1))),ROW()-ROW(A$42)+1)),",",";"),",",INDEX(AD7:AD38,SMALL(IF(ISNUMBER(AA7:AA38),IF(AA7:AA38&gt;0,IF(AD7:AD38&lt;&gt;"",ROW(AA7:AA38)-MIN(ROW(AA7:AA38))+1))),ROW()-ROW(A$42)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1">
    <cfRule type="expression" dxfId="3" priority="425">
      <formula>AND(AA11&gt;0,AA11&lt;5)</formula>
    </cfRule>
    <cfRule type="cellIs" dxfId="1" priority="426" operator="greaterThan">
      <formula>Z11</formula>
    </cfRule>
  </conditionalFormatting>
  <conditionalFormatting sqref="AA12">
    <cfRule type="expression" dxfId="3" priority="431">
      <formula>AND(AA12&gt;0,AA12&lt;10)</formula>
    </cfRule>
    <cfRule type="cellIs" dxfId="1" priority="432" operator="greaterThan">
      <formula>Z12</formula>
    </cfRule>
  </conditionalFormatting>
  <conditionalFormatting sqref="AA13">
    <cfRule type="expression" dxfId="3" priority="437">
      <formula>AND(AA13&gt;0,AA13&lt;50)</formula>
    </cfRule>
    <cfRule type="cellIs" dxfId="1" priority="438" operator="greaterThan">
      <formula>Z13</formula>
    </cfRule>
  </conditionalFormatting>
  <conditionalFormatting sqref="AA15">
    <cfRule type="cellIs" dxfId="1" priority="443" operator="greaterThan">
      <formula>Z15</formula>
    </cfRule>
  </conditionalFormatting>
  <conditionalFormatting sqref="AA22">
    <cfRule type="expression" dxfId="3" priority="448">
      <formula>AND(AA22&gt;0,AA22&lt;50)</formula>
    </cfRule>
    <cfRule type="cellIs" dxfId="1" priority="449" operator="greaterThan">
      <formula>Z22</formula>
    </cfRule>
  </conditionalFormatting>
  <conditionalFormatting sqref="AA25">
    <cfRule type="expression" dxfId="3" priority="454">
      <formula>AND(AA25&gt;0,AA25&lt;50)</formula>
    </cfRule>
    <cfRule type="cellIs" dxfId="1" priority="455" operator="greaterThan">
      <formula>Z25</formula>
    </cfRule>
  </conditionalFormatting>
  <conditionalFormatting sqref="AA27">
    <cfRule type="expression" dxfId="3" priority="460">
      <formula>AND(AA27&gt;0,AA27&lt;50)</formula>
    </cfRule>
    <cfRule type="cellIs" dxfId="1" priority="461" operator="greaterThan">
      <formula>Z27</formula>
    </cfRule>
  </conditionalFormatting>
  <conditionalFormatting sqref="AA29">
    <cfRule type="cellIs" dxfId="1" priority="466" operator="greaterThan">
      <formula>Z29</formula>
    </cfRule>
  </conditionalFormatting>
  <conditionalFormatting sqref="AA8">
    <cfRule type="expression" dxfId="3" priority="413">
      <formula>AND(AA8&gt;0,AA8&lt;10)</formula>
    </cfRule>
    <cfRule type="cellIs" dxfId="1" priority="414" operator="greaterThan">
      <formula>Z8</formula>
    </cfRule>
  </conditionalFormatting>
  <conditionalFormatting sqref="AA9">
    <cfRule type="expression" dxfId="3" priority="419">
      <formula>AND(AA9&gt;0,AA9&lt;20)</formula>
    </cfRule>
    <cfRule type="cellIs" dxfId="1" priority="420" operator="greaterThan">
      <formula>Z9</formula>
    </cfRule>
  </conditionalFormatting>
  <conditionalFormatting sqref="AB11">
    <cfRule type="cellIs" dxfId="4" priority="428" operator="lessThanOrEqual">
      <formula>I11</formula>
    </cfRule>
  </conditionalFormatting>
  <conditionalFormatting sqref="AB12">
    <cfRule type="cellIs" dxfId="4" priority="434" operator="lessThanOrEqual">
      <formula>I12</formula>
    </cfRule>
  </conditionalFormatting>
  <conditionalFormatting sqref="AB13">
    <cfRule type="cellIs" dxfId="4" priority="440" operator="lessThanOrEqual">
      <formula>I13</formula>
    </cfRule>
  </conditionalFormatting>
  <conditionalFormatting sqref="AB15">
    <cfRule type="cellIs" dxfId="4" priority="445" operator="lessThanOrEqual">
      <formula>I15</formula>
    </cfRule>
  </conditionalFormatting>
  <conditionalFormatting sqref="AB22">
    <cfRule type="cellIs" dxfId="4" priority="451" operator="lessThanOrEqual">
      <formula>I22</formula>
    </cfRule>
  </conditionalFormatting>
  <conditionalFormatting sqref="AB25">
    <cfRule type="cellIs" dxfId="4" priority="457" operator="lessThanOrEqual">
      <formula>I25</formula>
    </cfRule>
  </conditionalFormatting>
  <conditionalFormatting sqref="AB27">
    <cfRule type="cellIs" dxfId="4" priority="463" operator="lessThanOrEqual">
      <formula>I27</formula>
    </cfRule>
  </conditionalFormatting>
  <conditionalFormatting sqref="AB29">
    <cfRule type="cellIs" dxfId="4" priority="468" operator="lessThanOrEqual">
      <formula>I29</formula>
    </cfRule>
  </conditionalFormatting>
  <conditionalFormatting sqref="AB8">
    <cfRule type="cellIs" dxfId="4" priority="416" operator="lessThanOrEqual">
      <formula>I8</formula>
    </cfRule>
  </conditionalFormatting>
  <conditionalFormatting sqref="AB9">
    <cfRule type="cellIs" dxfId="4" priority="422" operator="lessThanOrEqual">
      <formula>I9</formula>
    </cfRule>
  </conditionalFormatting>
  <conditionalFormatting sqref="AC11">
    <cfRule type="cellIs" dxfId="4" priority="427" operator="lessThanOrEqual">
      <formula>J11</formula>
    </cfRule>
  </conditionalFormatting>
  <conditionalFormatting sqref="AC12">
    <cfRule type="cellIs" dxfId="4" priority="433" operator="lessThanOrEqual">
      <formula>J12</formula>
    </cfRule>
  </conditionalFormatting>
  <conditionalFormatting sqref="AC13">
    <cfRule type="cellIs" dxfId="4" priority="439" operator="lessThanOrEqual">
      <formula>J13</formula>
    </cfRule>
  </conditionalFormatting>
  <conditionalFormatting sqref="AC15">
    <cfRule type="cellIs" dxfId="4" priority="444" operator="lessThanOrEqual">
      <formula>J15</formula>
    </cfRule>
  </conditionalFormatting>
  <conditionalFormatting sqref="AC22">
    <cfRule type="cellIs" dxfId="4" priority="450" operator="lessThanOrEqual">
      <formula>J22</formula>
    </cfRule>
  </conditionalFormatting>
  <conditionalFormatting sqref="AC25">
    <cfRule type="cellIs" dxfId="4" priority="456" operator="lessThanOrEqual">
      <formula>J25</formula>
    </cfRule>
  </conditionalFormatting>
  <conditionalFormatting sqref="AC27">
    <cfRule type="cellIs" dxfId="4" priority="462" operator="lessThanOrEqual">
      <formula>J27</formula>
    </cfRule>
  </conditionalFormatting>
  <conditionalFormatting sqref="AC29">
    <cfRule type="cellIs" dxfId="4" priority="467" operator="lessThanOrEqual">
      <formula>J29</formula>
    </cfRule>
  </conditionalFormatting>
  <conditionalFormatting sqref="AC8">
    <cfRule type="cellIs" dxfId="4" priority="415" operator="lessThanOrEqual">
      <formula>J8</formula>
    </cfRule>
  </conditionalFormatting>
  <conditionalFormatting sqref="AC9">
    <cfRule type="cellIs" dxfId="4" priority="421" operator="lessThanOrEqual">
      <formula>J9</formula>
    </cfRule>
  </conditionalFormatting>
  <conditionalFormatting sqref="AE10">
    <cfRule type="cellIs" dxfId="1" priority="484" operator="equal">
      <formula>0</formula>
    </cfRule>
    <cfRule type="cellIs" dxfId="2" priority="485" operator="lessThan">
      <formula>H10</formula>
    </cfRule>
  </conditionalFormatting>
  <conditionalFormatting sqref="AE11">
    <cfRule type="cellIs" dxfId="1" priority="489" operator="equal">
      <formula>0</formula>
    </cfRule>
    <cfRule type="cellIs" dxfId="2" priority="490" operator="lessThan">
      <formula>H11</formula>
    </cfRule>
  </conditionalFormatting>
  <conditionalFormatting sqref="AE12">
    <cfRule type="cellIs" dxfId="1" priority="494" operator="equal">
      <formula>0</formula>
    </cfRule>
    <cfRule type="cellIs" dxfId="2" priority="495" operator="lessThan">
      <formula>H12</formula>
    </cfRule>
  </conditionalFormatting>
  <conditionalFormatting sqref="AE13">
    <cfRule type="cellIs" dxfId="1" priority="499" operator="equal">
      <formula>0</formula>
    </cfRule>
    <cfRule type="cellIs" dxfId="2" priority="500" operator="lessThan">
      <formula>H13</formula>
    </cfRule>
  </conditionalFormatting>
  <conditionalFormatting sqref="AE14">
    <cfRule type="cellIs" dxfId="1" priority="504" operator="equal">
      <formula>0</formula>
    </cfRule>
    <cfRule type="cellIs" dxfId="2" priority="505" operator="lessThan">
      <formula>H14</formula>
    </cfRule>
  </conditionalFormatting>
  <conditionalFormatting sqref="AE15">
    <cfRule type="cellIs" dxfId="1" priority="509" operator="equal">
      <formula>0</formula>
    </cfRule>
    <cfRule type="cellIs" dxfId="2" priority="510" operator="lessThan">
      <formula>H15</formula>
    </cfRule>
  </conditionalFormatting>
  <conditionalFormatting sqref="AE16">
    <cfRule type="cellIs" dxfId="1" priority="514" operator="equal">
      <formula>0</formula>
    </cfRule>
    <cfRule type="cellIs" dxfId="2" priority="515" operator="lessThan">
      <formula>H16</formula>
    </cfRule>
  </conditionalFormatting>
  <conditionalFormatting sqref="AE17">
    <cfRule type="cellIs" dxfId="1" priority="519" operator="equal">
      <formula>0</formula>
    </cfRule>
    <cfRule type="cellIs" dxfId="2" priority="520" operator="lessThan">
      <formula>H17</formula>
    </cfRule>
  </conditionalFormatting>
  <conditionalFormatting sqref="AE20">
    <cfRule type="cellIs" dxfId="1" priority="524" operator="equal">
      <formula>0</formula>
    </cfRule>
    <cfRule type="cellIs" dxfId="2" priority="525" operator="lessThan">
      <formula>H20</formula>
    </cfRule>
  </conditionalFormatting>
  <conditionalFormatting sqref="AE21">
    <cfRule type="cellIs" dxfId="1" priority="529" operator="equal">
      <formula>0</formula>
    </cfRule>
    <cfRule type="cellIs" dxfId="2" priority="530" operator="lessThan">
      <formula>H21</formula>
    </cfRule>
  </conditionalFormatting>
  <conditionalFormatting sqref="AE22">
    <cfRule type="cellIs" dxfId="1" priority="534" operator="equal">
      <formula>0</formula>
    </cfRule>
    <cfRule type="cellIs" dxfId="2" priority="535" operator="lessThan">
      <formula>H22</formula>
    </cfRule>
  </conditionalFormatting>
  <conditionalFormatting sqref="AE23">
    <cfRule type="cellIs" dxfId="1" priority="539" operator="equal">
      <formula>0</formula>
    </cfRule>
    <cfRule type="cellIs" dxfId="2" priority="540" operator="lessThan">
      <formula>H23</formula>
    </cfRule>
  </conditionalFormatting>
  <conditionalFormatting sqref="AE24">
    <cfRule type="cellIs" dxfId="1" priority="544" operator="equal">
      <formula>0</formula>
    </cfRule>
    <cfRule type="cellIs" dxfId="2" priority="545" operator="lessThan">
      <formula>H24</formula>
    </cfRule>
  </conditionalFormatting>
  <conditionalFormatting sqref="AE25">
    <cfRule type="cellIs" dxfId="1" priority="549" operator="equal">
      <formula>0</formula>
    </cfRule>
    <cfRule type="cellIs" dxfId="2" priority="550" operator="lessThan">
      <formula>H25</formula>
    </cfRule>
  </conditionalFormatting>
  <conditionalFormatting sqref="AE26">
    <cfRule type="cellIs" dxfId="1" priority="554" operator="equal">
      <formula>0</formula>
    </cfRule>
    <cfRule type="cellIs" dxfId="2" priority="555" operator="lessThan">
      <formula>H26</formula>
    </cfRule>
  </conditionalFormatting>
  <conditionalFormatting sqref="AE27">
    <cfRule type="cellIs" dxfId="1" priority="559" operator="equal">
      <formula>0</formula>
    </cfRule>
    <cfRule type="cellIs" dxfId="2" priority="560" operator="lessThan">
      <formula>H27</formula>
    </cfRule>
  </conditionalFormatting>
  <conditionalFormatting sqref="AE28">
    <cfRule type="cellIs" dxfId="1" priority="564" operator="equal">
      <formula>0</formula>
    </cfRule>
    <cfRule type="cellIs" dxfId="2" priority="565" operator="lessThan">
      <formula>H28</formula>
    </cfRule>
  </conditionalFormatting>
  <conditionalFormatting sqref="AE29">
    <cfRule type="cellIs" dxfId="1" priority="569" operator="equal">
      <formula>0</formula>
    </cfRule>
    <cfRule type="cellIs" dxfId="2" priority="570" operator="lessThan">
      <formula>H29</formula>
    </cfRule>
  </conditionalFormatting>
  <conditionalFormatting sqref="AE31">
    <cfRule type="cellIs" dxfId="1" priority="574" operator="equal">
      <formula>0</formula>
    </cfRule>
    <cfRule type="cellIs" dxfId="2" priority="575" operator="lessThan">
      <formula>H31</formula>
    </cfRule>
  </conditionalFormatting>
  <conditionalFormatting sqref="AE32">
    <cfRule type="cellIs" dxfId="1" priority="579" operator="equal">
      <formula>0</formula>
    </cfRule>
    <cfRule type="cellIs" dxfId="2" priority="580" operator="lessThan">
      <formula>H32</formula>
    </cfRule>
  </conditionalFormatting>
  <conditionalFormatting sqref="AE33">
    <cfRule type="cellIs" dxfId="1" priority="584" operator="equal">
      <formula>0</formula>
    </cfRule>
    <cfRule type="cellIs" dxfId="2" priority="585" operator="lessThan">
      <formula>H33</formula>
    </cfRule>
  </conditionalFormatting>
  <conditionalFormatting sqref="AE34">
    <cfRule type="cellIs" dxfId="1" priority="589" operator="equal">
      <formula>0</formula>
    </cfRule>
    <cfRule type="cellIs" dxfId="2" priority="590" operator="lessThan">
      <formula>H34</formula>
    </cfRule>
  </conditionalFormatting>
  <conditionalFormatting sqref="AE35">
    <cfRule type="cellIs" dxfId="1" priority="594" operator="equal">
      <formula>0</formula>
    </cfRule>
    <cfRule type="cellIs" dxfId="2" priority="595" operator="lessThan">
      <formula>H35</formula>
    </cfRule>
  </conditionalFormatting>
  <conditionalFormatting sqref="AE36">
    <cfRule type="cellIs" dxfId="1" priority="599" operator="equal">
      <formula>0</formula>
    </cfRule>
    <cfRule type="cellIs" dxfId="2" priority="600" operator="lessThan">
      <formula>H36</formula>
    </cfRule>
  </conditionalFormatting>
  <conditionalFormatting sqref="AE37">
    <cfRule type="cellIs" dxfId="1" priority="604" operator="equal">
      <formula>0</formula>
    </cfRule>
    <cfRule type="cellIs" dxfId="2" priority="605" operator="lessThan">
      <formula>H37</formula>
    </cfRule>
  </conditionalFormatting>
  <conditionalFormatting sqref="AE7">
    <cfRule type="cellIs" dxfId="1" priority="469" operator="equal">
      <formula>0</formula>
    </cfRule>
    <cfRule type="cellIs" dxfId="2" priority="470" operator="lessThan">
      <formula>H7</formula>
    </cfRule>
  </conditionalFormatting>
  <conditionalFormatting sqref="AE8">
    <cfRule type="cellIs" dxfId="1" priority="474" operator="equal">
      <formula>0</formula>
    </cfRule>
    <cfRule type="cellIs" dxfId="2" priority="475" operator="lessThan">
      <formula>H8</formula>
    </cfRule>
  </conditionalFormatting>
  <conditionalFormatting sqref="AE9">
    <cfRule type="cellIs" dxfId="1" priority="479" operator="equal">
      <formula>0</formula>
    </cfRule>
    <cfRule type="cellIs" dxfId="2" priority="480" operator="lessThan">
      <formula>H9</formula>
    </cfRule>
  </conditionalFormatting>
  <conditionalFormatting sqref="AF10">
    <cfRule type="cellIs" dxfId="1" priority="486" operator="greaterThan">
      <formula>AE10</formula>
    </cfRule>
  </conditionalFormatting>
  <conditionalFormatting sqref="AF11">
    <cfRule type="cellIs" dxfId="1" priority="491" operator="greaterThan">
      <formula>AE11</formula>
    </cfRule>
  </conditionalFormatting>
  <conditionalFormatting sqref="AF12">
    <cfRule type="cellIs" dxfId="1" priority="496" operator="greaterThan">
      <formula>AE12</formula>
    </cfRule>
  </conditionalFormatting>
  <conditionalFormatting sqref="AF13">
    <cfRule type="cellIs" dxfId="1" priority="501" operator="greaterThan">
      <formula>AE13</formula>
    </cfRule>
  </conditionalFormatting>
  <conditionalFormatting sqref="AF14">
    <cfRule type="cellIs" dxfId="1" priority="506" operator="greaterThan">
      <formula>AE14</formula>
    </cfRule>
  </conditionalFormatting>
  <conditionalFormatting sqref="AF15">
    <cfRule type="cellIs" dxfId="1" priority="511" operator="greaterThan">
      <formula>AE15</formula>
    </cfRule>
  </conditionalFormatting>
  <conditionalFormatting sqref="AF16">
    <cfRule type="cellIs" dxfId="1" priority="516" operator="greaterThan">
      <formula>AE16</formula>
    </cfRule>
  </conditionalFormatting>
  <conditionalFormatting sqref="AF17">
    <cfRule type="cellIs" dxfId="1" priority="521" operator="greaterThan">
      <formula>AE17</formula>
    </cfRule>
  </conditionalFormatting>
  <conditionalFormatting sqref="AF20">
    <cfRule type="cellIs" dxfId="1" priority="526" operator="greaterThan">
      <formula>AE20</formula>
    </cfRule>
  </conditionalFormatting>
  <conditionalFormatting sqref="AF21">
    <cfRule type="cellIs" dxfId="1" priority="531" operator="greaterThan">
      <formula>AE21</formula>
    </cfRule>
  </conditionalFormatting>
  <conditionalFormatting sqref="AF22">
    <cfRule type="cellIs" dxfId="1" priority="536" operator="greaterThan">
      <formula>AE22</formula>
    </cfRule>
  </conditionalFormatting>
  <conditionalFormatting sqref="AF23">
    <cfRule type="cellIs" dxfId="1" priority="541" operator="greaterThan">
      <formula>AE23</formula>
    </cfRule>
  </conditionalFormatting>
  <conditionalFormatting sqref="AF24">
    <cfRule type="cellIs" dxfId="1" priority="546" operator="greaterThan">
      <formula>AE24</formula>
    </cfRule>
  </conditionalFormatting>
  <conditionalFormatting sqref="AF25">
    <cfRule type="cellIs" dxfId="1" priority="551" operator="greaterThan">
      <formula>AE25</formula>
    </cfRule>
  </conditionalFormatting>
  <conditionalFormatting sqref="AF26">
    <cfRule type="cellIs" dxfId="1" priority="556" operator="greaterThan">
      <formula>AE26</formula>
    </cfRule>
  </conditionalFormatting>
  <conditionalFormatting sqref="AF27">
    <cfRule type="cellIs" dxfId="1" priority="561" operator="greaterThan">
      <formula>AE27</formula>
    </cfRule>
  </conditionalFormatting>
  <conditionalFormatting sqref="AF28">
    <cfRule type="cellIs" dxfId="1" priority="566" operator="greaterThan">
      <formula>AE28</formula>
    </cfRule>
  </conditionalFormatting>
  <conditionalFormatting sqref="AF29">
    <cfRule type="cellIs" dxfId="1" priority="571" operator="greaterThan">
      <formula>AE29</formula>
    </cfRule>
  </conditionalFormatting>
  <conditionalFormatting sqref="AF31">
    <cfRule type="cellIs" dxfId="1" priority="576" operator="greaterThan">
      <formula>AE31</formula>
    </cfRule>
  </conditionalFormatting>
  <conditionalFormatting sqref="AF32">
    <cfRule type="cellIs" dxfId="1" priority="581" operator="greaterThan">
      <formula>AE32</formula>
    </cfRule>
  </conditionalFormatting>
  <conditionalFormatting sqref="AF33">
    <cfRule type="cellIs" dxfId="1" priority="586" operator="greaterThan">
      <formula>AE33</formula>
    </cfRule>
  </conditionalFormatting>
  <conditionalFormatting sqref="AF34">
    <cfRule type="cellIs" dxfId="1" priority="591" operator="greaterThan">
      <formula>AE34</formula>
    </cfRule>
  </conditionalFormatting>
  <conditionalFormatting sqref="AF35">
    <cfRule type="cellIs" dxfId="1" priority="596" operator="greaterThan">
      <formula>AE35</formula>
    </cfRule>
  </conditionalFormatting>
  <conditionalFormatting sqref="AF36">
    <cfRule type="cellIs" dxfId="1" priority="601" operator="greaterThan">
      <formula>AE36</formula>
    </cfRule>
  </conditionalFormatting>
  <conditionalFormatting sqref="AF37">
    <cfRule type="cellIs" dxfId="1" priority="606" operator="greaterThan">
      <formula>AE37</formula>
    </cfRule>
  </conditionalFormatting>
  <conditionalFormatting sqref="AF7">
    <cfRule type="cellIs" dxfId="1" priority="471" operator="greaterThan">
      <formula>AE7</formula>
    </cfRule>
  </conditionalFormatting>
  <conditionalFormatting sqref="AF8">
    <cfRule type="cellIs" dxfId="1" priority="476" operator="greaterThan">
      <formula>AE8</formula>
    </cfRule>
  </conditionalFormatting>
  <conditionalFormatting sqref="AF9">
    <cfRule type="cellIs" dxfId="1" priority="481" operator="greaterThan">
      <formula>AE9</formula>
    </cfRule>
  </conditionalFormatting>
  <conditionalFormatting sqref="AG10">
    <cfRule type="cellIs" dxfId="4" priority="488" operator="lessThanOrEqual">
      <formula>I10</formula>
    </cfRule>
  </conditionalFormatting>
  <conditionalFormatting sqref="AG11">
    <cfRule type="cellIs" dxfId="4" priority="493" operator="lessThanOrEqual">
      <formula>I11</formula>
    </cfRule>
  </conditionalFormatting>
  <conditionalFormatting sqref="AG12">
    <cfRule type="cellIs" dxfId="4" priority="498" operator="lessThanOrEqual">
      <formula>I12</formula>
    </cfRule>
  </conditionalFormatting>
  <conditionalFormatting sqref="AG13">
    <cfRule type="cellIs" dxfId="4" priority="503" operator="lessThanOrEqual">
      <formula>I13</formula>
    </cfRule>
  </conditionalFormatting>
  <conditionalFormatting sqref="AG14">
    <cfRule type="cellIs" dxfId="4" priority="508" operator="lessThanOrEqual">
      <formula>I14</formula>
    </cfRule>
  </conditionalFormatting>
  <conditionalFormatting sqref="AG15">
    <cfRule type="cellIs" dxfId="4" priority="513" operator="lessThanOrEqual">
      <formula>I15</formula>
    </cfRule>
  </conditionalFormatting>
  <conditionalFormatting sqref="AG16">
    <cfRule type="cellIs" dxfId="4" priority="518" operator="lessThanOrEqual">
      <formula>I16</formula>
    </cfRule>
  </conditionalFormatting>
  <conditionalFormatting sqref="AG17">
    <cfRule type="cellIs" dxfId="4" priority="523" operator="lessThanOrEqual">
      <formula>I17</formula>
    </cfRule>
  </conditionalFormatting>
  <conditionalFormatting sqref="AG20">
    <cfRule type="cellIs" dxfId="4" priority="528" operator="lessThanOrEqual">
      <formula>I20</formula>
    </cfRule>
  </conditionalFormatting>
  <conditionalFormatting sqref="AG21">
    <cfRule type="cellIs" dxfId="4" priority="533" operator="lessThanOrEqual">
      <formula>I21</formula>
    </cfRule>
  </conditionalFormatting>
  <conditionalFormatting sqref="AG22">
    <cfRule type="cellIs" dxfId="4" priority="538" operator="lessThanOrEqual">
      <formula>I22</formula>
    </cfRule>
  </conditionalFormatting>
  <conditionalFormatting sqref="AG23">
    <cfRule type="cellIs" dxfId="4" priority="543" operator="lessThanOrEqual">
      <formula>I23</formula>
    </cfRule>
  </conditionalFormatting>
  <conditionalFormatting sqref="AG24">
    <cfRule type="cellIs" dxfId="4" priority="548" operator="lessThanOrEqual">
      <formula>I24</formula>
    </cfRule>
  </conditionalFormatting>
  <conditionalFormatting sqref="AG25">
    <cfRule type="cellIs" dxfId="4" priority="553" operator="lessThanOrEqual">
      <formula>I25</formula>
    </cfRule>
  </conditionalFormatting>
  <conditionalFormatting sqref="AG26">
    <cfRule type="cellIs" dxfId="4" priority="558" operator="lessThanOrEqual">
      <formula>I26</formula>
    </cfRule>
  </conditionalFormatting>
  <conditionalFormatting sqref="AG27">
    <cfRule type="cellIs" dxfId="4" priority="563" operator="lessThanOrEqual">
      <formula>I27</formula>
    </cfRule>
  </conditionalFormatting>
  <conditionalFormatting sqref="AG28">
    <cfRule type="cellIs" dxfId="4" priority="568" operator="lessThanOrEqual">
      <formula>I28</formula>
    </cfRule>
  </conditionalFormatting>
  <conditionalFormatting sqref="AG29">
    <cfRule type="cellIs" dxfId="4" priority="573" operator="lessThanOrEqual">
      <formula>I29</formula>
    </cfRule>
  </conditionalFormatting>
  <conditionalFormatting sqref="AG31">
    <cfRule type="cellIs" dxfId="4" priority="578" operator="lessThanOrEqual">
      <formula>I31</formula>
    </cfRule>
  </conditionalFormatting>
  <conditionalFormatting sqref="AG32">
    <cfRule type="cellIs" dxfId="4" priority="583" operator="lessThanOrEqual">
      <formula>I32</formula>
    </cfRule>
  </conditionalFormatting>
  <conditionalFormatting sqref="AG33">
    <cfRule type="cellIs" dxfId="4" priority="588" operator="lessThanOrEqual">
      <formula>I33</formula>
    </cfRule>
  </conditionalFormatting>
  <conditionalFormatting sqref="AG34">
    <cfRule type="cellIs" dxfId="4" priority="593" operator="lessThanOrEqual">
      <formula>I34</formula>
    </cfRule>
  </conditionalFormatting>
  <conditionalFormatting sqref="AG35">
    <cfRule type="cellIs" dxfId="4" priority="598" operator="lessThanOrEqual">
      <formula>I35</formula>
    </cfRule>
  </conditionalFormatting>
  <conditionalFormatting sqref="AG36">
    <cfRule type="cellIs" dxfId="4" priority="603" operator="lessThanOrEqual">
      <formula>I36</formula>
    </cfRule>
  </conditionalFormatting>
  <conditionalFormatting sqref="AG37">
    <cfRule type="cellIs" dxfId="4" priority="608" operator="lessThanOrEqual">
      <formula>I37</formula>
    </cfRule>
  </conditionalFormatting>
  <conditionalFormatting sqref="AG7">
    <cfRule type="cellIs" dxfId="4" priority="473" operator="lessThanOrEqual">
      <formula>I7</formula>
    </cfRule>
  </conditionalFormatting>
  <conditionalFormatting sqref="AG8">
    <cfRule type="cellIs" dxfId="4" priority="478" operator="lessThanOrEqual">
      <formula>I8</formula>
    </cfRule>
  </conditionalFormatting>
  <conditionalFormatting sqref="AG9">
    <cfRule type="cellIs" dxfId="4" priority="483" operator="lessThanOrEqual">
      <formula>I9</formula>
    </cfRule>
  </conditionalFormatting>
  <conditionalFormatting sqref="AH10">
    <cfRule type="cellIs" dxfId="4" priority="487" operator="lessThanOrEqual">
      <formula>J10</formula>
    </cfRule>
  </conditionalFormatting>
  <conditionalFormatting sqref="AH11">
    <cfRule type="cellIs" dxfId="4" priority="492" operator="lessThanOrEqual">
      <formula>J11</formula>
    </cfRule>
  </conditionalFormatting>
  <conditionalFormatting sqref="AH12">
    <cfRule type="cellIs" dxfId="4" priority="497" operator="lessThanOrEqual">
      <formula>J12</formula>
    </cfRule>
  </conditionalFormatting>
  <conditionalFormatting sqref="AH13">
    <cfRule type="cellIs" dxfId="4" priority="502" operator="lessThanOrEqual">
      <formula>J13</formula>
    </cfRule>
  </conditionalFormatting>
  <conditionalFormatting sqref="AH14">
    <cfRule type="cellIs" dxfId="4" priority="507" operator="lessThanOrEqual">
      <formula>J14</formula>
    </cfRule>
  </conditionalFormatting>
  <conditionalFormatting sqref="AH15">
    <cfRule type="cellIs" dxfId="4" priority="512" operator="lessThanOrEqual">
      <formula>J15</formula>
    </cfRule>
  </conditionalFormatting>
  <conditionalFormatting sqref="AH16">
    <cfRule type="cellIs" dxfId="4" priority="517" operator="lessThanOrEqual">
      <formula>J16</formula>
    </cfRule>
  </conditionalFormatting>
  <conditionalFormatting sqref="AH17">
    <cfRule type="cellIs" dxfId="4" priority="522" operator="lessThanOrEqual">
      <formula>J17</formula>
    </cfRule>
  </conditionalFormatting>
  <conditionalFormatting sqref="AH20">
    <cfRule type="cellIs" dxfId="4" priority="527" operator="lessThanOrEqual">
      <formula>J20</formula>
    </cfRule>
  </conditionalFormatting>
  <conditionalFormatting sqref="AH21">
    <cfRule type="cellIs" dxfId="4" priority="532" operator="lessThanOrEqual">
      <formula>J21</formula>
    </cfRule>
  </conditionalFormatting>
  <conditionalFormatting sqref="AH22">
    <cfRule type="cellIs" dxfId="4" priority="537" operator="lessThanOrEqual">
      <formula>J22</formula>
    </cfRule>
  </conditionalFormatting>
  <conditionalFormatting sqref="AH23">
    <cfRule type="cellIs" dxfId="4" priority="542" operator="lessThanOrEqual">
      <formula>J23</formula>
    </cfRule>
  </conditionalFormatting>
  <conditionalFormatting sqref="AH24">
    <cfRule type="cellIs" dxfId="4" priority="547" operator="lessThanOrEqual">
      <formula>J24</formula>
    </cfRule>
  </conditionalFormatting>
  <conditionalFormatting sqref="AH25">
    <cfRule type="cellIs" dxfId="4" priority="552" operator="lessThanOrEqual">
      <formula>J25</formula>
    </cfRule>
  </conditionalFormatting>
  <conditionalFormatting sqref="AH26">
    <cfRule type="cellIs" dxfId="4" priority="557" operator="lessThanOrEqual">
      <formula>J26</formula>
    </cfRule>
  </conditionalFormatting>
  <conditionalFormatting sqref="AH27">
    <cfRule type="cellIs" dxfId="4" priority="562" operator="lessThanOrEqual">
      <formula>J27</formula>
    </cfRule>
  </conditionalFormatting>
  <conditionalFormatting sqref="AH28">
    <cfRule type="cellIs" dxfId="4" priority="567" operator="lessThanOrEqual">
      <formula>J28</formula>
    </cfRule>
  </conditionalFormatting>
  <conditionalFormatting sqref="AH29">
    <cfRule type="cellIs" dxfId="4" priority="572" operator="lessThanOrEqual">
      <formula>J29</formula>
    </cfRule>
  </conditionalFormatting>
  <conditionalFormatting sqref="AH31">
    <cfRule type="cellIs" dxfId="4" priority="577" operator="lessThanOrEqual">
      <formula>J31</formula>
    </cfRule>
  </conditionalFormatting>
  <conditionalFormatting sqref="AH32">
    <cfRule type="cellIs" dxfId="4" priority="582" operator="lessThanOrEqual">
      <formula>J32</formula>
    </cfRule>
  </conditionalFormatting>
  <conditionalFormatting sqref="AH33">
    <cfRule type="cellIs" dxfId="4" priority="587" operator="lessThanOrEqual">
      <formula>J33</formula>
    </cfRule>
  </conditionalFormatting>
  <conditionalFormatting sqref="AH34">
    <cfRule type="cellIs" dxfId="4" priority="592" operator="lessThanOrEqual">
      <formula>J34</formula>
    </cfRule>
  </conditionalFormatting>
  <conditionalFormatting sqref="AH35">
    <cfRule type="cellIs" dxfId="4" priority="597" operator="lessThanOrEqual">
      <formula>J35</formula>
    </cfRule>
  </conditionalFormatting>
  <conditionalFormatting sqref="AH36">
    <cfRule type="cellIs" dxfId="4" priority="602" operator="lessThanOrEqual">
      <formula>J36</formula>
    </cfRule>
  </conditionalFormatting>
  <conditionalFormatting sqref="AH37">
    <cfRule type="cellIs" dxfId="4" priority="607" operator="lessThanOrEqual">
      <formula>J37</formula>
    </cfRule>
  </conditionalFormatting>
  <conditionalFormatting sqref="AH7">
    <cfRule type="cellIs" dxfId="4" priority="472" operator="lessThanOrEqual">
      <formula>J7</formula>
    </cfRule>
  </conditionalFormatting>
  <conditionalFormatting sqref="AH8">
    <cfRule type="cellIs" dxfId="4" priority="477" operator="lessThanOrEqual">
      <formula>J8</formula>
    </cfRule>
  </conditionalFormatting>
  <conditionalFormatting sqref="AH9">
    <cfRule type="cellIs" dxfId="4" priority="482" operator="lessThanOrEqual">
      <formula>J9</formula>
    </cfRule>
  </conditionalFormatting>
  <conditionalFormatting sqref="AJ10">
    <cfRule type="cellIs" dxfId="1" priority="621" operator="equal">
      <formula>0</formula>
    </cfRule>
    <cfRule type="cellIs" dxfId="2" priority="622" operator="lessThan">
      <formula>H10</formula>
    </cfRule>
  </conditionalFormatting>
  <conditionalFormatting sqref="AJ11">
    <cfRule type="cellIs" dxfId="1" priority="627" operator="equal">
      <formula>0</formula>
    </cfRule>
    <cfRule type="cellIs" dxfId="2" priority="628" operator="lessThan">
      <formula>H11</formula>
    </cfRule>
  </conditionalFormatting>
  <conditionalFormatting sqref="AJ12">
    <cfRule type="cellIs" dxfId="1" priority="633" operator="equal">
      <formula>0</formula>
    </cfRule>
    <cfRule type="cellIs" dxfId="2" priority="634" operator="lessThan">
      <formula>H12</formula>
    </cfRule>
  </conditionalFormatting>
  <conditionalFormatting sqref="AJ13">
    <cfRule type="cellIs" dxfId="1" priority="639" operator="equal">
      <formula>0</formula>
    </cfRule>
    <cfRule type="cellIs" dxfId="2" priority="640" operator="lessThan">
      <formula>H13</formula>
    </cfRule>
  </conditionalFormatting>
  <conditionalFormatting sqref="AJ14">
    <cfRule type="cellIs" dxfId="1" priority="645" operator="equal">
      <formula>0</formula>
    </cfRule>
    <cfRule type="cellIs" dxfId="2" priority="646" operator="lessThan">
      <formula>H14</formula>
    </cfRule>
  </conditionalFormatting>
  <conditionalFormatting sqref="AJ15">
    <cfRule type="cellIs" dxfId="1" priority="651" operator="equal">
      <formula>0</formula>
    </cfRule>
    <cfRule type="cellIs" dxfId="2" priority="652" operator="lessThan">
      <formula>H15</formula>
    </cfRule>
  </conditionalFormatting>
  <conditionalFormatting sqref="AJ20">
    <cfRule type="cellIs" dxfId="1" priority="656" operator="equal">
      <formula>0</formula>
    </cfRule>
    <cfRule type="cellIs" dxfId="2" priority="657" operator="lessThan">
      <formula>H20</formula>
    </cfRule>
  </conditionalFormatting>
  <conditionalFormatting sqref="AJ22">
    <cfRule type="cellIs" dxfId="1" priority="662" operator="equal">
      <formula>0</formula>
    </cfRule>
    <cfRule type="cellIs" dxfId="2" priority="663" operator="lessThan">
      <formula>H22</formula>
    </cfRule>
  </conditionalFormatting>
  <conditionalFormatting sqref="AJ24">
    <cfRule type="cellIs" dxfId="1" priority="667" operator="equal">
      <formula>0</formula>
    </cfRule>
    <cfRule type="cellIs" dxfId="2" priority="668" operator="lessThan">
      <formula>H24</formula>
    </cfRule>
  </conditionalFormatting>
  <conditionalFormatting sqref="AJ31">
    <cfRule type="cellIs" dxfId="1" priority="673" operator="equal">
      <formula>0</formula>
    </cfRule>
    <cfRule type="cellIs" dxfId="2" priority="674" operator="lessThan">
      <formula>H31</formula>
    </cfRule>
  </conditionalFormatting>
  <conditionalFormatting sqref="AJ33">
    <cfRule type="cellIs" dxfId="1" priority="679" operator="equal">
      <formula>0</formula>
    </cfRule>
    <cfRule type="cellIs" dxfId="2" priority="680" operator="lessThan">
      <formula>H33</formula>
    </cfRule>
  </conditionalFormatting>
  <conditionalFormatting sqref="AJ35">
    <cfRule type="cellIs" dxfId="1" priority="684" operator="equal">
      <formula>0</formula>
    </cfRule>
    <cfRule type="cellIs" dxfId="2" priority="685" operator="lessThan">
      <formula>H35</formula>
    </cfRule>
  </conditionalFormatting>
  <conditionalFormatting sqref="AJ36">
    <cfRule type="cellIs" dxfId="1" priority="689" operator="equal">
      <formula>0</formula>
    </cfRule>
    <cfRule type="cellIs" dxfId="2" priority="690" operator="lessThan">
      <formula>H36</formula>
    </cfRule>
  </conditionalFormatting>
  <conditionalFormatting sqref="AJ8">
    <cfRule type="cellIs" dxfId="1" priority="609" operator="equal">
      <formula>0</formula>
    </cfRule>
    <cfRule type="cellIs" dxfId="2" priority="610" operator="lessThan">
      <formula>H8</formula>
    </cfRule>
  </conditionalFormatting>
  <conditionalFormatting sqref="AJ9">
    <cfRule type="cellIs" dxfId="1" priority="615" operator="equal">
      <formula>0</formula>
    </cfRule>
    <cfRule type="cellIs" dxfId="2" priority="616" operator="lessThan">
      <formula>H9</formula>
    </cfRule>
  </conditionalFormatting>
  <conditionalFormatting sqref="AK10">
    <cfRule type="expression" dxfId="3" priority="623">
      <formula>AND(AK10&gt;0,AK10&lt;10)</formula>
    </cfRule>
    <cfRule type="cellIs" dxfId="1" priority="624" operator="greaterThan">
      <formula>AJ10</formula>
    </cfRule>
  </conditionalFormatting>
  <conditionalFormatting sqref="AK11">
    <cfRule type="expression" dxfId="3" priority="629">
      <formula>AND(AK11&gt;0,AK11&lt;10)</formula>
    </cfRule>
    <cfRule type="cellIs" dxfId="1" priority="630" operator="greaterThan">
      <formula>AJ11</formula>
    </cfRule>
  </conditionalFormatting>
  <conditionalFormatting sqref="AK12">
    <cfRule type="expression" dxfId="3" priority="635">
      <formula>AND(AK12&gt;0,AK12&lt;10)</formula>
    </cfRule>
    <cfRule type="cellIs" dxfId="1" priority="636" operator="greaterThan">
      <formula>AJ12</formula>
    </cfRule>
  </conditionalFormatting>
  <conditionalFormatting sqref="AK13">
    <cfRule type="expression" dxfId="3" priority="641">
      <formula>AND(AK13&gt;0,AK13&lt;10)</formula>
    </cfRule>
    <cfRule type="cellIs" dxfId="1" priority="642" operator="greaterThan">
      <formula>AJ13</formula>
    </cfRule>
  </conditionalFormatting>
  <conditionalFormatting sqref="AK14">
    <cfRule type="expression" dxfId="3" priority="647">
      <formula>AND(AK14&gt;0,AK14&lt;5)</formula>
    </cfRule>
    <cfRule type="cellIs" dxfId="1" priority="648" operator="greaterThan">
      <formula>AJ14</formula>
    </cfRule>
  </conditionalFormatting>
  <conditionalFormatting sqref="AK15">
    <cfRule type="cellIs" dxfId="1" priority="653" operator="greaterThan">
      <formula>AJ15</formula>
    </cfRule>
  </conditionalFormatting>
  <conditionalFormatting sqref="AK20">
    <cfRule type="expression" dxfId="3" priority="658">
      <formula>AND(AK20&gt;0,AK20&lt;5)</formula>
    </cfRule>
    <cfRule type="cellIs" dxfId="1" priority="659" operator="greaterThan">
      <formula>AJ20</formula>
    </cfRule>
  </conditionalFormatting>
  <conditionalFormatting sqref="AK22">
    <cfRule type="cellIs" dxfId="1" priority="664" operator="greaterThan">
      <formula>AJ22</formula>
    </cfRule>
  </conditionalFormatting>
  <conditionalFormatting sqref="AK24">
    <cfRule type="expression" dxfId="3" priority="669">
      <formula>AND(AK24&gt;0,AK24&lt;15000)</formula>
    </cfRule>
    <cfRule type="cellIs" dxfId="1" priority="670" operator="greaterThan">
      <formula>AJ24</formula>
    </cfRule>
  </conditionalFormatting>
  <conditionalFormatting sqref="AK31">
    <cfRule type="expression" dxfId="3" priority="675">
      <formula>AND(AK31&gt;0,AK31&lt;5)</formula>
    </cfRule>
    <cfRule type="cellIs" dxfId="1" priority="676" operator="greaterThan">
      <formula>AJ31</formula>
    </cfRule>
  </conditionalFormatting>
  <conditionalFormatting sqref="AK33">
    <cfRule type="cellIs" dxfId="1" priority="681" operator="greaterThan">
      <formula>AJ33</formula>
    </cfRule>
  </conditionalFormatting>
  <conditionalFormatting sqref="AK35">
    <cfRule type="cellIs" dxfId="1" priority="686" operator="greaterThan">
      <formula>AJ35</formula>
    </cfRule>
  </conditionalFormatting>
  <conditionalFormatting sqref="AK36">
    <cfRule type="expression" dxfId="3" priority="691">
      <formula>AND(AK36&gt;0,AK36&lt;3000)</formula>
    </cfRule>
    <cfRule type="cellIs" dxfId="1" priority="692" operator="greaterThan">
      <formula>AJ36</formula>
    </cfRule>
  </conditionalFormatting>
  <conditionalFormatting sqref="AK8">
    <cfRule type="expression" dxfId="3" priority="611">
      <formula>AND(AK8&gt;0,AK8&lt;10)</formula>
    </cfRule>
    <cfRule type="cellIs" dxfId="1" priority="612" operator="greaterThan">
      <formula>AJ8</formula>
    </cfRule>
  </conditionalFormatting>
  <conditionalFormatting sqref="AK9">
    <cfRule type="expression" dxfId="3" priority="617">
      <formula>AND(AK9&gt;0,AK9&lt;10)</formula>
    </cfRule>
    <cfRule type="cellIs" dxfId="1" priority="618" operator="greaterThan">
      <formula>AJ9</formula>
    </cfRule>
  </conditionalFormatting>
  <conditionalFormatting sqref="AL10">
    <cfRule type="cellIs" dxfId="4" priority="626" operator="lessThanOrEqual">
      <formula>I10</formula>
    </cfRule>
  </conditionalFormatting>
  <conditionalFormatting sqref="AL11">
    <cfRule type="cellIs" dxfId="4" priority="632" operator="lessThanOrEqual">
      <formula>I11</formula>
    </cfRule>
  </conditionalFormatting>
  <conditionalFormatting sqref="AL12">
    <cfRule type="cellIs" dxfId="4" priority="638" operator="lessThanOrEqual">
      <formula>I12</formula>
    </cfRule>
  </conditionalFormatting>
  <conditionalFormatting sqref="AL13">
    <cfRule type="cellIs" dxfId="4" priority="644" operator="lessThanOrEqual">
      <formula>I13</formula>
    </cfRule>
  </conditionalFormatting>
  <conditionalFormatting sqref="AL14">
    <cfRule type="cellIs" dxfId="4" priority="650" operator="lessThanOrEqual">
      <formula>I14</formula>
    </cfRule>
  </conditionalFormatting>
  <conditionalFormatting sqref="AL15">
    <cfRule type="cellIs" dxfId="4" priority="655" operator="lessThanOrEqual">
      <formula>I15</formula>
    </cfRule>
  </conditionalFormatting>
  <conditionalFormatting sqref="AL20">
    <cfRule type="cellIs" dxfId="4" priority="661" operator="lessThanOrEqual">
      <formula>I20</formula>
    </cfRule>
  </conditionalFormatting>
  <conditionalFormatting sqref="AL22">
    <cfRule type="cellIs" dxfId="4" priority="666" operator="lessThanOrEqual">
      <formula>I22</formula>
    </cfRule>
  </conditionalFormatting>
  <conditionalFormatting sqref="AL24">
    <cfRule type="cellIs" dxfId="4" priority="672" operator="lessThanOrEqual">
      <formula>I24</formula>
    </cfRule>
  </conditionalFormatting>
  <conditionalFormatting sqref="AL31">
    <cfRule type="cellIs" dxfId="4" priority="678" operator="lessThanOrEqual">
      <formula>I31</formula>
    </cfRule>
  </conditionalFormatting>
  <conditionalFormatting sqref="AL33">
    <cfRule type="cellIs" dxfId="4" priority="683" operator="lessThanOrEqual">
      <formula>I33</formula>
    </cfRule>
  </conditionalFormatting>
  <conditionalFormatting sqref="AL35">
    <cfRule type="cellIs" dxfId="4" priority="688" operator="lessThanOrEqual">
      <formula>I35</formula>
    </cfRule>
  </conditionalFormatting>
  <conditionalFormatting sqref="AL36">
    <cfRule type="cellIs" dxfId="4" priority="694" operator="lessThanOrEqual">
      <formula>I36</formula>
    </cfRule>
  </conditionalFormatting>
  <conditionalFormatting sqref="AL8">
    <cfRule type="cellIs" dxfId="4" priority="614" operator="lessThanOrEqual">
      <formula>I8</formula>
    </cfRule>
  </conditionalFormatting>
  <conditionalFormatting sqref="AL9">
    <cfRule type="cellIs" dxfId="4" priority="620" operator="lessThanOrEqual">
      <formula>I9</formula>
    </cfRule>
  </conditionalFormatting>
  <conditionalFormatting sqref="AM10">
    <cfRule type="cellIs" dxfId="4" priority="625" operator="lessThanOrEqual">
      <formula>J10</formula>
    </cfRule>
  </conditionalFormatting>
  <conditionalFormatting sqref="AM11">
    <cfRule type="cellIs" dxfId="4" priority="631" operator="lessThanOrEqual">
      <formula>J11</formula>
    </cfRule>
  </conditionalFormatting>
  <conditionalFormatting sqref="AM12">
    <cfRule type="cellIs" dxfId="4" priority="637" operator="lessThanOrEqual">
      <formula>J12</formula>
    </cfRule>
  </conditionalFormatting>
  <conditionalFormatting sqref="AM13">
    <cfRule type="cellIs" dxfId="4" priority="643" operator="lessThanOrEqual">
      <formula>J13</formula>
    </cfRule>
  </conditionalFormatting>
  <conditionalFormatting sqref="AM14">
    <cfRule type="cellIs" dxfId="4" priority="649" operator="lessThanOrEqual">
      <formula>J14</formula>
    </cfRule>
  </conditionalFormatting>
  <conditionalFormatting sqref="AM15">
    <cfRule type="cellIs" dxfId="4" priority="654" operator="lessThanOrEqual">
      <formula>J15</formula>
    </cfRule>
  </conditionalFormatting>
  <conditionalFormatting sqref="AM20">
    <cfRule type="cellIs" dxfId="4" priority="660" operator="lessThanOrEqual">
      <formula>J20</formula>
    </cfRule>
  </conditionalFormatting>
  <conditionalFormatting sqref="AM22">
    <cfRule type="cellIs" dxfId="4" priority="665" operator="lessThanOrEqual">
      <formula>J22</formula>
    </cfRule>
  </conditionalFormatting>
  <conditionalFormatting sqref="AM24">
    <cfRule type="cellIs" dxfId="4" priority="671" operator="lessThanOrEqual">
      <formula>J24</formula>
    </cfRule>
  </conditionalFormatting>
  <conditionalFormatting sqref="AM31">
    <cfRule type="cellIs" dxfId="4" priority="677" operator="lessThanOrEqual">
      <formula>J31</formula>
    </cfRule>
  </conditionalFormatting>
  <conditionalFormatting sqref="AM33">
    <cfRule type="cellIs" dxfId="4" priority="682" operator="lessThanOrEqual">
      <formula>J33</formula>
    </cfRule>
  </conditionalFormatting>
  <conditionalFormatting sqref="AM35">
    <cfRule type="cellIs" dxfId="4" priority="687" operator="lessThanOrEqual">
      <formula>J35</formula>
    </cfRule>
  </conditionalFormatting>
  <conditionalFormatting sqref="AM36">
    <cfRule type="cellIs" dxfId="4" priority="693" operator="lessThanOrEqual">
      <formula>J36</formula>
    </cfRule>
  </conditionalFormatting>
  <conditionalFormatting sqref="AM8">
    <cfRule type="cellIs" dxfId="4" priority="613" operator="lessThanOrEqual">
      <formula>J8</formula>
    </cfRule>
  </conditionalFormatting>
  <conditionalFormatting sqref="AM9">
    <cfRule type="cellIs" dxfId="4" priority="619" operator="lessThanOrEqual">
      <formula>J9</formula>
    </cfRule>
  </conditionalFormatting>
  <conditionalFormatting sqref="AO13">
    <cfRule type="cellIs" dxfId="1" priority="700" operator="equal">
      <formula>0</formula>
    </cfRule>
    <cfRule type="cellIs" dxfId="2" priority="701" operator="lessThan">
      <formula>H13</formula>
    </cfRule>
  </conditionalFormatting>
  <conditionalFormatting sqref="AO15">
    <cfRule type="cellIs" dxfId="1" priority="706" operator="equal">
      <formula>0</formula>
    </cfRule>
    <cfRule type="cellIs" dxfId="2" priority="707" operator="lessThan">
      <formula>H15</formula>
    </cfRule>
  </conditionalFormatting>
  <conditionalFormatting sqref="AO17">
    <cfRule type="cellIs" dxfId="1" priority="712" operator="equal">
      <formula>0</formula>
    </cfRule>
    <cfRule type="cellIs" dxfId="2" priority="713" operator="lessThan">
      <formula>H17</formula>
    </cfRule>
  </conditionalFormatting>
  <conditionalFormatting sqref="AO22">
    <cfRule type="cellIs" dxfId="1" priority="717" operator="equal">
      <formula>0</formula>
    </cfRule>
    <cfRule type="cellIs" dxfId="2" priority="718" operator="lessThan">
      <formula>H22</formula>
    </cfRule>
  </conditionalFormatting>
  <conditionalFormatting sqref="AO23">
    <cfRule type="cellIs" dxfId="1" priority="723" operator="equal">
      <formula>0</formula>
    </cfRule>
    <cfRule type="cellIs" dxfId="2" priority="724" operator="lessThan">
      <formula>H23</formula>
    </cfRule>
  </conditionalFormatting>
  <conditionalFormatting sqref="AO24">
    <cfRule type="cellIs" dxfId="1" priority="729" operator="equal">
      <formula>0</formula>
    </cfRule>
    <cfRule type="cellIs" dxfId="2" priority="730" operator="lessThan">
      <formula>H24</formula>
    </cfRule>
  </conditionalFormatting>
  <conditionalFormatting sqref="AO25">
    <cfRule type="cellIs" dxfId="1" priority="735" operator="equal">
      <formula>0</formula>
    </cfRule>
    <cfRule type="cellIs" dxfId="2" priority="736" operator="lessThan">
      <formula>H25</formula>
    </cfRule>
  </conditionalFormatting>
  <conditionalFormatting sqref="AO27">
    <cfRule type="cellIs" dxfId="1" priority="741" operator="equal">
      <formula>0</formula>
    </cfRule>
    <cfRule type="cellIs" dxfId="2" priority="742" operator="lessThan">
      <formula>H27</formula>
    </cfRule>
  </conditionalFormatting>
  <conditionalFormatting sqref="AO31">
    <cfRule type="cellIs" dxfId="1" priority="747" operator="equal">
      <formula>0</formula>
    </cfRule>
    <cfRule type="cellIs" dxfId="2" priority="748" operator="lessThan">
      <formula>H31</formula>
    </cfRule>
  </conditionalFormatting>
  <conditionalFormatting sqref="AO7">
    <cfRule type="cellIs" dxfId="1" priority="695" operator="equal">
      <formula>0</formula>
    </cfRule>
    <cfRule type="cellIs" dxfId="2" priority="696" operator="lessThan">
      <formula>H7</formula>
    </cfRule>
  </conditionalFormatting>
  <conditionalFormatting sqref="AP13">
    <cfRule type="expression" dxfId="3" priority="702">
      <formula>AND(AP13&gt;0,AP13&lt;1000)</formula>
    </cfRule>
    <cfRule type="cellIs" dxfId="1" priority="703" operator="greaterThan">
      <formula>AO13</formula>
    </cfRule>
  </conditionalFormatting>
  <conditionalFormatting sqref="AP15">
    <cfRule type="expression" dxfId="3" priority="708">
      <formula>AND(AP15&gt;0,AP15&lt;25)</formula>
    </cfRule>
    <cfRule type="cellIs" dxfId="1" priority="709" operator="greaterThan">
      <formula>AO15</formula>
    </cfRule>
  </conditionalFormatting>
  <conditionalFormatting sqref="AP17">
    <cfRule type="cellIs" dxfId="1" priority="714" operator="greaterThan">
      <formula>AO17</formula>
    </cfRule>
  </conditionalFormatting>
  <conditionalFormatting sqref="AP22">
    <cfRule type="expression" dxfId="3" priority="719">
      <formula>AND(AP22&gt;0,AP22&lt;1000)</formula>
    </cfRule>
    <cfRule type="cellIs" dxfId="1" priority="720" operator="greaterThan">
      <formula>AO22</formula>
    </cfRule>
  </conditionalFormatting>
  <conditionalFormatting sqref="AP23">
    <cfRule type="expression" dxfId="3" priority="725">
      <formula>AND(AP23&gt;0,AP23&lt;1000)</formula>
    </cfRule>
    <cfRule type="cellIs" dxfId="1" priority="726" operator="greaterThan">
      <formula>AO23</formula>
    </cfRule>
  </conditionalFormatting>
  <conditionalFormatting sqref="AP24">
    <cfRule type="expression" dxfId="3" priority="731">
      <formula>AND(AP24&gt;0,AP24&lt;1000)</formula>
    </cfRule>
    <cfRule type="cellIs" dxfId="1" priority="732" operator="greaterThan">
      <formula>AO24</formula>
    </cfRule>
  </conditionalFormatting>
  <conditionalFormatting sqref="AP25">
    <cfRule type="expression" dxfId="3" priority="737">
      <formula>AND(AP25&gt;0,AP25&lt;1000)</formula>
    </cfRule>
    <cfRule type="cellIs" dxfId="1" priority="738" operator="greaterThan">
      <formula>AO25</formula>
    </cfRule>
  </conditionalFormatting>
  <conditionalFormatting sqref="AP27">
    <cfRule type="expression" dxfId="3" priority="743">
      <formula>AND(AP27&gt;0,AP27&lt;1000)</formula>
    </cfRule>
    <cfRule type="cellIs" dxfId="1" priority="744" operator="greaterThan">
      <formula>AO27</formula>
    </cfRule>
  </conditionalFormatting>
  <conditionalFormatting sqref="AP31">
    <cfRule type="expression" dxfId="3" priority="749">
      <formula>AND(AP31&gt;0,AP31&lt;18)</formula>
    </cfRule>
    <cfRule type="cellIs" dxfId="1" priority="750" operator="greaterThan">
      <formula>AO31</formula>
    </cfRule>
  </conditionalFormatting>
  <conditionalFormatting sqref="AP7">
    <cfRule type="cellIs" dxfId="1" priority="697" operator="greaterThan">
      <formula>AO7</formula>
    </cfRule>
  </conditionalFormatting>
  <conditionalFormatting sqref="AQ13">
    <cfRule type="cellIs" dxfId="4" priority="705" operator="lessThanOrEqual">
      <formula>I13</formula>
    </cfRule>
  </conditionalFormatting>
  <conditionalFormatting sqref="AQ15">
    <cfRule type="cellIs" dxfId="4" priority="711" operator="lessThanOrEqual">
      <formula>I15</formula>
    </cfRule>
  </conditionalFormatting>
  <conditionalFormatting sqref="AQ17">
    <cfRule type="cellIs" dxfId="4" priority="716" operator="lessThanOrEqual">
      <formula>I17</formula>
    </cfRule>
  </conditionalFormatting>
  <conditionalFormatting sqref="AQ22">
    <cfRule type="cellIs" dxfId="4" priority="722" operator="lessThanOrEqual">
      <formula>I22</formula>
    </cfRule>
  </conditionalFormatting>
  <conditionalFormatting sqref="AQ23">
    <cfRule type="cellIs" dxfId="4" priority="728" operator="lessThanOrEqual">
      <formula>I23</formula>
    </cfRule>
  </conditionalFormatting>
  <conditionalFormatting sqref="AQ24">
    <cfRule type="cellIs" dxfId="4" priority="734" operator="lessThanOrEqual">
      <formula>I24</formula>
    </cfRule>
  </conditionalFormatting>
  <conditionalFormatting sqref="AQ25">
    <cfRule type="cellIs" dxfId="4" priority="740" operator="lessThanOrEqual">
      <formula>I25</formula>
    </cfRule>
  </conditionalFormatting>
  <conditionalFormatting sqref="AQ27">
    <cfRule type="cellIs" dxfId="4" priority="746" operator="lessThanOrEqual">
      <formula>I27</formula>
    </cfRule>
  </conditionalFormatting>
  <conditionalFormatting sqref="AQ31">
    <cfRule type="cellIs" dxfId="4" priority="752" operator="lessThanOrEqual">
      <formula>I31</formula>
    </cfRule>
  </conditionalFormatting>
  <conditionalFormatting sqref="AQ7">
    <cfRule type="cellIs" dxfId="4" priority="699" operator="lessThanOrEqual">
      <formula>I7</formula>
    </cfRule>
  </conditionalFormatting>
  <conditionalFormatting sqref="AR13">
    <cfRule type="cellIs" dxfId="4" priority="704" operator="lessThanOrEqual">
      <formula>J13</formula>
    </cfRule>
  </conditionalFormatting>
  <conditionalFormatting sqref="AR15">
    <cfRule type="cellIs" dxfId="4" priority="710" operator="lessThanOrEqual">
      <formula>J15</formula>
    </cfRule>
  </conditionalFormatting>
  <conditionalFormatting sqref="AR17">
    <cfRule type="cellIs" dxfId="4" priority="715" operator="lessThanOrEqual">
      <formula>J17</formula>
    </cfRule>
  </conditionalFormatting>
  <conditionalFormatting sqref="AR22">
    <cfRule type="cellIs" dxfId="4" priority="721" operator="lessThanOrEqual">
      <formula>J22</formula>
    </cfRule>
  </conditionalFormatting>
  <conditionalFormatting sqref="AR23">
    <cfRule type="cellIs" dxfId="4" priority="727" operator="lessThanOrEqual">
      <formula>J23</formula>
    </cfRule>
  </conditionalFormatting>
  <conditionalFormatting sqref="AR24">
    <cfRule type="cellIs" dxfId="4" priority="733" operator="lessThanOrEqual">
      <formula>J24</formula>
    </cfRule>
  </conditionalFormatting>
  <conditionalFormatting sqref="AR25">
    <cfRule type="cellIs" dxfId="4" priority="739" operator="lessThanOrEqual">
      <formula>J25</formula>
    </cfRule>
  </conditionalFormatting>
  <conditionalFormatting sqref="AR27">
    <cfRule type="cellIs" dxfId="4" priority="745" operator="lessThanOrEqual">
      <formula>J27</formula>
    </cfRule>
  </conditionalFormatting>
  <conditionalFormatting sqref="AR31">
    <cfRule type="cellIs" dxfId="4" priority="751" operator="lessThanOrEqual">
      <formula>J31</formula>
    </cfRule>
  </conditionalFormatting>
  <conditionalFormatting sqref="AR7">
    <cfRule type="cellIs" dxfId="4" priority="698" operator="lessThanOrEqual">
      <formula>J7</formula>
    </cfRule>
  </conditionalFormatting>
  <conditionalFormatting sqref="AT16">
    <cfRule type="cellIs" dxfId="1" priority="759" operator="equal">
      <formula>0</formula>
    </cfRule>
    <cfRule type="cellIs" dxfId="2" priority="760" operator="lessThan">
      <formula>H16</formula>
    </cfRule>
  </conditionalFormatting>
  <conditionalFormatting sqref="AT34">
    <cfRule type="cellIs" dxfId="1" priority="764" operator="equal">
      <formula>0</formula>
    </cfRule>
    <cfRule type="cellIs" dxfId="2" priority="765" operator="lessThan">
      <formula>H34</formula>
    </cfRule>
  </conditionalFormatting>
  <conditionalFormatting sqref="AT7">
    <cfRule type="cellIs" dxfId="1" priority="753" operator="equal">
      <formula>0</formula>
    </cfRule>
    <cfRule type="cellIs" dxfId="2" priority="754" operator="lessThan">
      <formula>H7</formula>
    </cfRule>
  </conditionalFormatting>
  <conditionalFormatting sqref="AU16">
    <cfRule type="cellIs" dxfId="1" priority="761" operator="greaterThan">
      <formula>AT16</formula>
    </cfRule>
  </conditionalFormatting>
  <conditionalFormatting sqref="AU34">
    <cfRule type="cellIs" dxfId="1" priority="766" operator="greaterThan">
      <formula>AT34</formula>
    </cfRule>
  </conditionalFormatting>
  <conditionalFormatting sqref="AU7">
    <cfRule type="expression" dxfId="3" priority="755">
      <formula>AND(AU7&gt;0,AU7&lt;1800)</formula>
    </cfRule>
    <cfRule type="cellIs" dxfId="1" priority="756" operator="greaterThan">
      <formula>AT7</formula>
    </cfRule>
  </conditionalFormatting>
  <conditionalFormatting sqref="AV16">
    <cfRule type="cellIs" dxfId="4" priority="763" operator="lessThanOrEqual">
      <formula>I16</formula>
    </cfRule>
  </conditionalFormatting>
  <conditionalFormatting sqref="AV34">
    <cfRule type="cellIs" dxfId="4" priority="768" operator="lessThanOrEqual">
      <formula>I34</formula>
    </cfRule>
  </conditionalFormatting>
  <conditionalFormatting sqref="AV7">
    <cfRule type="cellIs" dxfId="4" priority="758" operator="lessThanOrEqual">
      <formula>I7</formula>
    </cfRule>
  </conditionalFormatting>
  <conditionalFormatting sqref="AW16">
    <cfRule type="cellIs" dxfId="4" priority="762" operator="lessThanOrEqual">
      <formula>J16</formula>
    </cfRule>
  </conditionalFormatting>
  <conditionalFormatting sqref="AW34">
    <cfRule type="cellIs" dxfId="4" priority="767" operator="lessThanOrEqual">
      <formula>J34</formula>
    </cfRule>
  </conditionalFormatting>
  <conditionalFormatting sqref="AW7">
    <cfRule type="cellIs" dxfId="4" priority="757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4" operator="equal">
      <formula>0</formula>
    </cfRule>
    <cfRule type="cellIs" dxfId="2" priority="145" operator="lessThan">
      <formula>H10</formula>
    </cfRule>
  </conditionalFormatting>
  <conditionalFormatting sqref="P11">
    <cfRule type="cellIs" dxfId="1" priority="149" operator="equal">
      <formula>0</formula>
    </cfRule>
    <cfRule type="cellIs" dxfId="2" priority="150" operator="lessThan">
      <formula>H11</formula>
    </cfRule>
  </conditionalFormatting>
  <conditionalFormatting sqref="P12">
    <cfRule type="cellIs" dxfId="1" priority="154" operator="equal">
      <formula>0</formula>
    </cfRule>
    <cfRule type="cellIs" dxfId="2" priority="155" operator="lessThan">
      <formula>H12</formula>
    </cfRule>
  </conditionalFormatting>
  <conditionalFormatting sqref="P13">
    <cfRule type="cellIs" dxfId="1" priority="159" operator="equal">
      <formula>0</formula>
    </cfRule>
    <cfRule type="cellIs" dxfId="2" priority="160" operator="lessThan">
      <formula>H13</formula>
    </cfRule>
  </conditionalFormatting>
  <conditionalFormatting sqref="P14">
    <cfRule type="cellIs" dxfId="1" priority="164" operator="equal">
      <formula>0</formula>
    </cfRule>
    <cfRule type="cellIs" dxfId="2" priority="165" operator="lessThan">
      <formula>H14</formula>
    </cfRule>
  </conditionalFormatting>
  <conditionalFormatting sqref="P15">
    <cfRule type="cellIs" dxfId="1" priority="169" operator="equal">
      <formula>0</formula>
    </cfRule>
    <cfRule type="cellIs" dxfId="2" priority="170" operator="lessThan">
      <formula>H15</formula>
    </cfRule>
  </conditionalFormatting>
  <conditionalFormatting sqref="P16">
    <cfRule type="cellIs" dxfId="1" priority="174" operator="equal">
      <formula>0</formula>
    </cfRule>
    <cfRule type="cellIs" dxfId="2" priority="175" operator="lessThan">
      <formula>H16</formula>
    </cfRule>
  </conditionalFormatting>
  <conditionalFormatting sqref="P17">
    <cfRule type="cellIs" dxfId="1" priority="179" operator="equal">
      <formula>0</formula>
    </cfRule>
    <cfRule type="cellIs" dxfId="2" priority="180" operator="lessThan">
      <formula>H17</formula>
    </cfRule>
  </conditionalFormatting>
  <conditionalFormatting sqref="P18">
    <cfRule type="cellIs" dxfId="1" priority="184" operator="equal">
      <formula>0</formula>
    </cfRule>
    <cfRule type="cellIs" dxfId="2" priority="185" operator="lessThan">
      <formula>H18</formula>
    </cfRule>
  </conditionalFormatting>
  <conditionalFormatting sqref="P19">
    <cfRule type="cellIs" dxfId="1" priority="189" operator="equal">
      <formula>0</formula>
    </cfRule>
    <cfRule type="cellIs" dxfId="2" priority="190" operator="lessThan">
      <formula>H19</formula>
    </cfRule>
  </conditionalFormatting>
  <conditionalFormatting sqref="P20">
    <cfRule type="cellIs" dxfId="1" priority="194" operator="equal">
      <formula>0</formula>
    </cfRule>
    <cfRule type="cellIs" dxfId="2" priority="195" operator="lessThan">
      <formula>H20</formula>
    </cfRule>
  </conditionalFormatting>
  <conditionalFormatting sqref="P21">
    <cfRule type="cellIs" dxfId="1" priority="200" operator="equal">
      <formula>0</formula>
    </cfRule>
    <cfRule type="cellIs" dxfId="2" priority="201" operator="lessThan">
      <formula>H21</formula>
    </cfRule>
  </conditionalFormatting>
  <conditionalFormatting sqref="P22">
    <cfRule type="cellIs" dxfId="1" priority="206" operator="equal">
      <formula>0</formula>
    </cfRule>
    <cfRule type="cellIs" dxfId="2" priority="207" operator="lessThan">
      <formula>H22</formula>
    </cfRule>
  </conditionalFormatting>
  <conditionalFormatting sqref="P23">
    <cfRule type="cellIs" dxfId="1" priority="211" operator="equal">
      <formula>0</formula>
    </cfRule>
    <cfRule type="cellIs" dxfId="2" priority="212" operator="lessThan">
      <formula>H23</formula>
    </cfRule>
  </conditionalFormatting>
  <conditionalFormatting sqref="P24">
    <cfRule type="cellIs" dxfId="1" priority="216" operator="equal">
      <formula>0</formula>
    </cfRule>
    <cfRule type="cellIs" dxfId="2" priority="217" operator="lessThan">
      <formula>H24</formula>
    </cfRule>
  </conditionalFormatting>
  <conditionalFormatting sqref="P25">
    <cfRule type="cellIs" dxfId="1" priority="221" operator="equal">
      <formula>0</formula>
    </cfRule>
    <cfRule type="cellIs" dxfId="2" priority="222" operator="lessThan">
      <formula>H25</formula>
    </cfRule>
  </conditionalFormatting>
  <conditionalFormatting sqref="P26">
    <cfRule type="cellIs" dxfId="1" priority="226" operator="equal">
      <formula>0</formula>
    </cfRule>
    <cfRule type="cellIs" dxfId="2" priority="227" operator="lessThan">
      <formula>H26</formula>
    </cfRule>
  </conditionalFormatting>
  <conditionalFormatting sqref="P27">
    <cfRule type="cellIs" dxfId="1" priority="231" operator="equal">
      <formula>0</formula>
    </cfRule>
    <cfRule type="cellIs" dxfId="2" priority="232" operator="lessThan">
      <formula>H27</formula>
    </cfRule>
  </conditionalFormatting>
  <conditionalFormatting sqref="P28">
    <cfRule type="cellIs" dxfId="1" priority="236" operator="equal">
      <formula>0</formula>
    </cfRule>
    <cfRule type="cellIs" dxfId="2" priority="237" operator="lessThan">
      <formula>H28</formula>
    </cfRule>
  </conditionalFormatting>
  <conditionalFormatting sqref="P29">
    <cfRule type="cellIs" dxfId="1" priority="242" operator="equal">
      <formula>0</formula>
    </cfRule>
    <cfRule type="cellIs" dxfId="2" priority="243" operator="lessThan">
      <formula>H29</formula>
    </cfRule>
  </conditionalFormatting>
  <conditionalFormatting sqref="P30">
    <cfRule type="cellIs" dxfId="1" priority="248" operator="equal">
      <formula>0</formula>
    </cfRule>
    <cfRule type="cellIs" dxfId="2" priority="249" operator="lessThan">
      <formula>H30</formula>
    </cfRule>
  </conditionalFormatting>
  <conditionalFormatting sqref="P31">
    <cfRule type="cellIs" dxfId="1" priority="253" operator="equal">
      <formula>0</formula>
    </cfRule>
    <cfRule type="cellIs" dxfId="2" priority="254" operator="lessThan">
      <formula>H31</formula>
    </cfRule>
  </conditionalFormatting>
  <conditionalFormatting sqref="P32">
    <cfRule type="cellIs" dxfId="1" priority="258" operator="equal">
      <formula>0</formula>
    </cfRule>
    <cfRule type="cellIs" dxfId="2" priority="259" operator="lessThan">
      <formula>H32</formula>
    </cfRule>
  </conditionalFormatting>
  <conditionalFormatting sqref="P33">
    <cfRule type="cellIs" dxfId="1" priority="264" operator="equal">
      <formula>0</formula>
    </cfRule>
    <cfRule type="cellIs" dxfId="2" priority="265" operator="lessThan">
      <formula>H33</formula>
    </cfRule>
  </conditionalFormatting>
  <conditionalFormatting sqref="P34">
    <cfRule type="cellIs" dxfId="1" priority="269" operator="equal">
      <formula>0</formula>
    </cfRule>
    <cfRule type="cellIs" dxfId="2" priority="270" operator="lessThan">
      <formula>H34</formula>
    </cfRule>
  </conditionalFormatting>
  <conditionalFormatting sqref="P35">
    <cfRule type="cellIs" dxfId="1" priority="274" operator="equal">
      <formula>0</formula>
    </cfRule>
    <cfRule type="cellIs" dxfId="2" priority="275" operator="lessThan">
      <formula>H35</formula>
    </cfRule>
  </conditionalFormatting>
  <conditionalFormatting sqref="P36">
    <cfRule type="cellIs" dxfId="1" priority="279" operator="equal">
      <formula>0</formula>
    </cfRule>
    <cfRule type="cellIs" dxfId="2" priority="280" operator="lessThan">
      <formula>H36</formula>
    </cfRule>
  </conditionalFormatting>
  <conditionalFormatting sqref="P37">
    <cfRule type="cellIs" dxfId="1" priority="284" operator="equal">
      <formula>0</formula>
    </cfRule>
    <cfRule type="cellIs" dxfId="2" priority="285" operator="lessThan">
      <formula>H37</formula>
    </cfRule>
  </conditionalFormatting>
  <conditionalFormatting sqref="P7">
    <cfRule type="cellIs" dxfId="1" priority="129" operator="equal">
      <formula>0</formula>
    </cfRule>
    <cfRule type="cellIs" dxfId="2" priority="130" operator="lessThan">
      <formula>H7</formula>
    </cfRule>
  </conditionalFormatting>
  <conditionalFormatting sqref="P8">
    <cfRule type="cellIs" dxfId="1" priority="134" operator="equal">
      <formula>0</formula>
    </cfRule>
    <cfRule type="cellIs" dxfId="2" priority="135" operator="lessThan">
      <formula>H8</formula>
    </cfRule>
  </conditionalFormatting>
  <conditionalFormatting sqref="P9">
    <cfRule type="cellIs" dxfId="1" priority="139" operator="equal">
      <formula>0</formula>
    </cfRule>
    <cfRule type="cellIs" dxfId="2" priority="140" operator="lessThan">
      <formula>H9</formula>
    </cfRule>
  </conditionalFormatting>
  <conditionalFormatting sqref="Q10">
    <cfRule type="cellIs" dxfId="1" priority="146" operator="greaterThan">
      <formula>P10</formula>
    </cfRule>
  </conditionalFormatting>
  <conditionalFormatting sqref="Q11">
    <cfRule type="cellIs" dxfId="1" priority="151" operator="greaterThan">
      <formula>P11</formula>
    </cfRule>
  </conditionalFormatting>
  <conditionalFormatting sqref="Q12">
    <cfRule type="cellIs" dxfId="1" priority="156" operator="greaterThan">
      <formula>P12</formula>
    </cfRule>
  </conditionalFormatting>
  <conditionalFormatting sqref="Q13">
    <cfRule type="cellIs" dxfId="1" priority="161" operator="greaterThan">
      <formula>P13</formula>
    </cfRule>
  </conditionalFormatting>
  <conditionalFormatting sqref="Q14">
    <cfRule type="cellIs" dxfId="1" priority="166" operator="greaterThan">
      <formula>P14</formula>
    </cfRule>
  </conditionalFormatting>
  <conditionalFormatting sqref="Q15">
    <cfRule type="cellIs" dxfId="1" priority="171" operator="greaterThan">
      <formula>P15</formula>
    </cfRule>
  </conditionalFormatting>
  <conditionalFormatting sqref="Q16">
    <cfRule type="cellIs" dxfId="1" priority="176" operator="greaterThan">
      <formula>P16</formula>
    </cfRule>
  </conditionalFormatting>
  <conditionalFormatting sqref="Q17">
    <cfRule type="cellIs" dxfId="1" priority="181" operator="greaterThan">
      <formula>P17</formula>
    </cfRule>
  </conditionalFormatting>
  <conditionalFormatting sqref="Q18">
    <cfRule type="cellIs" dxfId="1" priority="186" operator="greaterThan">
      <formula>P18</formula>
    </cfRule>
  </conditionalFormatting>
  <conditionalFormatting sqref="Q19">
    <cfRule type="cellIs" dxfId="1" priority="191" operator="greaterThan">
      <formula>P19</formula>
    </cfRule>
  </conditionalFormatting>
  <conditionalFormatting sqref="Q20">
    <cfRule type="expression" dxfId="3" priority="196">
      <formula>AND(Q20&gt;0,Q20&lt;4000)</formula>
    </cfRule>
    <cfRule type="cellIs" dxfId="1" priority="197" operator="greaterThan">
      <formula>P20</formula>
    </cfRule>
  </conditionalFormatting>
  <conditionalFormatting sqref="Q21">
    <cfRule type="expression" dxfId="3" priority="202">
      <formula>AND(Q21&gt;0,Q21&lt;10000)</formula>
    </cfRule>
    <cfRule type="cellIs" dxfId="1" priority="203" operator="greaterThan">
      <formula>P21</formula>
    </cfRule>
  </conditionalFormatting>
  <conditionalFormatting sqref="Q22">
    <cfRule type="cellIs" dxfId="1" priority="208" operator="greaterThan">
      <formula>P22</formula>
    </cfRule>
  </conditionalFormatting>
  <conditionalFormatting sqref="Q23">
    <cfRule type="cellIs" dxfId="1" priority="213" operator="greaterThan">
      <formula>P23</formula>
    </cfRule>
  </conditionalFormatting>
  <conditionalFormatting sqref="Q24">
    <cfRule type="cellIs" dxfId="1" priority="218" operator="greaterThan">
      <formula>P24</formula>
    </cfRule>
  </conditionalFormatting>
  <conditionalFormatting sqref="Q25">
    <cfRule type="cellIs" dxfId="1" priority="223" operator="greaterThan">
      <formula>P25</formula>
    </cfRule>
  </conditionalFormatting>
  <conditionalFormatting sqref="Q26">
    <cfRule type="cellIs" dxfId="1" priority="228" operator="greaterThan">
      <formula>P26</formula>
    </cfRule>
  </conditionalFormatting>
  <conditionalFormatting sqref="Q27">
    <cfRule type="cellIs" dxfId="1" priority="233" operator="greaterThan">
      <formula>P27</formula>
    </cfRule>
  </conditionalFormatting>
  <conditionalFormatting sqref="Q28">
    <cfRule type="expression" dxfId="3" priority="238">
      <formula>AND(Q28&gt;0,Q28&lt;3000)</formula>
    </cfRule>
    <cfRule type="cellIs" dxfId="1" priority="239" operator="greaterThan">
      <formula>P28</formula>
    </cfRule>
  </conditionalFormatting>
  <conditionalFormatting sqref="Q29">
    <cfRule type="expression" dxfId="3" priority="244">
      <formula>AND(Q29&gt;0,Q29&lt;2000)</formula>
    </cfRule>
    <cfRule type="cellIs" dxfId="1" priority="245" operator="greaterThan">
      <formula>P29</formula>
    </cfRule>
  </conditionalFormatting>
  <conditionalFormatting sqref="Q30">
    <cfRule type="cellIs" dxfId="1" priority="250" operator="greaterThan">
      <formula>P30</formula>
    </cfRule>
  </conditionalFormatting>
  <conditionalFormatting sqref="Q31">
    <cfRule type="cellIs" dxfId="1" priority="255" operator="greaterThan">
      <formula>P31</formula>
    </cfRule>
  </conditionalFormatting>
  <conditionalFormatting sqref="Q32">
    <cfRule type="expression" dxfId="3" priority="260">
      <formula>AND(Q32&gt;0,Q32&lt;5000)</formula>
    </cfRule>
    <cfRule type="cellIs" dxfId="1" priority="261" operator="greaterThan">
      <formula>P32</formula>
    </cfRule>
  </conditionalFormatting>
  <conditionalFormatting sqref="Q33">
    <cfRule type="cellIs" dxfId="1" priority="266" operator="greaterThan">
      <formula>P33</formula>
    </cfRule>
  </conditionalFormatting>
  <conditionalFormatting sqref="Q34">
    <cfRule type="cellIs" dxfId="1" priority="271" operator="greaterThan">
      <formula>P34</formula>
    </cfRule>
  </conditionalFormatting>
  <conditionalFormatting sqref="Q35">
    <cfRule type="cellIs" dxfId="1" priority="276" operator="greaterThan">
      <formula>P35</formula>
    </cfRule>
  </conditionalFormatting>
  <conditionalFormatting sqref="Q36">
    <cfRule type="cellIs" dxfId="1" priority="281" operator="greaterThan">
      <formula>P36</formula>
    </cfRule>
  </conditionalFormatting>
  <conditionalFormatting sqref="Q37">
    <cfRule type="cellIs" dxfId="1" priority="286" operator="greaterThan">
      <formula>P37</formula>
    </cfRule>
  </conditionalFormatting>
  <conditionalFormatting sqref="Q7">
    <cfRule type="cellIs" dxfId="1" priority="131" operator="greaterThan">
      <formula>P7</formula>
    </cfRule>
  </conditionalFormatting>
  <conditionalFormatting sqref="Q8">
    <cfRule type="cellIs" dxfId="1" priority="136" operator="greaterThan">
      <formula>P8</formula>
    </cfRule>
  </conditionalFormatting>
  <conditionalFormatting sqref="Q9">
    <cfRule type="cellIs" dxfId="1" priority="141" operator="greaterThan">
      <formula>P9</formula>
    </cfRule>
  </conditionalFormatting>
  <conditionalFormatting sqref="R10">
    <cfRule type="cellIs" dxfId="4" priority="148" operator="lessThanOrEqual">
      <formula>I10</formula>
    </cfRule>
  </conditionalFormatting>
  <conditionalFormatting sqref="R11">
    <cfRule type="cellIs" dxfId="4" priority="153" operator="lessThanOrEqual">
      <formula>I11</formula>
    </cfRule>
  </conditionalFormatting>
  <conditionalFormatting sqref="R12">
    <cfRule type="cellIs" dxfId="4" priority="158" operator="lessThanOrEqual">
      <formula>I12</formula>
    </cfRule>
  </conditionalFormatting>
  <conditionalFormatting sqref="R13">
    <cfRule type="cellIs" dxfId="4" priority="163" operator="lessThanOrEqual">
      <formula>I13</formula>
    </cfRule>
  </conditionalFormatting>
  <conditionalFormatting sqref="R14">
    <cfRule type="cellIs" dxfId="4" priority="168" operator="lessThanOrEqual">
      <formula>I14</formula>
    </cfRule>
  </conditionalFormatting>
  <conditionalFormatting sqref="R15">
    <cfRule type="cellIs" dxfId="4" priority="173" operator="lessThanOrEqual">
      <formula>I15</formula>
    </cfRule>
  </conditionalFormatting>
  <conditionalFormatting sqref="R16">
    <cfRule type="cellIs" dxfId="4" priority="178" operator="lessThanOrEqual">
      <formula>I16</formula>
    </cfRule>
  </conditionalFormatting>
  <conditionalFormatting sqref="R17">
    <cfRule type="cellIs" dxfId="4" priority="183" operator="lessThanOrEqual">
      <formula>I17</formula>
    </cfRule>
  </conditionalFormatting>
  <conditionalFormatting sqref="R18">
    <cfRule type="cellIs" dxfId="4" priority="188" operator="lessThanOrEqual">
      <formula>I18</formula>
    </cfRule>
  </conditionalFormatting>
  <conditionalFormatting sqref="R19">
    <cfRule type="cellIs" dxfId="4" priority="193" operator="lessThanOrEqual">
      <formula>I19</formula>
    </cfRule>
  </conditionalFormatting>
  <conditionalFormatting sqref="R20">
    <cfRule type="cellIs" dxfId="4" priority="199" operator="lessThanOrEqual">
      <formula>I20</formula>
    </cfRule>
  </conditionalFormatting>
  <conditionalFormatting sqref="R21">
    <cfRule type="cellIs" dxfId="4" priority="205" operator="lessThanOrEqual">
      <formula>I21</formula>
    </cfRule>
  </conditionalFormatting>
  <conditionalFormatting sqref="R22">
    <cfRule type="cellIs" dxfId="4" priority="210" operator="lessThanOrEqual">
      <formula>I22</formula>
    </cfRule>
  </conditionalFormatting>
  <conditionalFormatting sqref="R23">
    <cfRule type="cellIs" dxfId="4" priority="215" operator="lessThanOrEqual">
      <formula>I23</formula>
    </cfRule>
  </conditionalFormatting>
  <conditionalFormatting sqref="R24">
    <cfRule type="cellIs" dxfId="4" priority="220" operator="lessThanOrEqual">
      <formula>I24</formula>
    </cfRule>
  </conditionalFormatting>
  <conditionalFormatting sqref="R25">
    <cfRule type="cellIs" dxfId="4" priority="225" operator="lessThanOrEqual">
      <formula>I25</formula>
    </cfRule>
  </conditionalFormatting>
  <conditionalFormatting sqref="R26">
    <cfRule type="cellIs" dxfId="4" priority="230" operator="lessThanOrEqual">
      <formula>I26</formula>
    </cfRule>
  </conditionalFormatting>
  <conditionalFormatting sqref="R27">
    <cfRule type="cellIs" dxfId="4" priority="235" operator="lessThanOrEqual">
      <formula>I27</formula>
    </cfRule>
  </conditionalFormatting>
  <conditionalFormatting sqref="R28">
    <cfRule type="cellIs" dxfId="4" priority="241" operator="lessThanOrEqual">
      <formula>I28</formula>
    </cfRule>
  </conditionalFormatting>
  <conditionalFormatting sqref="R29">
    <cfRule type="cellIs" dxfId="4" priority="247" operator="lessThanOrEqual">
      <formula>I29</formula>
    </cfRule>
  </conditionalFormatting>
  <conditionalFormatting sqref="R30">
    <cfRule type="cellIs" dxfId="4" priority="252" operator="lessThanOrEqual">
      <formula>I30</formula>
    </cfRule>
  </conditionalFormatting>
  <conditionalFormatting sqref="R31">
    <cfRule type="cellIs" dxfId="4" priority="257" operator="lessThanOrEqual">
      <formula>I31</formula>
    </cfRule>
  </conditionalFormatting>
  <conditionalFormatting sqref="R32">
    <cfRule type="cellIs" dxfId="4" priority="263" operator="lessThanOrEqual">
      <formula>I32</formula>
    </cfRule>
  </conditionalFormatting>
  <conditionalFormatting sqref="R33">
    <cfRule type="cellIs" dxfId="4" priority="268" operator="lessThanOrEqual">
      <formula>I33</formula>
    </cfRule>
  </conditionalFormatting>
  <conditionalFormatting sqref="R34">
    <cfRule type="cellIs" dxfId="4" priority="273" operator="lessThanOrEqual">
      <formula>I34</formula>
    </cfRule>
  </conditionalFormatting>
  <conditionalFormatting sqref="R35">
    <cfRule type="cellIs" dxfId="4" priority="278" operator="lessThanOrEqual">
      <formula>I35</formula>
    </cfRule>
  </conditionalFormatting>
  <conditionalFormatting sqref="R36">
    <cfRule type="cellIs" dxfId="4" priority="283" operator="lessThanOrEqual">
      <formula>I36</formula>
    </cfRule>
  </conditionalFormatting>
  <conditionalFormatting sqref="R37">
    <cfRule type="cellIs" dxfId="4" priority="288" operator="lessThanOrEqual">
      <formula>I37</formula>
    </cfRule>
  </conditionalFormatting>
  <conditionalFormatting sqref="R7">
    <cfRule type="cellIs" dxfId="4" priority="133" operator="lessThanOrEqual">
      <formula>I7</formula>
    </cfRule>
  </conditionalFormatting>
  <conditionalFormatting sqref="R8">
    <cfRule type="cellIs" dxfId="4" priority="138" operator="lessThanOrEqual">
      <formula>I8</formula>
    </cfRule>
  </conditionalFormatting>
  <conditionalFormatting sqref="R9">
    <cfRule type="cellIs" dxfId="4" priority="143" operator="lessThanOrEqual">
      <formula>I9</formula>
    </cfRule>
  </conditionalFormatting>
  <conditionalFormatting sqref="S10">
    <cfRule type="cellIs" dxfId="4" priority="147" operator="lessThanOrEqual">
      <formula>J10</formula>
    </cfRule>
  </conditionalFormatting>
  <conditionalFormatting sqref="S11">
    <cfRule type="cellIs" dxfId="4" priority="152" operator="lessThanOrEqual">
      <formula>J11</formula>
    </cfRule>
  </conditionalFormatting>
  <conditionalFormatting sqref="S12">
    <cfRule type="cellIs" dxfId="4" priority="157" operator="lessThanOrEqual">
      <formula>J12</formula>
    </cfRule>
  </conditionalFormatting>
  <conditionalFormatting sqref="S13">
    <cfRule type="cellIs" dxfId="4" priority="162" operator="lessThanOrEqual">
      <formula>J13</formula>
    </cfRule>
  </conditionalFormatting>
  <conditionalFormatting sqref="S14">
    <cfRule type="cellIs" dxfId="4" priority="167" operator="lessThanOrEqual">
      <formula>J14</formula>
    </cfRule>
  </conditionalFormatting>
  <conditionalFormatting sqref="S15">
    <cfRule type="cellIs" dxfId="4" priority="172" operator="lessThanOrEqual">
      <formula>J15</formula>
    </cfRule>
  </conditionalFormatting>
  <conditionalFormatting sqref="S16">
    <cfRule type="cellIs" dxfId="4" priority="177" operator="lessThanOrEqual">
      <formula>J16</formula>
    </cfRule>
  </conditionalFormatting>
  <conditionalFormatting sqref="S17">
    <cfRule type="cellIs" dxfId="4" priority="182" operator="lessThanOrEqual">
      <formula>J17</formula>
    </cfRule>
  </conditionalFormatting>
  <conditionalFormatting sqref="S18">
    <cfRule type="cellIs" dxfId="4" priority="187" operator="lessThanOrEqual">
      <formula>J18</formula>
    </cfRule>
  </conditionalFormatting>
  <conditionalFormatting sqref="S19">
    <cfRule type="cellIs" dxfId="4" priority="192" operator="lessThanOrEqual">
      <formula>J19</formula>
    </cfRule>
  </conditionalFormatting>
  <conditionalFormatting sqref="S20">
    <cfRule type="cellIs" dxfId="4" priority="198" operator="lessThanOrEqual">
      <formula>J20</formula>
    </cfRule>
  </conditionalFormatting>
  <conditionalFormatting sqref="S21">
    <cfRule type="cellIs" dxfId="4" priority="204" operator="lessThanOrEqual">
      <formula>J21</formula>
    </cfRule>
  </conditionalFormatting>
  <conditionalFormatting sqref="S22">
    <cfRule type="cellIs" dxfId="4" priority="209" operator="lessThanOrEqual">
      <formula>J22</formula>
    </cfRule>
  </conditionalFormatting>
  <conditionalFormatting sqref="S23">
    <cfRule type="cellIs" dxfId="4" priority="214" operator="lessThanOrEqual">
      <formula>J23</formula>
    </cfRule>
  </conditionalFormatting>
  <conditionalFormatting sqref="S24">
    <cfRule type="cellIs" dxfId="4" priority="219" operator="lessThanOrEqual">
      <formula>J24</formula>
    </cfRule>
  </conditionalFormatting>
  <conditionalFormatting sqref="S25">
    <cfRule type="cellIs" dxfId="4" priority="224" operator="lessThanOrEqual">
      <formula>J25</formula>
    </cfRule>
  </conditionalFormatting>
  <conditionalFormatting sqref="S26">
    <cfRule type="cellIs" dxfId="4" priority="229" operator="lessThanOrEqual">
      <formula>J26</formula>
    </cfRule>
  </conditionalFormatting>
  <conditionalFormatting sqref="S27">
    <cfRule type="cellIs" dxfId="4" priority="234" operator="lessThanOrEqual">
      <formula>J27</formula>
    </cfRule>
  </conditionalFormatting>
  <conditionalFormatting sqref="S28">
    <cfRule type="cellIs" dxfId="4" priority="240" operator="lessThanOrEqual">
      <formula>J28</formula>
    </cfRule>
  </conditionalFormatting>
  <conditionalFormatting sqref="S29">
    <cfRule type="cellIs" dxfId="4" priority="246" operator="lessThanOrEqual">
      <formula>J29</formula>
    </cfRule>
  </conditionalFormatting>
  <conditionalFormatting sqref="S30">
    <cfRule type="cellIs" dxfId="4" priority="251" operator="lessThanOrEqual">
      <formula>J30</formula>
    </cfRule>
  </conditionalFormatting>
  <conditionalFormatting sqref="S31">
    <cfRule type="cellIs" dxfId="4" priority="256" operator="lessThanOrEqual">
      <formula>J31</formula>
    </cfRule>
  </conditionalFormatting>
  <conditionalFormatting sqref="S32">
    <cfRule type="cellIs" dxfId="4" priority="262" operator="lessThanOrEqual">
      <formula>J32</formula>
    </cfRule>
  </conditionalFormatting>
  <conditionalFormatting sqref="S33">
    <cfRule type="cellIs" dxfId="4" priority="267" operator="lessThanOrEqual">
      <formula>J33</formula>
    </cfRule>
  </conditionalFormatting>
  <conditionalFormatting sqref="S34">
    <cfRule type="cellIs" dxfId="4" priority="272" operator="lessThanOrEqual">
      <formula>J34</formula>
    </cfRule>
  </conditionalFormatting>
  <conditionalFormatting sqref="S35">
    <cfRule type="cellIs" dxfId="4" priority="277" operator="lessThanOrEqual">
      <formula>J35</formula>
    </cfRule>
  </conditionalFormatting>
  <conditionalFormatting sqref="S36">
    <cfRule type="cellIs" dxfId="4" priority="282" operator="lessThanOrEqual">
      <formula>J36</formula>
    </cfRule>
  </conditionalFormatting>
  <conditionalFormatting sqref="S37">
    <cfRule type="cellIs" dxfId="4" priority="287" operator="lessThanOrEqual">
      <formula>J37</formula>
    </cfRule>
  </conditionalFormatting>
  <conditionalFormatting sqref="S7">
    <cfRule type="cellIs" dxfId="4" priority="132" operator="lessThanOrEqual">
      <formula>J7</formula>
    </cfRule>
  </conditionalFormatting>
  <conditionalFormatting sqref="S8">
    <cfRule type="cellIs" dxfId="4" priority="137" operator="lessThanOrEqual">
      <formula>J8</formula>
    </cfRule>
  </conditionalFormatting>
  <conditionalFormatting sqref="S9">
    <cfRule type="cellIs" dxfId="4" priority="142" operator="lessThanOrEqual">
      <formula>J9</formula>
    </cfRule>
  </conditionalFormatting>
  <conditionalFormatting sqref="U10">
    <cfRule type="cellIs" dxfId="1" priority="306" operator="equal">
      <formula>0</formula>
    </cfRule>
    <cfRule type="cellIs" dxfId="2" priority="307" operator="lessThan">
      <formula>H10</formula>
    </cfRule>
  </conditionalFormatting>
  <conditionalFormatting sqref="U11">
    <cfRule type="cellIs" dxfId="1" priority="312" operator="equal">
      <formula>0</formula>
    </cfRule>
    <cfRule type="cellIs" dxfId="2" priority="313" operator="lessThan">
      <formula>H11</formula>
    </cfRule>
  </conditionalFormatting>
  <conditionalFormatting sqref="U12">
    <cfRule type="cellIs" dxfId="1" priority="318" operator="equal">
      <formula>0</formula>
    </cfRule>
    <cfRule type="cellIs" dxfId="2" priority="319" operator="lessThan">
      <formula>H12</formula>
    </cfRule>
  </conditionalFormatting>
  <conditionalFormatting sqref="U13">
    <cfRule type="cellIs" dxfId="1" priority="324" operator="equal">
      <formula>0</formula>
    </cfRule>
    <cfRule type="cellIs" dxfId="2" priority="325" operator="lessThan">
      <formula>H13</formula>
    </cfRule>
  </conditionalFormatting>
  <conditionalFormatting sqref="U15">
    <cfRule type="cellIs" dxfId="1" priority="330" operator="equal">
      <formula>0</formula>
    </cfRule>
    <cfRule type="cellIs" dxfId="2" priority="331" operator="lessThan">
      <formula>H15</formula>
    </cfRule>
  </conditionalFormatting>
  <conditionalFormatting sqref="U16">
    <cfRule type="cellIs" dxfId="1" priority="336" operator="equal">
      <formula>0</formula>
    </cfRule>
    <cfRule type="cellIs" dxfId="2" priority="337" operator="lessThan">
      <formula>H16</formula>
    </cfRule>
  </conditionalFormatting>
  <conditionalFormatting sqref="U20">
    <cfRule type="cellIs" dxfId="1" priority="341" operator="equal">
      <formula>0</formula>
    </cfRule>
    <cfRule type="cellIs" dxfId="2" priority="342" operator="lessThan">
      <formula>H20</formula>
    </cfRule>
  </conditionalFormatting>
  <conditionalFormatting sqref="U22">
    <cfRule type="cellIs" dxfId="1" priority="347" operator="equal">
      <formula>0</formula>
    </cfRule>
    <cfRule type="cellIs" dxfId="2" priority="348" operator="lessThan">
      <formula>H22</formula>
    </cfRule>
  </conditionalFormatting>
  <conditionalFormatting sqref="U23">
    <cfRule type="cellIs" dxfId="1" priority="353" operator="equal">
      <formula>0</formula>
    </cfRule>
    <cfRule type="cellIs" dxfId="2" priority="354" operator="lessThan">
      <formula>H23</formula>
    </cfRule>
  </conditionalFormatting>
  <conditionalFormatting sqref="U24">
    <cfRule type="cellIs" dxfId="1" priority="359" operator="equal">
      <formula>0</formula>
    </cfRule>
    <cfRule type="cellIs" dxfId="2" priority="360" operator="lessThan">
      <formula>H24</formula>
    </cfRule>
  </conditionalFormatting>
  <conditionalFormatting sqref="U25">
    <cfRule type="cellIs" dxfId="1" priority="365" operator="equal">
      <formula>0</formula>
    </cfRule>
    <cfRule type="cellIs" dxfId="2" priority="366" operator="lessThan">
      <formula>H25</formula>
    </cfRule>
  </conditionalFormatting>
  <conditionalFormatting sqref="U26">
    <cfRule type="cellIs" dxfId="1" priority="371" operator="equal">
      <formula>0</formula>
    </cfRule>
    <cfRule type="cellIs" dxfId="2" priority="372" operator="lessThan">
      <formula>H26</formula>
    </cfRule>
  </conditionalFormatting>
  <conditionalFormatting sqref="U27">
    <cfRule type="cellIs" dxfId="1" priority="377" operator="equal">
      <formula>0</formula>
    </cfRule>
    <cfRule type="cellIs" dxfId="2" priority="378" operator="lessThan">
      <formula>H27</formula>
    </cfRule>
  </conditionalFormatting>
  <conditionalFormatting sqref="U28">
    <cfRule type="cellIs" dxfId="1" priority="383" operator="equal">
      <formula>0</formula>
    </cfRule>
    <cfRule type="cellIs" dxfId="2" priority="384" operator="lessThan">
      <formula>H28</formula>
    </cfRule>
  </conditionalFormatting>
  <conditionalFormatting sqref="U31">
    <cfRule type="cellIs" dxfId="1" priority="389" operator="equal">
      <formula>0</formula>
    </cfRule>
    <cfRule type="cellIs" dxfId="2" priority="390" operator="lessThan">
      <formula>H31</formula>
    </cfRule>
  </conditionalFormatting>
  <conditionalFormatting sqref="U32">
    <cfRule type="cellIs" dxfId="1" priority="395" operator="equal">
      <formula>0</formula>
    </cfRule>
    <cfRule type="cellIs" dxfId="2" priority="396" operator="lessThan">
      <formula>H32</formula>
    </cfRule>
  </conditionalFormatting>
  <conditionalFormatting sqref="U33">
    <cfRule type="cellIs" dxfId="1" priority="401" operator="equal">
      <formula>0</formula>
    </cfRule>
    <cfRule type="cellIs" dxfId="2" priority="402" operator="lessThan">
      <formula>H33</formula>
    </cfRule>
  </conditionalFormatting>
  <conditionalFormatting sqref="U35">
    <cfRule type="cellIs" dxfId="1" priority="406" operator="equal">
      <formula>0</formula>
    </cfRule>
    <cfRule type="cellIs" dxfId="2" priority="407" operator="lessThan">
      <formula>H35</formula>
    </cfRule>
  </conditionalFormatting>
  <conditionalFormatting sqref="U7">
    <cfRule type="cellIs" dxfId="1" priority="289" operator="equal">
      <formula>0</formula>
    </cfRule>
    <cfRule type="cellIs" dxfId="2" priority="290" operator="lessThan">
      <formula>H7</formula>
    </cfRule>
  </conditionalFormatting>
  <conditionalFormatting sqref="U8">
    <cfRule type="cellIs" dxfId="1" priority="294" operator="equal">
      <formula>0</formula>
    </cfRule>
    <cfRule type="cellIs" dxfId="2" priority="295" operator="lessThan">
      <formula>H8</formula>
    </cfRule>
  </conditionalFormatting>
  <conditionalFormatting sqref="U9">
    <cfRule type="cellIs" dxfId="1" priority="300" operator="equal">
      <formula>0</formula>
    </cfRule>
    <cfRule type="cellIs" dxfId="2" priority="301" operator="lessThan">
      <formula>H9</formula>
    </cfRule>
  </conditionalFormatting>
  <conditionalFormatting sqref="V10">
    <cfRule type="expression" dxfId="3" priority="308">
      <formula>AND(V10&gt;0,V10&lt;10)</formula>
    </cfRule>
    <cfRule type="cellIs" dxfId="1" priority="309" operator="greaterThan">
      <formula>U10</formula>
    </cfRule>
  </conditionalFormatting>
  <conditionalFormatting sqref="V11">
    <cfRule type="expression" dxfId="3" priority="314">
      <formula>AND(V11&gt;0,V11&lt;10)</formula>
    </cfRule>
    <cfRule type="cellIs" dxfId="1" priority="315" operator="greaterThan">
      <formula>U11</formula>
    </cfRule>
  </conditionalFormatting>
  <conditionalFormatting sqref="V12">
    <cfRule type="expression" dxfId="3" priority="320">
      <formula>AND(V12&gt;0,V12&lt;10)</formula>
    </cfRule>
    <cfRule type="cellIs" dxfId="1" priority="321" operator="greaterThan">
      <formula>U12</formula>
    </cfRule>
  </conditionalFormatting>
  <conditionalFormatting sqref="V13">
    <cfRule type="expression" dxfId="3" priority="326">
      <formula>AND(V13&gt;0,V13&lt;10)</formula>
    </cfRule>
    <cfRule type="cellIs" dxfId="1" priority="327" operator="greaterThan">
      <formula>U13</formula>
    </cfRule>
  </conditionalFormatting>
  <conditionalFormatting sqref="V15">
    <cfRule type="expression" dxfId="3" priority="332">
      <formula>AND(V15&gt;0,V15&lt;5)</formula>
    </cfRule>
    <cfRule type="cellIs" dxfId="1" priority="333" operator="greaterThan">
      <formula>U15</formula>
    </cfRule>
  </conditionalFormatting>
  <conditionalFormatting sqref="V16">
    <cfRule type="cellIs" dxfId="1" priority="338" operator="greaterThan">
      <formula>U16</formula>
    </cfRule>
  </conditionalFormatting>
  <conditionalFormatting sqref="V20">
    <cfRule type="expression" dxfId="3" priority="343">
      <formula>AND(V20&gt;0,V20&lt;5)</formula>
    </cfRule>
    <cfRule type="cellIs" dxfId="1" priority="344" operator="greaterThan">
      <formula>U20</formula>
    </cfRule>
  </conditionalFormatting>
  <conditionalFormatting sqref="V22">
    <cfRule type="expression" dxfId="3" priority="349">
      <formula>AND(V22&gt;0,V22&lt;10)</formula>
    </cfRule>
    <cfRule type="cellIs" dxfId="1" priority="350" operator="greaterThan">
      <formula>U22</formula>
    </cfRule>
  </conditionalFormatting>
  <conditionalFormatting sqref="V23">
    <cfRule type="expression" dxfId="3" priority="355">
      <formula>AND(V23&gt;0,V23&lt;30000)</formula>
    </cfRule>
    <cfRule type="cellIs" dxfId="1" priority="356" operator="greaterThan">
      <formula>U23</formula>
    </cfRule>
  </conditionalFormatting>
  <conditionalFormatting sqref="V24">
    <cfRule type="expression" dxfId="3" priority="361">
      <formula>AND(V24&gt;0,V24&lt;30000)</formula>
    </cfRule>
    <cfRule type="cellIs" dxfId="1" priority="362" operator="greaterThan">
      <formula>U24</formula>
    </cfRule>
  </conditionalFormatting>
  <conditionalFormatting sqref="V25">
    <cfRule type="expression" dxfId="3" priority="367">
      <formula>AND(V25&gt;0,V25&lt;30000)</formula>
    </cfRule>
    <cfRule type="cellIs" dxfId="1" priority="368" operator="greaterThan">
      <formula>U25</formula>
    </cfRule>
  </conditionalFormatting>
  <conditionalFormatting sqref="V26">
    <cfRule type="expression" dxfId="3" priority="373">
      <formula>AND(V26&gt;0,V26&lt;30000)</formula>
    </cfRule>
    <cfRule type="cellIs" dxfId="1" priority="374" operator="greaterThan">
      <formula>U26</formula>
    </cfRule>
  </conditionalFormatting>
  <conditionalFormatting sqref="V27">
    <cfRule type="expression" dxfId="3" priority="379">
      <formula>AND(V27&gt;0,V27&lt;30000)</formula>
    </cfRule>
    <cfRule type="cellIs" dxfId="1" priority="380" operator="greaterThan">
      <formula>U27</formula>
    </cfRule>
  </conditionalFormatting>
  <conditionalFormatting sqref="V28">
    <cfRule type="expression" dxfId="3" priority="385">
      <formula>AND(V28&gt;0,V28&lt;3000)</formula>
    </cfRule>
    <cfRule type="cellIs" dxfId="1" priority="386" operator="greaterThan">
      <formula>U28</formula>
    </cfRule>
  </conditionalFormatting>
  <conditionalFormatting sqref="V31">
    <cfRule type="expression" dxfId="3" priority="391">
      <formula>AND(V31&gt;0,V31&lt;5)</formula>
    </cfRule>
    <cfRule type="cellIs" dxfId="1" priority="392" operator="greaterThan">
      <formula>U31</formula>
    </cfRule>
  </conditionalFormatting>
  <conditionalFormatting sqref="V32">
    <cfRule type="expression" dxfId="3" priority="397">
      <formula>AND(V32&gt;0,V32&lt;5000)</formula>
    </cfRule>
    <cfRule type="cellIs" dxfId="1" priority="398" operator="greaterThan">
      <formula>U32</formula>
    </cfRule>
  </conditionalFormatting>
  <conditionalFormatting sqref="V33">
    <cfRule type="cellIs" dxfId="1" priority="403" operator="greaterThan">
      <formula>U33</formula>
    </cfRule>
  </conditionalFormatting>
  <conditionalFormatting sqref="V35">
    <cfRule type="cellIs" dxfId="1" priority="408" operator="greaterThan">
      <formula>U35</formula>
    </cfRule>
  </conditionalFormatting>
  <conditionalFormatting sqref="V7">
    <cfRule type="cellIs" dxfId="1" priority="291" operator="greaterThan">
      <formula>U7</formula>
    </cfRule>
  </conditionalFormatting>
  <conditionalFormatting sqref="V8">
    <cfRule type="expression" dxfId="3" priority="296">
      <formula>AND(V8&gt;0,V8&lt;10)</formula>
    </cfRule>
    <cfRule type="cellIs" dxfId="1" priority="297" operator="greaterThan">
      <formula>U8</formula>
    </cfRule>
  </conditionalFormatting>
  <conditionalFormatting sqref="V9">
    <cfRule type="expression" dxfId="3" priority="302">
      <formula>AND(V9&gt;0,V9&lt;10)</formula>
    </cfRule>
    <cfRule type="cellIs" dxfId="1" priority="303" operator="greaterThan">
      <formula>U9</formula>
    </cfRule>
  </conditionalFormatting>
  <conditionalFormatting sqref="W10">
    <cfRule type="cellIs" dxfId="4" priority="311" operator="lessThanOrEqual">
      <formula>I10</formula>
    </cfRule>
  </conditionalFormatting>
  <conditionalFormatting sqref="W11">
    <cfRule type="cellIs" dxfId="4" priority="317" operator="lessThanOrEqual">
      <formula>I11</formula>
    </cfRule>
  </conditionalFormatting>
  <conditionalFormatting sqref="W12">
    <cfRule type="cellIs" dxfId="4" priority="323" operator="lessThanOrEqual">
      <formula>I12</formula>
    </cfRule>
  </conditionalFormatting>
  <conditionalFormatting sqref="W13">
    <cfRule type="cellIs" dxfId="4" priority="329" operator="lessThanOrEqual">
      <formula>I13</formula>
    </cfRule>
  </conditionalFormatting>
  <conditionalFormatting sqref="W15">
    <cfRule type="cellIs" dxfId="4" priority="335" operator="lessThanOrEqual">
      <formula>I15</formula>
    </cfRule>
  </conditionalFormatting>
  <conditionalFormatting sqref="W16">
    <cfRule type="cellIs" dxfId="4" priority="340" operator="lessThanOrEqual">
      <formula>I16</formula>
    </cfRule>
  </conditionalFormatting>
  <conditionalFormatting sqref="W20">
    <cfRule type="cellIs" dxfId="4" priority="346" operator="lessThanOrEqual">
      <formula>I20</formula>
    </cfRule>
  </conditionalFormatting>
  <conditionalFormatting sqref="W22">
    <cfRule type="cellIs" dxfId="4" priority="352" operator="lessThanOrEqual">
      <formula>I22</formula>
    </cfRule>
  </conditionalFormatting>
  <conditionalFormatting sqref="W23">
    <cfRule type="cellIs" dxfId="4" priority="358" operator="lessThanOrEqual">
      <formula>I23</formula>
    </cfRule>
  </conditionalFormatting>
  <conditionalFormatting sqref="W24">
    <cfRule type="cellIs" dxfId="4" priority="364" operator="lessThanOrEqual">
      <formula>I24</formula>
    </cfRule>
  </conditionalFormatting>
  <conditionalFormatting sqref="W25">
    <cfRule type="cellIs" dxfId="4" priority="370" operator="lessThanOrEqual">
      <formula>I25</formula>
    </cfRule>
  </conditionalFormatting>
  <conditionalFormatting sqref="W26">
    <cfRule type="cellIs" dxfId="4" priority="376" operator="lessThanOrEqual">
      <formula>I26</formula>
    </cfRule>
  </conditionalFormatting>
  <conditionalFormatting sqref="W27">
    <cfRule type="cellIs" dxfId="4" priority="382" operator="lessThanOrEqual">
      <formula>I27</formula>
    </cfRule>
  </conditionalFormatting>
  <conditionalFormatting sqref="W28">
    <cfRule type="cellIs" dxfId="4" priority="388" operator="lessThanOrEqual">
      <formula>I28</formula>
    </cfRule>
  </conditionalFormatting>
  <conditionalFormatting sqref="W31">
    <cfRule type="cellIs" dxfId="4" priority="394" operator="lessThanOrEqual">
      <formula>I31</formula>
    </cfRule>
  </conditionalFormatting>
  <conditionalFormatting sqref="W32">
    <cfRule type="cellIs" dxfId="4" priority="400" operator="lessThanOrEqual">
      <formula>I32</formula>
    </cfRule>
  </conditionalFormatting>
  <conditionalFormatting sqref="W33">
    <cfRule type="cellIs" dxfId="4" priority="405" operator="lessThanOrEqual">
      <formula>I33</formula>
    </cfRule>
  </conditionalFormatting>
  <conditionalFormatting sqref="W35">
    <cfRule type="cellIs" dxfId="4" priority="410" operator="lessThanOrEqual">
      <formula>I35</formula>
    </cfRule>
  </conditionalFormatting>
  <conditionalFormatting sqref="W7">
    <cfRule type="cellIs" dxfId="4" priority="293" operator="lessThanOrEqual">
      <formula>I7</formula>
    </cfRule>
  </conditionalFormatting>
  <conditionalFormatting sqref="W8">
    <cfRule type="cellIs" dxfId="4" priority="299" operator="lessThanOrEqual">
      <formula>I8</formula>
    </cfRule>
  </conditionalFormatting>
  <conditionalFormatting sqref="W9">
    <cfRule type="cellIs" dxfId="4" priority="305" operator="lessThanOrEqual">
      <formula>I9</formula>
    </cfRule>
  </conditionalFormatting>
  <conditionalFormatting sqref="X10">
    <cfRule type="cellIs" dxfId="4" priority="310" operator="lessThanOrEqual">
      <formula>J10</formula>
    </cfRule>
  </conditionalFormatting>
  <conditionalFormatting sqref="X11">
    <cfRule type="cellIs" dxfId="4" priority="316" operator="lessThanOrEqual">
      <formula>J11</formula>
    </cfRule>
  </conditionalFormatting>
  <conditionalFormatting sqref="X12">
    <cfRule type="cellIs" dxfId="4" priority="322" operator="lessThanOrEqual">
      <formula>J12</formula>
    </cfRule>
  </conditionalFormatting>
  <conditionalFormatting sqref="X13">
    <cfRule type="cellIs" dxfId="4" priority="328" operator="lessThanOrEqual">
      <formula>J13</formula>
    </cfRule>
  </conditionalFormatting>
  <conditionalFormatting sqref="X15">
    <cfRule type="cellIs" dxfId="4" priority="334" operator="lessThanOrEqual">
      <formula>J15</formula>
    </cfRule>
  </conditionalFormatting>
  <conditionalFormatting sqref="X16">
    <cfRule type="cellIs" dxfId="4" priority="339" operator="lessThanOrEqual">
      <formula>J16</formula>
    </cfRule>
  </conditionalFormatting>
  <conditionalFormatting sqref="X20">
    <cfRule type="cellIs" dxfId="4" priority="345" operator="lessThanOrEqual">
      <formula>J20</formula>
    </cfRule>
  </conditionalFormatting>
  <conditionalFormatting sqref="X22">
    <cfRule type="cellIs" dxfId="4" priority="351" operator="lessThanOrEqual">
      <formula>J22</formula>
    </cfRule>
  </conditionalFormatting>
  <conditionalFormatting sqref="X23">
    <cfRule type="cellIs" dxfId="4" priority="357" operator="lessThanOrEqual">
      <formula>J23</formula>
    </cfRule>
  </conditionalFormatting>
  <conditionalFormatting sqref="X24">
    <cfRule type="cellIs" dxfId="4" priority="363" operator="lessThanOrEqual">
      <formula>J24</formula>
    </cfRule>
  </conditionalFormatting>
  <conditionalFormatting sqref="X25">
    <cfRule type="cellIs" dxfId="4" priority="369" operator="lessThanOrEqual">
      <formula>J25</formula>
    </cfRule>
  </conditionalFormatting>
  <conditionalFormatting sqref="X26">
    <cfRule type="cellIs" dxfId="4" priority="375" operator="lessThanOrEqual">
      <formula>J26</formula>
    </cfRule>
  </conditionalFormatting>
  <conditionalFormatting sqref="X27">
    <cfRule type="cellIs" dxfId="4" priority="381" operator="lessThanOrEqual">
      <formula>J27</formula>
    </cfRule>
  </conditionalFormatting>
  <conditionalFormatting sqref="X28">
    <cfRule type="cellIs" dxfId="4" priority="387" operator="lessThanOrEqual">
      <formula>J28</formula>
    </cfRule>
  </conditionalFormatting>
  <conditionalFormatting sqref="X31">
    <cfRule type="cellIs" dxfId="4" priority="393" operator="lessThanOrEqual">
      <formula>J31</formula>
    </cfRule>
  </conditionalFormatting>
  <conditionalFormatting sqref="X32">
    <cfRule type="cellIs" dxfId="4" priority="399" operator="lessThanOrEqual">
      <formula>J32</formula>
    </cfRule>
  </conditionalFormatting>
  <conditionalFormatting sqref="X33">
    <cfRule type="cellIs" dxfId="4" priority="404" operator="lessThanOrEqual">
      <formula>J33</formula>
    </cfRule>
  </conditionalFormatting>
  <conditionalFormatting sqref="X35">
    <cfRule type="cellIs" dxfId="4" priority="409" operator="lessThanOrEqual">
      <formula>J35</formula>
    </cfRule>
  </conditionalFormatting>
  <conditionalFormatting sqref="X7">
    <cfRule type="cellIs" dxfId="4" priority="292" operator="lessThanOrEqual">
      <formula>J7</formula>
    </cfRule>
  </conditionalFormatting>
  <conditionalFormatting sqref="X8">
    <cfRule type="cellIs" dxfId="4" priority="298" operator="lessThanOrEqual">
      <formula>J8</formula>
    </cfRule>
  </conditionalFormatting>
  <conditionalFormatting sqref="X9">
    <cfRule type="cellIs" dxfId="4" priority="304" operator="lessThanOrEqual">
      <formula>J9</formula>
    </cfRule>
  </conditionalFormatting>
  <conditionalFormatting sqref="Z11">
    <cfRule type="cellIs" dxfId="1" priority="423" operator="equal">
      <formula>0</formula>
    </cfRule>
    <cfRule type="cellIs" dxfId="2" priority="424" operator="lessThan">
      <formula>H11</formula>
    </cfRule>
  </conditionalFormatting>
  <conditionalFormatting sqref="Z12">
    <cfRule type="cellIs" dxfId="1" priority="429" operator="equal">
      <formula>0</formula>
    </cfRule>
    <cfRule type="cellIs" dxfId="2" priority="430" operator="lessThan">
      <formula>H12</formula>
    </cfRule>
  </conditionalFormatting>
  <conditionalFormatting sqref="Z13">
    <cfRule type="cellIs" dxfId="1" priority="435" operator="equal">
      <formula>0</formula>
    </cfRule>
    <cfRule type="cellIs" dxfId="2" priority="436" operator="lessThan">
      <formula>H13</formula>
    </cfRule>
  </conditionalFormatting>
  <conditionalFormatting sqref="Z15">
    <cfRule type="cellIs" dxfId="1" priority="441" operator="equal">
      <formula>0</formula>
    </cfRule>
    <cfRule type="cellIs" dxfId="2" priority="442" operator="lessThan">
      <formula>H15</formula>
    </cfRule>
  </conditionalFormatting>
  <conditionalFormatting sqref="Z22">
    <cfRule type="cellIs" dxfId="1" priority="446" operator="equal">
      <formula>0</formula>
    </cfRule>
    <cfRule type="cellIs" dxfId="2" priority="447" operator="lessThan">
      <formula>H22</formula>
    </cfRule>
  </conditionalFormatting>
  <conditionalFormatting sqref="Z25">
    <cfRule type="cellIs" dxfId="1" priority="452" operator="equal">
      <formula>0</formula>
    </cfRule>
    <cfRule type="cellIs" dxfId="2" priority="453" operator="lessThan">
      <formula>H25</formula>
    </cfRule>
  </conditionalFormatting>
  <conditionalFormatting sqref="Z27">
    <cfRule type="cellIs" dxfId="1" priority="458" operator="equal">
      <formula>0</formula>
    </cfRule>
    <cfRule type="cellIs" dxfId="2" priority="459" operator="lessThan">
      <formula>H27</formula>
    </cfRule>
  </conditionalFormatting>
  <conditionalFormatting sqref="Z29">
    <cfRule type="cellIs" dxfId="1" priority="464" operator="equal">
      <formula>0</formula>
    </cfRule>
    <cfRule type="cellIs" dxfId="2" priority="465" operator="lessThan">
      <formula>H29</formula>
    </cfRule>
  </conditionalFormatting>
  <conditionalFormatting sqref="Z8">
    <cfRule type="cellIs" dxfId="1" priority="411" operator="equal">
      <formula>0</formula>
    </cfRule>
    <cfRule type="cellIs" dxfId="2" priority="412" operator="lessThan">
      <formula>H8</formula>
    </cfRule>
  </conditionalFormatting>
  <conditionalFormatting sqref="Z9">
    <cfRule type="cellIs" dxfId="1" priority="417" operator="equal">
      <formula>0</formula>
    </cfRule>
    <cfRule type="cellIs" dxfId="2" priority="418" operator="lessThan">
      <formula>H9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G8" r:id="rId8"/>
    <hyperlink ref="T8" r:id="rId9"/>
    <hyperlink ref="Y8" r:id="rId10"/>
    <hyperlink ref="AD8" r:id="rId11"/>
    <hyperlink ref="AI8" r:id="rId12"/>
    <hyperlink ref="AN8" r:id="rId13"/>
    <hyperlink ref="G9" r:id="rId14"/>
    <hyperlink ref="T9" r:id="rId15"/>
    <hyperlink ref="Y9" r:id="rId16"/>
    <hyperlink ref="AD9" r:id="rId17"/>
    <hyperlink ref="AI9" r:id="rId18"/>
    <hyperlink ref="AN9" r:id="rId19"/>
    <hyperlink ref="G10" r:id="rId20"/>
    <hyperlink ref="T10" r:id="rId21"/>
    <hyperlink ref="Y10" r:id="rId22"/>
    <hyperlink ref="AI10" r:id="rId23"/>
    <hyperlink ref="AN10" r:id="rId24"/>
    <hyperlink ref="G11" r:id="rId25"/>
    <hyperlink ref="T11" r:id="rId26"/>
    <hyperlink ref="Y11" r:id="rId27"/>
    <hyperlink ref="AD11" r:id="rId28"/>
    <hyperlink ref="AI11" r:id="rId29"/>
    <hyperlink ref="AN11" r:id="rId30"/>
    <hyperlink ref="G12" r:id="rId31"/>
    <hyperlink ref="T12" r:id="rId32"/>
    <hyperlink ref="Y12" r:id="rId33"/>
    <hyperlink ref="AD12" r:id="rId34"/>
    <hyperlink ref="AI12" r:id="rId35"/>
    <hyperlink ref="AN12" r:id="rId36"/>
    <hyperlink ref="G13" r:id="rId37"/>
    <hyperlink ref="T13" r:id="rId38"/>
    <hyperlink ref="Y13" r:id="rId39"/>
    <hyperlink ref="AD13" r:id="rId40"/>
    <hyperlink ref="AI13" r:id="rId41"/>
    <hyperlink ref="AN13" r:id="rId42"/>
    <hyperlink ref="AS13" r:id="rId43"/>
    <hyperlink ref="G14" r:id="rId44"/>
    <hyperlink ref="T14" r:id="rId45"/>
    <hyperlink ref="AI14" r:id="rId46"/>
    <hyperlink ref="AN14" r:id="rId47"/>
    <hyperlink ref="G15" r:id="rId48"/>
    <hyperlink ref="T15" r:id="rId49"/>
    <hyperlink ref="Y15" r:id="rId50"/>
    <hyperlink ref="AD15" r:id="rId51"/>
    <hyperlink ref="AI15" r:id="rId52"/>
    <hyperlink ref="AN15" r:id="rId53"/>
    <hyperlink ref="AS15" r:id="rId54"/>
    <hyperlink ref="G16" r:id="rId55"/>
    <hyperlink ref="T16" r:id="rId56"/>
    <hyperlink ref="Y16" r:id="rId57"/>
    <hyperlink ref="AI16" r:id="rId58"/>
    <hyperlink ref="AN16" r:id="rId59"/>
    <hyperlink ref="AX16" r:id="rId60"/>
    <hyperlink ref="G17" r:id="rId61"/>
    <hyperlink ref="T17" r:id="rId62"/>
    <hyperlink ref="AI17" r:id="rId63"/>
    <hyperlink ref="AS17" r:id="rId64"/>
    <hyperlink ref="G18" r:id="rId65"/>
    <hyperlink ref="T18" r:id="rId66"/>
    <hyperlink ref="G19" r:id="rId67"/>
    <hyperlink ref="T19" r:id="rId68"/>
    <hyperlink ref="G20" r:id="rId69"/>
    <hyperlink ref="T20" r:id="rId70"/>
    <hyperlink ref="Y20" r:id="rId71"/>
    <hyperlink ref="AI20" r:id="rId72"/>
    <hyperlink ref="AN20" r:id="rId73"/>
    <hyperlink ref="G21" r:id="rId74"/>
    <hyperlink ref="T21" r:id="rId75"/>
    <hyperlink ref="AI21" r:id="rId76"/>
    <hyperlink ref="G22" r:id="rId77"/>
    <hyperlink ref="T22" r:id="rId78"/>
    <hyperlink ref="Y22" r:id="rId79"/>
    <hyperlink ref="AD22" r:id="rId80"/>
    <hyperlink ref="AI22" r:id="rId81"/>
    <hyperlink ref="AN22" r:id="rId82"/>
    <hyperlink ref="AS22" r:id="rId83"/>
    <hyperlink ref="G23" r:id="rId84"/>
    <hyperlink ref="T23" r:id="rId85"/>
    <hyperlink ref="Y23" r:id="rId86"/>
    <hyperlink ref="AI23" r:id="rId87"/>
    <hyperlink ref="AN23" r:id="rId88"/>
    <hyperlink ref="AS23" r:id="rId89"/>
    <hyperlink ref="G24" r:id="rId90"/>
    <hyperlink ref="T24" r:id="rId91"/>
    <hyperlink ref="Y24" r:id="rId92"/>
    <hyperlink ref="AI24" r:id="rId93"/>
    <hyperlink ref="AN24" r:id="rId94"/>
    <hyperlink ref="AS24" r:id="rId95"/>
    <hyperlink ref="G25" r:id="rId96"/>
    <hyperlink ref="T25" r:id="rId97"/>
    <hyperlink ref="Y25" r:id="rId98"/>
    <hyperlink ref="AD25" r:id="rId99"/>
    <hyperlink ref="AI25" r:id="rId100"/>
    <hyperlink ref="AN25" r:id="rId101"/>
    <hyperlink ref="AS25" r:id="rId102"/>
    <hyperlink ref="G26" r:id="rId103"/>
    <hyperlink ref="T26" r:id="rId104"/>
    <hyperlink ref="Y26" r:id="rId105"/>
    <hyperlink ref="AI26" r:id="rId106"/>
    <hyperlink ref="AN26" r:id="rId107"/>
    <hyperlink ref="G27" r:id="rId108"/>
    <hyperlink ref="T27" r:id="rId109"/>
    <hyperlink ref="Y27" r:id="rId110"/>
    <hyperlink ref="AD27" r:id="rId111"/>
    <hyperlink ref="AI27" r:id="rId112"/>
    <hyperlink ref="AN27" r:id="rId113"/>
    <hyperlink ref="AS27" r:id="rId114"/>
    <hyperlink ref="G28" r:id="rId115"/>
    <hyperlink ref="T28" r:id="rId116"/>
    <hyperlink ref="Y28" r:id="rId117"/>
    <hyperlink ref="AI28" r:id="rId118"/>
    <hyperlink ref="AN28" r:id="rId119"/>
    <hyperlink ref="G29" r:id="rId120"/>
    <hyperlink ref="T29" r:id="rId121"/>
    <hyperlink ref="AD29" r:id="rId122"/>
    <hyperlink ref="AI29" r:id="rId123"/>
    <hyperlink ref="G30" r:id="rId124"/>
    <hyperlink ref="T30" r:id="rId125"/>
    <hyperlink ref="G31" r:id="rId126"/>
    <hyperlink ref="T31" r:id="rId127"/>
    <hyperlink ref="Y31" r:id="rId128"/>
    <hyperlink ref="AI31" r:id="rId129"/>
    <hyperlink ref="AN31" r:id="rId130"/>
    <hyperlink ref="AS31" r:id="rId131"/>
    <hyperlink ref="G32" r:id="rId132"/>
    <hyperlink ref="T32" r:id="rId133"/>
    <hyperlink ref="Y32" r:id="rId134"/>
    <hyperlink ref="AI32" r:id="rId135"/>
    <hyperlink ref="G33" r:id="rId136"/>
    <hyperlink ref="T33" r:id="rId137"/>
    <hyperlink ref="Y33" r:id="rId138"/>
    <hyperlink ref="AI33" r:id="rId139"/>
    <hyperlink ref="AN33" r:id="rId140"/>
    <hyperlink ref="G34" r:id="rId141"/>
    <hyperlink ref="T34" r:id="rId142"/>
    <hyperlink ref="AI34" r:id="rId143"/>
    <hyperlink ref="AX34" r:id="rId144"/>
    <hyperlink ref="G35" r:id="rId145"/>
    <hyperlink ref="T35" r:id="rId146"/>
    <hyperlink ref="Y35" r:id="rId147"/>
    <hyperlink ref="AI35" r:id="rId148"/>
    <hyperlink ref="AN35" r:id="rId149"/>
    <hyperlink ref="G36" r:id="rId150"/>
    <hyperlink ref="T36" r:id="rId151"/>
    <hyperlink ref="Y36" r:id="rId152"/>
    <hyperlink ref="AI36" r:id="rId153"/>
    <hyperlink ref="AN36" r:id="rId154"/>
    <hyperlink ref="G37" r:id="rId155"/>
    <hyperlink ref="T37" r:id="rId156"/>
    <hyperlink ref="AI37" r:id="rId157"/>
    <hyperlink ref="G38" r:id="rId158"/>
    <hyperlink ref="K40" r:id="rId159"/>
    <hyperlink ref="P40" r:id="rId160"/>
    <hyperlink ref="U40" r:id="rId161"/>
    <hyperlink ref="Z40" r:id="rId162"/>
    <hyperlink ref="AE40" r:id="rId163"/>
    <hyperlink ref="AJ40" r:id="rId164"/>
    <hyperlink ref="AO40" r:id="rId165"/>
    <hyperlink ref="AT40" r:id="rId166"/>
  </hyperlinks>
  <pageMargins left="0.7" right="0.7" top="0.75" bottom="0.75" header="0.3" footer="0.3"/>
  <legacyDrawing r:id="rId16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reDIP-SX-kicost.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2021-03-04T14:51:31Z</dcterms:created>
  <dcterms:modified xsi:type="dcterms:W3CDTF">2021-03-04T14:51:31Z</dcterms:modified>
</cp:coreProperties>
</file>