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P-SX-BOM. " sheetId="1" r:id="rId1"/>
  </sheets>
  <definedNames>
    <definedName name="arrow_part_data">'reDIP-SX-BOM. '!$K$5:$O$37</definedName>
    <definedName name="BoardQty">'reDIP-SX-BOM. '!$J$1</definedName>
    <definedName name="digikey_part_data">'reDIP-SX-BOM. '!$P$5:$T$37</definedName>
    <definedName name="farnell_part_data">'reDIP-SX-BOM. '!$U$5:$Y$37</definedName>
    <definedName name="global_part_data">'reDIP-SX-BOM. '!$A$5:$J$37</definedName>
    <definedName name="lcsc_part_data">'reDIP-SX-BOM. '!$Z$5:$AD$37</definedName>
    <definedName name="mouser_part_data">'reDIP-SX-BOM. '!$AE$5:$AI$37</definedName>
    <definedName name="newark_part_data">'reDIP-SX-BOM. '!$AJ$5:$AN$37</definedName>
    <definedName name="PURCHASE_DESCRIPTION">'reDIP-SX-BOM. '!$J$40</definedName>
    <definedName name="rs_part_data">'reDIP-SX-BOM. '!$AO$5:$AS$37</definedName>
    <definedName name="tme_part_data">'reDIP-SX-BOM. '!$AT$5:$AX$37</definedName>
    <definedName name="TotalCost">'reDIP-SX-BOM. '!$J$3</definedName>
    <definedName name="USD_GBP">'reDIP-SX-BOM. '!$C$40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I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O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T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D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I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X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E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M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O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V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W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X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R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$1.61      $1.61
    10   $1.45     $14.48
    25   $1.37     $34.14
   100   $1.16    $116.36
   250   $1.09    $273.15
   500   $0.96    $478.01
  1800   $0.86  $1,548.72</t>
        </r>
      </text>
    </comment>
    <comment ref="W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£1.10      £1.10
    10   £1.04     £10.40
    50   £1.01     £50.50
   100   £0.83     £83.20
   250   £0.76    £191.25
   500   £0.59    £294.00
  1000   £0.68    £676.00
  1800   £0.62  £1,108.80
  2500   £0.57  £1,430.00
  4500   £0.57  £2,565.00
  9000   £0.57  £5,112.00
 45000   £0.57 £25,470.00</t>
        </r>
      </text>
    </comment>
    <comment ref="AE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$1.61      $1.61
    10   $1.37     $13.70
    50   $1.37     $68.50
   100   $1.10    $110.00
  1000   $0.89    $888.00
 10000   $0.80  $8,000.00</t>
        </r>
      </text>
    </comment>
    <comment ref="AL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$1.40     $14.00
    25   $1.31     $32.75
    50   $1.21     $60.50
   100   $1.12    $112.00
   250   $1.05    $262.50</t>
        </r>
      </text>
    </comment>
    <comment ref="AQ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£1.28      £1.28
     5 £956.09  £4,780.45
    25   £1.09     £27.25
    50   £0.96     £48.00
   100   £0.83     £83.00
   250   £0.77    £192.50</t>
        </r>
      </text>
    </comment>
    <comment ref="AT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V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1800   £0.60  £1,075.99</t>
        </r>
      </text>
    </comment>
    <comment ref="P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$0.20      $1.98
    50   $0.12      $5.95
   100   $0.10     $10.05
   500   $0.07     $34.38
  1000   $0.06     $60.84
  2500   $0.06    $145.48
  5000   $0.05    $264.50
 10000   $0.05    $502.60</t>
        </r>
      </text>
    </comment>
    <comment ref="W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£0.13      £1.28
   100   £0.06      £6.38
   150   £0.06      £9.57
   500   £0.05     £24.75
  2500   £0.03     £79.75
  5000   £0.03    £146.00
 10000   £0.03    £264.00
 50000   £0.02  £1,100.00</t>
        </r>
      </text>
    </comment>
    <comment ref="AB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$0.06      $0.58
   100   $0.05      $4.56
   300   $0.04     $12.99
  1000   $0.04     $41.10
  5000   $0.04    $200.50
 10000   $0.04    $396.00</t>
        </r>
      </text>
    </comment>
    <comment ref="AE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$0.17      $1.74
    50   $0.17      $8.70
   100   $0.10      $9.90
  1000   $0.06     $61.00
 10000   $0.04    $430.00</t>
        </r>
      </text>
    </comment>
    <comment ref="AL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$0.17      $1.74
    25   $0.15      $3.72
    50   $0.12      $6.20
   100   $0.10      $9.90</t>
        </r>
      </text>
    </comment>
    <comment ref="P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$0.17      $1.72
    50   $0.12      $5.75
   100   $0.10      $9.78
   500   $0.07     $34.50
  1000   $0.06     $60.38
  2500   $0.06    $143.75
  5000   $0.05    $265.95
 15000   $0.05    $715.95</t>
        </r>
      </text>
    </comment>
    <comment ref="U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£0.22      £2.18
   100   £0.14     £13.70
   150   £0.14     £20.55
   500   £0.10     £51.50
  2500   £0.07    £181.75
  7500   £0.06    £454.50
 15000   £0.06    £891.00
 75000   £0.05  £3,825.00</t>
        </r>
      </text>
    </comment>
    <comment ref="AB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20   $0.02      $0.42
   200   $0.02      $3.22
   600   $0.02      $9.18
  2000   $0.01     $28.80
 10000   $0.01    $141.00
 20000   $0.01    $278.00</t>
        </r>
      </text>
    </comment>
    <comment ref="AJ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$0.12      $1.21
    25   $0.11      $2.82
    50   $0.10      $5.25
   100   $0.10      $9.70
 15000   $0.05    $795.00</t>
        </r>
      </text>
    </comment>
    <comment ref="R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$0.31      $3.07
    50   $0.22     $10.75
   100   $0.18     $18.42
   500   $0.14     $69.09
  1000   $0.12    $116.68
  2500   $0.11    $276.35
  5000   $0.10    $522.00
 10000   $0.10    $982.60</t>
        </r>
      </text>
    </comment>
    <comment ref="W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£0.19      £1.87
   100   £0.15     £15.10
   150   £0.15     £22.65
   500   £0.08     £42.10
  2500   £0.08    £199.25
  5000   £0.07    £370.00
 10000   £0.07    £718.00
 50000   £0.06  £3,075.00</t>
        </r>
      </text>
    </comment>
    <comment ref="AB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$0.12      $0.60
    50   $0.09      $4.40
   150   $0.08     $12.32
   500   $0.08     $38.05
  2500   $0.07    $183.50
  5000   $0.07    $360.50</t>
        </r>
      </text>
    </comment>
    <comment ref="AG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$0.42      $0.42
    10   $0.21      $2.06
    50   $0.21     $10.30
   100   $0.18     $17.70
  1000   $0.11    $112.00
 10000   $0.09    $940.00</t>
        </r>
      </text>
    </comment>
    <comment ref="AL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$0.23      $2.27
    25   $0.22      $5.40
    50   $0.20     $10.25
   100   $0.19     $19.40
 10000   $0.11  $1,100.00</t>
        </r>
      </text>
    </comment>
    <comment ref="R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$0.13      $1.29
    50   $0.08      $3.88
   100   $0.07      $6.56
   500   $0.04     $22.42
  1000   $0.04     $39.68
  2500   $0.04     $94.88
  5000   $0.03    $172.50
 10000   $0.03    $327.80</t>
        </r>
      </text>
    </comment>
    <comment ref="W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£0.14      £1.43
   100   £0.08      £8.17
   150   £0.08     £12.25
   500   £0.06     £31.10
  2500   £0.05    £115.25
  5000   £0.04    £190.50
 10000   £0.03    £318.00
 50000   £0.03  £1,360.00</t>
        </r>
      </text>
    </comment>
    <comment ref="AB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$0.06      $0.63
   100   $0.05      $4.69
   300   $0.04     $13.20
  1000   $0.04     $41.10
  5000   $0.04    $199.00
 10000   $0.04    $392.00</t>
        </r>
      </text>
    </comment>
    <comment ref="AG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$0.18      $0.18
    10   $0.08      $0.75
    50   $0.08      $3.75
   100   $0.06      $6.30
  1000   $0.04     $38.00
 10000   $0.03    $310.00</t>
        </r>
      </text>
    </comment>
    <comment ref="AL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$0.17      $1.73
    25   $0.14      $3.60
    50   $0.12      $5.80
   100   $0.09      $8.70
 10000   $0.03    $330.00
 20000   $0.03    $640.00</t>
        </r>
      </text>
    </comment>
    <comment ref="R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 50   $0.02      $0.93
   100   $0.02      $1.52
   500   $0.01      $5.43
  1000   $0.01      $8.54
  2500   $0.01     $19.40
  5000   $0.01     $35.70
 15000   $0.01     $93.15</t>
        </r>
      </text>
    </comment>
    <comment ref="W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£0.20
   100   £0.02      £1.59
   150   £0.02      £2.39
   500   £0.01      £3.80
  2500   £0.01     £14.75
  7500   £0.01     £43.50
 15000   £0.00     £60.00
 75000   £0.00    £292.50</t>
        </r>
      </text>
    </comment>
    <comment ref="AB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$0.00      $0.18
   500   $0.00      $1.30
  1500   $0.00      $3.60
  5000   $0.00     $11.00
 25000   $0.00     $55.00
 50000   $0.00    $105.00</t>
        </r>
      </text>
    </comment>
    <comment ref="AG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$0.02      $1.50
  1000   $0.01      $9.00
 10000   $0.01     $70.00</t>
        </r>
      </text>
    </comment>
    <comment ref="AL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$0.03      $0.34
    25   $0.03      $0.70
    50   $0.02      $1.05
   100   $0.02      $1.50
 15000   $0.00     $75.00</t>
        </r>
      </text>
    </comment>
    <comment ref="AQ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
 60000   £0.00    £240.00</t>
        </r>
      </text>
    </comment>
    <comment ref="R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$0.34      $0.34
    10   $0.25      $2.51
   100   $0.14     $14.20
   500   $0.09     $47.02
  1000   $0.07     $72.10
  2000   $0.06    $125.40
  5000   $0.06    $282.15
 10000   $0.05    $501.60
 30000   $0.05  $1,410.90
 50000   $0.04  $2,085.00
100000   $0.04  $4,125.00</t>
        </r>
      </text>
    </comment>
    <comment ref="U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10000   £0.04    £420.00</t>
        </r>
      </text>
    </comment>
    <comment ref="AG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$0.28      $2.76
    50   $0.28     $13.80
   100   $0.16     $15.70
  1000   $0.08     $84.00
 10000   $0.06    $580.00</t>
        </r>
      </text>
    </comment>
    <comment ref="AJ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$0.36      $1.80
    10   $0.28      $2.76
   100   $0.15     $15.40
   500   $0.14     $68.00
  1000   $0.12    $118.00
  2500   $0.10    $257.50</t>
        </r>
      </text>
    </comment>
    <comment ref="R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$0.60      $0.60
    10   $0.52      $5.25
   100   $0.40     $40.23
   500   $0.32    $159.00
  1000   $0.26    $262.50
  3000   $0.26    $787.50</t>
        </r>
      </text>
    </comment>
    <comment ref="W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£0.65      £3.27
    10   £0.55      £5.48
   100   £0.34     £33.60
   150   £0.34     £50.40
   500   £0.24    £121.50
  3000   £0.20    £612.00</t>
        </r>
      </text>
    </comment>
    <comment ref="AB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$0.43      $0.43
    10   $0.33      $3.28
    30   $0.31      $9.31
   100   $0.29     $29.22
   500   $0.28    $141.60
  1000   $0.28    $279.60</t>
        </r>
      </text>
    </comment>
    <comment ref="AG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$0.60      $0.60
    10   $0.52      $5.17
    50   $0.52     $25.85
   100   $0.36     $35.80
  1000   $0.26    $255.00
 10000   $0.21  $2,100.00</t>
        </r>
      </text>
    </comment>
    <comment ref="AL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$0.70      $0.70
    10   $0.61      $6.10
   100   $0.42     $42.30
   500   $0.35    $176.50
  3000   $0.21    $639.00
  9000   $0.19  $1,710.00
 24000   $0.18  $4,416.00
 45000   $0.17  $7,740.00</t>
        </r>
      </text>
    </comment>
    <comment ref="AQ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25   £0.37      £9.30
   100   £0.26     £25.70
   500   £0.22    £107.50
  1000   £0.18    £183.00
  3000   £0.16    £486.00</t>
        </r>
      </text>
    </comment>
    <comment ref="R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$0.72      $0.72
    10   $0.48      $4.75
   100   $0.31     $31.45
  1000   $0.24    $242.82
  2000   $0.22    $438.84
  6000   $0.21  $1,242.00</t>
        </r>
      </text>
    </comment>
    <comment ref="U1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£0.68      £0.68
    10   £0.45      £4.51
   100   £0.35     £34.70
   500   £0.30    £149.50</t>
        </r>
      </text>
    </comment>
    <comment ref="AG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$0.68      $0.68
    10   $0.44      $4.41
    50   $0.44     $22.05
   100   $0.29     $28.90
  1000   $0.23    $228.00
 10000   $0.19  $1,860.00</t>
        </r>
      </text>
    </comment>
    <comment ref="AJ1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10000   $0.22  $2,220.00</t>
        </r>
      </text>
    </comment>
    <comment ref="AV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£0.58      £0.58
     5   £0.26      £1.31
    25   £0.20      £5.09
   100   £0.17     £17.32
   500   £0.16     £78.95</t>
        </r>
      </text>
    </comment>
    <comment ref="R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$1.53      $1.53
    10   $1.39     $13.86
    25   $1.30     $32.52
    50   $1.24     $62.22
   100   $1.19    $118.78
   250   $1.07    $268.66
   500   $0.99    $494.90
  1500   $0.82  $1,230.18
  3000   $0.79  $2,375.52
  7500   $0.75  $5,641.88
 10500   $0.74  $7,720.44</t>
        </r>
      </text>
    </comment>
    <comment ref="AE1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$1.51      $1.51
    10   $1.23     $12.30
    50   $1.23     $61.50
   100   $1.17    $117.00
  1000   $0.84    $839.00
 10000   $0.73  $7,280.00</t>
        </r>
      </text>
    </comment>
    <comment ref="AQ1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£5.57      £5.57
     4   £5.31     £21.24
    20   £5.04    £100.80
   100   £4.78    £478.00
   200   £4.55    £910.00</t>
        </r>
      </text>
    </comment>
    <comment ref="R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$0.24      $2.36
    25   $0.20      $5.03
    50   $0.18      $8.79
   100   $0.16     $16.33
   250   $0.14     $36.12
   500   $0.14     $69.10</t>
        </r>
      </text>
    </comment>
    <comment ref="R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$0.27      $2.71
    25   $0.23      $5.81
    50   $0.20      $9.87
   100   $0.19     $18.96
   250   $0.17     $42.57
   500   $0.16     $81.27</t>
        </r>
      </text>
    </comment>
    <comment ref="P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$0.06    $230.76</t>
        </r>
      </text>
    </comment>
    <comment ref="U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£0.29      £1.45
    10   £0.20      £1.96
   100   £0.08      £7.78
   500   £0.06     £29.25
  1000   £0.04     £39.10
  5000   £0.03    £166.00</t>
        </r>
      </text>
    </comment>
    <comment ref="AG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$0.27      $2.68
    50   $0.27     $13.40
   100   $0.11     $11.20
  1000   $0.08     $76.00
 10000   $0.05    $510.00</t>
        </r>
      </text>
    </comment>
    <comment ref="AJ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$0.39      $1.95
    10   $0.27      $2.68
   100   $0.11     $11.20
   500   $0.09     $47.00
  1000   $0.08     $76.00</t>
        </r>
      </text>
    </comment>
    <comment ref="AT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V1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£0.06      £0.61
    50   £0.04      £2.22
   250   £0.04      £9.99
  1000   £0.04     £35.26
  4000   £0.03    £118.52</t>
        </r>
      </text>
    </comment>
    <comment ref="P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10000   $0.03    $302.00</t>
        </r>
      </text>
    </comment>
    <comment ref="AG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$0.24      $2.43
    50   $0.24     $12.15
   100   $0.10     $10.20
  1000   $0.07     $69.00
 10000   $0.05    $460.00</t>
        </r>
      </text>
    </comment>
    <comment ref="R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 25   $0.02      $0.45
    50   $0.01      $0.68
   100   $0.01      $1.00
   250   $0.01      $1.91
   500   $0.01      $3.06
  1000   $0.00      $4.50
  5000   $0.00     $16.15
 15000   $0.00     $42.15
 30000   $0.00     $74.10
 75000   $0.00    $173.25</t>
        </r>
      </text>
    </comment>
    <comment ref="W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£0.40
   100   £0.02      £2.40
   150   £0.02      £3.60
   500   £0.02      £9.00
  2500   £0.01     £30.00
  7500   £0.01     £67.50
 15000   £0.01    £105.00
 75000   £0.00    £345.00</t>
        </r>
      </text>
    </comment>
    <comment ref="AG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$0.14
    50   $0.01      $0.70
   100   $0.01      $0.60
  1000   $0.00      $5.00
 10000   $0.00     $30.00</t>
        </r>
      </text>
    </comment>
    <comment ref="AL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25   $0.02      $0.52
   100   $0.01      $0.90
   250   $0.01      $2.00
   500   $0.01      $3.50
  1000   $0.01      $6.00
  2500   $0.00     $12.50
  5000   $0.00     $20.00
 15000   $0.01     $90.00</t>
        </r>
      </text>
    </comment>
    <comment ref="AQ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£75.00</t>
        </r>
      </text>
    </comment>
    <comment ref="P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£138.00</t>
        </r>
      </text>
    </comment>
    <comment ref="AG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$0.31
    50   $0.03      $1.55
   100   $0.01      $1.40
  1000   $0.01      $7.00
 10000   $0.00     $50.00</t>
        </r>
      </text>
    </comment>
    <comment ref="AJ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$0.01     $90.00</t>
        </r>
      </text>
    </comment>
    <comment ref="R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£138.00</t>
        </r>
      </text>
    </comment>
    <comment ref="AG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$0.31
    50   $0.03      $1.55
   100   $0.01      $1.40
  1000   $0.01      $7.00
 10000   $0.00     $50.00</t>
        </r>
      </text>
    </comment>
    <comment ref="AJ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$0.00     $75.00
 30000   $0.00    $120.00</t>
        </r>
      </text>
    </comment>
    <comment ref="AQ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</t>
        </r>
      </text>
    </comment>
    <comment ref="R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£138.00</t>
        </r>
      </text>
    </comment>
    <comment ref="AB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$0.02      $0.98
   500   $0.02      $7.55
  1500   $0.01     $21.45
  5000   $0.01     $67.50
 25000   $0.01    $327.50
 50000   $0.01    $645.00</t>
        </r>
      </text>
    </comment>
    <comment ref="AG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 50   $0.03      $1.40
   100   $0.01      $1.20
  1000   $0.01      $6.00
 10000   $0.00     $30.00</t>
        </r>
      </text>
    </comment>
    <comment ref="AJ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45000   $0.00    $180.00</t>
        </r>
      </text>
    </comment>
    <comment ref="R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£138.00</t>
        </r>
      </text>
    </comment>
    <comment ref="AG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$0.00      $5.00
 10000   $0.00     $30.00</t>
        </r>
      </text>
    </comment>
    <comment ref="AJ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£138.00</t>
        </r>
      </text>
    </comment>
    <comment ref="AB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$0.32
   500   $0.00      $2.40
  1500   $0.00      $6.75
  5000   $0.00     $21.00
 25000   $0.00    $102.50
 50000   $0.00    $200.00</t>
        </r>
      </text>
    </comment>
    <comment ref="AG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 50   $0.03      $1.40
   100   $0.01      $1.20
  1000   $0.01      $6.00
 10000   $0.00     $30.00</t>
        </r>
      </text>
    </comment>
    <comment ref="AJ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Q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</t>
        </r>
      </text>
    </comment>
    <comment ref="R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$0.46      $0.46
    10   $0.34      $3.43
    25   $0.30      $7.51
   100   $0.19     $19.45
   250   $0.16     $40.25
   500   $0.13     $64.40
  1000   $0.10     $98.74
  3000   $0.09    $257.58
  6000   $0.08    $463.62
 15000   $0.07  $1,063.05</t>
        </r>
      </text>
    </comment>
    <comment ref="W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£0.33      £1.67
    10   £0.22      £2.24
   100   £0.09      £8.86
   500   £0.06     £27.55
  3000   £0.04    £130.20</t>
        </r>
      </text>
    </comment>
    <comment ref="AG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$0.46      $0.46
    10   $0.34      $3.43
    50   $0.34     $17.15
   100   $0.17     $17.20
  1000   $0.10     $99.00
 10000   $0.07    $680.00</t>
        </r>
      </text>
    </comment>
    <comment ref="AL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$0.36      $1.82
    10   $0.30      $2.96
   100   $0.14     $13.80
  6000   $0.06    $354.00
  9000   $0.06    $495.00
 24000   $0.05  $1,224.00
 45000   $0.05  $2,160.00</t>
        </r>
      </text>
    </comment>
    <comment ref="AQ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3000   £0.03     £81.00
  9000   £0.03    £279.00
 24000   £0.03    £720.00
 45000   £0.03  £1,305.00
 99000   £0.03  £2,772.00</t>
        </r>
      </text>
    </comment>
    <comment ref="P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2000   $1.34  $2,672.00</t>
        </r>
      </text>
    </comment>
    <comment ref="AB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$1.42      $1.42
    10   $1.05     $10.50
    30   $0.98     $29.48
   100   $0.92     $91.61
   500   $0.89    $442.75
  1000   $0.87    $871.00</t>
        </r>
      </text>
    </comment>
    <comment ref="AG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$2.50      $2.50
    10   $2.25     $22.50
    50   $2.12    $106.00
   100   $1.61    $161.00
  1000   $1.30  $1,300.00
 10000   $1.11 $11,100.00</t>
        </r>
      </text>
    </comment>
    <comment ref="R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$0.60      $0.60
    10   $0.52      $5.17
    25   $0.48     $12.06
   100   $0.39     $38.58
   250   $0.36     $89.57
   500   $0.30    $151.58
  1000   $0.23    $234.26
  3000   $0.23    $682.50</t>
        </r>
      </text>
    </comment>
    <comment ref="W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£0.49      £2.44
    10   £0.37      £3.73
   100   £0.25     £24.90
   150   £0.25     £37.35
   500   £0.16     £81.50
  3000   £0.14    £429.00
  9000   £0.13  £1,188.00
 24000   £0.13  £3,120.00
 45000   £0.13  £5,805.00</t>
        </r>
      </text>
    </comment>
    <comment ref="AG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$0.61      $0.61
    10   $0.52      $5.18
    50   $0.52     $25.90
   100   $0.36     $35.90
  1000   $0.24    $235.00
 10000   $0.19  $1,880.00</t>
        </r>
      </text>
    </comment>
    <comment ref="AL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$0.56      $2.80
    10   $0.44      $4.39
   100   $0.33     $32.70
  3000   $0.18    $534.00
  9000   $0.17  $1,494.00
 24000   $0.16  $3,768.00
 45000   $0.15  $6,705.00</t>
        </r>
      </text>
    </comment>
    <comment ref="AQ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25   £0.34      £8.38
   100   £0.25     £24.90
   500   £0.21    £105.50
  1000   £0.16    £163.00
  3000   £0.14    £429.00</t>
        </r>
      </text>
    </comment>
    <comment ref="AT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V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3   £0.20      £0.61
    25   £0.17      £4.35
   100   £0.15     £15.46
   250   £0.14     £36.23
  1000   £0.14    £135.25</t>
        </r>
      </text>
    </comment>
    <comment ref="P3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$0.40      $4.02
    25   $0.38      $9.39
   100   $0.30     $30.04
   250   $0.28     $69.73
   500   $0.24    $118.00
  1000   $0.18    $182.36
  3000   $0.18    $531.30</t>
        </r>
      </text>
    </comment>
    <comment ref="W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£0.59      £2.94
    10   £0.43      £4.28
   100   £0.21     £21.40
   150   £0.21     £32.10
   500   £0.15     £73.00
  3000   £0.13    £399.00</t>
        </r>
      </text>
    </comment>
    <comment ref="AG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$0.40      $4.03
    50   $0.40     $20.15
   100   $0.28     $27.90
  1000   $0.18    $183.00
 10000   $0.15  $1,460.00</t>
        </r>
      </text>
    </comment>
    <comment ref="AL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$0.61      $3.06
    10   $0.46      $4.55
   100   $0.23     $23.30
  3000   $0.14    $414.00
  6000   $0.14    $816.00
 12000   $0.13  $1,608.00
 18000   $0.13  $2,376.00
 24000   $0.13  $3,120.00
 30000   $0.13  $3,870.00
300000   $0.13 $38,100.00</t>
        </r>
      </text>
    </comment>
    <comment ref="AQ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3000   £0.11    £330.00</t>
        </r>
      </text>
    </comment>
    <comment ref="P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5000   $0.22  $1,106.90</t>
        </r>
      </text>
    </comment>
    <comment ref="U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£0.13    £630.00</t>
        </r>
      </text>
    </comment>
    <comment ref="AG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$0.59      $0.59
    10   $0.50      $5.04
    50   $0.50     $25.20
   100   $0.35     $34.90
  1000   $0.23    $228.00
 10000   $0.18  $1,830.00</t>
        </r>
      </text>
    </comment>
    <comment ref="P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$3.63      $3.63
  5000   $3.50 $17,498.25</t>
        </r>
      </text>
    </comment>
    <comment ref="U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£3.61      £3.61
    10   £2.74     £27.40
    25   £2.69     £67.25
    50   £2.64    £132.00
   100   £2.59    £259.00</t>
        </r>
      </text>
    </comment>
    <comment ref="AE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$3.58      $3.58
    10   $3.22     $32.20
    50   $3.04    $152.00
   100   $2.64    $264.00
  1000   $2.59  $2,590.00
 10000   $2.54 $25,400.00</t>
        </r>
      </text>
    </comment>
    <comment ref="AJ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$3.45      $3.45
  5000   $3.33 $16,650.00</t>
        </r>
      </text>
    </comment>
    <comment ref="R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$3.60      $3.60</t>
        </r>
      </text>
    </comment>
    <comment ref="AE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$3.20      $3.20
    10   $3.20     $32.00
    50   $3.20    $160.00
   100   $3.20    $320.00
  1000   $3.20  $3,200.00
 10000   $3.20 $32,000.00</t>
        </r>
      </text>
    </comment>
    <comment ref="AT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V3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£2.98      £2.98
     5   £2.80     £14.00
    25   £2.62     £65.50
   100   £2.44    £244.00</t>
        </r>
      </text>
    </comment>
    <comment ref="P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$1.41      $1.41
  1500   $1.41  $2,115.00</t>
        </r>
      </text>
    </comment>
    <comment ref="U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£1.46      £1.46
    10   £1.24     £12.40
    50   £1.22     £61.00
   100   £1.19    £119.00
   250   £1.17    £292.50</t>
        </r>
      </text>
    </comment>
    <comment ref="AE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$1.35      $1.35
    10   $1.35     $13.50
    50   $1.30     $65.00
   100   $1.25    $125.00
  1000   $1.25  $1,250.00
 10000   $1.25 $12,500.00</t>
        </r>
      </text>
    </comment>
    <comment ref="AJ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$2.16      $2.16
    10   $2.01     $20.10
    25   $1.89     $47.25
    50   $1.76     $88.00
   100   $1.64    $164.00</t>
        </r>
      </text>
    </comment>
    <comment ref="R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$0.66      $0.66
    10   $0.58      $5.77
    25   $0.54     $13.55
   100   $0.44     $44.25
   250   $0.41    $102.75
   500   $0.35    $174.90
  1000   $0.29    $288.75
  3000   $0.29    $866.25</t>
        </r>
      </text>
    </comment>
    <comment ref="U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B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$0.48      $0.48
    10   $0.36      $3.55
    30   $0.33     $10.01
   100   $0.31     $31.02
   500   $0.30    $150.60
  1000   $0.30    $295.80</t>
        </r>
      </text>
    </comment>
    <comment ref="AG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$0.66      $0.66
    10   $0.58      $5.78
    50   $0.58     $28.90
   100   $0.44     $44.30
  1000   $0.28    $280.00
 10000   $0.23  $2,310.00</t>
        </r>
      </text>
    </comment>
    <comment ref="AJ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3000   $0.22    $675.00
  9000   $0.22  $1,971.00
 24000   $0.21  $5,088.00
 45000   $0.21  $9,270.00</t>
        </r>
      </text>
    </comment>
    <comment ref="R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$6.00      $6.00
    25   $5.25    $131.25
   100   $5.00    $500.50
  2000   $5.00 $10,010.00</t>
        </r>
      </text>
    </comment>
    <comment ref="AG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$6.06      $6.06
    10   $6.06     $60.60
    50   $5.31    $265.50
   100   $5.06    $506.00
  1000   $5.06  $5,060.00
 10000   $5.05 $50,500.00</t>
        </r>
      </text>
    </comment>
    <comment ref="I39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L3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Q3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V3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3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F3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K3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P3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U3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I40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40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<sst xmlns="http://schemas.openxmlformats.org/spreadsheetml/2006/main" count="577" uniqueCount="321">
  <si>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</si>
  <si>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</si>
  <si>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</si>
  <si>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</si>
  <si>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</si>
  <si>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</si>
  <si>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</si>
  <si>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</si>
  <si>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</si>
  <si>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</si>
  <si>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Notes</t>
  </si>
  <si>
    <t>AE1</t>
  </si>
  <si>
    <t>47948-0001</t>
  </si>
  <si>
    <t>ANTENNA MID CHIP</t>
  </si>
  <si>
    <t>Molex_47948-0001</t>
  </si>
  <si>
    <t>Molex</t>
  </si>
  <si>
    <t>C1,C3</t>
  </si>
  <si>
    <t>1uF</t>
  </si>
  <si>
    <t>CAP CER 2.2uF 16V 10% X6S 0402</t>
  </si>
  <si>
    <t>C_0402_1005Metric</t>
  </si>
  <si>
    <t>Murata</t>
  </si>
  <si>
    <t>GRM155C81C225KE11D</t>
  </si>
  <si>
    <t>5V DC DERATED TO 1uF</t>
  </si>
  <si>
    <t>C2,C11-C14,C18-C22,C24,C28</t>
  </si>
  <si>
    <t>CAP CER 1uF 6.3V 20% X6S 0201</t>
  </si>
  <si>
    <t>C_0201_0603Metric</t>
  </si>
  <si>
    <t>GRM033C80J105ME05D</t>
  </si>
  <si>
    <t>C2,C24,C28: 1.2V DC
C11-C14,C18-C22: 1.55V DC AUDIO</t>
  </si>
  <si>
    <t>C4</t>
  </si>
  <si>
    <t>CAP CER 4.7uF 6.3V 20% X5R 0201</t>
  </si>
  <si>
    <t>GRM035R60J475ME15D</t>
  </si>
  <si>
    <t>3.3V DC DERATED TO 1uF</t>
  </si>
  <si>
    <t>C5,C17</t>
  </si>
  <si>
    <t>10uF</t>
  </si>
  <si>
    <t>CAP CER 10uF 6.3V 20% X5R 0402</t>
  </si>
  <si>
    <t>GRM155R60J106ME15D</t>
  </si>
  <si>
    <t>3.3V DC</t>
  </si>
  <si>
    <t>C6-C10,C15,C16,C23,C25-C27,C29-C32</t>
  </si>
  <si>
    <t>0.1uF</t>
  </si>
  <si>
    <t>CAP CER 0.22uF 6.3V 20% X5R 0201</t>
  </si>
  <si>
    <t>GRM033R60J224KE15D</t>
  </si>
  <si>
    <t>C6-C9,C16,C23,C25-C27,C29-C32: 3.3V DC DERATED TO 0.1uF
C10,C15: 1.55V DC AUDIO DERATED TO 0.1uF</t>
  </si>
  <si>
    <t>D1,D2</t>
  </si>
  <si>
    <t>PMEG2010BELD</t>
  </si>
  <si>
    <t>DIODE SCHOTTKY 20V 1A LOW VF SOD882D</t>
  </si>
  <si>
    <t>D_SOD-882D</t>
  </si>
  <si>
    <t>Nexperia</t>
  </si>
  <si>
    <t>PMEG2010BELD,315</t>
  </si>
  <si>
    <t>D3</t>
  </si>
  <si>
    <t>ESD7016</t>
  </si>
  <si>
    <t>IC ESD PROTECTION UDFN-8</t>
  </si>
  <si>
    <t>517CB-3.3x1.0mm_P0.4mm</t>
  </si>
  <si>
    <t>ON Semiconductor</t>
  </si>
  <si>
    <t>ESD7016MUTAG</t>
  </si>
  <si>
    <t>D4,D5</t>
  </si>
  <si>
    <t>SMD-LX0707RGB-TR</t>
  </si>
  <si>
    <t>IC LED RGB 0707</t>
  </si>
  <si>
    <t>Lumex</t>
  </si>
  <si>
    <t>REPLACEMENT PARTS: Everlight 19-C47/RSGHBHC-5V01/2T, Everlight EAST1818RGBICA0</t>
  </si>
  <si>
    <t>J1</t>
  </si>
  <si>
    <t>DX07S016JA1</t>
  </si>
  <si>
    <t>CONN USB-C</t>
  </si>
  <si>
    <t>USB_C_Receptacle_JAE_DX07S016JA1</t>
  </si>
  <si>
    <t>Japan Aviation Electronics Industry, Ltd.</t>
  </si>
  <si>
    <t>DX07S016JA1R1500</t>
  </si>
  <si>
    <t>PIN-IN-PASTE, paste overprinting included in design</t>
  </si>
  <si>
    <t>J5,J6</t>
  </si>
  <si>
    <t>Conn_01x06</t>
  </si>
  <si>
    <t>CONN HEADER 6 POS .100" SGL GOLD MATING 5.84mm TAIL 8.13mm</t>
  </si>
  <si>
    <t>PinHeader_1x06_P2.54mm_Vertical_LongTail</t>
  </si>
  <si>
    <t>Sullins</t>
  </si>
  <si>
    <t>PRPC006SACN-RC</t>
  </si>
  <si>
    <t>J7,J8</t>
  </si>
  <si>
    <t>Conn_01x10</t>
  </si>
  <si>
    <t>CONN HEADER 10 POS .100" SGL GOLD MATING 5.84mm TAIL 3.05mm</t>
  </si>
  <si>
    <t>PinHeader_1x10_P2.54mm_Vertical</t>
  </si>
  <si>
    <t>PRPC010SAAN-RC</t>
  </si>
  <si>
    <t>Q1</t>
  </si>
  <si>
    <t>PEMH4</t>
  </si>
  <si>
    <t>TRANSISTOR NPN/NPN RET R1=10kΩ  R2=open SOT666</t>
  </si>
  <si>
    <t>SOT-666</t>
  </si>
  <si>
    <t>PEMH4,115</t>
  </si>
  <si>
    <t>Q2</t>
  </si>
  <si>
    <t>PDTA143ZMB</t>
  </si>
  <si>
    <t>TRANSISTOR PNP RET R1=4.7kΩ R2=47kΩ 100mA SOT883B</t>
  </si>
  <si>
    <t>SOT-883</t>
  </si>
  <si>
    <t>PDTA143ZMB,315</t>
  </si>
  <si>
    <t>R1,R6</t>
  </si>
  <si>
    <t>0</t>
  </si>
  <si>
    <t>RES 0Ω 50mW 1% 0201</t>
  </si>
  <si>
    <t>R_0201_0603Metric</t>
  </si>
  <si>
    <t>Panasonic</t>
  </si>
  <si>
    <t>ERJ-1GN0R00C</t>
  </si>
  <si>
    <t>R13</t>
  </si>
  <si>
    <t>22</t>
  </si>
  <si>
    <t>RES 22Ω 50mW 5% 0201</t>
  </si>
  <si>
    <t>ERJ-1GNJ220C</t>
  </si>
  <si>
    <t>R2,R3,R5</t>
  </si>
  <si>
    <t>2.2k</t>
  </si>
  <si>
    <t>RES 2.2kΩ 50mW 5% 0201</t>
  </si>
  <si>
    <t>ERJ-1GNJ222C</t>
  </si>
  <si>
    <t>R4,R10,R11</t>
  </si>
  <si>
    <t>10k</t>
  </si>
  <si>
    <t>RES 10kΩ 50mW 5% 0201</t>
  </si>
  <si>
    <t>ERJ-1GNJ103C</t>
  </si>
  <si>
    <t>R7,R8</t>
  </si>
  <si>
    <t>5.1k</t>
  </si>
  <si>
    <t>RES 5.1kΩ 50mW 5% 0201</t>
  </si>
  <si>
    <t>ERJ-1GNJ512C</t>
  </si>
  <si>
    <t>R9,R12</t>
  </si>
  <si>
    <t>100</t>
  </si>
  <si>
    <t>RES 100Ω 50mW 5% 0201</t>
  </si>
  <si>
    <t>ERJ-1GNJ101C</t>
  </si>
  <si>
    <t>U1</t>
  </si>
  <si>
    <t>NCP115AMX120TCG</t>
  </si>
  <si>
    <t>IC REG LDO 1.2V 300mA XDFN4</t>
  </si>
  <si>
    <t>CASE_711AJ_1.0x1.0mm_P0.65mm</t>
  </si>
  <si>
    <t>U10</t>
  </si>
  <si>
    <t>SN74CBTD16211DGVR</t>
  </si>
  <si>
    <t>IC BUS SWITCH WITH LEVEL SHIFTER TVSOP-56</t>
  </si>
  <si>
    <t>Texas_TVSOP-56_4.4x11.3mm_P0.4mm</t>
  </si>
  <si>
    <t>TI</t>
  </si>
  <si>
    <t>U11</t>
  </si>
  <si>
    <t>7WBD3306USG</t>
  </si>
  <si>
    <t>IC BUS SWITCH WITH LEVEL SHIFTER US8</t>
  </si>
  <si>
    <t>CASE_493-8_2.3x2mm_P0.5mm</t>
  </si>
  <si>
    <t>U2</t>
  </si>
  <si>
    <t>NCP167AMX330TBG</t>
  </si>
  <si>
    <t>IC REG LDO 3.3V 700mA XDFN4</t>
  </si>
  <si>
    <t>U3</t>
  </si>
  <si>
    <t>FSA221UMX</t>
  </si>
  <si>
    <t>IC USB AUDIO SWITCH UQFN-10</t>
  </si>
  <si>
    <t>CASE_523BC_1.4x1.8_P0.4mm</t>
  </si>
  <si>
    <t>U4</t>
  </si>
  <si>
    <t>SGTL5000XNLA3</t>
  </si>
  <si>
    <t>IC AUDIO CODEC UQFN-20</t>
  </si>
  <si>
    <t>QFN-20-1EP_3x3mm_P0.4mm_EP1.65x1.65mm</t>
  </si>
  <si>
    <t>NXP</t>
  </si>
  <si>
    <t>SGTL5000XNLA3R2</t>
  </si>
  <si>
    <t>ALTERNATIVE PART #: SGTL5000XNLA3</t>
  </si>
  <si>
    <t>U5</t>
  </si>
  <si>
    <t>ESP32-PICO-V3-02</t>
  </si>
  <si>
    <t>IC MCU WIFI BLUETOOTH SIP QFN-48</t>
  </si>
  <si>
    <t>QFN-48-1EP_7x7mm_P0.5mm_EP5.3x5.3mm</t>
  </si>
  <si>
    <t>Espressif</t>
  </si>
  <si>
    <t>U6</t>
  </si>
  <si>
    <t>CP2102N-A02-GQFN24</t>
  </si>
  <si>
    <t>IC USB TO UART BRIDGE QFN-24</t>
  </si>
  <si>
    <t>QFN-24-1EP_4x4mm_P0.5mm_EP2.6x2.6mm</t>
  </si>
  <si>
    <t>SiLabs</t>
  </si>
  <si>
    <t>CP2102N-A02-GQFN24R</t>
  </si>
  <si>
    <t>U7</t>
  </si>
  <si>
    <t>FSA8049UCX</t>
  </si>
  <si>
    <t>IC AUDIO JACK DETECTION SWITCH WLCSP-9</t>
  </si>
  <si>
    <t>WLCSP-9_1.16x1.16mm_Layout3x3_P0.4mm</t>
  </si>
  <si>
    <t>U8</t>
  </si>
  <si>
    <t>ICE40UP5K-SG48I</t>
  </si>
  <si>
    <t>IC FPGA QFN-48</t>
  </si>
  <si>
    <t>QFN-48-1EP_7x7mm_P0.5mm_EP5.6x5.6mm</t>
  </si>
  <si>
    <t>Lattice</t>
  </si>
  <si>
    <t>U9</t>
  </si>
  <si>
    <t>APS6404L-3SQR-SN</t>
  </si>
  <si>
    <t>IC PSRAM 8MB SOP-8</t>
  </si>
  <si>
    <t>SOP-8_3.9x4.9mm_P1.27mm</t>
  </si>
  <si>
    <t>AP Memory</t>
  </si>
  <si>
    <t>REPLACEMENT PARTS: Lyontek LY68L6400SLIT, Espressif ESP-PSRAM64H, IPUS IPS6404L-SQ</t>
  </si>
  <si>
    <t>Total Purchase:</t>
  </si>
  <si>
    <t>Purchase description:</t>
  </si>
  <si>
    <t>Used currency rates:</t>
  </si>
  <si>
    <t>USD($)/GBP(£):</t>
  </si>
  <si>
    <t>Prj:</t>
  </si>
  <si>
    <t>reDIP SX</t>
  </si>
  <si>
    <t>Co.:</t>
  </si>
  <si>
    <t>Nimrod</t>
  </si>
  <si>
    <t>Prj date:</t>
  </si>
  <si>
    <t>to. 13. mai 2021 kl. 20.42 +0200</t>
  </si>
  <si>
    <t>Board Qty:</t>
  </si>
  <si>
    <t>Total Cost:</t>
  </si>
  <si>
    <t>Unit Cost:</t>
  </si>
  <si>
    <t>$ date:</t>
  </si>
  <si>
    <t>2021-05-13 20:42:43</t>
  </si>
  <si>
    <t>Arrow</t>
  </si>
  <si>
    <t>Avail</t>
  </si>
  <si>
    <t>Purch</t>
  </si>
  <si>
    <t>Cat#</t>
  </si>
  <si>
    <t>Buy here</t>
  </si>
  <si>
    <t>Digi-Key</t>
  </si>
  <si>
    <t>WM4893CT-ND</t>
  </si>
  <si>
    <t>490-14595-1-ND</t>
  </si>
  <si>
    <t>NonStk</t>
  </si>
  <si>
    <t>490-13218-1-ND</t>
  </si>
  <si>
    <t>490-13230-1-ND</t>
  </si>
  <si>
    <t>490-13238-1-ND</t>
  </si>
  <si>
    <t>490-10406-1-ND</t>
  </si>
  <si>
    <t>1727-1084-1-ND</t>
  </si>
  <si>
    <t>ESD7016MUTAGOSCT-ND</t>
  </si>
  <si>
    <t>67-2331-1-ND</t>
  </si>
  <si>
    <t>670-DX07S016JA1R1500CT-ND</t>
  </si>
  <si>
    <t>S1131EC-06-ND</t>
  </si>
  <si>
    <t>S1011EC-10-ND</t>
  </si>
  <si>
    <t>PEMH4,115-ND</t>
  </si>
  <si>
    <t>PDTA143ZMB,315-ND</t>
  </si>
  <si>
    <t>P15979CT-ND</t>
  </si>
  <si>
    <t>P123275CT-ND</t>
  </si>
  <si>
    <t>P123277CT-ND</t>
  </si>
  <si>
    <t>P123222CT-ND</t>
  </si>
  <si>
    <t>P123340CT-ND</t>
  </si>
  <si>
    <t>P123220CT-ND</t>
  </si>
  <si>
    <t>NCP115AMX120TCGOSCT-ND</t>
  </si>
  <si>
    <t>296-6475-2-ND</t>
  </si>
  <si>
    <t>7WBD3306USGOSCT-ND</t>
  </si>
  <si>
    <t>NCP167AMX330TBGOSCT-ND</t>
  </si>
  <si>
    <t>FSA221UMXTR-ND</t>
  </si>
  <si>
    <t>568-13255-1-ND</t>
  </si>
  <si>
    <t>1965-ESP32-PICO-V3-02-ND</t>
  </si>
  <si>
    <t>336-5888-1-ND</t>
  </si>
  <si>
    <t>FSA8049UCXFSCT-ND</t>
  </si>
  <si>
    <t>220-2212-1-ND</t>
  </si>
  <si>
    <t>Farnell</t>
  </si>
  <si>
    <t>3498912RL</t>
  </si>
  <si>
    <t>3581345</t>
  </si>
  <si>
    <t>3582762</t>
  </si>
  <si>
    <t>3238402</t>
  </si>
  <si>
    <t>3582794</t>
  </si>
  <si>
    <t>2990684</t>
  </si>
  <si>
    <t>2191801</t>
  </si>
  <si>
    <t>2535917</t>
  </si>
  <si>
    <t>3216559</t>
  </si>
  <si>
    <t>1758021</t>
  </si>
  <si>
    <t>2799511</t>
  </si>
  <si>
    <t>3303209</t>
  </si>
  <si>
    <t>3303211</t>
  </si>
  <si>
    <t>3303150</t>
  </si>
  <si>
    <t>3303281</t>
  </si>
  <si>
    <t>3303148</t>
  </si>
  <si>
    <t>3010452</t>
  </si>
  <si>
    <t>2728387</t>
  </si>
  <si>
    <t>2981158</t>
  </si>
  <si>
    <t>3614346</t>
  </si>
  <si>
    <t>2776032</t>
  </si>
  <si>
    <t>3387002</t>
  </si>
  <si>
    <t>2100417</t>
  </si>
  <si>
    <t>LCSC</t>
  </si>
  <si>
    <t>C437523</t>
  </si>
  <si>
    <t>C385023</t>
  </si>
  <si>
    <t>C335103</t>
  </si>
  <si>
    <t>C412251</t>
  </si>
  <si>
    <t>C76931</t>
  </si>
  <si>
    <t>C463227</t>
  </si>
  <si>
    <t>C242159</t>
  </si>
  <si>
    <t>C713500</t>
  </si>
  <si>
    <t>C2683750</t>
  </si>
  <si>
    <t>C128378</t>
  </si>
  <si>
    <t>Mouser</t>
  </si>
  <si>
    <t>538479480001</t>
  </si>
  <si>
    <t>81GRM155C81C225KE1D</t>
  </si>
  <si>
    <t>81GRM035R60J475ME5D</t>
  </si>
  <si>
    <t>81GRM155R60J106ME5D</t>
  </si>
  <si>
    <t>81GRM33R60J224KE15D</t>
  </si>
  <si>
    <t>771PMEG2010BELD,315</t>
  </si>
  <si>
    <t>863ESD7016MUTAG</t>
  </si>
  <si>
    <t>696SMDLX0707RGBTR</t>
  </si>
  <si>
    <t>656DX07S016JA1R1500</t>
  </si>
  <si>
    <t>771PEMH4115</t>
  </si>
  <si>
    <t>771PDTA143ZMB315</t>
  </si>
  <si>
    <t>667ERJ1GN0R00C</t>
  </si>
  <si>
    <t>667ERJ1GNJ220C</t>
  </si>
  <si>
    <t>667ERJ1GNJ222C</t>
  </si>
  <si>
    <t>667ERJ1GNJ103C</t>
  </si>
  <si>
    <t>667ERJ1GNJ512C</t>
  </si>
  <si>
    <t>667ERJ1GNJ101C</t>
  </si>
  <si>
    <t>863NCP115AMX120TCG</t>
  </si>
  <si>
    <t>59574CBTD16211DGVR</t>
  </si>
  <si>
    <t>8637WBD3306USG</t>
  </si>
  <si>
    <t>863NCP167AMX330TBG</t>
  </si>
  <si>
    <t>512FSA221UMX</t>
  </si>
  <si>
    <t>841SGTL5000XNLA3R2</t>
  </si>
  <si>
    <t>356ESP32PICOV302</t>
  </si>
  <si>
    <t>634CP2102NA02QFN24R</t>
  </si>
  <si>
    <t>512FSA8049UCX</t>
  </si>
  <si>
    <t>842ICE40UP5KSG48I</t>
  </si>
  <si>
    <t>Newark</t>
  </si>
  <si>
    <t>64T4821</t>
  </si>
  <si>
    <t>92AH5000</t>
  </si>
  <si>
    <t>03AJ1531</t>
  </si>
  <si>
    <t>34AH0743</t>
  </si>
  <si>
    <t>03AJ1576</t>
  </si>
  <si>
    <t>94AC8892</t>
  </si>
  <si>
    <t>55W4407</t>
  </si>
  <si>
    <t>82Y9140</t>
  </si>
  <si>
    <t>02AH5948</t>
  </si>
  <si>
    <t>34R4491</t>
  </si>
  <si>
    <t>51W5934</t>
  </si>
  <si>
    <t>51W5825</t>
  </si>
  <si>
    <t>51W5827</t>
  </si>
  <si>
    <t>23AC4811</t>
  </si>
  <si>
    <t>51W5889</t>
  </si>
  <si>
    <t>51W5773</t>
  </si>
  <si>
    <t>97AC7838</t>
  </si>
  <si>
    <t>14AC5540</t>
  </si>
  <si>
    <t>84AC7230</t>
  </si>
  <si>
    <t>31AC6932</t>
  </si>
  <si>
    <t>66AH5403</t>
  </si>
  <si>
    <t>95T0140</t>
  </si>
  <si>
    <t>RS Components</t>
  </si>
  <si>
    <t>2182169</t>
  </si>
  <si>
    <t>1851581</t>
  </si>
  <si>
    <t>8829708</t>
  </si>
  <si>
    <t>2017049</t>
  </si>
  <si>
    <t>1755716</t>
  </si>
  <si>
    <t>1797111</t>
  </si>
  <si>
    <t>1797101</t>
  </si>
  <si>
    <t>1861230</t>
  </si>
  <si>
    <t>8009402</t>
  </si>
  <si>
    <t>1858072</t>
  </si>
  <si>
    <t>TME</t>
  </si>
  <si>
    <t>479480001</t>
  </si>
  <si>
    <t>SMDLX0707RGBTR</t>
  </si>
  <si>
    <t>PEMH4.115</t>
  </si>
  <si>
    <t>ESP32PICOV302</t>
  </si>
  <si>
    <t>KiCost® v.1.1.5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</si>
</sst>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lex.com/molex/products/part-detail/antennas/0479480001" TargetMode="External"/><Relationship Id="rId2" Type="http://schemas.openxmlformats.org/officeDocument/2006/relationships/hyperlink" Target="https://octopart.com/click/track?ai=8078&amp;sig=0179731&amp;sid=459&amp;ppid=20326346&amp;vpid=114393393&amp;ct=offers" TargetMode="External"/><Relationship Id="rId3" Type="http://schemas.openxmlformats.org/officeDocument/2006/relationships/hyperlink" Target="https://octopart.com/click/track?ai=8078&amp;sig=087403b&amp;sid=819&amp;ppid=20326346&amp;vpid=632629437&amp;ct=offers" TargetMode="External"/><Relationship Id="rId4" Type="http://schemas.openxmlformats.org/officeDocument/2006/relationships/hyperlink" Target="https://octopart.com/click/track?c=1&amp;ai=8078&amp;sig=0951079&amp;sid=2401&amp;ppid=20326346&amp;vpid=40439801&amp;ct=offers" TargetMode="External"/><Relationship Id="rId5" Type="http://schemas.openxmlformats.org/officeDocument/2006/relationships/hyperlink" Target="https://octopart.com/click/track?ai=8078&amp;sig=0ce4145&amp;sid=2402&amp;ppid=20326346&amp;vpid=503304515&amp;ct=offers" TargetMode="External"/><Relationship Id="rId6" Type="http://schemas.openxmlformats.org/officeDocument/2006/relationships/hyperlink" Target="https://octopart.com/click/track?ai=8078&amp;sig=08eb27c&amp;sid=10022&amp;ppid=20326346&amp;vpid=717649507&amp;ct=offers" TargetMode="External"/><Relationship Id="rId7" Type="http://schemas.openxmlformats.org/officeDocument/2006/relationships/hyperlink" Target="https://octopart.com/click/track?ai=8078&amp;sig=0f9b69c&amp;sid=1532&amp;ppid=20326346&amp;vpid=709093263&amp;ct=offers" TargetMode="External"/><Relationship Id="rId8" Type="http://schemas.openxmlformats.org/officeDocument/2006/relationships/hyperlink" Target="https://www.murata.com/products/productdetail.aspx?partno=GRM155C81C225KE11D" TargetMode="External"/><Relationship Id="rId9" Type="http://schemas.openxmlformats.org/officeDocument/2006/relationships/hyperlink" Target="https://octopart.com/click/track?c=1&amp;ai=8078&amp;sig=0de3de3&amp;sid=459&amp;ppid=46692789&amp;vpid=410305221&amp;ct=offers" TargetMode="External"/><Relationship Id="rId10" Type="http://schemas.openxmlformats.org/officeDocument/2006/relationships/hyperlink" Target="https://octopart.com/click/track?ai=8078&amp;sig=0d9d05a&amp;sid=819&amp;ppid=46692789&amp;vpid=666721052&amp;ct=offers" TargetMode="External"/><Relationship Id="rId11" Type="http://schemas.openxmlformats.org/officeDocument/2006/relationships/hyperlink" Target="https://octopart.com/click/track?ai=8078&amp;sig=005ea9f&amp;sid=27971&amp;ppid=46692789&amp;vpid=666930444&amp;ct=offers" TargetMode="External"/><Relationship Id="rId12" Type="http://schemas.openxmlformats.org/officeDocument/2006/relationships/hyperlink" Target="https://octopart.com/click/track?c=1&amp;ai=8078&amp;sig=06521e3&amp;sid=2401&amp;ppid=46692789&amp;vpid=230758256&amp;ct=offers" TargetMode="External"/><Relationship Id="rId13" Type="http://schemas.openxmlformats.org/officeDocument/2006/relationships/hyperlink" Target="https://octopart.com/click/track?ai=8078&amp;sig=0849c23&amp;sid=2402&amp;ppid=46692789&amp;vpid=669036303&amp;ct=offers" TargetMode="External"/><Relationship Id="rId14" Type="http://schemas.openxmlformats.org/officeDocument/2006/relationships/hyperlink" Target="https://www.murata.com/products/productdetail.aspx?partno=GRM033C80J105ME05D" TargetMode="External"/><Relationship Id="rId15" Type="http://schemas.openxmlformats.org/officeDocument/2006/relationships/hyperlink" Target="https://octopart.com/click/track?c=1&amp;ai=8078&amp;sig=07524e2&amp;sid=459&amp;ppid=71220979&amp;vpid=252726184&amp;ct=offers" TargetMode="External"/><Relationship Id="rId16" Type="http://schemas.openxmlformats.org/officeDocument/2006/relationships/hyperlink" Target="https://octopart.com/click/track?c=1&amp;ai=8078&amp;sig=013a2f0&amp;sid=819&amp;ppid=71220979&amp;vpid=670691828&amp;ct=offers" TargetMode="External"/><Relationship Id="rId17" Type="http://schemas.openxmlformats.org/officeDocument/2006/relationships/hyperlink" Target="https://octopart.com/click/track?ai=8078&amp;sig=05d4785&amp;sid=27971&amp;ppid=71220979&amp;vpid=552547217&amp;ct=offers" TargetMode="External"/><Relationship Id="rId18" Type="http://schemas.openxmlformats.org/officeDocument/2006/relationships/hyperlink" Target="https://octopart.com/click/track?c=1&amp;ai=8078&amp;sig=0e14f17&amp;sid=2402&amp;ppid=71220979&amp;vpid=671481163&amp;ct=offers" TargetMode="External"/><Relationship Id="rId19" Type="http://schemas.openxmlformats.org/officeDocument/2006/relationships/hyperlink" Target="https://www.murata.com/products/productdetail.aspx?partno=GRM035R60J475ME15D" TargetMode="External"/><Relationship Id="rId20" Type="http://schemas.openxmlformats.org/officeDocument/2006/relationships/hyperlink" Target="https://octopart.com/click/track?ai=8078&amp;sig=02d1bd9&amp;sid=459&amp;ppid=67141176&amp;vpid=252726416&amp;ct=offers" TargetMode="External"/><Relationship Id="rId21" Type="http://schemas.openxmlformats.org/officeDocument/2006/relationships/hyperlink" Target="https://octopart.com/click/track?ai=8078&amp;sig=0d5a122&amp;sid=819&amp;ppid=67141176&amp;vpid=585785201&amp;ct=offers" TargetMode="External"/><Relationship Id="rId22" Type="http://schemas.openxmlformats.org/officeDocument/2006/relationships/hyperlink" Target="https://octopart.com/click/track?ai=8078&amp;sig=0ec1763&amp;sid=27971&amp;ppid=67141176&amp;vpid=510777411&amp;ct=offers" TargetMode="External"/><Relationship Id="rId23" Type="http://schemas.openxmlformats.org/officeDocument/2006/relationships/hyperlink" Target="https://octopart.com/click/track?ai=8078&amp;sig=0e8e022&amp;sid=2401&amp;ppid=67141176&amp;vpid=262254328&amp;ct=offers" TargetMode="External"/><Relationship Id="rId24" Type="http://schemas.openxmlformats.org/officeDocument/2006/relationships/hyperlink" Target="https://octopart.com/click/track?ai=8078&amp;sig=02cfcbc&amp;sid=2402&amp;ppid=67141176&amp;vpid=587966703&amp;ct=offers" TargetMode="External"/><Relationship Id="rId25" Type="http://schemas.openxmlformats.org/officeDocument/2006/relationships/hyperlink" Target="https://www.murata.com/products/productdetail.aspx?partno=GRM155R60J106ME15D" TargetMode="External"/><Relationship Id="rId26" Type="http://schemas.openxmlformats.org/officeDocument/2006/relationships/hyperlink" Target="https://octopart.com/click/track?ai=8078&amp;sig=018ad6b&amp;sid=459&amp;ppid=71220998&amp;vpid=252726526&amp;ct=offers" TargetMode="External"/><Relationship Id="rId27" Type="http://schemas.openxmlformats.org/officeDocument/2006/relationships/hyperlink" Target="https://octopart.com/click/track?c=1&amp;ai=8078&amp;sig=0115312&amp;sid=819&amp;ppid=71220998&amp;vpid=670691894&amp;ct=offers" TargetMode="External"/><Relationship Id="rId28" Type="http://schemas.openxmlformats.org/officeDocument/2006/relationships/hyperlink" Target="https://octopart.com/click/track?ai=8078&amp;sig=0543bf4&amp;sid=27971&amp;ppid=71220998&amp;vpid=582946846&amp;ct=offers" TargetMode="External"/><Relationship Id="rId29" Type="http://schemas.openxmlformats.org/officeDocument/2006/relationships/hyperlink" Target="https://octopart.com/click/track?ai=8078&amp;sig=0b273d0&amp;sid=2401&amp;ppid=71220998&amp;vpid=259388278&amp;ct=offers" TargetMode="External"/><Relationship Id="rId30" Type="http://schemas.openxmlformats.org/officeDocument/2006/relationships/hyperlink" Target="https://octopart.com/click/track?c=1&amp;ai=8078&amp;sig=0c372ee&amp;sid=2402&amp;ppid=71220998&amp;vpid=671481195&amp;ct=offers" TargetMode="External"/><Relationship Id="rId31" Type="http://schemas.openxmlformats.org/officeDocument/2006/relationships/hyperlink" Target="https://www.murata.com/products/productdetail.aspx?partno=GRM033R60J224KE15D" TargetMode="External"/><Relationship Id="rId32" Type="http://schemas.openxmlformats.org/officeDocument/2006/relationships/hyperlink" Target="https://octopart.com/click/track?ai=8078&amp;sig=0492ec2&amp;sid=459&amp;ppid=51454422&amp;vpid=172161550&amp;ct=offers" TargetMode="External"/><Relationship Id="rId33" Type="http://schemas.openxmlformats.org/officeDocument/2006/relationships/hyperlink" Target="https://octopart.com/click/track?ai=8078&amp;sig=00c315f&amp;sid=11744&amp;ppid=51454422&amp;vpid=528084476&amp;ct=offers" TargetMode="External"/><Relationship Id="rId34" Type="http://schemas.openxmlformats.org/officeDocument/2006/relationships/hyperlink" Target="https://octopart.com/click/track?ai=8078&amp;sig=0f2788c&amp;sid=27971&amp;ppid=51454422&amp;vpid=445986847&amp;ct=offers" TargetMode="External"/><Relationship Id="rId35" Type="http://schemas.openxmlformats.org/officeDocument/2006/relationships/hyperlink" Target="https://octopart.com/click/track?ai=8078&amp;sig=0207666&amp;sid=2401&amp;ppid=51454422&amp;vpid=178169497&amp;ct=offers" TargetMode="External"/><Relationship Id="rId36" Type="http://schemas.openxmlformats.org/officeDocument/2006/relationships/hyperlink" Target="https://octopart.com/click/track?ai=8078&amp;sig=0d37eed&amp;sid=2402&amp;ppid=51454422&amp;vpid=529126546&amp;ct=offers" TargetMode="External"/><Relationship Id="rId37" Type="http://schemas.openxmlformats.org/officeDocument/2006/relationships/hyperlink" Target="https://octopart.com/click/track?ai=8078&amp;sig=0eaea66&amp;sid=10022&amp;ppid=51454422&amp;vpid=562632808&amp;ct=offers" TargetMode="External"/><Relationship Id="rId38" Type="http://schemas.openxmlformats.org/officeDocument/2006/relationships/hyperlink" Target="https://assets.nexperia.com/documents/data-sheet/PMEG2010BELD.pdf" TargetMode="External"/><Relationship Id="rId39" Type="http://schemas.openxmlformats.org/officeDocument/2006/relationships/hyperlink" Target="https://octopart.com/click/track?ai=8078&amp;sig=05f022d&amp;sid=459&amp;ppid=78741408&amp;vpid=417205872&amp;ct=offers" TargetMode="External"/><Relationship Id="rId40" Type="http://schemas.openxmlformats.org/officeDocument/2006/relationships/hyperlink" Target="https://octopart.com/click/track?c=1&amp;ai=8078&amp;sig=0ee080b&amp;sid=819&amp;ppid=78741408&amp;vpid=521253387&amp;ct=offers" TargetMode="External"/><Relationship Id="rId41" Type="http://schemas.openxmlformats.org/officeDocument/2006/relationships/hyperlink" Target="https://octopart.com/click/track?ai=8078&amp;sig=077655c&amp;sid=2401&amp;ppid=78741408&amp;vpid=416182007&amp;ct=offers" TargetMode="External"/><Relationship Id="rId42" Type="http://schemas.openxmlformats.org/officeDocument/2006/relationships/hyperlink" Target="https://octopart.com/click/track?c=1&amp;ai=8078&amp;sig=03a6e2e&amp;sid=2402&amp;ppid=78741408&amp;vpid=511382518&amp;ct=offers" TargetMode="External"/><Relationship Id="rId43" Type="http://schemas.openxmlformats.org/officeDocument/2006/relationships/hyperlink" Target="https://www.onsemi.com/pub/Collateral/ESD7016-D.PDF" TargetMode="External"/><Relationship Id="rId44" Type="http://schemas.openxmlformats.org/officeDocument/2006/relationships/hyperlink" Target="https://octopart.com/click/track?ai=8078&amp;sig=0f2b3ec&amp;sid=459&amp;ppid=25645602&amp;vpid=210238806&amp;ct=offers" TargetMode="External"/><Relationship Id="rId45" Type="http://schemas.openxmlformats.org/officeDocument/2006/relationships/hyperlink" Target="https://octopart.com/click/track?ai=8078&amp;sig=0403273&amp;sid=819&amp;ppid=25645602&amp;vpid=260702969&amp;ct=offers" TargetMode="External"/><Relationship Id="rId46" Type="http://schemas.openxmlformats.org/officeDocument/2006/relationships/hyperlink" Target="https://octopart.com/click/track?ai=8078&amp;sig=0d3fc6a&amp;sid=27971&amp;ppid=25645602&amp;vpid=609441157&amp;ct=offers" TargetMode="External"/><Relationship Id="rId47" Type="http://schemas.openxmlformats.org/officeDocument/2006/relationships/hyperlink" Target="https://octopart.com/click/track?ai=8078&amp;sig=0b9599e&amp;sid=2401&amp;ppid=25645602&amp;vpid=93676548&amp;ct=offers" TargetMode="External"/><Relationship Id="rId48" Type="http://schemas.openxmlformats.org/officeDocument/2006/relationships/hyperlink" Target="https://octopart.com/click/track?ai=8078&amp;sig=0a93035&amp;sid=2402&amp;ppid=25645602&amp;vpid=261509788&amp;ct=offers" TargetMode="External"/><Relationship Id="rId49" Type="http://schemas.openxmlformats.org/officeDocument/2006/relationships/hyperlink" Target="https://octopart.com/click/track?ai=8078&amp;sig=0d534f4&amp;sid=10022&amp;ppid=25645602&amp;vpid=229322189&amp;ct=offers" TargetMode="External"/><Relationship Id="rId50" Type="http://schemas.openxmlformats.org/officeDocument/2006/relationships/hyperlink" Target="https://www.lumex.com/spec/SMD-LX0707RGB-TR.pdf" TargetMode="External"/><Relationship Id="rId51" Type="http://schemas.openxmlformats.org/officeDocument/2006/relationships/hyperlink" Target="https://octopart.com/click/track?ai=8078&amp;sig=011841b&amp;sid=459&amp;ppid=98770141&amp;vpid=527582517&amp;ct=offers" TargetMode="External"/><Relationship Id="rId52" Type="http://schemas.openxmlformats.org/officeDocument/2006/relationships/hyperlink" Target="https://octopart.com/click/track?c=1&amp;ai=8078&amp;sig=08846a9&amp;sid=819&amp;ppid=98770141&amp;vpid=575179783&amp;ct=offers" TargetMode="External"/><Relationship Id="rId53" Type="http://schemas.openxmlformats.org/officeDocument/2006/relationships/hyperlink" Target="https://octopart.com/click/track?ai=8078&amp;sig=01b9309&amp;sid=2401&amp;ppid=98770141&amp;vpid=527691918&amp;ct=offers" TargetMode="External"/><Relationship Id="rId54" Type="http://schemas.openxmlformats.org/officeDocument/2006/relationships/hyperlink" Target="https://octopart.com/click/track?c=1&amp;ai=8078&amp;sig=0c78da6&amp;sid=2402&amp;ppid=98770141&amp;vpid=547451562&amp;ct=offers" TargetMode="External"/><Relationship Id="rId55" Type="http://schemas.openxmlformats.org/officeDocument/2006/relationships/hyperlink" Target="https://octopart.com/click/track?ai=8078&amp;sig=0f2b5ee&amp;sid=1532&amp;ppid=98770141&amp;vpid=709065371&amp;ct=offers" TargetMode="External"/><Relationship Id="rId56" Type="http://schemas.openxmlformats.org/officeDocument/2006/relationships/hyperlink" Target="https://www.jae.com/en/connectors/series/detail/product/id=91780" TargetMode="External"/><Relationship Id="rId57" Type="http://schemas.openxmlformats.org/officeDocument/2006/relationships/hyperlink" Target="https://octopart.com/click/track?ai=8078&amp;sig=02a8cae&amp;sid=459&amp;ppid=106944056&amp;vpid=605161093&amp;ct=offers" TargetMode="External"/><Relationship Id="rId58" Type="http://schemas.openxmlformats.org/officeDocument/2006/relationships/hyperlink" Target="https://octopart.com/click/track?c=1&amp;ai=8078&amp;sig=0443fa1&amp;sid=2401&amp;ppid=106944056&amp;vpid=605115352&amp;ct=offers" TargetMode="External"/><Relationship Id="rId59" Type="http://schemas.openxmlformats.org/officeDocument/2006/relationships/hyperlink" Target="https://octopart.com/click/track?ai=8078&amp;sig=0e2ae8f&amp;sid=10022&amp;ppid=106944056&amp;vpid=654522308&amp;ct=offers" TargetMode="External"/><Relationship Id="rId60" Type="http://schemas.openxmlformats.org/officeDocument/2006/relationships/hyperlink" Target="https://drawings-pdf.s3.amazonaws.com/11635.pdf" TargetMode="External"/><Relationship Id="rId61" Type="http://schemas.openxmlformats.org/officeDocument/2006/relationships/hyperlink" Target="https://octopart.com/click/track?c=1&amp;ai=8078&amp;sig=01af8bd&amp;sid=459&amp;ppid=22265644&amp;vpid=47550630&amp;ct=offers" TargetMode="External"/><Relationship Id="rId62" Type="http://schemas.openxmlformats.org/officeDocument/2006/relationships/hyperlink" Target="https://drawings-pdf.s3.amazonaws.com/11635.pdf" TargetMode="External"/><Relationship Id="rId63" Type="http://schemas.openxmlformats.org/officeDocument/2006/relationships/hyperlink" Target="https://octopart.com/click/track?c=1&amp;ai=8078&amp;sig=02f1022&amp;sid=459&amp;ppid=22265699&amp;vpid=47550685&amp;ct=offers" TargetMode="External"/><Relationship Id="rId64" Type="http://schemas.openxmlformats.org/officeDocument/2006/relationships/hyperlink" Target="https://assets.nexperia.com/documents/data-sheet/PEMH4_PUMH4.pdf" TargetMode="External"/><Relationship Id="rId65" Type="http://schemas.openxmlformats.org/officeDocument/2006/relationships/hyperlink" Target="https://octopart.com/click/track?c=1&amp;ai=8078&amp;sig=0a777c0&amp;sid=459&amp;ppid=78754818&amp;vpid=413679980&amp;ct=offers" TargetMode="External"/><Relationship Id="rId66" Type="http://schemas.openxmlformats.org/officeDocument/2006/relationships/hyperlink" Target="https://octopart.com/click/track?c=1&amp;ai=8078&amp;sig=05dcde8&amp;sid=819&amp;ppid=78754818&amp;vpid=414861426&amp;ct=offers" TargetMode="External"/><Relationship Id="rId67" Type="http://schemas.openxmlformats.org/officeDocument/2006/relationships/hyperlink" Target="https://octopart.com/click/track?ai=8078&amp;sig=023faf4&amp;sid=2401&amp;ppid=78754818&amp;vpid=416181661&amp;ct=offers" TargetMode="External"/><Relationship Id="rId68" Type="http://schemas.openxmlformats.org/officeDocument/2006/relationships/hyperlink" Target="https://octopart.com/click/track?c=1&amp;ai=8078&amp;sig=0cc952a&amp;sid=2402&amp;ppid=78754818&amp;vpid=598286280&amp;ct=offers" TargetMode="External"/><Relationship Id="rId69" Type="http://schemas.openxmlformats.org/officeDocument/2006/relationships/hyperlink" Target="https://octopart.com/click/track?ai=8078&amp;sig=07f86d6&amp;sid=1532&amp;ppid=78754818&amp;vpid=709102645&amp;ct=offers" TargetMode="External"/><Relationship Id="rId70" Type="http://schemas.openxmlformats.org/officeDocument/2006/relationships/hyperlink" Target="https://assets.nexperia.com/documents/data-sheet/PDTA143ZMB.pdf" TargetMode="External"/><Relationship Id="rId71" Type="http://schemas.openxmlformats.org/officeDocument/2006/relationships/hyperlink" Target="https://octopart.com/click/track?c=1&amp;ai=8078&amp;sig=0944463&amp;sid=459&amp;ppid=78754604&amp;vpid=413679736&amp;ct=offers" TargetMode="External"/><Relationship Id="rId72" Type="http://schemas.openxmlformats.org/officeDocument/2006/relationships/hyperlink" Target="https://octopart.com/click/track?ai=8078&amp;sig=0d6ccfc&amp;sid=2401&amp;ppid=78754604&amp;vpid=504003500&amp;ct=offers" TargetMode="External"/><Relationship Id="rId73" Type="http://schemas.openxmlformats.org/officeDocument/2006/relationships/hyperlink" Target="https://b2b-api.panasonic.eu/file_stream/pids/fileversion/1242" TargetMode="External"/><Relationship Id="rId74" Type="http://schemas.openxmlformats.org/officeDocument/2006/relationships/hyperlink" Target="https://octopart.com/click/track?ai=8078&amp;sig=06e3983&amp;sid=459&amp;ppid=16432844&amp;vpid=73994004&amp;ct=offers" TargetMode="External"/><Relationship Id="rId75" Type="http://schemas.openxmlformats.org/officeDocument/2006/relationships/hyperlink" Target="https://octopart.com/click/track?c=1&amp;ai=8078&amp;sig=0993eba&amp;sid=11744&amp;ppid=16432844&amp;vpid=709673718&amp;ct=offers" TargetMode="External"/><Relationship Id="rId76" Type="http://schemas.openxmlformats.org/officeDocument/2006/relationships/hyperlink" Target="https://octopart.com/click/track?ai=8078&amp;sig=06ab724&amp;sid=2401&amp;ppid=16432844&amp;vpid=41840075&amp;ct=offers" TargetMode="External"/><Relationship Id="rId77" Type="http://schemas.openxmlformats.org/officeDocument/2006/relationships/hyperlink" Target="https://octopart.com/click/track?ai=8078&amp;sig=03714c0&amp;sid=2402&amp;ppid=16432844&amp;vpid=87993748&amp;ct=offers" TargetMode="External"/><Relationship Id="rId78" Type="http://schemas.openxmlformats.org/officeDocument/2006/relationships/hyperlink" Target="https://octopart.com/click/track?ai=8078&amp;sig=03492ea&amp;sid=10022&amp;ppid=16432844&amp;vpid=501237966&amp;ct=offers" TargetMode="External"/><Relationship Id="rId79" Type="http://schemas.openxmlformats.org/officeDocument/2006/relationships/hyperlink" Target="https://b2b-api.panasonic.eu/file_stream/pids/fileversion/1242" TargetMode="External"/><Relationship Id="rId80" Type="http://schemas.openxmlformats.org/officeDocument/2006/relationships/hyperlink" Target="https://octopart.com/click/track?c=1&amp;ai=8078&amp;sig=04cd504&amp;sid=459&amp;ppid=42505965&amp;vpid=465235288&amp;ct=offers" TargetMode="External"/><Relationship Id="rId81" Type="http://schemas.openxmlformats.org/officeDocument/2006/relationships/hyperlink" Target="https://octopart.com/click/track?c=1&amp;ai=8078&amp;sig=0433a1d&amp;sid=819&amp;ppid=42505965&amp;vpid=603690885&amp;ct=offers" TargetMode="External"/><Relationship Id="rId82" Type="http://schemas.openxmlformats.org/officeDocument/2006/relationships/hyperlink" Target="https://octopart.com/click/track?ai=8078&amp;sig=0d716f6&amp;sid=2401&amp;ppid=42505965&amp;vpid=165486571&amp;ct=offers" TargetMode="External"/><Relationship Id="rId83" Type="http://schemas.openxmlformats.org/officeDocument/2006/relationships/hyperlink" Target="https://octopart.com/click/track?c=1&amp;ai=8078&amp;sig=0965e6c&amp;sid=2402&amp;ppid=42505965&amp;vpid=524371516&amp;ct=offers" TargetMode="External"/><Relationship Id="rId84" Type="http://schemas.openxmlformats.org/officeDocument/2006/relationships/hyperlink" Target="https://b2b-api.panasonic.eu/file_stream/pids/fileversion/1242" TargetMode="External"/><Relationship Id="rId85" Type="http://schemas.openxmlformats.org/officeDocument/2006/relationships/hyperlink" Target="https://octopart.com/click/track?ai=8078&amp;sig=0fe0904&amp;sid=459&amp;ppid=44403350&amp;vpid=465235292&amp;ct=offers" TargetMode="External"/><Relationship Id="rId86" Type="http://schemas.openxmlformats.org/officeDocument/2006/relationships/hyperlink" Target="https://octopart.com/click/track?c=1&amp;ai=8078&amp;sig=098df08&amp;sid=819&amp;ppid=44403350&amp;vpid=603690887&amp;ct=offers" TargetMode="External"/><Relationship Id="rId87" Type="http://schemas.openxmlformats.org/officeDocument/2006/relationships/hyperlink" Target="https://octopart.com/click/track?ai=8078&amp;sig=07d1d1b&amp;sid=2401&amp;ppid=44403350&amp;vpid=248150297&amp;ct=offers" TargetMode="External"/><Relationship Id="rId88" Type="http://schemas.openxmlformats.org/officeDocument/2006/relationships/hyperlink" Target="https://octopart.com/click/track?c=1&amp;ai=8078&amp;sig=01bc52e&amp;sid=2402&amp;ppid=44403350&amp;vpid=632042349&amp;ct=offers" TargetMode="External"/><Relationship Id="rId89" Type="http://schemas.openxmlformats.org/officeDocument/2006/relationships/hyperlink" Target="https://octopart.com/click/track?ai=8078&amp;sig=07954d2&amp;sid=10022&amp;ppid=44403350&amp;vpid=527534079&amp;ct=offers" TargetMode="External"/><Relationship Id="rId90" Type="http://schemas.openxmlformats.org/officeDocument/2006/relationships/hyperlink" Target="https://b2b-api.panasonic.eu/file_stream/pids/fileversion/1242" TargetMode="External"/><Relationship Id="rId91" Type="http://schemas.openxmlformats.org/officeDocument/2006/relationships/hyperlink" Target="https://octopart.com/click/track?ai=8078&amp;sig=0301d78&amp;sid=459&amp;ppid=44322539&amp;vpid=465235182&amp;ct=offers" TargetMode="External"/><Relationship Id="rId92" Type="http://schemas.openxmlformats.org/officeDocument/2006/relationships/hyperlink" Target="https://octopart.com/click/track?c=1&amp;ai=8078&amp;sig=0fd9335&amp;sid=819&amp;ppid=44322539&amp;vpid=603690832&amp;ct=offers" TargetMode="External"/><Relationship Id="rId93" Type="http://schemas.openxmlformats.org/officeDocument/2006/relationships/hyperlink" Target="https://octopart.com/click/track?ai=8078&amp;sig=06c973b&amp;sid=27971&amp;ppid=44322539&amp;vpid=495511688&amp;ct=offers" TargetMode="External"/><Relationship Id="rId94" Type="http://schemas.openxmlformats.org/officeDocument/2006/relationships/hyperlink" Target="https://octopart.com/click/track?ai=8078&amp;sig=0a64394&amp;sid=2401&amp;ppid=44322539&amp;vpid=120580014&amp;ct=offers" TargetMode="External"/><Relationship Id="rId95" Type="http://schemas.openxmlformats.org/officeDocument/2006/relationships/hyperlink" Target="https://octopart.com/click/track?c=1&amp;ai=8078&amp;sig=07aa8d7&amp;sid=2402&amp;ppid=44322539&amp;vpid=477474193&amp;ct=offers" TargetMode="External"/><Relationship Id="rId96" Type="http://schemas.openxmlformats.org/officeDocument/2006/relationships/hyperlink" Target="https://b2b-api.panasonic.eu/file_stream/pids/fileversion/1242" TargetMode="External"/><Relationship Id="rId97" Type="http://schemas.openxmlformats.org/officeDocument/2006/relationships/hyperlink" Target="https://octopart.com/click/track?ai=8078&amp;sig=0dd36dc&amp;sid=459&amp;ppid=66942597&amp;vpid=465235418&amp;ct=offers" TargetMode="External"/><Relationship Id="rId98" Type="http://schemas.openxmlformats.org/officeDocument/2006/relationships/hyperlink" Target="https://octopart.com/click/track?c=1&amp;ai=8078&amp;sig=01b939b&amp;sid=819&amp;ppid=66942597&amp;vpid=603690950&amp;ct=offers" TargetMode="External"/><Relationship Id="rId99" Type="http://schemas.openxmlformats.org/officeDocument/2006/relationships/hyperlink" Target="https://octopart.com/click/track?ai=8078&amp;sig=07a33f5&amp;sid=2401&amp;ppid=66942597&amp;vpid=265943161&amp;ct=offers" TargetMode="External"/><Relationship Id="rId100" Type="http://schemas.openxmlformats.org/officeDocument/2006/relationships/hyperlink" Target="https://octopart.com/click/track?c=1&amp;ai=8078&amp;sig=0cb0675&amp;sid=2402&amp;ppid=66942597&amp;vpid=669843420&amp;ct=offers" TargetMode="External"/><Relationship Id="rId101" Type="http://schemas.openxmlformats.org/officeDocument/2006/relationships/hyperlink" Target="https://b2b-api.panasonic.eu/file_stream/pids/fileversion/1242" TargetMode="External"/><Relationship Id="rId102" Type="http://schemas.openxmlformats.org/officeDocument/2006/relationships/hyperlink" Target="https://octopart.com/click/track?ai=8078&amp;sig=080fecf&amp;sid=459&amp;ppid=44403300&amp;vpid=465235178&amp;ct=offers" TargetMode="External"/><Relationship Id="rId103" Type="http://schemas.openxmlformats.org/officeDocument/2006/relationships/hyperlink" Target="https://octopart.com/click/track?c=1&amp;ai=8078&amp;sig=0b30f5a&amp;sid=819&amp;ppid=44403300&amp;vpid=603690830&amp;ct=offers" TargetMode="External"/><Relationship Id="rId104" Type="http://schemas.openxmlformats.org/officeDocument/2006/relationships/hyperlink" Target="https://octopart.com/click/track?ai=8078&amp;sig=08d00b1&amp;sid=27971&amp;ppid=44403300&amp;vpid=669037577&amp;ct=offers" TargetMode="External"/><Relationship Id="rId105" Type="http://schemas.openxmlformats.org/officeDocument/2006/relationships/hyperlink" Target="https://octopart.com/click/track?ai=8078&amp;sig=0e9f721&amp;sid=2401&amp;ppid=44403300&amp;vpid=165486549&amp;ct=offers" TargetMode="External"/><Relationship Id="rId106" Type="http://schemas.openxmlformats.org/officeDocument/2006/relationships/hyperlink" Target="https://octopart.com/click/track?c=1&amp;ai=8078&amp;sig=0f3777c&amp;sid=2402&amp;ppid=44403300&amp;vpid=166626673&amp;ct=offers" TargetMode="External"/><Relationship Id="rId107" Type="http://schemas.openxmlformats.org/officeDocument/2006/relationships/hyperlink" Target="https://octopart.com/click/track?ai=8078&amp;sig=05f26cb&amp;sid=10022&amp;ppid=44403300&amp;vpid=527534069&amp;ct=offers" TargetMode="External"/><Relationship Id="rId108" Type="http://schemas.openxmlformats.org/officeDocument/2006/relationships/hyperlink" Target="https://www.onsemi.com/pdf/datasheet/ncp115-d.pdf" TargetMode="External"/><Relationship Id="rId109" Type="http://schemas.openxmlformats.org/officeDocument/2006/relationships/hyperlink" Target="https://octopart.com/click/track?ai=8078&amp;sig=0a3f4b6&amp;sid=459&amp;ppid=92380524&amp;vpid=530205177&amp;ct=offers" TargetMode="External"/><Relationship Id="rId110" Type="http://schemas.openxmlformats.org/officeDocument/2006/relationships/hyperlink" Target="https://octopart.com/click/track?ai=8078&amp;sig=05836ef&amp;sid=819&amp;ppid=92380524&amp;vpid=530799043&amp;ct=offers" TargetMode="External"/><Relationship Id="rId111" Type="http://schemas.openxmlformats.org/officeDocument/2006/relationships/hyperlink" Target="https://octopart.com/click/track?ai=8078&amp;sig=036a8af&amp;sid=2401&amp;ppid=92380524&amp;vpid=523401631&amp;ct=offers" TargetMode="External"/><Relationship Id="rId112" Type="http://schemas.openxmlformats.org/officeDocument/2006/relationships/hyperlink" Target="https://octopart.com/click/track?ai=8078&amp;sig=09fcc50&amp;sid=2402&amp;ppid=92380524&amp;vpid=531928826&amp;ct=offers" TargetMode="External"/><Relationship Id="rId113" Type="http://schemas.openxmlformats.org/officeDocument/2006/relationships/hyperlink" Target="https://octopart.com/click/track?ai=8078&amp;sig=0259cbd&amp;sid=10022&amp;ppid=92380524&amp;vpid=562641106&amp;ct=offers" TargetMode="External"/><Relationship Id="rId114" Type="http://schemas.openxmlformats.org/officeDocument/2006/relationships/hyperlink" Target="https://www.ti.com/lit/ds/symlink/sn74cbtd16211.pdf" TargetMode="External"/><Relationship Id="rId115" Type="http://schemas.openxmlformats.org/officeDocument/2006/relationships/hyperlink" Target="https://octopart.com/click/track?c=1&amp;ai=8078&amp;sig=0aac5c3&amp;sid=459&amp;ppid=472676&amp;vpid=1588405&amp;ct=offers" TargetMode="External"/><Relationship Id="rId116" Type="http://schemas.openxmlformats.org/officeDocument/2006/relationships/hyperlink" Target="https://octopart.com/click/track?ai=8078&amp;sig=0221cb4&amp;sid=27971&amp;ppid=472676&amp;vpid=696942338&amp;ct=offers" TargetMode="External"/><Relationship Id="rId117" Type="http://schemas.openxmlformats.org/officeDocument/2006/relationships/hyperlink" Target="https://octopart.com/click/track?ai=8078&amp;sig=0681b00&amp;sid=2401&amp;ppid=472676&amp;vpid=46887142&amp;ct=offers" TargetMode="External"/><Relationship Id="rId118" Type="http://schemas.openxmlformats.org/officeDocument/2006/relationships/hyperlink" Target="https://www.onsemi.com/pdf/datasheet/7wbd3306-d.pdf" TargetMode="External"/><Relationship Id="rId119" Type="http://schemas.openxmlformats.org/officeDocument/2006/relationships/hyperlink" Target="https://octopart.com/click/track?ai=8078&amp;sig=0d1d92d&amp;sid=459&amp;ppid=18611571&amp;vpid=479898797&amp;ct=offers" TargetMode="External"/><Relationship Id="rId120" Type="http://schemas.openxmlformats.org/officeDocument/2006/relationships/hyperlink" Target="https://octopart.com/click/track?ai=8078&amp;sig=01a6fba&amp;sid=819&amp;ppid=18611571&amp;vpid=424087899&amp;ct=offers" TargetMode="External"/><Relationship Id="rId121" Type="http://schemas.openxmlformats.org/officeDocument/2006/relationships/hyperlink" Target="https://octopart.com/click/track?ai=8078&amp;sig=0bb0cd7&amp;sid=2401&amp;ppid=18611571&amp;vpid=37811243&amp;ct=offers" TargetMode="External"/><Relationship Id="rId122" Type="http://schemas.openxmlformats.org/officeDocument/2006/relationships/hyperlink" Target="https://octopart.com/click/track?ai=8078&amp;sig=096dade&amp;sid=2402&amp;ppid=18611571&amp;vpid=423912636&amp;ct=offers" TargetMode="External"/><Relationship Id="rId123" Type="http://schemas.openxmlformats.org/officeDocument/2006/relationships/hyperlink" Target="https://octopart.com/click/track?ai=8078&amp;sig=06459c7&amp;sid=10022&amp;ppid=18611571&amp;vpid=199083405&amp;ct=offers" TargetMode="External"/><Relationship Id="rId124" Type="http://schemas.openxmlformats.org/officeDocument/2006/relationships/hyperlink" Target="https://octopart.com/click/track?ai=8078&amp;sig=0f582d1&amp;sid=1532&amp;ppid=18611571&amp;vpid=709118430&amp;ct=offers" TargetMode="External"/><Relationship Id="rId125" Type="http://schemas.openxmlformats.org/officeDocument/2006/relationships/hyperlink" Target="https://www.onsemi.com/pub/Collateral/NCP167-D.PDF" TargetMode="External"/><Relationship Id="rId126" Type="http://schemas.openxmlformats.org/officeDocument/2006/relationships/hyperlink" Target="https://octopart.com/click/track?c=1&amp;ai=8078&amp;sig=0d6401e&amp;sid=459&amp;ppid=85869721&amp;vpid=510801591&amp;ct=offers" TargetMode="External"/><Relationship Id="rId127" Type="http://schemas.openxmlformats.org/officeDocument/2006/relationships/hyperlink" Target="https://octopart.com/click/track?ai=8078&amp;sig=0ba8a94&amp;sid=819&amp;ppid=85869721&amp;vpid=521259823&amp;ct=offers" TargetMode="External"/><Relationship Id="rId128" Type="http://schemas.openxmlformats.org/officeDocument/2006/relationships/hyperlink" Target="https://octopart.com/click/track?ai=8078&amp;sig=093fed6&amp;sid=2401&amp;ppid=85869721&amp;vpid=480971673&amp;ct=offers" TargetMode="External"/><Relationship Id="rId129" Type="http://schemas.openxmlformats.org/officeDocument/2006/relationships/hyperlink" Target="https://octopart.com/click/track?ai=8078&amp;sig=061a238&amp;sid=2402&amp;ppid=85869721&amp;vpid=530859240&amp;ct=offers" TargetMode="External"/><Relationship Id="rId130" Type="http://schemas.openxmlformats.org/officeDocument/2006/relationships/hyperlink" Target="https://octopart.com/click/track?ai=8078&amp;sig=004d31c&amp;sid=10022&amp;ppid=85869721&amp;vpid=562641329&amp;ct=offers" TargetMode="External"/><Relationship Id="rId131" Type="http://schemas.openxmlformats.org/officeDocument/2006/relationships/hyperlink" Target="https://www.onsemi.com/pub/Collateral/FSA221-D.pdf" TargetMode="External"/><Relationship Id="rId132" Type="http://schemas.openxmlformats.org/officeDocument/2006/relationships/hyperlink" Target="https://octopart.com/click/track?c=1&amp;ai=8078&amp;sig=0bf5e3c&amp;sid=459&amp;ppid=84328203&amp;vpid=452466845&amp;ct=offers" TargetMode="External"/><Relationship Id="rId133" Type="http://schemas.openxmlformats.org/officeDocument/2006/relationships/hyperlink" Target="https://octopart.com/click/track?c=1&amp;ai=8078&amp;sig=0651f87&amp;sid=819&amp;ppid=84328203&amp;vpid=679564055&amp;ct=offers" TargetMode="External"/><Relationship Id="rId134" Type="http://schemas.openxmlformats.org/officeDocument/2006/relationships/hyperlink" Target="https://octopart.com/click/track?ai=8078&amp;sig=07ee363&amp;sid=2401&amp;ppid=84328203&amp;vpid=438583992&amp;ct=offers" TargetMode="External"/><Relationship Id="rId135" Type="http://schemas.openxmlformats.org/officeDocument/2006/relationships/hyperlink" Target="https://www.nxp.com/docs/en/data-sheet/SGTL5000.pdf" TargetMode="External"/><Relationship Id="rId136" Type="http://schemas.openxmlformats.org/officeDocument/2006/relationships/hyperlink" Target="https://octopart.com/click/track?c=1&amp;ai=8078&amp;sig=04c3e2a&amp;sid=459&amp;ppid=70302734&amp;vpid=355515742&amp;ct=offers" TargetMode="External"/><Relationship Id="rId137" Type="http://schemas.openxmlformats.org/officeDocument/2006/relationships/hyperlink" Target="https://octopart.com/click/track?c=1&amp;ai=8078&amp;sig=026e336&amp;sid=819&amp;ppid=70302734&amp;vpid=441865499&amp;ct=offers" TargetMode="External"/><Relationship Id="rId138" Type="http://schemas.openxmlformats.org/officeDocument/2006/relationships/hyperlink" Target="https://octopart.com/click/track?c=1&amp;ai=8078&amp;sig=0914646&amp;sid=2401&amp;ppid=70302734&amp;vpid=251555961&amp;ct=offers" TargetMode="External"/><Relationship Id="rId139" Type="http://schemas.openxmlformats.org/officeDocument/2006/relationships/hyperlink" Target="https://octopart.com/click/track?c=1&amp;ai=8078&amp;sig=0682eb5&amp;sid=2402&amp;ppid=70302734&amp;vpid=444018517&amp;ct=offers" TargetMode="External"/><Relationship Id="rId140" Type="http://schemas.openxmlformats.org/officeDocument/2006/relationships/hyperlink" Target="https://www.espressif.com/sites/default/files/documentation/esp32-pico-v3-02_datasheet_en.pdf" TargetMode="External"/><Relationship Id="rId141" Type="http://schemas.openxmlformats.org/officeDocument/2006/relationships/hyperlink" Target="https://octopart.com/click/track?c=1&amp;ai=8078&amp;sig=02cf195&amp;sid=459&amp;ppid=112268551&amp;vpid=658695230&amp;ct=offers" TargetMode="External"/><Relationship Id="rId142" Type="http://schemas.openxmlformats.org/officeDocument/2006/relationships/hyperlink" Target="https://octopart.com/click/track?c=1&amp;ai=8078&amp;sig=05078e7&amp;sid=2401&amp;ppid=112268551&amp;vpid=659792027&amp;ct=offers" TargetMode="External"/><Relationship Id="rId143" Type="http://schemas.openxmlformats.org/officeDocument/2006/relationships/hyperlink" Target="https://octopart.com/click/track?ai=8078&amp;sig=049505d&amp;sid=1532&amp;ppid=112268551&amp;vpid=707882674&amp;ct=offers" TargetMode="External"/><Relationship Id="rId144" Type="http://schemas.openxmlformats.org/officeDocument/2006/relationships/hyperlink" Target="https://www.silabs.com/documents/public/data-sheets/cp2102n-datasheet.pdf" TargetMode="External"/><Relationship Id="rId145" Type="http://schemas.openxmlformats.org/officeDocument/2006/relationships/hyperlink" Target="https://octopart.com/click/track?c=1&amp;ai=8078&amp;sig=0ea183e&amp;sid=459&amp;ppid=99772192&amp;vpid=533329931&amp;ct=offers" TargetMode="External"/><Relationship Id="rId146" Type="http://schemas.openxmlformats.org/officeDocument/2006/relationships/hyperlink" Target="https://octopart.com/click/track?c=1&amp;ai=8078&amp;sig=07a36f0&amp;sid=819&amp;ppid=99772192&amp;vpid=614426008&amp;ct=offers" TargetMode="External"/><Relationship Id="rId147" Type="http://schemas.openxmlformats.org/officeDocument/2006/relationships/hyperlink" Target="https://octopart.com/click/track?c=1&amp;ai=8078&amp;sig=08e6d81&amp;sid=2401&amp;ppid=99772192&amp;vpid=534001944&amp;ct=offers" TargetMode="External"/><Relationship Id="rId148" Type="http://schemas.openxmlformats.org/officeDocument/2006/relationships/hyperlink" Target="https://octopart.com/click/track?c=1&amp;ai=8078&amp;sig=00399cc&amp;sid=2402&amp;ppid=99772192&amp;vpid=614834886&amp;ct=offers" TargetMode="External"/><Relationship Id="rId149" Type="http://schemas.openxmlformats.org/officeDocument/2006/relationships/hyperlink" Target="https://www.onsemi.com/pub/Collateral/FSA8049-D.pdf" TargetMode="External"/><Relationship Id="rId150" Type="http://schemas.openxmlformats.org/officeDocument/2006/relationships/hyperlink" Target="https://octopart.com/click/track?ai=8078&amp;sig=04f3049&amp;sid=459&amp;ppid=84328290&amp;vpid=452467072&amp;ct=offers" TargetMode="External"/><Relationship Id="rId151" Type="http://schemas.openxmlformats.org/officeDocument/2006/relationships/hyperlink" Target="https://octopart.com/click/track?c=1&amp;ai=8078&amp;sig=0bddf8a&amp;sid=11744&amp;ppid=84328290&amp;vpid=440102216&amp;ct=offers" TargetMode="External"/><Relationship Id="rId152" Type="http://schemas.openxmlformats.org/officeDocument/2006/relationships/hyperlink" Target="https://octopart.com/click/track?ai=8078&amp;sig=04c986a&amp;sid=27971&amp;ppid=84328290&amp;vpid=476993210&amp;ct=offers" TargetMode="External"/><Relationship Id="rId153" Type="http://schemas.openxmlformats.org/officeDocument/2006/relationships/hyperlink" Target="https://octopart.com/click/track?ai=8078&amp;sig=0683f8d&amp;sid=2401&amp;ppid=84328290&amp;vpid=438584064&amp;ct=offers" TargetMode="External"/><Relationship Id="rId154" Type="http://schemas.openxmlformats.org/officeDocument/2006/relationships/hyperlink" Target="https://octopart.com/click/track?c=1&amp;ai=8078&amp;sig=08b34e2&amp;sid=2402&amp;ppid=84328290&amp;vpid=518569690&amp;ct=offers" TargetMode="External"/><Relationship Id="rId155" Type="http://schemas.openxmlformats.org/officeDocument/2006/relationships/hyperlink" Target="http://www.latticesemi.com/Products/FPGAandCPLD/iCE40UltraPlus" TargetMode="External"/><Relationship Id="rId156" Type="http://schemas.openxmlformats.org/officeDocument/2006/relationships/hyperlink" Target="https://octopart.com/click/track?c=1&amp;ai=8078&amp;sig=08e94d1&amp;sid=459&amp;ppid=87369311&amp;vpid=495120370&amp;ct=offers" TargetMode="External"/><Relationship Id="rId157" Type="http://schemas.openxmlformats.org/officeDocument/2006/relationships/hyperlink" Target="https://octopart.com/click/track?ai=8078&amp;sig=00e2810&amp;sid=2401&amp;ppid=87369311&amp;vpid=477152809&amp;ct=offers" TargetMode="External"/><Relationship Id="rId158" Type="http://schemas.openxmlformats.org/officeDocument/2006/relationships/hyperlink" Target="https://www.apmemory.com/wp-content/uploads/APM_PSRAM_QSPI-APS6404L-3SQR-v2.3-PKG.pdf" TargetMode="External"/><Relationship Id="rId159" Type="http://schemas.openxmlformats.org/officeDocument/2006/relationships/hyperlink" Target="https://www.arrow.com/en/bom-tool/" TargetMode="External"/><Relationship Id="rId160" Type="http://schemas.openxmlformats.org/officeDocument/2006/relationships/hyperlink" Target="https://www.digikey.com/ordering/shoppingcart" TargetMode="External"/><Relationship Id="rId161" Type="http://schemas.openxmlformats.org/officeDocument/2006/relationships/hyperlink" Target="https://www.newark.com/quick-order?isQuickPaste=true" TargetMode="External"/><Relationship Id="rId162" Type="http://schemas.openxmlformats.org/officeDocument/2006/relationships/hyperlink" Target="https://lcsc.com/bom.html" TargetMode="External"/><Relationship Id="rId163" Type="http://schemas.openxmlformats.org/officeDocument/2006/relationships/hyperlink" Target="https://mouser.com/bom/" TargetMode="External"/><Relationship Id="rId164" Type="http://schemas.openxmlformats.org/officeDocument/2006/relationships/hyperlink" Target="https://www.newark.com/quick-order?isQuickPaste=true" TargetMode="External"/><Relationship Id="rId165" Type="http://schemas.openxmlformats.org/officeDocument/2006/relationships/hyperlink" Target="https://uk.rs-online.com/web/mylists/manualQuotes.html?method=showEnquiryCreationPage&amp;mode=new" TargetMode="External"/><Relationship Id="rId166" Type="http://schemas.openxmlformats.org/officeDocument/2006/relationships/hyperlink" Target="https://www.tme.eu/en/Profile/QuickBuy/load.html" TargetMode="External"/><Relationship Id="rId167" Type="http://schemas.openxmlformats.org/officeDocument/2006/relationships/vmlDrawing" Target="../drawings/vmlDrawing1.vml"/><Relationship Id="rId16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71"/>
  <sheetViews>
    <sheetView tabSelected="1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/>
    <col min="5" max="5" width="9.140625" outlineLevel="2"/>
    <col min="6" max="6" width="9.140625" outlineLevel="1"/>
    <col min="7" max="7" width="9.140625" outlineLevel="1"/>
    <col min="8" max="8" width="9.140625" outlineLevel="1"/>
    <col min="9" max="9" width="9.140625"/>
    <col min="10" max="10" width="15.7109375" customWidth="1"/>
    <col min="11" max="11" width="9.140625" outlineLevel="1"/>
    <col min="12" max="12" width="9.140625" outlineLevel="2"/>
    <col min="13" max="13" width="9.140625" outlineLevel="2"/>
    <col min="14" max="14" width="15.7109375" customWidth="1"/>
    <col min="15" max="15" width="15.7109375" customWidth="1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15.7109375" customWidth="1" outlineLevel="2"/>
    <col min="21" max="21" width="9.140625" outlineLevel="1"/>
    <col min="22" max="22" width="9.140625" outlineLevel="2"/>
    <col min="23" max="23" width="9.140625" outlineLevel="2"/>
    <col min="24" max="24" width="15.7109375" customWidth="1"/>
    <col min="25" max="25" width="15.7109375" customWidth="1" outlineLevel="2"/>
    <col min="26" max="26" width="9.140625" outlineLevel="1"/>
    <col min="27" max="27" width="9.140625" outlineLevel="2"/>
    <col min="28" max="28" width="9.140625" outlineLevel="2"/>
    <col min="29" max="29" width="15.7109375" customWidth="1"/>
    <col min="30" max="30" width="15.7109375" customWidth="1" outlineLevel="2"/>
    <col min="31" max="31" width="9.140625" outlineLevel="1"/>
    <col min="32" max="32" width="9.140625" outlineLevel="2"/>
    <col min="33" max="33" width="9.140625" outlineLevel="2"/>
    <col min="34" max="34" width="15.7109375" customWidth="1"/>
    <col min="35" max="35" width="15.7109375" customWidth="1" outlineLevel="2"/>
    <col min="36" max="36" width="9.140625" outlineLevel="1"/>
    <col min="37" max="37" width="9.140625" outlineLevel="2"/>
    <col min="38" max="38" width="9.140625" outlineLevel="2"/>
    <col min="39" max="39" width="15.7109375" customWidth="1"/>
    <col min="40" max="40" width="15.7109375" customWidth="1" outlineLevel="2"/>
    <col min="41" max="41" width="9.140625" outlineLevel="1"/>
    <col min="42" max="42" width="9.140625" outlineLevel="2"/>
    <col min="43" max="43" width="9.140625" outlineLevel="2"/>
    <col min="44" max="44" width="15.7109375" customWidth="1"/>
    <col min="45" max="45" width="15.7109375" customWidth="1" outlineLevel="2"/>
    <col min="46" max="46" width="9.140625" outlineLevel="1"/>
    <col min="47" max="47" width="9.140625" outlineLevel="2"/>
    <col min="48" max="48" width="9.140625" outlineLevel="2"/>
    <col min="49" max="49" width="15.7109375" customWidth="1"/>
    <col min="50" max="50" width="15.7109375" customWidth="1" outlineLevel="2"/>
  </cols>
  <sheetData>
    <row r="1" spans="1:50">
      <c r="A1" s="1" t="s">
        <v>170</v>
      </c>
      <c r="B1" s="2" t="s">
        <v>171</v>
      </c>
      <c r="I1" s="3" t="s">
        <v>176</v>
      </c>
      <c r="J1" s="3">
        <v>100</v>
      </c>
    </row>
    <row r="2" spans="1:50">
      <c r="A2" s="1" t="s">
        <v>172</v>
      </c>
      <c r="B2" s="2" t="s">
        <v>173</v>
      </c>
      <c r="I2" s="1" t="s">
        <v>178</v>
      </c>
      <c r="J2" s="4">
        <f>TotalCost/BoardQty</f>
        <v>0</v>
      </c>
    </row>
    <row r="3" spans="1:50">
      <c r="A3" s="1" t="s">
        <v>174</v>
      </c>
      <c r="B3" s="2" t="s">
        <v>175</v>
      </c>
      <c r="I3" s="1" t="s">
        <v>177</v>
      </c>
      <c r="J3" s="5">
        <f>SUM(J7:J37)</f>
        <v>0</v>
      </c>
      <c r="N3" s="5">
        <f>SUM(N7:N37)</f>
        <v>0</v>
      </c>
      <c r="O3" s="6">
        <f>(COUNTA(N7:N37)&amp;" of "&amp;ROWS(N7:N37)&amp;" parts found")</f>
        <v>0</v>
      </c>
      <c r="S3" s="5">
        <f>SUM(S7:S37)</f>
        <v>0</v>
      </c>
      <c r="T3" s="6">
        <f>(COUNTA(S7:S37)&amp;" of "&amp;ROWS(S7:S37)&amp;" parts found")</f>
        <v>0</v>
      </c>
      <c r="X3" s="5">
        <f>SUM(X7:X37)</f>
        <v>0</v>
      </c>
      <c r="Y3" s="6">
        <f>(COUNTA(X7:X37)&amp;" of "&amp;ROWS(X7:X37)&amp;" parts found")</f>
        <v>0</v>
      </c>
      <c r="AC3" s="5">
        <f>SUM(AC7:AC37)</f>
        <v>0</v>
      </c>
      <c r="AD3" s="6">
        <f>(COUNTA(AC7:AC37)&amp;" of "&amp;ROWS(AC7:AC37)&amp;" parts found")</f>
        <v>0</v>
      </c>
      <c r="AH3" s="5">
        <f>SUM(AH7:AH37)</f>
        <v>0</v>
      </c>
      <c r="AI3" s="6">
        <f>(COUNTA(AH7:AH37)&amp;" of "&amp;ROWS(AH7:AH37)&amp;" parts found")</f>
        <v>0</v>
      </c>
      <c r="AM3" s="5">
        <f>SUM(AM7:AM37)</f>
        <v>0</v>
      </c>
      <c r="AN3" s="6">
        <f>(COUNTA(AM7:AM37)&amp;" of "&amp;ROWS(AM7:AM37)&amp;" parts found")</f>
        <v>0</v>
      </c>
      <c r="AR3" s="5">
        <f>SUM(AR7:AR37)</f>
        <v>0</v>
      </c>
      <c r="AS3" s="6">
        <f>(COUNTA(AR7:AR37)&amp;" of "&amp;ROWS(AR7:AR37)&amp;" parts found")</f>
        <v>0</v>
      </c>
      <c r="AW3" s="5">
        <f>SUM(AW7:AW37)</f>
        <v>0</v>
      </c>
      <c r="AX3" s="6">
        <f>(COUNTA(AW7:AW37)&amp;" of "&amp;ROWS(AW7:AW37)&amp;" parts found")</f>
        <v>0</v>
      </c>
    </row>
    <row r="4" spans="1:50">
      <c r="A4" s="1" t="s">
        <v>179</v>
      </c>
      <c r="B4" s="2" t="s">
        <v>180</v>
      </c>
    </row>
    <row r="5" spans="1:50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8" t="s">
        <v>181</v>
      </c>
      <c r="L5" s="8"/>
      <c r="M5" s="8"/>
      <c r="N5" s="8"/>
      <c r="O5" s="8"/>
      <c r="P5" s="9" t="s">
        <v>186</v>
      </c>
      <c r="Q5" s="9"/>
      <c r="R5" s="9"/>
      <c r="S5" s="9"/>
      <c r="T5" s="9"/>
      <c r="U5" s="10" t="s">
        <v>218</v>
      </c>
      <c r="V5" s="10"/>
      <c r="W5" s="10"/>
      <c r="X5" s="10"/>
      <c r="Y5" s="10"/>
      <c r="Z5" s="11" t="s">
        <v>242</v>
      </c>
      <c r="AA5" s="11"/>
      <c r="AB5" s="11"/>
      <c r="AC5" s="11"/>
      <c r="AD5" s="11"/>
      <c r="AE5" s="12" t="s">
        <v>253</v>
      </c>
      <c r="AF5" s="12"/>
      <c r="AG5" s="12"/>
      <c r="AH5" s="12"/>
      <c r="AI5" s="12"/>
      <c r="AJ5" s="13" t="s">
        <v>281</v>
      </c>
      <c r="AK5" s="13"/>
      <c r="AL5" s="13"/>
      <c r="AM5" s="13"/>
      <c r="AN5" s="13"/>
      <c r="AO5" s="14" t="s">
        <v>304</v>
      </c>
      <c r="AP5" s="14"/>
      <c r="AQ5" s="14"/>
      <c r="AR5" s="14"/>
      <c r="AS5" s="14"/>
      <c r="AT5" s="15" t="s">
        <v>315</v>
      </c>
      <c r="AU5" s="15"/>
      <c r="AV5" s="15"/>
      <c r="AW5" s="15"/>
      <c r="AX5" s="15"/>
    </row>
    <row r="6" spans="1:50">
      <c r="A6" s="16" t="s">
        <v>1</v>
      </c>
      <c r="B6" s="16" t="s">
        <v>2</v>
      </c>
      <c r="C6" s="16" t="s">
        <v>3</v>
      </c>
      <c r="D6" s="16" t="s">
        <v>10</v>
      </c>
      <c r="E6" s="16" t="s">
        <v>4</v>
      </c>
      <c r="F6" s="16" t="s">
        <v>5</v>
      </c>
      <c r="G6" s="16" t="s">
        <v>6</v>
      </c>
      <c r="H6" s="16" t="s">
        <v>7</v>
      </c>
      <c r="I6" s="16" t="s">
        <v>8</v>
      </c>
      <c r="J6" s="16" t="s">
        <v>9</v>
      </c>
      <c r="K6" s="16" t="s">
        <v>182</v>
      </c>
      <c r="L6" s="16" t="s">
        <v>183</v>
      </c>
      <c r="M6" s="16" t="s">
        <v>8</v>
      </c>
      <c r="N6" s="16" t="s">
        <v>9</v>
      </c>
      <c r="O6" s="16" t="s">
        <v>184</v>
      </c>
      <c r="P6" s="16" t="s">
        <v>182</v>
      </c>
      <c r="Q6" s="16" t="s">
        <v>183</v>
      </c>
      <c r="R6" s="16" t="s">
        <v>8</v>
      </c>
      <c r="S6" s="16" t="s">
        <v>9</v>
      </c>
      <c r="T6" s="16" t="s">
        <v>184</v>
      </c>
      <c r="U6" s="16" t="s">
        <v>182</v>
      </c>
      <c r="V6" s="16" t="s">
        <v>183</v>
      </c>
      <c r="W6" s="16" t="s">
        <v>8</v>
      </c>
      <c r="X6" s="16" t="s">
        <v>9</v>
      </c>
      <c r="Y6" s="16" t="s">
        <v>184</v>
      </c>
      <c r="Z6" s="16" t="s">
        <v>182</v>
      </c>
      <c r="AA6" s="16" t="s">
        <v>183</v>
      </c>
      <c r="AB6" s="16" t="s">
        <v>8</v>
      </c>
      <c r="AC6" s="16" t="s">
        <v>9</v>
      </c>
      <c r="AD6" s="16" t="s">
        <v>184</v>
      </c>
      <c r="AE6" s="16" t="s">
        <v>182</v>
      </c>
      <c r="AF6" s="16" t="s">
        <v>183</v>
      </c>
      <c r="AG6" s="16" t="s">
        <v>8</v>
      </c>
      <c r="AH6" s="16" t="s">
        <v>9</v>
      </c>
      <c r="AI6" s="16" t="s">
        <v>184</v>
      </c>
      <c r="AJ6" s="16" t="s">
        <v>182</v>
      </c>
      <c r="AK6" s="16" t="s">
        <v>183</v>
      </c>
      <c r="AL6" s="16" t="s">
        <v>8</v>
      </c>
      <c r="AM6" s="16" t="s">
        <v>9</v>
      </c>
      <c r="AN6" s="16" t="s">
        <v>184</v>
      </c>
      <c r="AO6" s="16" t="s">
        <v>182</v>
      </c>
      <c r="AP6" s="16" t="s">
        <v>183</v>
      </c>
      <c r="AQ6" s="16" t="s">
        <v>8</v>
      </c>
      <c r="AR6" s="16" t="s">
        <v>9</v>
      </c>
      <c r="AS6" s="16" t="s">
        <v>184</v>
      </c>
      <c r="AT6" s="16" t="s">
        <v>182</v>
      </c>
      <c r="AU6" s="16" t="s">
        <v>183</v>
      </c>
      <c r="AV6" s="16" t="s">
        <v>8</v>
      </c>
      <c r="AW6" s="16" t="s">
        <v>9</v>
      </c>
      <c r="AX6" s="16" t="s">
        <v>184</v>
      </c>
    </row>
    <row r="7" spans="1:50">
      <c r="A7" s="17" t="s">
        <v>11</v>
      </c>
      <c r="B7" s="17" t="s">
        <v>12</v>
      </c>
      <c r="C7" s="17" t="s">
        <v>13</v>
      </c>
      <c r="E7" s="17" t="s">
        <v>14</v>
      </c>
      <c r="F7" s="17" t="s">
        <v>15</v>
      </c>
      <c r="G7" s="17" t="s">
        <v>12</v>
      </c>
      <c r="H7" s="17">
        <f>BoardQty*1</f>
        <v>0</v>
      </c>
      <c r="I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7" s="18">
        <f>iferror(H7*I7,"")</f>
        <v>0</v>
      </c>
      <c r="P7" s="17">
        <v>24423</v>
      </c>
      <c r="R7" s="18">
        <f>iferror(lookup(if(Q7="",H7,Q7),{0,1,10,25,100,250,500,1800},{0.0,1.61,1.448,1.3656,1.1636,1.0926,0.95602,0.8604}),"")</f>
        <v>0</v>
      </c>
      <c r="S7" s="18">
        <f>iferror(if(Q7="",H7,Q7)*R7,"")</f>
        <v>0</v>
      </c>
      <c r="T7" s="19" t="s">
        <v>187</v>
      </c>
      <c r="U7" s="17">
        <v>11357</v>
      </c>
      <c r="W7" s="18">
        <f>iferror(USD_GBP*lookup(if(V7="",H7,V7),{0,1,10,50,100,250,500,1000,1800,2500,4500,9000,45000},{0.0,1.1,1.04,1.01,0.832,0.765,0.588,0.676,0.616,0.572,0.57,0.568,0.566}),"")</f>
        <v>0</v>
      </c>
      <c r="X7" s="18">
        <f>iferror(if(V7="",H7,V7)*W7,"")</f>
        <v>0</v>
      </c>
      <c r="Y7" s="19" t="s">
        <v>219</v>
      </c>
      <c r="AE7" s="20" t="s">
        <v>189</v>
      </c>
      <c r="AG7" s="18">
        <f>iferror(lookup(if(AF7="",H7,AF7),{0,1,10,50,100,1000,10000},{0.0,1.61,1.37,1.37,1.1,0.888,0.8}),"")</f>
        <v>0</v>
      </c>
      <c r="AH7" s="18">
        <f>iferror(if(AF7="",H7,AF7)*AG7,"")</f>
        <v>0</v>
      </c>
      <c r="AI7" s="19" t="s">
        <v>254</v>
      </c>
      <c r="AJ7" s="17">
        <v>10232</v>
      </c>
      <c r="AL7" s="18">
        <f>iferror(lookup(if(AK7="",H7,AK7),{0,1,10,25,50,100,250},{0.0,1.4,1.4,1.31,1.21,1.12,1.05}),"")</f>
        <v>0</v>
      </c>
      <c r="AM7" s="18">
        <f>iferror(if(AK7="",H7,AK7)*AL7,"")</f>
        <v>0</v>
      </c>
      <c r="AN7" s="19" t="s">
        <v>282</v>
      </c>
      <c r="AO7" s="17">
        <v>8762</v>
      </c>
      <c r="AQ7" s="18">
        <f>iferror(USD_GBP*lookup(if(AP7="",H7,AP7),{0,1,5,25,50,100,250},{0.0,1.28,956.09,1.09,0.96,0.83,0.77}),"")</f>
        <v>0</v>
      </c>
      <c r="AR7" s="18">
        <f>iferror(if(AP7="",H7,AP7)*AQ7,"")</f>
        <v>0</v>
      </c>
      <c r="AS7" s="19" t="s">
        <v>305</v>
      </c>
      <c r="AT7" s="20" t="s">
        <v>189</v>
      </c>
      <c r="AV7" s="18">
        <f>iferror(USD_GBP*lookup(if(AU7="",H7,AU7),{0,1,1800},{0.0,0.59777,0.59777}),"")</f>
        <v>0</v>
      </c>
      <c r="AW7" s="18">
        <f>iferror(if(AU7="",H7,AU7)*AV7,"")</f>
        <v>0</v>
      </c>
      <c r="AX7" s="19" t="s">
        <v>316</v>
      </c>
    </row>
    <row r="8" spans="1:50">
      <c r="A8" s="17" t="s">
        <v>16</v>
      </c>
      <c r="B8" s="17" t="s">
        <v>17</v>
      </c>
      <c r="C8" s="17" t="s">
        <v>18</v>
      </c>
      <c r="D8" s="17" t="s">
        <v>22</v>
      </c>
      <c r="E8" s="17" t="s">
        <v>19</v>
      </c>
      <c r="F8" s="17" t="s">
        <v>20</v>
      </c>
      <c r="G8" s="17" t="s">
        <v>21</v>
      </c>
      <c r="H8" s="17">
        <f>BoardQty*2</f>
        <v>0</v>
      </c>
      <c r="I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8" s="18">
        <f>iferror(H8*I8,"")</f>
        <v>0</v>
      </c>
      <c r="P8" s="20" t="s">
        <v>189</v>
      </c>
      <c r="R8" s="18">
        <f>iferror(lookup(if(Q8="",H8,Q8),{0,1,10,50,100,500,1000,2500,5000,10000},{0.0,0.29,0.198,0.119,0.1005,0.06876,0.06084,0.05819,0.0529,0.05026}),"")</f>
        <v>0</v>
      </c>
      <c r="S8" s="18">
        <f>iferror(if(Q8="",H8,Q8)*R8,"")</f>
        <v>0</v>
      </c>
      <c r="T8" s="19" t="s">
        <v>188</v>
      </c>
      <c r="U8" s="17">
        <v>9420</v>
      </c>
      <c r="W8" s="18">
        <f>iferror(USD_GBP*lookup(if(V8="",H8,V8),{0,1,10,100,150,500,2500,5000,10000,50000},{0.0,0.128,0.128,0.0638,0.0638,0.0495,0.0319,0.0292,0.0264,0.022}),"")</f>
        <v>0</v>
      </c>
      <c r="X8" s="18">
        <f>iferror(if(V8="",H8,V8)*W8,"")</f>
        <v>0</v>
      </c>
      <c r="Y8" s="19" t="s">
        <v>220</v>
      </c>
      <c r="Z8" s="17">
        <v>10720</v>
      </c>
      <c r="AB8" s="18">
        <f>iferror(lookup(if(AA8="",H8,AA8),{0,1,10,100,300,1000,5000,10000},{0.0,0.0579,0.0579,0.0456,0.0433,0.0411,0.0401,0.0396}),"")</f>
        <v>0</v>
      </c>
      <c r="AC8" s="18">
        <f>iferror(if(AA8="",H8,AA8)*AB8,"")</f>
        <v>0</v>
      </c>
      <c r="AD8" s="19" t="s">
        <v>243</v>
      </c>
      <c r="AE8" s="20" t="s">
        <v>189</v>
      </c>
      <c r="AG8" s="18">
        <f>iferror(lookup(if(AF8="",H8,AF8),{0,1,10,50,100,1000,10000},{0.0,0.26,0.174,0.174,0.099,0.061,0.043}),"")</f>
        <v>0</v>
      </c>
      <c r="AH8" s="18">
        <f>iferror(if(AF8="",H8,AF8)*AG8,"")</f>
        <v>0</v>
      </c>
      <c r="AI8" s="19" t="s">
        <v>255</v>
      </c>
      <c r="AJ8" s="17">
        <v>9420</v>
      </c>
      <c r="AL8" s="18">
        <f>iferror(lookup(if(AK8="",H8,AK8),{0,1,10,25,50,100},{0.0,0.174,0.174,0.149,0.124,0.099}),"")</f>
        <v>0</v>
      </c>
      <c r="AM8" s="18">
        <f>iferror(if(AK8="",H8,AK8)*AL8,"")</f>
        <v>0</v>
      </c>
      <c r="AN8" s="19" t="s">
        <v>283</v>
      </c>
    </row>
    <row r="9" spans="1:50">
      <c r="A9" s="17" t="s">
        <v>23</v>
      </c>
      <c r="B9" s="17" t="s">
        <v>17</v>
      </c>
      <c r="C9" s="17" t="s">
        <v>24</v>
      </c>
      <c r="D9" s="17" t="s">
        <v>27</v>
      </c>
      <c r="E9" s="17" t="s">
        <v>25</v>
      </c>
      <c r="F9" s="17" t="s">
        <v>20</v>
      </c>
      <c r="G9" s="17" t="s">
        <v>26</v>
      </c>
      <c r="H9" s="17">
        <f>BoardQty*12</f>
        <v>0</v>
      </c>
      <c r="I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9" s="18">
        <f>iferror(H9*I9,"")</f>
        <v>0</v>
      </c>
      <c r="P9" s="20" t="s">
        <v>189</v>
      </c>
      <c r="R9" s="18">
        <f>iferror(lookup(if(Q9="",H9,Q9),{0,1,10,50,100,500,1000,2500,5000,15000},{0.0,0.25,0.172,0.115,0.0978,0.069,0.06038,0.0575,0.05319,0.04773}),"")</f>
        <v>0</v>
      </c>
      <c r="S9" s="18">
        <f>iferror(if(Q9="",H9,Q9)*R9,"")</f>
        <v>0</v>
      </c>
      <c r="T9" s="19" t="s">
        <v>190</v>
      </c>
      <c r="U9" s="20" t="s">
        <v>189</v>
      </c>
      <c r="W9" s="18">
        <f>iferror(USD_GBP*lookup(if(V9="",H9,V9),{0,1,10,100,150,500,2500,7500,15000,75000},{0.0,0.218,0.218,0.137,0.137,0.103,0.0727,0.0606,0.0594,0.051}),"")</f>
        <v>0</v>
      </c>
      <c r="X9" s="18">
        <f>iferror(if(V9="",H9,V9)*W9,"")</f>
        <v>0</v>
      </c>
      <c r="Y9" s="19" t="s">
        <v>221</v>
      </c>
      <c r="Z9" s="17">
        <v>2820</v>
      </c>
      <c r="AB9" s="18">
        <f>iferror(lookup(if(AA9="",H9,AA9),{0,1,20,200,600,2000,10000,20000},{0.0,0.0208,0.0208,0.0161,0.0153,0.0144,0.0141,0.0139}),"")</f>
        <v>0</v>
      </c>
      <c r="AC9" s="18">
        <f>iferror(if(AA9="",H9,AA9)*AB9,"")</f>
        <v>0</v>
      </c>
      <c r="AD9" s="19" t="s">
        <v>244</v>
      </c>
      <c r="AJ9" s="20" t="s">
        <v>189</v>
      </c>
      <c r="AL9" s="18">
        <f>iferror(lookup(if(AK9="",H9,AK9),{0,1,10,25,50,100,15000},{0.0,0.121,0.121,0.113,0.105,0.097,0.053}),"")</f>
        <v>0</v>
      </c>
      <c r="AM9" s="18">
        <f>iferror(if(AK9="",H9,AK9)*AL9,"")</f>
        <v>0</v>
      </c>
      <c r="AN9" s="19" t="s">
        <v>284</v>
      </c>
    </row>
    <row r="10" spans="1:50">
      <c r="A10" s="17" t="s">
        <v>28</v>
      </c>
      <c r="B10" s="17" t="s">
        <v>17</v>
      </c>
      <c r="C10" s="17" t="s">
        <v>29</v>
      </c>
      <c r="D10" s="17" t="s">
        <v>31</v>
      </c>
      <c r="E10" s="17" t="s">
        <v>25</v>
      </c>
      <c r="F10" s="17" t="s">
        <v>20</v>
      </c>
      <c r="G10" s="17" t="s">
        <v>30</v>
      </c>
      <c r="H10" s="17">
        <f>BoardQty*1</f>
        <v>0</v>
      </c>
      <c r="I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0" s="18">
        <f>iferror(H10*I10,"")</f>
        <v>0</v>
      </c>
      <c r="P10" s="17">
        <v>167093</v>
      </c>
      <c r="R10" s="18">
        <f>iferror(lookup(if(Q10="",H10,Q10),{0,1,10,50,100,500,1000,2500,5000,10000},{0.0,0.44,0.307,0.215,0.1842,0.13818,0.11668,0.11054,0.1044,0.09826}),"")</f>
        <v>0</v>
      </c>
      <c r="S10" s="18">
        <f>iferror(if(Q10="",H10,Q10)*R10,"")</f>
        <v>0</v>
      </c>
      <c r="T10" s="19" t="s">
        <v>191</v>
      </c>
      <c r="U10" s="17">
        <v>12334</v>
      </c>
      <c r="W10" s="18">
        <f>iferror(USD_GBP*lookup(if(V10="",H10,V10),{0,1,10,100,150,500,2500,5000,10000,50000},{0.0,0.187,0.187,0.151,0.151,0.0842,0.0797,0.074,0.0718,0.0615}),"")</f>
        <v>0</v>
      </c>
      <c r="X10" s="18">
        <f>iferror(if(V10="",H10,V10)*W10,"")</f>
        <v>0</v>
      </c>
      <c r="Y10" s="19" t="s">
        <v>222</v>
      </c>
      <c r="Z10" s="17">
        <v>309950</v>
      </c>
      <c r="AB10" s="18">
        <f>iferror(lookup(if(AA10="",H10,AA10),{0,1,5,50,150,500,2500,5000},{0.0,0.1209,0.1209,0.0881,0.0821,0.0761,0.0734,0.0721}),"")</f>
        <v>0</v>
      </c>
      <c r="AC10" s="18">
        <f>iferror(if(AA10="",H10,AA10)*AB10,"")</f>
        <v>0</v>
      </c>
      <c r="AD10" s="19" t="s">
        <v>245</v>
      </c>
      <c r="AE10" s="17">
        <v>2944</v>
      </c>
      <c r="AG10" s="18">
        <f>iferror(lookup(if(AF10="",H10,AF10),{0,1,10,50,100,1000,10000},{0.0,0.42,0.206,0.206,0.177,0.112,0.094}),"")</f>
        <v>0</v>
      </c>
      <c r="AH10" s="18">
        <f>iferror(if(AF10="",H10,AF10)*AG10,"")</f>
        <v>0</v>
      </c>
      <c r="AI10" s="19" t="s">
        <v>256</v>
      </c>
      <c r="AJ10" s="17">
        <v>12584</v>
      </c>
      <c r="AL10" s="18">
        <f>iferror(lookup(if(AK10="",H10,AK10),{0,1,10,25,50,100,10000},{0.0,0.227,0.227,0.216,0.205,0.194,0.11}),"")</f>
        <v>0</v>
      </c>
      <c r="AM10" s="18">
        <f>iferror(if(AK10="",H10,AK10)*AL10,"")</f>
        <v>0</v>
      </c>
      <c r="AN10" s="19" t="s">
        <v>285</v>
      </c>
    </row>
    <row r="11" spans="1:50">
      <c r="A11" s="17" t="s">
        <v>32</v>
      </c>
      <c r="B11" s="17" t="s">
        <v>33</v>
      </c>
      <c r="C11" s="17" t="s">
        <v>34</v>
      </c>
      <c r="D11" s="17" t="s">
        <v>36</v>
      </c>
      <c r="E11" s="17" t="s">
        <v>19</v>
      </c>
      <c r="F11" s="17" t="s">
        <v>20</v>
      </c>
      <c r="G11" s="17" t="s">
        <v>35</v>
      </c>
      <c r="H11" s="17">
        <f>BoardQty*2</f>
        <v>0</v>
      </c>
      <c r="I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1" s="18">
        <f>iferror(H11*I11,"")</f>
        <v>0</v>
      </c>
      <c r="P11" s="17">
        <v>2244493</v>
      </c>
      <c r="R11" s="18">
        <f>iferror(lookup(if(Q11="",H11,Q11),{0,1,10,50,100,500,1000,2500,5000,10000},{0.0,0.19,0.129,0.0776,0.0656,0.04484,0.03968,0.03795,0.0345,0.03278}),"")</f>
        <v>0</v>
      </c>
      <c r="S11" s="18">
        <f>iferror(if(Q11="",H11,Q11)*R11,"")</f>
        <v>0</v>
      </c>
      <c r="T11" s="19" t="s">
        <v>192</v>
      </c>
      <c r="U11" s="17">
        <v>140000</v>
      </c>
      <c r="W11" s="18">
        <f>iferror(USD_GBP*lookup(if(V11="",H11,V11),{0,1,10,100,150,500,2500,5000,10000,50000},{0.0,0.143,0.143,0.0817,0.0817,0.0622,0.0461,0.0381,0.0318,0.0272}),"")</f>
        <v>0</v>
      </c>
      <c r="X11" s="18">
        <f>iferror(if(V11="",H11,V11)*W11,"")</f>
        <v>0</v>
      </c>
      <c r="Y11" s="19" t="s">
        <v>223</v>
      </c>
      <c r="Z11" s="17">
        <v>1990</v>
      </c>
      <c r="AB11" s="18">
        <f>iferror(lookup(if(AA11="",H11,AA11),{0,1,10,100,300,1000,5000,10000},{0.0,0.0627,0.0627,0.0469,0.044,0.0411,0.0398,0.0392}),"")</f>
        <v>0</v>
      </c>
      <c r="AC11" s="18">
        <f>iferror(if(AA11="",H11,AA11)*AB11,"")</f>
        <v>0</v>
      </c>
      <c r="AD11" s="19" t="s">
        <v>246</v>
      </c>
      <c r="AE11" s="17">
        <v>1392179</v>
      </c>
      <c r="AG11" s="18">
        <f>iferror(lookup(if(AF11="",H11,AF11),{0,1,10,50,100,1000,10000},{0.0,0.18,0.075,0.075,0.063,0.038,0.031}),"")</f>
        <v>0</v>
      </c>
      <c r="AH11" s="18">
        <f>iferror(if(AF11="",H11,AF11)*AG11,"")</f>
        <v>0</v>
      </c>
      <c r="AI11" s="19" t="s">
        <v>257</v>
      </c>
      <c r="AJ11" s="17">
        <v>160000</v>
      </c>
      <c r="AL11" s="18">
        <f>iferror(lookup(if(AK11="",H11,AK11),{0,1,10,25,50,100,10000,20000},{0.0,0.173,0.173,0.144,0.116,0.087,0.033,0.032}),"")</f>
        <v>0</v>
      </c>
      <c r="AM11" s="18">
        <f>iferror(if(AK11="",H11,AK11)*AL11,"")</f>
        <v>0</v>
      </c>
      <c r="AN11" s="19" t="s">
        <v>286</v>
      </c>
    </row>
    <row r="12" spans="1:50">
      <c r="A12" s="17" t="s">
        <v>37</v>
      </c>
      <c r="B12" s="17" t="s">
        <v>38</v>
      </c>
      <c r="C12" s="17" t="s">
        <v>39</v>
      </c>
      <c r="D12" s="17" t="s">
        <v>41</v>
      </c>
      <c r="E12" s="17" t="s">
        <v>25</v>
      </c>
      <c r="F12" s="17" t="s">
        <v>20</v>
      </c>
      <c r="G12" s="17" t="s">
        <v>40</v>
      </c>
      <c r="H12" s="17">
        <f>BoardQty*15</f>
        <v>0</v>
      </c>
      <c r="I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2" s="18">
        <f>iferror(H12*I12,"")</f>
        <v>0</v>
      </c>
      <c r="P12" s="17">
        <v>3852454</v>
      </c>
      <c r="R12" s="18">
        <f>iferror(lookup(if(Q12="",H12,Q12),{0,1,10,50,100,500,1000,2500,5000,15000},{0.0,0.1,0.034,0.0186,0.0152,0.01086,0.00854,0.00776,0.00714,0.00621}),"")</f>
        <v>0</v>
      </c>
      <c r="S12" s="18">
        <f>iferror(if(Q12="",H12,Q12)*R12,"")</f>
        <v>0</v>
      </c>
      <c r="T12" s="19" t="s">
        <v>193</v>
      </c>
      <c r="U12" s="17">
        <v>120000</v>
      </c>
      <c r="W12" s="18">
        <f>iferror(USD_GBP*lookup(if(V12="",H12,V12),{0,1,10,100,150,500,2500,7500,15000,75000},{0.0,0.0202,0.0202,0.0159,0.0159,0.0076,0.0059,0.0058,0.004,0.0039}),"")</f>
        <v>0</v>
      </c>
      <c r="X12" s="18">
        <f>iferror(if(V12="",H12,V12)*W12,"")</f>
        <v>0</v>
      </c>
      <c r="Y12" s="19" t="s">
        <v>224</v>
      </c>
      <c r="Z12" s="17">
        <v>20200</v>
      </c>
      <c r="AB12" s="18">
        <f>iferror(lookup(if(AA12="",H12,AA12),{0,1,50,500,1500,5000,25000,50000},{0.0,0.0035,0.0035,0.0026,0.0024,0.0022,0.0022,0.0021}),"")</f>
        <v>0</v>
      </c>
      <c r="AC12" s="18">
        <f>iferror(if(AA12="",H12,AA12)*AB12,"")</f>
        <v>0</v>
      </c>
      <c r="AD12" s="19" t="s">
        <v>247</v>
      </c>
      <c r="AE12" s="17">
        <v>570198</v>
      </c>
      <c r="AG12" s="18">
        <f>iferror(lookup(if(AF12="",H12,AF12),{0,1,10,50,100,1000,10000},{0.0,0.1,0.018,0.018,0.015,0.009,0.007}),"")</f>
        <v>0</v>
      </c>
      <c r="AH12" s="18">
        <f>iferror(if(AF12="",H12,AF12)*AG12,"")</f>
        <v>0</v>
      </c>
      <c r="AI12" s="19" t="s">
        <v>258</v>
      </c>
      <c r="AJ12" s="17">
        <v>120000</v>
      </c>
      <c r="AL12" s="18">
        <f>iferror(lookup(if(AK12="",H12,AK12),{0,1,10,25,50,100,15000},{0.0,0.034,0.034,0.028,0.021,0.015,0.005}),"")</f>
        <v>0</v>
      </c>
      <c r="AM12" s="18">
        <f>iferror(if(AK12="",H12,AK12)*AL12,"")</f>
        <v>0</v>
      </c>
      <c r="AN12" s="19" t="s">
        <v>287</v>
      </c>
      <c r="AO12" s="17">
        <v>7000</v>
      </c>
      <c r="AQ12" s="18">
        <f>iferror(USD_GBP*lookup(if(AP12="",H12,AP12),{0,1,15000,60000},{0.0,0.004,0.004,0.004}),"")</f>
        <v>0</v>
      </c>
      <c r="AR12" s="18">
        <f>iferror(if(AP12="",H12,AP12)*AQ12,"")</f>
        <v>0</v>
      </c>
      <c r="AS12" s="19" t="s">
        <v>306</v>
      </c>
    </row>
    <row r="13" spans="1:50">
      <c r="A13" s="17" t="s">
        <v>42</v>
      </c>
      <c r="B13" s="17" t="s">
        <v>43</v>
      </c>
      <c r="C13" s="17" t="s">
        <v>44</v>
      </c>
      <c r="E13" s="17" t="s">
        <v>45</v>
      </c>
      <c r="F13" s="17" t="s">
        <v>46</v>
      </c>
      <c r="G13" s="17" t="s">
        <v>47</v>
      </c>
      <c r="H13" s="17">
        <f>BoardQty*2</f>
        <v>0</v>
      </c>
      <c r="I1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3" s="18">
        <f>iferror(H13*I13,"")</f>
        <v>0</v>
      </c>
      <c r="P13" s="17">
        <v>23799</v>
      </c>
      <c r="R13" s="18">
        <f>iferror(lookup(if(Q13="",H13,Q13),{0,1,10,100,500,1000,2000,5000,10000,30000,50000,100000},{0.0,0.34,0.251,0.142,0.09404,0.0721,0.0627,0.05643,0.05016,0.04703,0.0417,0.04125}),"")</f>
        <v>0</v>
      </c>
      <c r="S13" s="18">
        <f>iferror(if(Q13="",H13,Q13)*R13,"")</f>
        <v>0</v>
      </c>
      <c r="T13" s="19" t="s">
        <v>194</v>
      </c>
      <c r="U13" s="20" t="s">
        <v>189</v>
      </c>
      <c r="W13" s="18">
        <f>iferror(USD_GBP*lookup(if(V13="",H13,V13),{0,1,10000},{0.0,0.042,0.042}),"")</f>
        <v>0</v>
      </c>
      <c r="X13" s="18">
        <f>iferror(if(V13="",H13,V13)*W13,"")</f>
        <v>0</v>
      </c>
      <c r="Y13" s="19" t="s">
        <v>225</v>
      </c>
      <c r="AE13" s="17">
        <v>118</v>
      </c>
      <c r="AG13" s="18">
        <f>iferror(lookup(if(AF13="",H13,AF13),{0,1,10,50,100,1000,10000},{0.0,0.39,0.276,0.276,0.157,0.084,0.058}),"")</f>
        <v>0</v>
      </c>
      <c r="AH13" s="18">
        <f>iferror(if(AF13="",H13,AF13)*AG13,"")</f>
        <v>0</v>
      </c>
      <c r="AI13" s="19" t="s">
        <v>259</v>
      </c>
      <c r="AJ13" s="20" t="s">
        <v>189</v>
      </c>
      <c r="AL13" s="18">
        <f>iferror(lookup(if(AK13="",H13,AK13),{0,1,5,10,100,500,1000,2500},{0.0,0.36,0.36,0.276,0.154,0.136,0.118,0.103}),"")</f>
        <v>0</v>
      </c>
      <c r="AM13" s="18">
        <f>iferror(if(AK13="",H13,AK13)*AL13,"")</f>
        <v>0</v>
      </c>
      <c r="AN13" s="19" t="s">
        <v>288</v>
      </c>
    </row>
    <row r="14" spans="1:50">
      <c r="A14" s="17" t="s">
        <v>48</v>
      </c>
      <c r="B14" s="17" t="s">
        <v>49</v>
      </c>
      <c r="C14" s="17" t="s">
        <v>50</v>
      </c>
      <c r="E14" s="17" t="s">
        <v>51</v>
      </c>
      <c r="F14" s="17" t="s">
        <v>52</v>
      </c>
      <c r="G14" s="17" t="s">
        <v>53</v>
      </c>
      <c r="H14" s="17">
        <f>BoardQty*1</f>
        <v>0</v>
      </c>
      <c r="I1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4" s="18">
        <f>iferror(H14*I14,"")</f>
        <v>0</v>
      </c>
      <c r="P14" s="17">
        <v>23210</v>
      </c>
      <c r="R14" s="18">
        <f>iferror(lookup(if(Q14="",H14,Q14),{0,1,10,100,500,1000,3000},{0.0,0.6,0.525,0.4023,0.318,0.2625,0.2625}),"")</f>
        <v>0</v>
      </c>
      <c r="S14" s="18">
        <f>iferror(if(Q14="",H14,Q14)*R14,"")</f>
        <v>0</v>
      </c>
      <c r="T14" s="19" t="s">
        <v>195</v>
      </c>
      <c r="U14" s="17">
        <v>8800</v>
      </c>
      <c r="W14" s="18">
        <f>iferror(USD_GBP*lookup(if(V14="",H14,V14),{0,1,5,10,100,150,500,3000},{0.0,0.654,0.654,0.548,0.336,0.336,0.243,0.204}),"")</f>
        <v>0</v>
      </c>
      <c r="X14" s="18">
        <f>iferror(if(V14="",H14,V14)*W14,"")</f>
        <v>0</v>
      </c>
      <c r="Y14" s="19" t="s">
        <v>226</v>
      </c>
      <c r="Z14" s="17">
        <v>3073</v>
      </c>
      <c r="AB14" s="18">
        <f>iferror(lookup(if(AA14="",H14,AA14),{0,1,10,30,100,500,1000},{0.0,0.431,0.3282,0.3102,0.2922,0.2832,0.2796}),"")</f>
        <v>0</v>
      </c>
      <c r="AC14" s="18">
        <f>iferror(if(AA14="",H14,AA14)*AB14,"")</f>
        <v>0</v>
      </c>
      <c r="AD14" s="19" t="s">
        <v>248</v>
      </c>
      <c r="AE14" s="17">
        <v>714</v>
      </c>
      <c r="AG14" s="18">
        <f>iferror(lookup(if(AF14="",H14,AF14),{0,1,10,50,100,1000,10000},{0.0,0.6,0.517,0.517,0.358,0.255,0.21}),"")</f>
        <v>0</v>
      </c>
      <c r="AH14" s="18">
        <f>iferror(if(AF14="",H14,AF14)*AG14,"")</f>
        <v>0</v>
      </c>
      <c r="AI14" s="19" t="s">
        <v>260</v>
      </c>
      <c r="AJ14" s="17">
        <v>392</v>
      </c>
      <c r="AL14" s="18">
        <f>iferror(lookup(if(AK14="",H14,AK14),{0,1,10,100,500,3000,9000,24000,45000},{0.0,0.7,0.61,0.423,0.353,0.213,0.19,0.184,0.172}),"")</f>
        <v>0</v>
      </c>
      <c r="AM14" s="18">
        <f>iferror(if(AK14="",H14,AK14)*AL14,"")</f>
        <v>0</v>
      </c>
      <c r="AN14" s="19" t="s">
        <v>289</v>
      </c>
      <c r="AO14" s="17">
        <v>2450</v>
      </c>
      <c r="AQ14" s="18">
        <f>iferror(USD_GBP*lookup(if(AP14="",H14,AP14),{0,1,25,100,500,1000,3000},{0.0,0.372,0.372,0.257,0.215,0.183,0.162}),"")</f>
        <v>0</v>
      </c>
      <c r="AR14" s="18">
        <f>iferror(if(AP14="",H14,AP14)*AQ14,"")</f>
        <v>0</v>
      </c>
      <c r="AS14" s="19" t="s">
        <v>307</v>
      </c>
    </row>
    <row r="15" spans="1:50">
      <c r="A15" s="17" t="s">
        <v>54</v>
      </c>
      <c r="B15" s="17" t="s">
        <v>55</v>
      </c>
      <c r="C15" s="17" t="s">
        <v>56</v>
      </c>
      <c r="D15" s="17" t="s">
        <v>58</v>
      </c>
      <c r="E15" s="17" t="s">
        <v>55</v>
      </c>
      <c r="F15" s="17" t="s">
        <v>57</v>
      </c>
      <c r="G15" s="17" t="s">
        <v>55</v>
      </c>
      <c r="H15" s="17">
        <f>BoardQty*2</f>
        <v>0</v>
      </c>
      <c r="I1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5" s="18">
        <f>iferror(H15*I15,"")</f>
        <v>0</v>
      </c>
      <c r="P15" s="17">
        <v>24063</v>
      </c>
      <c r="R15" s="18">
        <f>iferror(lookup(if(Q15="",H15,Q15),{0,1,10,100,1000,2000,6000},{0.0,0.72,0.475,0.3145,0.24282,0.21942,0.207}),"")</f>
        <v>0</v>
      </c>
      <c r="S15" s="18">
        <f>iferror(if(Q15="",H15,Q15)*R15,"")</f>
        <v>0</v>
      </c>
      <c r="T15" s="19" t="s">
        <v>196</v>
      </c>
      <c r="U15" s="20" t="s">
        <v>189</v>
      </c>
      <c r="W15" s="18">
        <f>iferror(USD_GBP*lookup(if(V15="",H15,V15),{0,1,10,100,500},{0.0,0.683,0.451,0.347,0.299}),"")</f>
        <v>0</v>
      </c>
      <c r="X15" s="18">
        <f>iferror(if(V15="",H15,V15)*W15,"")</f>
        <v>0</v>
      </c>
      <c r="Y15" s="19" t="s">
        <v>227</v>
      </c>
      <c r="AE15" s="17">
        <v>28018</v>
      </c>
      <c r="AG15" s="18">
        <f>iferror(lookup(if(AF15="",H15,AF15),{0,1,10,50,100,1000,10000},{0.0,0.68,0.441,0.441,0.289,0.228,0.186}),"")</f>
        <v>0</v>
      </c>
      <c r="AH15" s="18">
        <f>iferror(if(AF15="",H15,AF15)*AG15,"")</f>
        <v>0</v>
      </c>
      <c r="AI15" s="19" t="s">
        <v>261</v>
      </c>
      <c r="AJ15" s="20" t="s">
        <v>189</v>
      </c>
      <c r="AL15" s="18">
        <f>iferror(lookup(if(AK15="",H15,AK15),{0,1,10000},{0.0,0.222,0.222}),"")</f>
        <v>0</v>
      </c>
      <c r="AM15" s="18">
        <f>iferror(if(AK15="",H15,AK15)*AL15,"")</f>
        <v>0</v>
      </c>
      <c r="AN15" s="19" t="s">
        <v>290</v>
      </c>
      <c r="AT15" s="17">
        <v>1979</v>
      </c>
      <c r="AV15" s="18">
        <f>iferror(USD_GBP*lookup(if(AU15="",H15,AU15),{0,1,5,25,100,500},{0.0,0.5821,0.2619,0.2037,0.1732,0.1579}),"")</f>
        <v>0</v>
      </c>
      <c r="AW15" s="18">
        <f>iferror(if(AU15="",H15,AU15)*AV15,"")</f>
        <v>0</v>
      </c>
      <c r="AX15" s="19" t="s">
        <v>317</v>
      </c>
    </row>
    <row r="16" spans="1:50">
      <c r="A16" s="17" t="s">
        <v>59</v>
      </c>
      <c r="B16" s="17" t="s">
        <v>60</v>
      </c>
      <c r="C16" s="17" t="s">
        <v>61</v>
      </c>
      <c r="D16" s="17" t="s">
        <v>65</v>
      </c>
      <c r="E16" s="17" t="s">
        <v>62</v>
      </c>
      <c r="F16" s="17" t="s">
        <v>63</v>
      </c>
      <c r="G16" s="17" t="s">
        <v>64</v>
      </c>
      <c r="H16" s="17">
        <f>BoardQty*1</f>
        <v>0</v>
      </c>
      <c r="I1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6" s="18">
        <f>iferror(H16*I16,"")</f>
        <v>0</v>
      </c>
      <c r="P16" s="17">
        <v>7155</v>
      </c>
      <c r="R16" s="18">
        <f>iferror(lookup(if(Q16="",H16,Q16),{0,1,10,25,50,100,250,500,1500,3000,7500,10500},{0.0,1.53,1.386,1.3008,1.2444,1.1878,1.07464,0.9898,0.82012,0.79184,0.75225,0.73528}),"")</f>
        <v>0</v>
      </c>
      <c r="S16" s="18">
        <f>iferror(if(Q16="",H16,Q16)*R16,"")</f>
        <v>0</v>
      </c>
      <c r="T16" s="19" t="s">
        <v>197</v>
      </c>
      <c r="AE16" s="20" t="s">
        <v>189</v>
      </c>
      <c r="AG16" s="18">
        <f>iferror(lookup(if(AF16="",H16,AF16),{0,1,10,50,100,1000,10000},{0.0,1.51,1.23,1.23,1.17,0.839,0.728}),"")</f>
        <v>0</v>
      </c>
      <c r="AH16" s="18">
        <f>iferror(if(AF16="",H16,AF16)*AG16,"")</f>
        <v>0</v>
      </c>
      <c r="AI16" s="19" t="s">
        <v>262</v>
      </c>
      <c r="AO16" s="17">
        <v>46</v>
      </c>
      <c r="AQ16" s="18">
        <f>iferror(USD_GBP*lookup(if(AP16="",H16,AP16),{0,1,4,20,100,200},{0.0,5.57,5.31,5.04,4.78,4.55}),"")</f>
        <v>0</v>
      </c>
      <c r="AR16" s="18">
        <f>iferror(if(AP16="",H16,AP16)*AQ16,"")</f>
        <v>0</v>
      </c>
      <c r="AS16" s="19" t="s">
        <v>308</v>
      </c>
    </row>
    <row r="17" spans="1:50">
      <c r="A17" s="17" t="s">
        <v>66</v>
      </c>
      <c r="B17" s="17" t="s">
        <v>67</v>
      </c>
      <c r="C17" s="17" t="s">
        <v>68</v>
      </c>
      <c r="E17" s="17" t="s">
        <v>69</v>
      </c>
      <c r="F17" s="17" t="s">
        <v>70</v>
      </c>
      <c r="G17" s="17" t="s">
        <v>71</v>
      </c>
      <c r="H17" s="17">
        <f>BoardQty*2</f>
        <v>0</v>
      </c>
      <c r="I1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7" s="18">
        <f>iferror(H17*I17,"")</f>
        <v>0</v>
      </c>
      <c r="P17" s="17">
        <v>890</v>
      </c>
      <c r="R17" s="18">
        <f>iferror(lookup(if(Q17="",H17,Q17),{0,1,10,25,50,100,250,500},{0.0,0.25,0.236,0.2012,0.1758,0.1633,0.14448,0.1382}),"")</f>
        <v>0</v>
      </c>
      <c r="S17" s="18">
        <f>iferror(if(Q17="",H17,Q17)*R17,"")</f>
        <v>0</v>
      </c>
      <c r="T17" s="19" t="s">
        <v>198</v>
      </c>
    </row>
    <row r="18" spans="1:50">
      <c r="A18" s="17" t="s">
        <v>72</v>
      </c>
      <c r="B18" s="17" t="s">
        <v>73</v>
      </c>
      <c r="C18" s="17" t="s">
        <v>74</v>
      </c>
      <c r="E18" s="17" t="s">
        <v>75</v>
      </c>
      <c r="F18" s="17" t="s">
        <v>70</v>
      </c>
      <c r="G18" s="17" t="s">
        <v>76</v>
      </c>
      <c r="H18" s="17">
        <f>BoardQty*2</f>
        <v>0</v>
      </c>
      <c r="I1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8" s="18">
        <f>iferror(H18*I18,"")</f>
        <v>0</v>
      </c>
      <c r="P18" s="17">
        <v>2832</v>
      </c>
      <c r="R18" s="18">
        <f>iferror(lookup(if(Q18="",H18,Q18),{0,1,10,25,50,100,250,500},{0.0,0.29,0.271,0.2324,0.1974,0.1896,0.17028,0.16254}),"")</f>
        <v>0</v>
      </c>
      <c r="S18" s="18">
        <f>iferror(if(Q18="",H18,Q18)*R18,"")</f>
        <v>0</v>
      </c>
      <c r="T18" s="19" t="s">
        <v>199</v>
      </c>
    </row>
    <row r="19" spans="1:50">
      <c r="A19" s="17" t="s">
        <v>77</v>
      </c>
      <c r="B19" s="17" t="s">
        <v>78</v>
      </c>
      <c r="C19" s="17" t="s">
        <v>79</v>
      </c>
      <c r="E19" s="17" t="s">
        <v>80</v>
      </c>
      <c r="F19" s="17" t="s">
        <v>46</v>
      </c>
      <c r="G19" s="17" t="s">
        <v>81</v>
      </c>
      <c r="H19" s="17">
        <f>BoardQty*1</f>
        <v>0</v>
      </c>
      <c r="I1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9" s="18">
        <f>iferror(H19*I19,"")</f>
        <v>0</v>
      </c>
      <c r="P19" s="20" t="s">
        <v>189</v>
      </c>
      <c r="R19" s="18">
        <f>iferror(lookup(if(Q19="",H19,Q19),{0,1,4000},{0.0,0.05769,0.05769}),"")</f>
        <v>0</v>
      </c>
      <c r="S19" s="18">
        <f>iferror(if(Q19="",H19,Q19)*R19,"")</f>
        <v>0</v>
      </c>
      <c r="T19" s="19" t="s">
        <v>200</v>
      </c>
      <c r="U19" s="20" t="s">
        <v>189</v>
      </c>
      <c r="W19" s="18">
        <f>iferror(USD_GBP*lookup(if(V19="",H19,V19),{0,1,5,10,100,500,1000,5000},{0.0,0.29,0.29,0.196,0.0778,0.0585,0.0391,0.0332}),"")</f>
        <v>0</v>
      </c>
      <c r="X19" s="18">
        <f>iferror(if(V19="",H19,V19)*W19,"")</f>
        <v>0</v>
      </c>
      <c r="Y19" s="19" t="s">
        <v>228</v>
      </c>
      <c r="AE19" s="17">
        <v>2579</v>
      </c>
      <c r="AG19" s="18">
        <f>iferror(lookup(if(AF19="",H19,AF19),{0,1,10,50,100,1000,10000},{0.0,0.39,0.268,0.268,0.112,0.076,0.051}),"")</f>
        <v>0</v>
      </c>
      <c r="AH19" s="18">
        <f>iferror(if(AF19="",H19,AF19)*AG19,"")</f>
        <v>0</v>
      </c>
      <c r="AI19" s="19" t="s">
        <v>263</v>
      </c>
      <c r="AJ19" s="20" t="s">
        <v>189</v>
      </c>
      <c r="AL19" s="18">
        <f>iferror(lookup(if(AK19="",H19,AK19),{0,1,5,10,100,500,1000},{0.0,0.39,0.39,0.268,0.112,0.094,0.076}),"")</f>
        <v>0</v>
      </c>
      <c r="AM19" s="18">
        <f>iferror(if(AK19="",H19,AK19)*AL19,"")</f>
        <v>0</v>
      </c>
      <c r="AN19" s="19" t="s">
        <v>291</v>
      </c>
      <c r="AT19" s="20" t="s">
        <v>189</v>
      </c>
      <c r="AV19" s="18">
        <f>iferror(USD_GBP*lookup(if(AU19="",H19,AU19),{0,1,10,50,250,1000,4000},{0.0,0.06134,0.06134,0.04436,0.03994,0.03526,0.02963}),"")</f>
        <v>0</v>
      </c>
      <c r="AW19" s="18">
        <f>iferror(if(AU19="",H19,AU19)*AV19,"")</f>
        <v>0</v>
      </c>
      <c r="AX19" s="19" t="s">
        <v>318</v>
      </c>
    </row>
    <row r="20" spans="1:50">
      <c r="A20" s="17" t="s">
        <v>82</v>
      </c>
      <c r="B20" s="17" t="s">
        <v>83</v>
      </c>
      <c r="C20" s="17" t="s">
        <v>84</v>
      </c>
      <c r="E20" s="17" t="s">
        <v>85</v>
      </c>
      <c r="F20" s="17" t="s">
        <v>46</v>
      </c>
      <c r="G20" s="17" t="s">
        <v>86</v>
      </c>
      <c r="H20" s="17">
        <f>BoardQty*1</f>
        <v>0</v>
      </c>
      <c r="I2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0" s="18">
        <f>iferror(H20*I20,"")</f>
        <v>0</v>
      </c>
      <c r="P20" s="20" t="s">
        <v>189</v>
      </c>
      <c r="R20" s="18">
        <f>iferror(lookup(if(Q20="",H20,Q20),{0,1,10000},{0.0,0.0302,0.0302}),"")</f>
        <v>0</v>
      </c>
      <c r="S20" s="18">
        <f>iferror(if(Q20="",H20,Q20)*R20,"")</f>
        <v>0</v>
      </c>
      <c r="T20" s="19" t="s">
        <v>201</v>
      </c>
      <c r="AE20" s="17">
        <v>10000</v>
      </c>
      <c r="AG20" s="18">
        <f>iferror(lookup(if(AF20="",H20,AF20),{0,1,10,50,100,1000,10000},{0.0,0.35,0.243,0.243,0.102,0.069,0.046}),"")</f>
        <v>0</v>
      </c>
      <c r="AH20" s="18">
        <f>iferror(if(AF20="",H20,AF20)*AG20,"")</f>
        <v>0</v>
      </c>
      <c r="AI20" s="19" t="s">
        <v>264</v>
      </c>
    </row>
    <row r="21" spans="1:50">
      <c r="A21" s="17" t="s">
        <v>87</v>
      </c>
      <c r="B21" s="17" t="s">
        <v>88</v>
      </c>
      <c r="C21" s="17" t="s">
        <v>89</v>
      </c>
      <c r="E21" s="17" t="s">
        <v>90</v>
      </c>
      <c r="F21" s="17" t="s">
        <v>91</v>
      </c>
      <c r="G21" s="17" t="s">
        <v>92</v>
      </c>
      <c r="H21" s="17">
        <f>BoardQty*2</f>
        <v>0</v>
      </c>
      <c r="I2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1" s="18">
        <f>iferror(H21*I21,"")</f>
        <v>0</v>
      </c>
      <c r="P21" s="17">
        <v>6587632</v>
      </c>
      <c r="R21" s="18">
        <f>iferror(lookup(if(Q21="",H21,Q21),{0,1,10,25,50,100,250,500,1000,5000,15000,30000,75000},{0.0,0.1,0.025,0.018,0.0136,0.01,0.00764,0.00612,0.0045,0.00323,0.00281,0.00247,0.00231}),"")</f>
        <v>0</v>
      </c>
      <c r="S21" s="18">
        <f>iferror(if(Q21="",H21,Q21)*R21,"")</f>
        <v>0</v>
      </c>
      <c r="T21" s="19" t="s">
        <v>202</v>
      </c>
      <c r="U21" s="17">
        <v>74971</v>
      </c>
      <c r="W21" s="18">
        <f>iferror(USD_GBP*lookup(if(V21="",H21,V21),{0,1,10,100,150,500,2500,7500,15000,75000},{0.0,0.04,0.04,0.024,0.024,0.018,0.012,0.009,0.007,0.0046}),"")</f>
        <v>0</v>
      </c>
      <c r="X21" s="18">
        <f>iferror(if(V21="",H21,V21)*W21,"")</f>
        <v>0</v>
      </c>
      <c r="Y21" s="19" t="s">
        <v>229</v>
      </c>
      <c r="AE21" s="17">
        <v>758499</v>
      </c>
      <c r="AG21" s="18">
        <f>iferror(lookup(if(AF21="",H21,AF21),{0,1,10,50,100,1000,10000},{0.0,0.1,0.014,0.014,0.006,0.005,0.003}),"")</f>
        <v>0</v>
      </c>
      <c r="AH21" s="18">
        <f>iferror(if(AF21="",H21,AF21)*AG21,"")</f>
        <v>0</v>
      </c>
      <c r="AI21" s="19" t="s">
        <v>265</v>
      </c>
      <c r="AJ21" s="17">
        <v>65971</v>
      </c>
      <c r="AL21" s="18">
        <f>iferror(lookup(if(AK21="",H21,AK21),{0,1,25,100,250,500,1000,2500,5000,15000},{0.0,0.211,0.021,0.009,0.008,0.007,0.006,0.005,0.004,0.006}),"")</f>
        <v>0</v>
      </c>
      <c r="AM21" s="18">
        <f>iferror(if(AK21="",H21,AK21)*AL21,"")</f>
        <v>0</v>
      </c>
      <c r="AN21" s="19" t="s">
        <v>292</v>
      </c>
      <c r="AO21" s="17">
        <v>1038637</v>
      </c>
      <c r="AQ21" s="18">
        <f>iferror(USD_GBP*lookup(if(AP21="",H21,AP21),{0,1,15000},{0.0,0.005,0.005}),"")</f>
        <v>0</v>
      </c>
      <c r="AR21" s="18">
        <f>iferror(if(AP21="",H21,AP21)*AQ21,"")</f>
        <v>0</v>
      </c>
      <c r="AS21" s="19" t="s">
        <v>309</v>
      </c>
    </row>
    <row r="22" spans="1:50">
      <c r="A22" s="17" t="s">
        <v>93</v>
      </c>
      <c r="B22" s="17" t="s">
        <v>94</v>
      </c>
      <c r="C22" s="17" t="s">
        <v>95</v>
      </c>
      <c r="E22" s="17" t="s">
        <v>90</v>
      </c>
      <c r="F22" s="17" t="s">
        <v>91</v>
      </c>
      <c r="G22" s="17" t="s">
        <v>96</v>
      </c>
      <c r="H22" s="17">
        <f>BoardQty*1</f>
        <v>0</v>
      </c>
      <c r="I2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2" s="18">
        <f>iferror(H22*I22,"")</f>
        <v>0</v>
      </c>
      <c r="P22" s="20" t="s">
        <v>189</v>
      </c>
      <c r="R22" s="18">
        <f>iferror(lookup(if(Q22="",H22,Q22),{0,1,10,100,1000,2500,5000,15000},{0.0,0.1,0.028,0.0115,0.00518,0.0045,0.00371,0.00323}),"")</f>
        <v>0</v>
      </c>
      <c r="S22" s="18">
        <f>iferror(if(Q22="",H22,Q22)*R22,"")</f>
        <v>0</v>
      </c>
      <c r="T22" s="19" t="s">
        <v>203</v>
      </c>
      <c r="U22" s="20" t="s">
        <v>189</v>
      </c>
      <c r="W22" s="18">
        <f>iferror(USD_GBP*lookup(if(V22="",H22,V22),{0,1,30000},{0.0,0.0046,0.0046}),"")</f>
        <v>0</v>
      </c>
      <c r="X22" s="18">
        <f>iferror(if(V22="",H22,V22)*W22,"")</f>
        <v>0</v>
      </c>
      <c r="Y22" s="19" t="s">
        <v>230</v>
      </c>
      <c r="AE22" s="17">
        <v>6544</v>
      </c>
      <c r="AG22" s="18">
        <f>iferror(lookup(if(AF22="",H22,AF22),{0,1,10,50,100,1000,10000},{0.0,0.1,0.031,0.031,0.014,0.007,0.005}),"")</f>
        <v>0</v>
      </c>
      <c r="AH22" s="18">
        <f>iferror(if(AF22="",H22,AF22)*AG22,"")</f>
        <v>0</v>
      </c>
      <c r="AI22" s="19" t="s">
        <v>266</v>
      </c>
      <c r="AJ22" s="20" t="s">
        <v>189</v>
      </c>
      <c r="AL22" s="18">
        <f>iferror(lookup(if(AK22="",H22,AK22),{0,1,15000},{0.0,0.006,0.006}),"")</f>
        <v>0</v>
      </c>
      <c r="AM22" s="18">
        <f>iferror(if(AK22="",H22,AK22)*AL22,"")</f>
        <v>0</v>
      </c>
      <c r="AN22" s="19" t="s">
        <v>293</v>
      </c>
    </row>
    <row r="23" spans="1:50">
      <c r="A23" s="17" t="s">
        <v>97</v>
      </c>
      <c r="B23" s="17" t="s">
        <v>98</v>
      </c>
      <c r="C23" s="17" t="s">
        <v>99</v>
      </c>
      <c r="E23" s="17" t="s">
        <v>90</v>
      </c>
      <c r="F23" s="17" t="s">
        <v>91</v>
      </c>
      <c r="G23" s="17" t="s">
        <v>100</v>
      </c>
      <c r="H23" s="17">
        <f>BoardQty*3</f>
        <v>0</v>
      </c>
      <c r="I2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3" s="18">
        <f>iferror(H23*I23,"")</f>
        <v>0</v>
      </c>
      <c r="P23" s="17">
        <v>133527</v>
      </c>
      <c r="R23" s="18">
        <f>iferror(lookup(if(Q23="",H23,Q23),{0,1,10,100,1000,2500,5000,15000},{0.0,0.1,0.028,0.0115,0.00518,0.0045,0.00371,0.00323}),"")</f>
        <v>0</v>
      </c>
      <c r="S23" s="18">
        <f>iferror(if(Q23="",H23,Q23)*R23,"")</f>
        <v>0</v>
      </c>
      <c r="T23" s="19" t="s">
        <v>204</v>
      </c>
      <c r="U23" s="20" t="s">
        <v>189</v>
      </c>
      <c r="W23" s="18">
        <f>iferror(USD_GBP*lookup(if(V23="",H23,V23),{0,1,30000},{0.0,0.0046,0.0046}),"")</f>
        <v>0</v>
      </c>
      <c r="X23" s="18">
        <f>iferror(if(V23="",H23,V23)*W23,"")</f>
        <v>0</v>
      </c>
      <c r="Y23" s="19" t="s">
        <v>231</v>
      </c>
      <c r="AE23" s="17">
        <v>26231</v>
      </c>
      <c r="AG23" s="18">
        <f>iferror(lookup(if(AF23="",H23,AF23),{0,1,10,50,100,1000,10000},{0.0,0.1,0.031,0.031,0.014,0.007,0.005}),"")</f>
        <v>0</v>
      </c>
      <c r="AH23" s="18">
        <f>iferror(if(AF23="",H23,AF23)*AG23,"")</f>
        <v>0</v>
      </c>
      <c r="AI23" s="19" t="s">
        <v>267</v>
      </c>
      <c r="AJ23" s="20" t="s">
        <v>189</v>
      </c>
      <c r="AL23" s="18">
        <f>iferror(lookup(if(AK23="",H23,AK23),{0,1,15000,30000},{0.0,0.005,0.005,0.004}),"")</f>
        <v>0</v>
      </c>
      <c r="AM23" s="18">
        <f>iferror(if(AK23="",H23,AK23)*AL23,"")</f>
        <v>0</v>
      </c>
      <c r="AN23" s="19" t="s">
        <v>294</v>
      </c>
      <c r="AO23" s="17">
        <v>38000</v>
      </c>
      <c r="AQ23" s="18">
        <f>iferror(USD_GBP*lookup(if(AP23="",H23,AP23),{0,1,15000},{0.0,0.004,0.004}),"")</f>
        <v>0</v>
      </c>
      <c r="AR23" s="18">
        <f>iferror(if(AP23="",H23,AP23)*AQ23,"")</f>
        <v>0</v>
      </c>
      <c r="AS23" s="19" t="s">
        <v>310</v>
      </c>
    </row>
    <row r="24" spans="1:50">
      <c r="A24" s="17" t="s">
        <v>101</v>
      </c>
      <c r="B24" s="17" t="s">
        <v>102</v>
      </c>
      <c r="C24" s="17" t="s">
        <v>103</v>
      </c>
      <c r="E24" s="17" t="s">
        <v>90</v>
      </c>
      <c r="F24" s="17" t="s">
        <v>91</v>
      </c>
      <c r="G24" s="17" t="s">
        <v>104</v>
      </c>
      <c r="H24" s="17">
        <f>BoardQty*3</f>
        <v>0</v>
      </c>
      <c r="I2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4" s="18">
        <f>iferror(H24*I24,"")</f>
        <v>0</v>
      </c>
      <c r="P24" s="17">
        <v>3137</v>
      </c>
      <c r="R24" s="18">
        <f>iferror(lookup(if(Q24="",H24,Q24),{0,1,10,100,1000,2500,5000,15000},{0.0,0.1,0.028,0.0115,0.00518,0.0045,0.00371,0.00323}),"")</f>
        <v>0</v>
      </c>
      <c r="S24" s="18">
        <f>iferror(if(Q24="",H24,Q24)*R24,"")</f>
        <v>0</v>
      </c>
      <c r="T24" s="19" t="s">
        <v>205</v>
      </c>
      <c r="U24" s="20" t="s">
        <v>189</v>
      </c>
      <c r="W24" s="18">
        <f>iferror(USD_GBP*lookup(if(V24="",H24,V24),{0,1,30000},{0.0,0.0046,0.0046}),"")</f>
        <v>0</v>
      </c>
      <c r="X24" s="18">
        <f>iferror(if(V24="",H24,V24)*W24,"")</f>
        <v>0</v>
      </c>
      <c r="Y24" s="19" t="s">
        <v>232</v>
      </c>
      <c r="Z24" s="17">
        <v>3500</v>
      </c>
      <c r="AB24" s="18">
        <f>iferror(lookup(if(AA24="",H24,AA24),{0,1,50,500,1500,5000,25000,50000},{0.0,0.0197,0.0197,0.0151,0.0143,0.0135,0.0131,0.0129}),"")</f>
        <v>0</v>
      </c>
      <c r="AC24" s="18">
        <f>iferror(if(AA24="",H24,AA24)*AB24,"")</f>
        <v>0</v>
      </c>
      <c r="AD24" s="19" t="s">
        <v>249</v>
      </c>
      <c r="AE24" s="17">
        <v>109423</v>
      </c>
      <c r="AG24" s="18">
        <f>iferror(lookup(if(AF24="",H24,AF24),{0,1,10,50,100,1000,10000},{0.0,0.1,0.028,0.028,0.012,0.006,0.003}),"")</f>
        <v>0</v>
      </c>
      <c r="AH24" s="18">
        <f>iferror(if(AF24="",H24,AF24)*AG24,"")</f>
        <v>0</v>
      </c>
      <c r="AI24" s="19" t="s">
        <v>268</v>
      </c>
      <c r="AJ24" s="20" t="s">
        <v>189</v>
      </c>
      <c r="AL24" s="18">
        <f>iferror(lookup(if(AK24="",H24,AK24),{0,1,45000},{0.0,0.004,0.004}),"")</f>
        <v>0</v>
      </c>
      <c r="AM24" s="18">
        <f>iferror(if(AK24="",H24,AK24)*AL24,"")</f>
        <v>0</v>
      </c>
      <c r="AN24" s="19" t="s">
        <v>295</v>
      </c>
    </row>
    <row r="25" spans="1:50">
      <c r="A25" s="17" t="s">
        <v>105</v>
      </c>
      <c r="B25" s="17" t="s">
        <v>106</v>
      </c>
      <c r="C25" s="17" t="s">
        <v>107</v>
      </c>
      <c r="E25" s="17" t="s">
        <v>90</v>
      </c>
      <c r="F25" s="17" t="s">
        <v>91</v>
      </c>
      <c r="G25" s="17" t="s">
        <v>108</v>
      </c>
      <c r="H25" s="17">
        <f>BoardQty*2</f>
        <v>0</v>
      </c>
      <c r="I2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5" s="18">
        <f>iferror(H25*I25,"")</f>
        <v>0</v>
      </c>
      <c r="P25" s="17">
        <v>70750</v>
      </c>
      <c r="R25" s="18">
        <f>iferror(lookup(if(Q25="",H25,Q25),{0,1,10,100,1000,2500,5000,15000},{0.0,0.1,0.028,0.0115,0.00518,0.0045,0.00371,0.00323}),"")</f>
        <v>0</v>
      </c>
      <c r="S25" s="18">
        <f>iferror(if(Q25="",H25,Q25)*R25,"")</f>
        <v>0</v>
      </c>
      <c r="T25" s="19" t="s">
        <v>206</v>
      </c>
      <c r="U25" s="20" t="s">
        <v>189</v>
      </c>
      <c r="W25" s="18">
        <f>iferror(USD_GBP*lookup(if(V25="",H25,V25),{0,1,30000},{0.0,0.0046,0.0046}),"")</f>
        <v>0</v>
      </c>
      <c r="X25" s="18">
        <f>iferror(if(V25="",H25,V25)*W25,"")</f>
        <v>0</v>
      </c>
      <c r="Y25" s="19" t="s">
        <v>233</v>
      </c>
      <c r="AE25" s="17">
        <v>80525</v>
      </c>
      <c r="AG25" s="18">
        <f>iferror(lookup(if(AF25="",H25,AF25),{0,1,10,50,100,1000,10000},{0.0,0.1,0.027,0.027,0.011,0.005,0.003}),"")</f>
        <v>0</v>
      </c>
      <c r="AH25" s="18">
        <f>iferror(if(AF25="",H25,AF25)*AG25,"")</f>
        <v>0</v>
      </c>
      <c r="AI25" s="19" t="s">
        <v>269</v>
      </c>
      <c r="AJ25" s="20" t="s">
        <v>189</v>
      </c>
      <c r="AN25" s="19" t="s">
        <v>296</v>
      </c>
    </row>
    <row r="26" spans="1:50">
      <c r="A26" s="17" t="s">
        <v>109</v>
      </c>
      <c r="B26" s="17" t="s">
        <v>110</v>
      </c>
      <c r="C26" s="17" t="s">
        <v>111</v>
      </c>
      <c r="E26" s="17" t="s">
        <v>90</v>
      </c>
      <c r="F26" s="17" t="s">
        <v>91</v>
      </c>
      <c r="G26" s="17" t="s">
        <v>112</v>
      </c>
      <c r="H26" s="17">
        <f>BoardQty*2</f>
        <v>0</v>
      </c>
      <c r="I2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6" s="18">
        <f>iferror(H26*I26,"")</f>
        <v>0</v>
      </c>
      <c r="P26" s="17">
        <v>11996</v>
      </c>
      <c r="R26" s="18">
        <f>iferror(lookup(if(Q26="",H26,Q26),{0,1,10,100,1000,2500,5000,15000},{0.0,0.1,0.028,0.0115,0.00518,0.0045,0.00371,0.00323}),"")</f>
        <v>0</v>
      </c>
      <c r="S26" s="18">
        <f>iferror(if(Q26="",H26,Q26)*R26,"")</f>
        <v>0</v>
      </c>
      <c r="T26" s="19" t="s">
        <v>207</v>
      </c>
      <c r="U26" s="20" t="s">
        <v>189</v>
      </c>
      <c r="W26" s="18">
        <f>iferror(USD_GBP*lookup(if(V26="",H26,V26),{0,1,30000},{0.0,0.0046,0.0046}),"")</f>
        <v>0</v>
      </c>
      <c r="X26" s="18">
        <f>iferror(if(V26="",H26,V26)*W26,"")</f>
        <v>0</v>
      </c>
      <c r="Y26" s="19" t="s">
        <v>234</v>
      </c>
      <c r="Z26" s="17">
        <v>14800</v>
      </c>
      <c r="AB26" s="18">
        <f>iferror(lookup(if(AA26="",H26,AA26),{0,1,50,500,1500,5000,25000,50000},{0.0,0.0063,0.0063,0.0048,0.0045,0.0042,0.0041,0.004}),"")</f>
        <v>0</v>
      </c>
      <c r="AC26" s="18">
        <f>iferror(if(AA26="",H26,AA26)*AB26,"")</f>
        <v>0</v>
      </c>
      <c r="AD26" s="19" t="s">
        <v>250</v>
      </c>
      <c r="AE26" s="17">
        <v>145444</v>
      </c>
      <c r="AG26" s="18">
        <f>iferror(lookup(if(AF26="",H26,AF26),{0,1,10,50,100,1000,10000},{0.0,0.1,0.028,0.028,0.012,0.006,0.003}),"")</f>
        <v>0</v>
      </c>
      <c r="AH26" s="18">
        <f>iferror(if(AF26="",H26,AF26)*AG26,"")</f>
        <v>0</v>
      </c>
      <c r="AI26" s="19" t="s">
        <v>270</v>
      </c>
      <c r="AJ26" s="20" t="s">
        <v>189</v>
      </c>
      <c r="AN26" s="19" t="s">
        <v>297</v>
      </c>
      <c r="AO26" s="17">
        <v>37000</v>
      </c>
      <c r="AQ26" s="18">
        <f>iferror(USD_GBP*lookup(if(AP26="",H26,AP26),{0,1,15000},{0.0,0.004,0.004}),"")</f>
        <v>0</v>
      </c>
      <c r="AR26" s="18">
        <f>iferror(if(AP26="",H26,AP26)*AQ26,"")</f>
        <v>0</v>
      </c>
      <c r="AS26" s="19" t="s">
        <v>311</v>
      </c>
    </row>
    <row r="27" spans="1:50">
      <c r="A27" s="17" t="s">
        <v>113</v>
      </c>
      <c r="B27" s="17" t="s">
        <v>114</v>
      </c>
      <c r="C27" s="17" t="s">
        <v>115</v>
      </c>
      <c r="E27" s="17" t="s">
        <v>116</v>
      </c>
      <c r="F27" s="17" t="s">
        <v>52</v>
      </c>
      <c r="G27" s="17" t="s">
        <v>114</v>
      </c>
      <c r="H27" s="17">
        <f>BoardQty*1</f>
        <v>0</v>
      </c>
      <c r="I2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7" s="18">
        <f>iferror(H27*I27,"")</f>
        <v>0</v>
      </c>
      <c r="P27" s="17">
        <v>1191</v>
      </c>
      <c r="R27" s="18">
        <f>iferror(lookup(if(Q27="",H27,Q27),{0,1,10,25,100,250,500,1000,3000,6000,15000},{0.0,0.46,0.343,0.3004,0.1945,0.161,0.1288,0.09874,0.08586,0.07727,0.07087}),"")</f>
        <v>0</v>
      </c>
      <c r="S27" s="18">
        <f>iferror(if(Q27="",H27,Q27)*R27,"")</f>
        <v>0</v>
      </c>
      <c r="T27" s="19" t="s">
        <v>208</v>
      </c>
      <c r="U27" s="17">
        <v>1972</v>
      </c>
      <c r="W27" s="18">
        <f>iferror(USD_GBP*lookup(if(V27="",H27,V27),{0,1,5,10,100,500,3000},{0.0,0.334,0.334,0.224,0.0886,0.0551,0.0434}),"")</f>
        <v>0</v>
      </c>
      <c r="X27" s="18">
        <f>iferror(if(V27="",H27,V27)*W27,"")</f>
        <v>0</v>
      </c>
      <c r="Y27" s="19" t="s">
        <v>235</v>
      </c>
      <c r="AE27" s="17">
        <v>13241</v>
      </c>
      <c r="AG27" s="18">
        <f>iferror(lookup(if(AF27="",H27,AF27),{0,1,10,50,100,1000,10000},{0.0,0.46,0.343,0.343,0.172,0.099,0.068}),"")</f>
        <v>0</v>
      </c>
      <c r="AH27" s="18">
        <f>iferror(if(AF27="",H27,AF27)*AG27,"")</f>
        <v>0</v>
      </c>
      <c r="AI27" s="19" t="s">
        <v>271</v>
      </c>
      <c r="AJ27" s="17">
        <v>1947</v>
      </c>
      <c r="AL27" s="18">
        <f>iferror(lookup(if(AK27="",H27,AK27),{0,1,5,10,100,6000,9000,24000,45000},{0.0,0.363,0.363,0.296,0.138,0.059,0.055,0.051,0.048}),"")</f>
        <v>0</v>
      </c>
      <c r="AM27" s="18">
        <f>iferror(if(AK27="",H27,AK27)*AL27,"")</f>
        <v>0</v>
      </c>
      <c r="AN27" s="19" t="s">
        <v>298</v>
      </c>
      <c r="AO27" s="17">
        <v>3000</v>
      </c>
      <c r="AQ27" s="18">
        <f>iferror(USD_GBP*lookup(if(AP27="",H27,AP27),{0,1,3000,9000,24000,45000,99000},{0.0,0.027,0.027,0.031,0.03,0.029,0.028}),"")</f>
        <v>0</v>
      </c>
      <c r="AR27" s="18">
        <f>iferror(if(AP27="",H27,AP27)*AQ27,"")</f>
        <v>0</v>
      </c>
      <c r="AS27" s="19" t="s">
        <v>312</v>
      </c>
    </row>
    <row r="28" spans="1:50">
      <c r="A28" s="17" t="s">
        <v>117</v>
      </c>
      <c r="B28" s="17" t="s">
        <v>118</v>
      </c>
      <c r="C28" s="17" t="s">
        <v>119</v>
      </c>
      <c r="E28" s="17" t="s">
        <v>120</v>
      </c>
      <c r="F28" s="17" t="s">
        <v>121</v>
      </c>
      <c r="G28" s="17" t="s">
        <v>118</v>
      </c>
      <c r="H28" s="17">
        <f>BoardQty*1</f>
        <v>0</v>
      </c>
      <c r="I2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8" s="18">
        <f>iferror(H28*I28,"")</f>
        <v>0</v>
      </c>
      <c r="P28" s="20" t="s">
        <v>189</v>
      </c>
      <c r="R28" s="18">
        <f>iferror(lookup(if(Q28="",H28,Q28),{0,1,2000},{0.0,1.336,1.336}),"")</f>
        <v>0</v>
      </c>
      <c r="S28" s="18">
        <f>iferror(if(Q28="",H28,Q28)*R28,"")</f>
        <v>0</v>
      </c>
      <c r="T28" s="19" t="s">
        <v>209</v>
      </c>
      <c r="Z28" s="17">
        <v>1990</v>
      </c>
      <c r="AB28" s="18">
        <f>iferror(lookup(if(AA28="",H28,AA28),{0,1,10,30,100,500,1000},{0.0,1.4156,1.0496,0.9828,0.9161,0.8855,0.871}),"")</f>
        <v>0</v>
      </c>
      <c r="AC28" s="18">
        <f>iferror(if(AA28="",H28,AA28)*AB28,"")</f>
        <v>0</v>
      </c>
      <c r="AD28" s="19" t="s">
        <v>251</v>
      </c>
      <c r="AE28" s="17">
        <v>594</v>
      </c>
      <c r="AG28" s="18">
        <f>iferror(lookup(if(AF28="",H28,AF28),{0,1,10,50,100,1000,10000},{0.0,2.5,2.25,2.12,1.61,1.3,1.11}),"")</f>
        <v>0</v>
      </c>
      <c r="AH28" s="18">
        <f>iferror(if(AF28="",H28,AF28)*AG28,"")</f>
        <v>0</v>
      </c>
      <c r="AI28" s="19" t="s">
        <v>272</v>
      </c>
    </row>
    <row r="29" spans="1:50">
      <c r="A29" s="17" t="s">
        <v>122</v>
      </c>
      <c r="B29" s="17" t="s">
        <v>123</v>
      </c>
      <c r="C29" s="17" t="s">
        <v>124</v>
      </c>
      <c r="E29" s="17" t="s">
        <v>125</v>
      </c>
      <c r="F29" s="17" t="s">
        <v>52</v>
      </c>
      <c r="G29" s="17" t="s">
        <v>123</v>
      </c>
      <c r="H29" s="17">
        <f>BoardQty*1</f>
        <v>0</v>
      </c>
      <c r="I2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9" s="18">
        <f>iferror(H29*I29,"")</f>
        <v>0</v>
      </c>
      <c r="P29" s="17">
        <v>8864</v>
      </c>
      <c r="R29" s="18">
        <f>iferror(lookup(if(Q29="",H29,Q29),{0,1,10,25,100,250,500,1000,3000},{0.0,0.6,0.517,0.4824,0.3858,0.35828,0.30316,0.23426,0.2275}),"")</f>
        <v>0</v>
      </c>
      <c r="S29" s="18">
        <f>iferror(if(Q29="",H29,Q29)*R29,"")</f>
        <v>0</v>
      </c>
      <c r="T29" s="19" t="s">
        <v>210</v>
      </c>
      <c r="U29" s="17">
        <v>2706</v>
      </c>
      <c r="W29" s="18">
        <f>iferror(USD_GBP*lookup(if(V29="",H29,V29),{0,1,5,10,100,150,500,3000,9000,24000,45000},{0.0,0.488,0.488,0.373,0.249,0.249,0.163,0.143,0.132,0.13,0.129}),"")</f>
        <v>0</v>
      </c>
      <c r="X29" s="18">
        <f>iferror(if(V29="",H29,V29)*W29,"")</f>
        <v>0</v>
      </c>
      <c r="Y29" s="19" t="s">
        <v>236</v>
      </c>
      <c r="AE29" s="17">
        <v>2519</v>
      </c>
      <c r="AG29" s="18">
        <f>iferror(lookup(if(AF29="",H29,AF29),{0,1,10,50,100,1000,10000},{0.0,0.61,0.518,0.518,0.359,0.235,0.188}),"")</f>
        <v>0</v>
      </c>
      <c r="AH29" s="18">
        <f>iferror(if(AF29="",H29,AF29)*AG29,"")</f>
        <v>0</v>
      </c>
      <c r="AI29" s="19" t="s">
        <v>273</v>
      </c>
      <c r="AJ29" s="17">
        <v>2706</v>
      </c>
      <c r="AL29" s="18">
        <f>iferror(lookup(if(AK29="",H29,AK29),{0,1,5,10,100,3000,9000,24000,45000},{0.0,0.56,0.56,0.439,0.327,0.178,0.166,0.157,0.149}),"")</f>
        <v>0</v>
      </c>
      <c r="AM29" s="18">
        <f>iferror(if(AK29="",H29,AK29)*AL29,"")</f>
        <v>0</v>
      </c>
      <c r="AN29" s="19" t="s">
        <v>299</v>
      </c>
      <c r="AO29" s="17">
        <v>100</v>
      </c>
      <c r="AQ29" s="18">
        <f>iferror(USD_GBP*lookup(if(AP29="",H29,AP29),{0,1,25,100,500,1000,3000},{0.0,0.335,0.335,0.249,0.211,0.163,0.143}),"")</f>
        <v>0</v>
      </c>
      <c r="AR29" s="18">
        <f>iferror(if(AP29="",H29,AP29)*AQ29,"")</f>
        <v>0</v>
      </c>
      <c r="AS29" s="19" t="s">
        <v>313</v>
      </c>
      <c r="AT29" s="20" t="s">
        <v>189</v>
      </c>
      <c r="AV29" s="18">
        <f>iferror(USD_GBP*lookup(if(AU29="",H29,AU29),{0,1,3,25,100,250,1000},{0.0,0.20481,0.20481,0.17389,0.15457,0.14491,0.13525}),"")</f>
        <v>0</v>
      </c>
      <c r="AW29" s="18">
        <f>iferror(if(AU29="",H29,AU29)*AV29,"")</f>
        <v>0</v>
      </c>
      <c r="AX29" s="19" t="s">
        <v>123</v>
      </c>
    </row>
    <row r="30" spans="1:50">
      <c r="A30" s="17" t="s">
        <v>126</v>
      </c>
      <c r="B30" s="17" t="s">
        <v>127</v>
      </c>
      <c r="C30" s="17" t="s">
        <v>128</v>
      </c>
      <c r="E30" s="17" t="s">
        <v>116</v>
      </c>
      <c r="F30" s="17" t="s">
        <v>52</v>
      </c>
      <c r="G30" s="17" t="s">
        <v>127</v>
      </c>
      <c r="H30" s="17">
        <f>BoardQty*1</f>
        <v>0</v>
      </c>
      <c r="I3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0" s="18">
        <f>iferror(H30*I30,"")</f>
        <v>0</v>
      </c>
      <c r="P30" s="20" t="s">
        <v>189</v>
      </c>
      <c r="R30" s="18">
        <f>iferror(lookup(if(Q30="",H30,Q30),{0,1,10,25,100,250,500,1000,3000},{0.0,0.47,0.402,0.3756,0.3004,0.27892,0.236,0.18236,0.1771}),"")</f>
        <v>0</v>
      </c>
      <c r="S30" s="18">
        <f>iferror(if(Q30="",H30,Q30)*R30,"")</f>
        <v>0</v>
      </c>
      <c r="T30" s="19" t="s">
        <v>211</v>
      </c>
      <c r="U30" s="17">
        <v>175</v>
      </c>
      <c r="W30" s="18">
        <f>iferror(USD_GBP*lookup(if(V30="",H30,V30),{0,1,5,10,100,150,500,3000},{0.0,0.589,0.589,0.428,0.214,0.214,0.146,0.133}),"")</f>
        <v>0</v>
      </c>
      <c r="X30" s="18">
        <f>iferror(if(V30="",H30,V30)*W30,"")</f>
        <v>0</v>
      </c>
      <c r="Y30" s="19" t="s">
        <v>237</v>
      </c>
      <c r="AE30" s="17">
        <v>7289</v>
      </c>
      <c r="AG30" s="18">
        <f>iferror(lookup(if(AF30="",H30,AF30),{0,1,10,50,100,1000,10000},{0.0,0.47,0.403,0.403,0.279,0.183,0.146}),"")</f>
        <v>0</v>
      </c>
      <c r="AH30" s="18">
        <f>iferror(if(AF30="",H30,AF30)*AG30,"")</f>
        <v>0</v>
      </c>
      <c r="AI30" s="19" t="s">
        <v>274</v>
      </c>
      <c r="AJ30" s="17">
        <v>175</v>
      </c>
      <c r="AL30" s="18">
        <f>iferror(lookup(if(AK30="",H30,AK30),{0,1,5,10,100,3000,6000,12000,18000,24000,30000,300000},{0.0,0.613,0.613,0.455,0.233,0.138,0.136,0.134,0.132,0.13,0.129,0.127}),"")</f>
        <v>0</v>
      </c>
      <c r="AM30" s="18">
        <f>iferror(if(AK30="",H30,AK30)*AL30,"")</f>
        <v>0</v>
      </c>
      <c r="AN30" s="19" t="s">
        <v>300</v>
      </c>
      <c r="AO30" s="17">
        <v>12</v>
      </c>
      <c r="AQ30" s="18">
        <f>iferror(USD_GBP*lookup(if(AP30="",H30,AP30),{0,1,3000},{0.0,0.11,0.11}),"")</f>
        <v>0</v>
      </c>
      <c r="AR30" s="18">
        <f>iferror(if(AP30="",H30,AP30)*AQ30,"")</f>
        <v>0</v>
      </c>
      <c r="AS30" s="19" t="s">
        <v>314</v>
      </c>
    </row>
    <row r="31" spans="1:50">
      <c r="A31" s="17" t="s">
        <v>129</v>
      </c>
      <c r="B31" s="17" t="s">
        <v>130</v>
      </c>
      <c r="C31" s="17" t="s">
        <v>131</v>
      </c>
      <c r="E31" s="17" t="s">
        <v>132</v>
      </c>
      <c r="F31" s="17" t="s">
        <v>52</v>
      </c>
      <c r="G31" s="17" t="s">
        <v>130</v>
      </c>
      <c r="H31" s="17">
        <f>BoardQty*1</f>
        <v>0</v>
      </c>
      <c r="I3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1" s="18">
        <f>iferror(H31*I31,"")</f>
        <v>0</v>
      </c>
      <c r="P31" s="20" t="s">
        <v>189</v>
      </c>
      <c r="R31" s="18">
        <f>iferror(lookup(if(Q31="",H31,Q31),{0,1,5000},{0.0,0.22138,0.22138}),"")</f>
        <v>0</v>
      </c>
      <c r="S31" s="18">
        <f>iferror(if(Q31="",H31,Q31)*R31,"")</f>
        <v>0</v>
      </c>
      <c r="T31" s="19" t="s">
        <v>212</v>
      </c>
      <c r="U31" s="20" t="s">
        <v>189</v>
      </c>
      <c r="W31" s="18">
        <f>iferror(USD_GBP*lookup(if(V31="",H31,V31),{0,1,5000},{0.0,0.126,0.126}),"")</f>
        <v>0</v>
      </c>
      <c r="X31" s="18">
        <f>iferror(if(V31="",H31,V31)*W31,"")</f>
        <v>0</v>
      </c>
      <c r="Y31" s="19" t="s">
        <v>238</v>
      </c>
      <c r="AE31" s="17">
        <v>3515</v>
      </c>
      <c r="AG31" s="18">
        <f>iferror(lookup(if(AF31="",H31,AF31),{0,1,10,50,100,1000,10000},{0.0,0.59,0.504,0.504,0.349,0.228,0.183}),"")</f>
        <v>0</v>
      </c>
      <c r="AH31" s="18">
        <f>iferror(if(AF31="",H31,AF31)*AG31,"")</f>
        <v>0</v>
      </c>
      <c r="AI31" s="19" t="s">
        <v>275</v>
      </c>
    </row>
    <row r="32" spans="1:50">
      <c r="A32" s="17" t="s">
        <v>133</v>
      </c>
      <c r="B32" s="17" t="s">
        <v>134</v>
      </c>
      <c r="C32" s="17" t="s">
        <v>135</v>
      </c>
      <c r="D32" s="17" t="s">
        <v>139</v>
      </c>
      <c r="E32" s="17" t="s">
        <v>136</v>
      </c>
      <c r="F32" s="17" t="s">
        <v>137</v>
      </c>
      <c r="G32" s="17" t="s">
        <v>138</v>
      </c>
      <c r="H32" s="17">
        <f>BoardQty*1</f>
        <v>0</v>
      </c>
      <c r="I3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2" s="18">
        <f>iferror(H32*I32,"")</f>
        <v>0</v>
      </c>
      <c r="P32" s="20" t="s">
        <v>189</v>
      </c>
      <c r="R32" s="18">
        <f>iferror(lookup(if(Q32="",H32,Q32),{0,1,5000},{0.0,3.63,3.49965}),"")</f>
        <v>0</v>
      </c>
      <c r="S32" s="18">
        <f>iferror(if(Q32="",H32,Q32)*R32,"")</f>
        <v>0</v>
      </c>
      <c r="T32" s="19" t="s">
        <v>213</v>
      </c>
      <c r="U32" s="20" t="s">
        <v>189</v>
      </c>
      <c r="W32" s="18">
        <f>iferror(USD_GBP*lookup(if(V32="",H32,V32),{0,1,10,25,50,100},{0.0,3.61,2.74,2.69,2.64,2.59}),"")</f>
        <v>0</v>
      </c>
      <c r="X32" s="18">
        <f>iferror(if(V32="",H32,V32)*W32,"")</f>
        <v>0</v>
      </c>
      <c r="Y32" s="19" t="s">
        <v>239</v>
      </c>
      <c r="AE32" s="20" t="s">
        <v>189</v>
      </c>
      <c r="AG32" s="18">
        <f>iferror(lookup(if(AF32="",H32,AF32),{0,1,10,50,100,1000,10000},{0.0,3.58,3.22,3.04,2.64,2.59,2.54}),"")</f>
        <v>0</v>
      </c>
      <c r="AH32" s="18">
        <f>iferror(if(AF32="",H32,AF32)*AG32,"")</f>
        <v>0</v>
      </c>
      <c r="AI32" s="19" t="s">
        <v>276</v>
      </c>
      <c r="AJ32" s="20" t="s">
        <v>189</v>
      </c>
      <c r="AL32" s="18">
        <f>iferror(lookup(if(AK32="",H32,AK32),{0,1,5000},{0.0,3.45,3.33}),"")</f>
        <v>0</v>
      </c>
      <c r="AM32" s="18">
        <f>iferror(if(AK32="",H32,AK32)*AL32,"")</f>
        <v>0</v>
      </c>
      <c r="AN32" s="19" t="s">
        <v>301</v>
      </c>
    </row>
    <row r="33" spans="1:50">
      <c r="A33" s="17" t="s">
        <v>140</v>
      </c>
      <c r="B33" s="17" t="s">
        <v>141</v>
      </c>
      <c r="C33" s="17" t="s">
        <v>142</v>
      </c>
      <c r="E33" s="17" t="s">
        <v>143</v>
      </c>
      <c r="F33" s="17" t="s">
        <v>144</v>
      </c>
      <c r="G33" s="17" t="s">
        <v>141</v>
      </c>
      <c r="H33" s="17">
        <f>BoardQty*1</f>
        <v>0</v>
      </c>
      <c r="I3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3" s="18">
        <f>iferror(H33*I33,"")</f>
        <v>0</v>
      </c>
      <c r="P33" s="17">
        <v>233</v>
      </c>
      <c r="R33" s="18">
        <f>iferror(lookup(if(Q33="",H33,Q33),{0,1},{0.0,3.6}),"")</f>
        <v>0</v>
      </c>
      <c r="S33" s="18">
        <f>iferror(if(Q33="",H33,Q33)*R33,"")</f>
        <v>0</v>
      </c>
      <c r="T33" s="19" t="s">
        <v>214</v>
      </c>
      <c r="AE33" s="20" t="s">
        <v>189</v>
      </c>
      <c r="AG33" s="18">
        <f>iferror(lookup(if(AF33="",H33,AF33),{0,1,10,50,100,1000,10000},{0.0,3.2,3.2,3.2,3.2,3.2,3.2}),"")</f>
        <v>0</v>
      </c>
      <c r="AH33" s="18">
        <f>iferror(if(AF33="",H33,AF33)*AG33,"")</f>
        <v>0</v>
      </c>
      <c r="AI33" s="19" t="s">
        <v>277</v>
      </c>
      <c r="AT33" s="20" t="s">
        <v>189</v>
      </c>
      <c r="AV33" s="18">
        <f>iferror(USD_GBP*lookup(if(AU33="",H33,AU33),{0,1,5,25,100},{0.0,2.98,2.8,2.62,2.44}),"")</f>
        <v>0</v>
      </c>
      <c r="AW33" s="18">
        <f>iferror(if(AU33="",H33,AU33)*AV33,"")</f>
        <v>0</v>
      </c>
      <c r="AX33" s="19" t="s">
        <v>319</v>
      </c>
    </row>
    <row r="34" spans="1:50">
      <c r="A34" s="17" t="s">
        <v>145</v>
      </c>
      <c r="B34" s="17" t="s">
        <v>146</v>
      </c>
      <c r="C34" s="17" t="s">
        <v>147</v>
      </c>
      <c r="E34" s="17" t="s">
        <v>148</v>
      </c>
      <c r="F34" s="17" t="s">
        <v>149</v>
      </c>
      <c r="G34" s="17" t="s">
        <v>150</v>
      </c>
      <c r="H34" s="17">
        <f>BoardQty*1</f>
        <v>0</v>
      </c>
      <c r="I3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4" s="18">
        <f>iferror(H34*I34,"")</f>
        <v>0</v>
      </c>
      <c r="P34" s="20" t="s">
        <v>189</v>
      </c>
      <c r="R34" s="18">
        <f>iferror(lookup(if(Q34="",H34,Q34),{0,1,1500},{0.0,1.41,1.41}),"")</f>
        <v>0</v>
      </c>
      <c r="S34" s="18">
        <f>iferror(if(Q34="",H34,Q34)*R34,"")</f>
        <v>0</v>
      </c>
      <c r="T34" s="19" t="s">
        <v>215</v>
      </c>
      <c r="U34" s="20" t="s">
        <v>189</v>
      </c>
      <c r="W34" s="18">
        <f>iferror(USD_GBP*lookup(if(V34="",H34,V34),{0,1,10,50,100,250},{0.0,1.46,1.24,1.22,1.19,1.17}),"")</f>
        <v>0</v>
      </c>
      <c r="X34" s="18">
        <f>iferror(if(V34="",H34,V34)*W34,"")</f>
        <v>0</v>
      </c>
      <c r="Y34" s="19" t="s">
        <v>240</v>
      </c>
      <c r="AE34" s="20" t="s">
        <v>189</v>
      </c>
      <c r="AG34" s="18">
        <f>iferror(lookup(if(AF34="",H34,AF34),{0,1,10,50,100,1000,10000},{0.0,1.35,1.35,1.3,1.25,1.25,1.25}),"")</f>
        <v>0</v>
      </c>
      <c r="AH34" s="18">
        <f>iferror(if(AF34="",H34,AF34)*AG34,"")</f>
        <v>0</v>
      </c>
      <c r="AI34" s="19" t="s">
        <v>278</v>
      </c>
      <c r="AJ34" s="20" t="s">
        <v>189</v>
      </c>
      <c r="AL34" s="18">
        <f>iferror(lookup(if(AK34="",H34,AK34),{0,1,10,25,50,100},{0.0,2.16,2.01,1.89,1.76,1.64}),"")</f>
        <v>0</v>
      </c>
      <c r="AM34" s="18">
        <f>iferror(if(AK34="",H34,AK34)*AL34,"")</f>
        <v>0</v>
      </c>
      <c r="AN34" s="19" t="s">
        <v>302</v>
      </c>
    </row>
    <row r="35" spans="1:50">
      <c r="A35" s="17" t="s">
        <v>151</v>
      </c>
      <c r="B35" s="17" t="s">
        <v>152</v>
      </c>
      <c r="C35" s="17" t="s">
        <v>153</v>
      </c>
      <c r="E35" s="17" t="s">
        <v>154</v>
      </c>
      <c r="F35" s="17" t="s">
        <v>52</v>
      </c>
      <c r="G35" s="17" t="s">
        <v>152</v>
      </c>
      <c r="H35" s="17">
        <f>BoardQty*1</f>
        <v>0</v>
      </c>
      <c r="I3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5" s="18">
        <f>iferror(H35*I35,"")</f>
        <v>0</v>
      </c>
      <c r="P35" s="17">
        <v>6488</v>
      </c>
      <c r="R35" s="18">
        <f>iferror(lookup(if(Q35="",H35,Q35),{0,1,10,25,100,250,500,1000,3000},{0.0,0.66,0.577,0.542,0.4425,0.411,0.3498,0.28875,0.28875}),"")</f>
        <v>0</v>
      </c>
      <c r="S35" s="18">
        <f>iferror(if(Q35="",H35,Q35)*R35,"")</f>
        <v>0</v>
      </c>
      <c r="T35" s="19" t="s">
        <v>216</v>
      </c>
      <c r="U35" s="20" t="s">
        <v>189</v>
      </c>
      <c r="Y35" s="19" t="s">
        <v>241</v>
      </c>
      <c r="Z35" s="17">
        <v>2781</v>
      </c>
      <c r="AB35" s="18">
        <f>iferror(lookup(if(AA35="",H35,AA35),{0,1,10,30,100,500,1000},{0.0,0.4779,0.3553,0.3337,0.3102,0.3012,0.2958}),"")</f>
        <v>0</v>
      </c>
      <c r="AC35" s="18">
        <f>iferror(if(AA35="",H35,AA35)*AB35,"")</f>
        <v>0</v>
      </c>
      <c r="AD35" s="19" t="s">
        <v>252</v>
      </c>
      <c r="AE35" s="17">
        <v>5089</v>
      </c>
      <c r="AG35" s="18">
        <f>iferror(lookup(if(AF35="",H35,AF35),{0,1,10,50,100,1000,10000},{0.0,0.66,0.578,0.578,0.443,0.28,0.231}),"")</f>
        <v>0</v>
      </c>
      <c r="AH35" s="18">
        <f>iferror(if(AF35="",H35,AF35)*AG35,"")</f>
        <v>0</v>
      </c>
      <c r="AI35" s="19" t="s">
        <v>279</v>
      </c>
      <c r="AJ35" s="20" t="s">
        <v>189</v>
      </c>
      <c r="AL35" s="18">
        <f>iferror(lookup(if(AK35="",H35,AK35),{0,1,3000,9000,24000,45000},{0.0,0.225,0.225,0.219,0.212,0.206}),"")</f>
        <v>0</v>
      </c>
      <c r="AM35" s="18">
        <f>iferror(if(AK35="",H35,AK35)*AL35,"")</f>
        <v>0</v>
      </c>
      <c r="AN35" s="19" t="s">
        <v>303</v>
      </c>
    </row>
    <row r="36" spans="1:50">
      <c r="A36" s="17" t="s">
        <v>155</v>
      </c>
      <c r="B36" s="17" t="s">
        <v>156</v>
      </c>
      <c r="C36" s="17" t="s">
        <v>157</v>
      </c>
      <c r="E36" s="17" t="s">
        <v>158</v>
      </c>
      <c r="F36" s="17" t="s">
        <v>159</v>
      </c>
      <c r="G36" s="17" t="s">
        <v>156</v>
      </c>
      <c r="H36" s="17">
        <f>BoardQty*1</f>
        <v>0</v>
      </c>
      <c r="I3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6" s="18">
        <f>iferror(H36*I36,"")</f>
        <v>0</v>
      </c>
      <c r="P36" s="17">
        <v>1192</v>
      </c>
      <c r="R36" s="18">
        <f>iferror(lookup(if(Q36="",H36,Q36),{0,1,25,100,2000},{0.0,6.0,5.25,5.005,5.005}),"")</f>
        <v>0</v>
      </c>
      <c r="S36" s="18">
        <f>iferror(if(Q36="",H36,Q36)*R36,"")</f>
        <v>0</v>
      </c>
      <c r="T36" s="19" t="s">
        <v>217</v>
      </c>
      <c r="AE36" s="17">
        <v>470</v>
      </c>
      <c r="AG36" s="18">
        <f>iferror(lookup(if(AF36="",H36,AF36),{0,1,10,50,100,1000,10000},{0.0,6.06,6.06,5.31,5.06,5.06,5.05}),"")</f>
        <v>0</v>
      </c>
      <c r="AH36" s="18">
        <f>iferror(if(AF36="",H36,AF36)*AG36,"")</f>
        <v>0</v>
      </c>
      <c r="AI36" s="19" t="s">
        <v>280</v>
      </c>
    </row>
    <row r="37" spans="1:50">
      <c r="A37" s="17" t="s">
        <v>160</v>
      </c>
      <c r="B37" s="17" t="s">
        <v>161</v>
      </c>
      <c r="C37" s="17" t="s">
        <v>162</v>
      </c>
      <c r="D37" s="17" t="s">
        <v>165</v>
      </c>
      <c r="E37" s="17" t="s">
        <v>163</v>
      </c>
      <c r="F37" s="17" t="s">
        <v>164</v>
      </c>
      <c r="G37" s="17" t="s">
        <v>161</v>
      </c>
      <c r="H37" s="17">
        <f>BoardQty*1</f>
        <v>0</v>
      </c>
      <c r="I3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7" s="18">
        <f>iferror(H37*I37,"")</f>
        <v>0</v>
      </c>
    </row>
    <row r="39" spans="1:50">
      <c r="B39" s="21" t="s">
        <v>168</v>
      </c>
      <c r="I39" s="1" t="s">
        <v>166</v>
      </c>
      <c r="J39" s="5">
        <f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K39" s="19" t="s">
        <v>185</v>
      </c>
      <c r="L39" s="6">
        <f>IFERROR(IF(OR(L7:L37),COUNTIFS(L7:L37,"&gt;0",N7:N37,"&lt;&gt;")&amp;" of "&amp;(ROWS(N7:N37)-COUNTBLANK(N7:N37))&amp;" parts purchased",""),"")</f>
        <v>0</v>
      </c>
      <c r="N39" s="5">
        <f>SUMIF(L7:L37,"&gt;0",N7:N37)</f>
        <v>0</v>
      </c>
      <c r="P39" s="19" t="s">
        <v>185</v>
      </c>
      <c r="Q39" s="6">
        <f>IFERROR(IF(OR(Q7:Q37),COUNTIFS(Q7:Q37,"&gt;0",S7:S37,"&lt;&gt;")&amp;" of "&amp;(ROWS(S7:S37)-COUNTBLANK(S7:S37))&amp;" parts purchased",""),"")</f>
        <v>0</v>
      </c>
      <c r="S39" s="5">
        <f>SUMIF(Q7:Q37,"&gt;0",S7:S37)</f>
        <v>0</v>
      </c>
      <c r="U39" s="19" t="s">
        <v>185</v>
      </c>
      <c r="V39" s="6">
        <f>IFERROR(IF(OR(V7:V37),COUNTIFS(V7:V37,"&gt;0",X7:X37,"&lt;&gt;")&amp;" of "&amp;(ROWS(X7:X37)-COUNTBLANK(X7:X37))&amp;" parts purchased",""),"")</f>
        <v>0</v>
      </c>
      <c r="X39" s="5">
        <f>SUMIF(V7:V37,"&gt;0",X7:X37)</f>
        <v>0</v>
      </c>
      <c r="Z39" s="19" t="s">
        <v>185</v>
      </c>
      <c r="AA39" s="6">
        <f>IFERROR(IF(OR(AA7:AA37),COUNTIFS(AA7:AA37,"&gt;0",AC7:AC37,"&lt;&gt;")&amp;" of "&amp;(ROWS(AC7:AC37)-COUNTBLANK(AC7:AC37))&amp;" parts purchased",""),"")</f>
        <v>0</v>
      </c>
      <c r="AC39" s="5">
        <f>SUMIF(AA7:AA37,"&gt;0",AC7:AC37)</f>
        <v>0</v>
      </c>
      <c r="AE39" s="19" t="s">
        <v>185</v>
      </c>
      <c r="AF39" s="6">
        <f>IFERROR(IF(OR(AF7:AF37),COUNTIFS(AF7:AF37,"&gt;0",AH7:AH37,"&lt;&gt;")&amp;" of "&amp;(ROWS(AH7:AH37)-COUNTBLANK(AH7:AH37))&amp;" parts purchased",""),"")</f>
        <v>0</v>
      </c>
      <c r="AH39" s="5">
        <f>SUMIF(AF7:AF37,"&gt;0",AH7:AH37)</f>
        <v>0</v>
      </c>
      <c r="AJ39" s="19" t="s">
        <v>185</v>
      </c>
      <c r="AK39" s="6">
        <f>IFERROR(IF(OR(AK7:AK37),COUNTIFS(AK7:AK37,"&gt;0",AM7:AM37,"&lt;&gt;")&amp;" of "&amp;(ROWS(AM7:AM37)-COUNTBLANK(AM7:AM37))&amp;" parts purchased",""),"")</f>
        <v>0</v>
      </c>
      <c r="AM39" s="5">
        <f>SUMIF(AK7:AK37,"&gt;0",AM7:AM37)</f>
        <v>0</v>
      </c>
      <c r="AO39" s="19" t="s">
        <v>185</v>
      </c>
      <c r="AP39" s="6">
        <f>IFERROR(IF(OR(AP7:AP37),COUNTIFS(AP7:AP37,"&gt;0",AR7:AR37,"&lt;&gt;")&amp;" of "&amp;(ROWS(AR7:AR37)-COUNTBLANK(AR7:AR37))&amp;" parts purchased",""),"")</f>
        <v>0</v>
      </c>
      <c r="AR39" s="5">
        <f>SUMIF(AP7:AP37,"&gt;0",AR7:AR37)</f>
        <v>0</v>
      </c>
      <c r="AT39" s="19" t="s">
        <v>185</v>
      </c>
      <c r="AU39" s="6">
        <f>IFERROR(IF(OR(AU7:AU37),COUNTIFS(AU7:AU37,"&gt;0",AW7:AW37,"&lt;&gt;")&amp;" of "&amp;(ROWS(AW7:AW37)-COUNTBLANK(AW7:AW37))&amp;" parts purchased",""),"")</f>
        <v>0</v>
      </c>
      <c r="AW39" s="5">
        <f>SUMIF(AU7:AU37,"&gt;0",AW7:AW37)</f>
        <v>0</v>
      </c>
    </row>
    <row r="40" spans="1:50">
      <c r="B40" s="21" t="s">
        <v>169</v>
      </c>
      <c r="C40">
        <v>1.293904700565222</v>
      </c>
      <c r="I40" s="21" t="s">
        <v>167</v>
      </c>
      <c r="L40">
        <f t="array" ref="L40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40">
        <f t="array" ref="Q40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40">
        <f t="array" ref="V40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40" s="6">
        <f>IFERROR(IF(COUNTIFS(AA7:AA37,"&gt;0",AC7:AC37,"&lt;&gt;")&gt;0,"Quantity,Comment,Designator,Footprint,LCSC Part #(optional)",""),"")</f>
        <v>0</v>
      </c>
      <c r="AF40">
        <f t="array" ref="AF40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40">
        <f t="array" ref="AK40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40">
        <f t="array" ref="AP40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40">
        <f t="array" ref="AU40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41" spans="1:50">
      <c r="L41">
        <f t="array" ref="L41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41">
        <f t="array" ref="Q41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41">
        <f t="array" ref="V41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41">
        <f t="array" ref="AA41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41">
        <f t="array" ref="AF41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41">
        <f t="array" ref="AK41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41">
        <f t="array" ref="AP41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41">
        <f t="array" ref="AU41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42" spans="1:50">
      <c r="A42" s="2" t="s">
        <v>320</v>
      </c>
      <c r="L42">
        <f t="array" ref="L42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42">
        <f t="array" ref="Q42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42">
        <f t="array" ref="V42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42">
        <f t="array" ref="AA42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42">
        <f t="array" ref="AF42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42">
        <f t="array" ref="AK42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42">
        <f t="array" ref="AP42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42">
        <f t="array" ref="AU42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43" spans="1:50">
      <c r="L43">
        <f t="array" ref="L43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43">
        <f t="array" ref="Q43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43">
        <f t="array" ref="V43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43">
        <f t="array" ref="AA43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43">
        <f t="array" ref="AF43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43">
        <f t="array" ref="AK43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43">
        <f t="array" ref="AP43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43">
        <f t="array" ref="AU43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44" spans="1:50">
      <c r="L44">
        <f t="array" ref="L44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44">
        <f t="array" ref="Q44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44">
        <f t="array" ref="V44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44">
        <f t="array" ref="AA44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44">
        <f t="array" ref="AF44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44">
        <f t="array" ref="AK44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44">
        <f t="array" ref="AP44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44">
        <f t="array" ref="AU44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45" spans="1:50">
      <c r="L45">
        <f t="array" ref="L45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45">
        <f t="array" ref="Q45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45">
        <f t="array" ref="V45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45">
        <f t="array" ref="AA45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45">
        <f t="array" ref="AF45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45">
        <f t="array" ref="AK45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45">
        <f t="array" ref="AP45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45">
        <f t="array" ref="AU45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46" spans="1:50">
      <c r="L46">
        <f t="array" ref="L46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46">
        <f t="array" ref="Q46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46">
        <f t="array" ref="V46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46">
        <f t="array" ref="AA46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46">
        <f t="array" ref="AF46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46">
        <f t="array" ref="AK46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46">
        <f t="array" ref="AP46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46">
        <f t="array" ref="AU46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47" spans="1:50">
      <c r="L47">
        <f t="array" ref="L47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47">
        <f t="array" ref="Q47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47">
        <f t="array" ref="V47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47">
        <f t="array" ref="AA47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47">
        <f t="array" ref="AF47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47">
        <f t="array" ref="AK47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47">
        <f t="array" ref="AP47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47">
        <f t="array" ref="AU47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48" spans="1:50">
      <c r="L48">
        <f t="array" ref="L48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48">
        <f t="array" ref="Q48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48">
        <f t="array" ref="V48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48">
        <f t="array" ref="AA48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48">
        <f t="array" ref="AF48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48">
        <f t="array" ref="AK48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48">
        <f t="array" ref="AP48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48">
        <f t="array" ref="AU48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49" spans="12:47">
      <c r="L49">
        <f t="array" ref="L49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49">
        <f t="array" ref="Q49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49">
        <f t="array" ref="V49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49">
        <f t="array" ref="AA49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49">
        <f t="array" ref="AF49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49">
        <f t="array" ref="AK49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49">
        <f t="array" ref="AP49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49">
        <f t="array" ref="AU49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50" spans="12:47">
      <c r="L50">
        <f t="array" ref="L50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50">
        <f t="array" ref="Q50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50">
        <f t="array" ref="V50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50">
        <f t="array" ref="AA50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50">
        <f t="array" ref="AF50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50">
        <f t="array" ref="AK50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50">
        <f t="array" ref="AP50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50">
        <f t="array" ref="AU50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51" spans="12:47">
      <c r="L51">
        <f t="array" ref="L51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51">
        <f t="array" ref="Q51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51">
        <f t="array" ref="V51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51">
        <f t="array" ref="AA51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51">
        <f t="array" ref="AF51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51">
        <f t="array" ref="AK51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51">
        <f t="array" ref="AP51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51">
        <f t="array" ref="AU51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52" spans="12:47">
      <c r="L52">
        <f t="array" ref="L52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52">
        <f t="array" ref="Q52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52">
        <f t="array" ref="V52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52">
        <f t="array" ref="AA52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52">
        <f t="array" ref="AF52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52">
        <f t="array" ref="AK52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52">
        <f t="array" ref="AP52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52">
        <f t="array" ref="AU52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53" spans="12:47">
      <c r="L53">
        <f t="array" ref="L53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53">
        <f t="array" ref="Q53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53">
        <f t="array" ref="V53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53">
        <f t="array" ref="AA53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53">
        <f t="array" ref="AF53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53">
        <f t="array" ref="AK53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53">
        <f t="array" ref="AP53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53">
        <f t="array" ref="AU53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54" spans="12:47">
      <c r="L54">
        <f t="array" ref="L54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54">
        <f t="array" ref="Q54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54">
        <f t="array" ref="V54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54">
        <f t="array" ref="AA54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54">
        <f t="array" ref="AF54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54">
        <f t="array" ref="AK54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54">
        <f t="array" ref="AP54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54">
        <f t="array" ref="AU54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55" spans="12:47">
      <c r="L55">
        <f t="array" ref="L55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55">
        <f t="array" ref="Q55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55">
        <f t="array" ref="V55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55">
        <f t="array" ref="AA55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55">
        <f t="array" ref="AF55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55">
        <f t="array" ref="AK55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55">
        <f t="array" ref="AP55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55">
        <f t="array" ref="AU55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56" spans="12:47">
      <c r="L56">
        <f t="array" ref="L56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56">
        <f t="array" ref="Q56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56">
        <f t="array" ref="V56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56">
        <f t="array" ref="AA56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56">
        <f t="array" ref="AF56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56">
        <f t="array" ref="AK56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56">
        <f t="array" ref="AP56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56">
        <f t="array" ref="AU56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57" spans="12:47">
      <c r="L57">
        <f t="array" ref="L57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57">
        <f t="array" ref="Q57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57">
        <f t="array" ref="V57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57">
        <f t="array" ref="AA57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57">
        <f t="array" ref="AF57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57">
        <f t="array" ref="AK57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57">
        <f t="array" ref="AP57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57">
        <f t="array" ref="AU57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58" spans="12:47">
      <c r="L58">
        <f t="array" ref="L58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58">
        <f t="array" ref="Q58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58">
        <f t="array" ref="V58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58">
        <f t="array" ref="AA58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58">
        <f t="array" ref="AF58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58">
        <f t="array" ref="AK58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58">
        <f t="array" ref="AP58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58">
        <f t="array" ref="AU58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59" spans="12:47">
      <c r="L59">
        <f t="array" ref="L59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59">
        <f t="array" ref="Q59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59">
        <f t="array" ref="V59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59">
        <f t="array" ref="AA59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59">
        <f t="array" ref="AF59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59">
        <f t="array" ref="AK59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59">
        <f t="array" ref="AP59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59">
        <f t="array" ref="AU59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60" spans="12:47">
      <c r="L60">
        <f t="array" ref="L60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60">
        <f t="array" ref="Q60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60">
        <f t="array" ref="V60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60">
        <f t="array" ref="AA60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60">
        <f t="array" ref="AF60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60">
        <f t="array" ref="AK60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60">
        <f t="array" ref="AP60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60">
        <f t="array" ref="AU60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61" spans="12:47">
      <c r="L61">
        <f t="array" ref="L61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61">
        <f t="array" ref="Q61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61">
        <f t="array" ref="V61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61">
        <f t="array" ref="AA61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61">
        <f t="array" ref="AF61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61">
        <f t="array" ref="AK61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61">
        <f t="array" ref="AP61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61">
        <f t="array" ref="AU61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62" spans="12:47">
      <c r="L62">
        <f t="array" ref="L62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62">
        <f t="array" ref="Q62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62">
        <f t="array" ref="V62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62">
        <f t="array" ref="AA62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62">
        <f t="array" ref="AF62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62">
        <f t="array" ref="AK62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62">
        <f t="array" ref="AP62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62">
        <f t="array" ref="AU62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63" spans="12:47">
      <c r="L63">
        <f t="array" ref="L63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63">
        <f t="array" ref="Q63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63">
        <f t="array" ref="V63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63">
        <f t="array" ref="AA63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63">
        <f t="array" ref="AF63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63">
        <f t="array" ref="AK63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63">
        <f t="array" ref="AP63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63">
        <f t="array" ref="AU63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64" spans="12:47">
      <c r="L64">
        <f t="array" ref="L64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64">
        <f t="array" ref="Q64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64">
        <f t="array" ref="V64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64">
        <f t="array" ref="AA64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64">
        <f t="array" ref="AF64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64">
        <f t="array" ref="AK64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64">
        <f t="array" ref="AP64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64">
        <f t="array" ref="AU64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65" spans="12:47">
      <c r="L65">
        <f t="array" ref="L65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65">
        <f t="array" ref="Q65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65">
        <f t="array" ref="V65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65">
        <f t="array" ref="AA65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65">
        <f t="array" ref="AF65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65">
        <f t="array" ref="AK65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65">
        <f t="array" ref="AP65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65">
        <f t="array" ref="AU65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66" spans="12:47">
      <c r="L66">
        <f t="array" ref="L66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66">
        <f t="array" ref="Q66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66">
        <f t="array" ref="V66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66">
        <f t="array" ref="AA66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66">
        <f t="array" ref="AF66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66">
        <f t="array" ref="AK66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66">
        <f t="array" ref="AP66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66">
        <f t="array" ref="AU66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67" spans="12:47">
      <c r="L67">
        <f t="array" ref="L67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67">
        <f t="array" ref="Q67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67">
        <f t="array" ref="V67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67">
        <f t="array" ref="AA67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67">
        <f t="array" ref="AF67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67">
        <f t="array" ref="AK67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67">
        <f t="array" ref="AP67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67">
        <f t="array" ref="AU67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68" spans="12:47">
      <c r="L68">
        <f t="array" ref="L68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68">
        <f t="array" ref="Q68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68">
        <f t="array" ref="V68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68">
        <f t="array" ref="AA68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68">
        <f t="array" ref="AF68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68">
        <f t="array" ref="AK68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68">
        <f t="array" ref="AP68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68">
        <f t="array" ref="AU68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69" spans="12:47">
      <c r="L69">
        <f t="array" ref="L69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69">
        <f t="array" ref="Q69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69">
        <f t="array" ref="V69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69">
        <f t="array" ref="AA69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69">
        <f t="array" ref="AF69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69">
        <f t="array" ref="AK69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69">
        <f t="array" ref="AP69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69">
        <f t="array" ref="AU69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70" spans="12:47">
      <c r="L70">
        <f t="array" ref="L70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70">
        <f t="array" ref="Q70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70">
        <f t="array" ref="V70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70">
        <f t="array" ref="AA70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70">
        <f t="array" ref="AF70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70">
        <f t="array" ref="AK70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70">
        <f t="array" ref="AP70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70">
        <f t="array" ref="AU70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71" spans="12:47">
      <c r="AA71">
        <f t="array" ref="AA71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</row>
  </sheetData>
  <mergeCells count="9">
    <mergeCell ref="A5:J5"/>
    <mergeCell ref="K5:O5"/>
    <mergeCell ref="P5:T5"/>
    <mergeCell ref="U5:Y5"/>
    <mergeCell ref="Z5:AD5"/>
    <mergeCell ref="AE5:AI5"/>
    <mergeCell ref="AJ5:AN5"/>
    <mergeCell ref="AO5:AS5"/>
    <mergeCell ref="AT5:AX5"/>
  </mergeCells>
  <conditionalFormatting sqref="AA10">
    <cfRule type="expression" dxfId="3" priority="421">
      <formula>AND(AA10&gt;0,AA10&lt;5)</formula>
    </cfRule>
    <cfRule type="cellIs" dxfId="1" priority="422" operator="greaterThan">
      <formula>Z10</formula>
    </cfRule>
  </conditionalFormatting>
  <conditionalFormatting sqref="AA11">
    <cfRule type="expression" dxfId="3" priority="427">
      <formula>AND(AA11&gt;0,AA11&lt;10)</formula>
    </cfRule>
    <cfRule type="cellIs" dxfId="1" priority="428" operator="greaterThan">
      <formula>Z11</formula>
    </cfRule>
  </conditionalFormatting>
  <conditionalFormatting sqref="AA12">
    <cfRule type="expression" dxfId="3" priority="433">
      <formula>AND(AA12&gt;0,AA12&lt;50)</formula>
    </cfRule>
    <cfRule type="cellIs" dxfId="1" priority="434" operator="greaterThan">
      <formula>Z12</formula>
    </cfRule>
  </conditionalFormatting>
  <conditionalFormatting sqref="AA14">
    <cfRule type="cellIs" dxfId="1" priority="439" operator="greaterThan">
      <formula>Z14</formula>
    </cfRule>
  </conditionalFormatting>
  <conditionalFormatting sqref="AA24">
    <cfRule type="expression" dxfId="3" priority="444">
      <formula>AND(AA24&gt;0,AA24&lt;50)</formula>
    </cfRule>
    <cfRule type="cellIs" dxfId="1" priority="445" operator="greaterThan">
      <formula>Z24</formula>
    </cfRule>
  </conditionalFormatting>
  <conditionalFormatting sqref="AA26">
    <cfRule type="expression" dxfId="3" priority="450">
      <formula>AND(AA26&gt;0,AA26&lt;50)</formula>
    </cfRule>
    <cfRule type="cellIs" dxfId="1" priority="451" operator="greaterThan">
      <formula>Z26</formula>
    </cfRule>
  </conditionalFormatting>
  <conditionalFormatting sqref="AA28">
    <cfRule type="cellIs" dxfId="1" priority="456" operator="greaterThan">
      <formula>Z28</formula>
    </cfRule>
  </conditionalFormatting>
  <conditionalFormatting sqref="AA35">
    <cfRule type="cellIs" dxfId="1" priority="461" operator="greaterThan">
      <formula>Z35</formula>
    </cfRule>
  </conditionalFormatting>
  <conditionalFormatting sqref="AA8">
    <cfRule type="expression" dxfId="3" priority="409">
      <formula>AND(AA8&gt;0,AA8&lt;10)</formula>
    </cfRule>
    <cfRule type="cellIs" dxfId="1" priority="410" operator="greaterThan">
      <formula>Z8</formula>
    </cfRule>
  </conditionalFormatting>
  <conditionalFormatting sqref="AA9">
    <cfRule type="expression" dxfId="3" priority="415">
      <formula>AND(AA9&gt;0,AA9&lt;20)</formula>
    </cfRule>
    <cfRule type="cellIs" dxfId="1" priority="416" operator="greaterThan">
      <formula>Z9</formula>
    </cfRule>
  </conditionalFormatting>
  <conditionalFormatting sqref="AB10">
    <cfRule type="cellIs" dxfId="4" priority="424" operator="lessThanOrEqual">
      <formula>I10</formula>
    </cfRule>
  </conditionalFormatting>
  <conditionalFormatting sqref="AB11">
    <cfRule type="cellIs" dxfId="4" priority="430" operator="lessThanOrEqual">
      <formula>I11</formula>
    </cfRule>
  </conditionalFormatting>
  <conditionalFormatting sqref="AB12">
    <cfRule type="cellIs" dxfId="4" priority="436" operator="lessThanOrEqual">
      <formula>I12</formula>
    </cfRule>
  </conditionalFormatting>
  <conditionalFormatting sqref="AB14">
    <cfRule type="cellIs" dxfId="4" priority="441" operator="lessThanOrEqual">
      <formula>I14</formula>
    </cfRule>
  </conditionalFormatting>
  <conditionalFormatting sqref="AB24">
    <cfRule type="cellIs" dxfId="4" priority="447" operator="lessThanOrEqual">
      <formula>I24</formula>
    </cfRule>
  </conditionalFormatting>
  <conditionalFormatting sqref="AB26">
    <cfRule type="cellIs" dxfId="4" priority="453" operator="lessThanOrEqual">
      <formula>I26</formula>
    </cfRule>
  </conditionalFormatting>
  <conditionalFormatting sqref="AB28">
    <cfRule type="cellIs" dxfId="4" priority="458" operator="lessThanOrEqual">
      <formula>I28</formula>
    </cfRule>
  </conditionalFormatting>
  <conditionalFormatting sqref="AB35">
    <cfRule type="cellIs" dxfId="4" priority="463" operator="lessThanOrEqual">
      <formula>I35</formula>
    </cfRule>
  </conditionalFormatting>
  <conditionalFormatting sqref="AB8">
    <cfRule type="cellIs" dxfId="4" priority="412" operator="lessThanOrEqual">
      <formula>I8</formula>
    </cfRule>
  </conditionalFormatting>
  <conditionalFormatting sqref="AB9">
    <cfRule type="cellIs" dxfId="4" priority="418" operator="lessThanOrEqual">
      <formula>I9</formula>
    </cfRule>
  </conditionalFormatting>
  <conditionalFormatting sqref="AC10">
    <cfRule type="cellIs" dxfId="4" priority="423" operator="lessThanOrEqual">
      <formula>J10</formula>
    </cfRule>
  </conditionalFormatting>
  <conditionalFormatting sqref="AC11">
    <cfRule type="cellIs" dxfId="4" priority="429" operator="lessThanOrEqual">
      <formula>J11</formula>
    </cfRule>
  </conditionalFormatting>
  <conditionalFormatting sqref="AC12">
    <cfRule type="cellIs" dxfId="4" priority="435" operator="lessThanOrEqual">
      <formula>J12</formula>
    </cfRule>
  </conditionalFormatting>
  <conditionalFormatting sqref="AC14">
    <cfRule type="cellIs" dxfId="4" priority="440" operator="lessThanOrEqual">
      <formula>J14</formula>
    </cfRule>
  </conditionalFormatting>
  <conditionalFormatting sqref="AC24">
    <cfRule type="cellIs" dxfId="4" priority="446" operator="lessThanOrEqual">
      <formula>J24</formula>
    </cfRule>
  </conditionalFormatting>
  <conditionalFormatting sqref="AC26">
    <cfRule type="cellIs" dxfId="4" priority="452" operator="lessThanOrEqual">
      <formula>J26</formula>
    </cfRule>
  </conditionalFormatting>
  <conditionalFormatting sqref="AC28">
    <cfRule type="cellIs" dxfId="4" priority="457" operator="lessThanOrEqual">
      <formula>J28</formula>
    </cfRule>
  </conditionalFormatting>
  <conditionalFormatting sqref="AC35">
    <cfRule type="cellIs" dxfId="4" priority="462" operator="lessThanOrEqual">
      <formula>J35</formula>
    </cfRule>
  </conditionalFormatting>
  <conditionalFormatting sqref="AC8">
    <cfRule type="cellIs" dxfId="4" priority="411" operator="lessThanOrEqual">
      <formula>J8</formula>
    </cfRule>
  </conditionalFormatting>
  <conditionalFormatting sqref="AC9">
    <cfRule type="cellIs" dxfId="4" priority="417" operator="lessThanOrEqual">
      <formula>J9</formula>
    </cfRule>
  </conditionalFormatting>
  <conditionalFormatting sqref="AE10">
    <cfRule type="cellIs" dxfId="1" priority="474" operator="equal">
      <formula>0</formula>
    </cfRule>
    <cfRule type="cellIs" dxfId="2" priority="475" operator="lessThan">
      <formula>H10</formula>
    </cfRule>
  </conditionalFormatting>
  <conditionalFormatting sqref="AE11">
    <cfRule type="cellIs" dxfId="1" priority="479" operator="equal">
      <formula>0</formula>
    </cfRule>
    <cfRule type="cellIs" dxfId="2" priority="480" operator="lessThan">
      <formula>H11</formula>
    </cfRule>
  </conditionalFormatting>
  <conditionalFormatting sqref="AE12">
    <cfRule type="cellIs" dxfId="1" priority="484" operator="equal">
      <formula>0</formula>
    </cfRule>
    <cfRule type="cellIs" dxfId="2" priority="485" operator="lessThan">
      <formula>H12</formula>
    </cfRule>
  </conditionalFormatting>
  <conditionalFormatting sqref="AE13">
    <cfRule type="cellIs" dxfId="1" priority="489" operator="equal">
      <formula>0</formula>
    </cfRule>
    <cfRule type="cellIs" dxfId="2" priority="490" operator="lessThan">
      <formula>H13</formula>
    </cfRule>
  </conditionalFormatting>
  <conditionalFormatting sqref="AE14">
    <cfRule type="cellIs" dxfId="1" priority="494" operator="equal">
      <formula>0</formula>
    </cfRule>
    <cfRule type="cellIs" dxfId="2" priority="495" operator="lessThan">
      <formula>H14</formula>
    </cfRule>
  </conditionalFormatting>
  <conditionalFormatting sqref="AE15">
    <cfRule type="cellIs" dxfId="1" priority="499" operator="equal">
      <formula>0</formula>
    </cfRule>
    <cfRule type="cellIs" dxfId="2" priority="500" operator="lessThan">
      <formula>H15</formula>
    </cfRule>
  </conditionalFormatting>
  <conditionalFormatting sqref="AE16">
    <cfRule type="cellIs" dxfId="1" priority="504" operator="equal">
      <formula>0</formula>
    </cfRule>
    <cfRule type="cellIs" dxfId="2" priority="505" operator="lessThan">
      <formula>H16</formula>
    </cfRule>
  </conditionalFormatting>
  <conditionalFormatting sqref="AE19">
    <cfRule type="cellIs" dxfId="1" priority="509" operator="equal">
      <formula>0</formula>
    </cfRule>
    <cfRule type="cellIs" dxfId="2" priority="510" operator="lessThan">
      <formula>H19</formula>
    </cfRule>
  </conditionalFormatting>
  <conditionalFormatting sqref="AE20">
    <cfRule type="cellIs" dxfId="1" priority="514" operator="equal">
      <formula>0</formula>
    </cfRule>
    <cfRule type="cellIs" dxfId="2" priority="515" operator="lessThan">
      <formula>H20</formula>
    </cfRule>
  </conditionalFormatting>
  <conditionalFormatting sqref="AE21">
    <cfRule type="cellIs" dxfId="1" priority="519" operator="equal">
      <formula>0</formula>
    </cfRule>
    <cfRule type="cellIs" dxfId="2" priority="520" operator="lessThan">
      <formula>H21</formula>
    </cfRule>
  </conditionalFormatting>
  <conditionalFormatting sqref="AE22">
    <cfRule type="cellIs" dxfId="1" priority="524" operator="equal">
      <formula>0</formula>
    </cfRule>
    <cfRule type="cellIs" dxfId="2" priority="525" operator="lessThan">
      <formula>H22</formula>
    </cfRule>
  </conditionalFormatting>
  <conditionalFormatting sqref="AE23">
    <cfRule type="cellIs" dxfId="1" priority="529" operator="equal">
      <formula>0</formula>
    </cfRule>
    <cfRule type="cellIs" dxfId="2" priority="530" operator="lessThan">
      <formula>H23</formula>
    </cfRule>
  </conditionalFormatting>
  <conditionalFormatting sqref="AE24">
    <cfRule type="cellIs" dxfId="1" priority="534" operator="equal">
      <formula>0</formula>
    </cfRule>
    <cfRule type="cellIs" dxfId="2" priority="535" operator="lessThan">
      <formula>H24</formula>
    </cfRule>
  </conditionalFormatting>
  <conditionalFormatting sqref="AE25">
    <cfRule type="cellIs" dxfId="1" priority="539" operator="equal">
      <formula>0</formula>
    </cfRule>
    <cfRule type="cellIs" dxfId="2" priority="540" operator="lessThan">
      <formula>H25</formula>
    </cfRule>
  </conditionalFormatting>
  <conditionalFormatting sqref="AE26">
    <cfRule type="cellIs" dxfId="1" priority="544" operator="equal">
      <formula>0</formula>
    </cfRule>
    <cfRule type="cellIs" dxfId="2" priority="545" operator="lessThan">
      <formula>H26</formula>
    </cfRule>
  </conditionalFormatting>
  <conditionalFormatting sqref="AE27">
    <cfRule type="cellIs" dxfId="1" priority="549" operator="equal">
      <formula>0</formula>
    </cfRule>
    <cfRule type="cellIs" dxfId="2" priority="550" operator="lessThan">
      <formula>H27</formula>
    </cfRule>
  </conditionalFormatting>
  <conditionalFormatting sqref="AE28">
    <cfRule type="cellIs" dxfId="1" priority="554" operator="equal">
      <formula>0</formula>
    </cfRule>
    <cfRule type="cellIs" dxfId="2" priority="555" operator="lessThan">
      <formula>H28</formula>
    </cfRule>
  </conditionalFormatting>
  <conditionalFormatting sqref="AE29">
    <cfRule type="cellIs" dxfId="1" priority="559" operator="equal">
      <formula>0</formula>
    </cfRule>
    <cfRule type="cellIs" dxfId="2" priority="560" operator="lessThan">
      <formula>H29</formula>
    </cfRule>
  </conditionalFormatting>
  <conditionalFormatting sqref="AE30">
    <cfRule type="cellIs" dxfId="1" priority="564" operator="equal">
      <formula>0</formula>
    </cfRule>
    <cfRule type="cellIs" dxfId="2" priority="565" operator="lessThan">
      <formula>H30</formula>
    </cfRule>
  </conditionalFormatting>
  <conditionalFormatting sqref="AE31">
    <cfRule type="cellIs" dxfId="1" priority="569" operator="equal">
      <formula>0</formula>
    </cfRule>
    <cfRule type="cellIs" dxfId="2" priority="570" operator="lessThan">
      <formula>H31</formula>
    </cfRule>
  </conditionalFormatting>
  <conditionalFormatting sqref="AE32">
    <cfRule type="cellIs" dxfId="1" priority="574" operator="equal">
      <formula>0</formula>
    </cfRule>
    <cfRule type="cellIs" dxfId="2" priority="575" operator="lessThan">
      <formula>H32</formula>
    </cfRule>
  </conditionalFormatting>
  <conditionalFormatting sqref="AE33">
    <cfRule type="cellIs" dxfId="1" priority="579" operator="equal">
      <formula>0</formula>
    </cfRule>
    <cfRule type="cellIs" dxfId="2" priority="580" operator="lessThan">
      <formula>H33</formula>
    </cfRule>
  </conditionalFormatting>
  <conditionalFormatting sqref="AE34">
    <cfRule type="cellIs" dxfId="1" priority="584" operator="equal">
      <formula>0</formula>
    </cfRule>
    <cfRule type="cellIs" dxfId="2" priority="585" operator="lessThan">
      <formula>H34</formula>
    </cfRule>
  </conditionalFormatting>
  <conditionalFormatting sqref="AE35">
    <cfRule type="cellIs" dxfId="1" priority="589" operator="equal">
      <formula>0</formula>
    </cfRule>
    <cfRule type="cellIs" dxfId="2" priority="590" operator="lessThan">
      <formula>H35</formula>
    </cfRule>
  </conditionalFormatting>
  <conditionalFormatting sqref="AE36">
    <cfRule type="cellIs" dxfId="1" priority="594" operator="equal">
      <formula>0</formula>
    </cfRule>
    <cfRule type="cellIs" dxfId="2" priority="595" operator="lessThan">
      <formula>H36</formula>
    </cfRule>
  </conditionalFormatting>
  <conditionalFormatting sqref="AE7">
    <cfRule type="cellIs" dxfId="1" priority="464" operator="equal">
      <formula>0</formula>
    </cfRule>
    <cfRule type="cellIs" dxfId="2" priority="465" operator="lessThan">
      <formula>H7</formula>
    </cfRule>
  </conditionalFormatting>
  <conditionalFormatting sqref="AE8">
    <cfRule type="cellIs" dxfId="1" priority="469" operator="equal">
      <formula>0</formula>
    </cfRule>
    <cfRule type="cellIs" dxfId="2" priority="470" operator="lessThan">
      <formula>H8</formula>
    </cfRule>
  </conditionalFormatting>
  <conditionalFormatting sqref="AF10">
    <cfRule type="cellIs" dxfId="1" priority="476" operator="greaterThan">
      <formula>AE10</formula>
    </cfRule>
  </conditionalFormatting>
  <conditionalFormatting sqref="AF11">
    <cfRule type="cellIs" dxfId="1" priority="481" operator="greaterThan">
      <formula>AE11</formula>
    </cfRule>
  </conditionalFormatting>
  <conditionalFormatting sqref="AF12">
    <cfRule type="cellIs" dxfId="1" priority="486" operator="greaterThan">
      <formula>AE12</formula>
    </cfRule>
  </conditionalFormatting>
  <conditionalFormatting sqref="AF13">
    <cfRule type="cellIs" dxfId="1" priority="491" operator="greaterThan">
      <formula>AE13</formula>
    </cfRule>
  </conditionalFormatting>
  <conditionalFormatting sqref="AF14">
    <cfRule type="cellIs" dxfId="1" priority="496" operator="greaterThan">
      <formula>AE14</formula>
    </cfRule>
  </conditionalFormatting>
  <conditionalFormatting sqref="AF15">
    <cfRule type="cellIs" dxfId="1" priority="501" operator="greaterThan">
      <formula>AE15</formula>
    </cfRule>
  </conditionalFormatting>
  <conditionalFormatting sqref="AF16">
    <cfRule type="cellIs" dxfId="1" priority="506" operator="greaterThan">
      <formula>AE16</formula>
    </cfRule>
  </conditionalFormatting>
  <conditionalFormatting sqref="AF19">
    <cfRule type="cellIs" dxfId="1" priority="511" operator="greaterThan">
      <formula>AE19</formula>
    </cfRule>
  </conditionalFormatting>
  <conditionalFormatting sqref="AF20">
    <cfRule type="cellIs" dxfId="1" priority="516" operator="greaterThan">
      <formula>AE20</formula>
    </cfRule>
  </conditionalFormatting>
  <conditionalFormatting sqref="AF21">
    <cfRule type="cellIs" dxfId="1" priority="521" operator="greaterThan">
      <formula>AE21</formula>
    </cfRule>
  </conditionalFormatting>
  <conditionalFormatting sqref="AF22">
    <cfRule type="cellIs" dxfId="1" priority="526" operator="greaterThan">
      <formula>AE22</formula>
    </cfRule>
  </conditionalFormatting>
  <conditionalFormatting sqref="AF23">
    <cfRule type="cellIs" dxfId="1" priority="531" operator="greaterThan">
      <formula>AE23</formula>
    </cfRule>
  </conditionalFormatting>
  <conditionalFormatting sqref="AF24">
    <cfRule type="cellIs" dxfId="1" priority="536" operator="greaterThan">
      <formula>AE24</formula>
    </cfRule>
  </conditionalFormatting>
  <conditionalFormatting sqref="AF25">
    <cfRule type="cellIs" dxfId="1" priority="541" operator="greaterThan">
      <formula>AE25</formula>
    </cfRule>
  </conditionalFormatting>
  <conditionalFormatting sqref="AF26">
    <cfRule type="cellIs" dxfId="1" priority="546" operator="greaterThan">
      <formula>AE26</formula>
    </cfRule>
  </conditionalFormatting>
  <conditionalFormatting sqref="AF27">
    <cfRule type="cellIs" dxfId="1" priority="551" operator="greaterThan">
      <formula>AE27</formula>
    </cfRule>
  </conditionalFormatting>
  <conditionalFormatting sqref="AF28">
    <cfRule type="cellIs" dxfId="1" priority="556" operator="greaterThan">
      <formula>AE28</formula>
    </cfRule>
  </conditionalFormatting>
  <conditionalFormatting sqref="AF29">
    <cfRule type="cellIs" dxfId="1" priority="561" operator="greaterThan">
      <formula>AE29</formula>
    </cfRule>
  </conditionalFormatting>
  <conditionalFormatting sqref="AF30">
    <cfRule type="cellIs" dxfId="1" priority="566" operator="greaterThan">
      <formula>AE30</formula>
    </cfRule>
  </conditionalFormatting>
  <conditionalFormatting sqref="AF31">
    <cfRule type="cellIs" dxfId="1" priority="571" operator="greaterThan">
      <formula>AE31</formula>
    </cfRule>
  </conditionalFormatting>
  <conditionalFormatting sqref="AF32">
    <cfRule type="cellIs" dxfId="1" priority="576" operator="greaterThan">
      <formula>AE32</formula>
    </cfRule>
  </conditionalFormatting>
  <conditionalFormatting sqref="AF33">
    <cfRule type="cellIs" dxfId="1" priority="581" operator="greaterThan">
      <formula>AE33</formula>
    </cfRule>
  </conditionalFormatting>
  <conditionalFormatting sqref="AF34">
    <cfRule type="cellIs" dxfId="1" priority="586" operator="greaterThan">
      <formula>AE34</formula>
    </cfRule>
  </conditionalFormatting>
  <conditionalFormatting sqref="AF35">
    <cfRule type="cellIs" dxfId="1" priority="591" operator="greaterThan">
      <formula>AE35</formula>
    </cfRule>
  </conditionalFormatting>
  <conditionalFormatting sqref="AF36">
    <cfRule type="cellIs" dxfId="1" priority="596" operator="greaterThan">
      <formula>AE36</formula>
    </cfRule>
  </conditionalFormatting>
  <conditionalFormatting sqref="AF7">
    <cfRule type="cellIs" dxfId="1" priority="466" operator="greaterThan">
      <formula>AE7</formula>
    </cfRule>
  </conditionalFormatting>
  <conditionalFormatting sqref="AF8">
    <cfRule type="cellIs" dxfId="1" priority="471" operator="greaterThan">
      <formula>AE8</formula>
    </cfRule>
  </conditionalFormatting>
  <conditionalFormatting sqref="AG10">
    <cfRule type="cellIs" dxfId="4" priority="478" operator="lessThanOrEqual">
      <formula>I10</formula>
    </cfRule>
  </conditionalFormatting>
  <conditionalFormatting sqref="AG11">
    <cfRule type="cellIs" dxfId="4" priority="483" operator="lessThanOrEqual">
      <formula>I11</formula>
    </cfRule>
  </conditionalFormatting>
  <conditionalFormatting sqref="AG12">
    <cfRule type="cellIs" dxfId="4" priority="488" operator="lessThanOrEqual">
      <formula>I12</formula>
    </cfRule>
  </conditionalFormatting>
  <conditionalFormatting sqref="AG13">
    <cfRule type="cellIs" dxfId="4" priority="493" operator="lessThanOrEqual">
      <formula>I13</formula>
    </cfRule>
  </conditionalFormatting>
  <conditionalFormatting sqref="AG14">
    <cfRule type="cellIs" dxfId="4" priority="498" operator="lessThanOrEqual">
      <formula>I14</formula>
    </cfRule>
  </conditionalFormatting>
  <conditionalFormatting sqref="AG15">
    <cfRule type="cellIs" dxfId="4" priority="503" operator="lessThanOrEqual">
      <formula>I15</formula>
    </cfRule>
  </conditionalFormatting>
  <conditionalFormatting sqref="AG16">
    <cfRule type="cellIs" dxfId="4" priority="508" operator="lessThanOrEqual">
      <formula>I16</formula>
    </cfRule>
  </conditionalFormatting>
  <conditionalFormatting sqref="AG19">
    <cfRule type="cellIs" dxfId="4" priority="513" operator="lessThanOrEqual">
      <formula>I19</formula>
    </cfRule>
  </conditionalFormatting>
  <conditionalFormatting sqref="AG20">
    <cfRule type="cellIs" dxfId="4" priority="518" operator="lessThanOrEqual">
      <formula>I20</formula>
    </cfRule>
  </conditionalFormatting>
  <conditionalFormatting sqref="AG21">
    <cfRule type="cellIs" dxfId="4" priority="523" operator="lessThanOrEqual">
      <formula>I21</formula>
    </cfRule>
  </conditionalFormatting>
  <conditionalFormatting sqref="AG22">
    <cfRule type="cellIs" dxfId="4" priority="528" operator="lessThanOrEqual">
      <formula>I22</formula>
    </cfRule>
  </conditionalFormatting>
  <conditionalFormatting sqref="AG23">
    <cfRule type="cellIs" dxfId="4" priority="533" operator="lessThanOrEqual">
      <formula>I23</formula>
    </cfRule>
  </conditionalFormatting>
  <conditionalFormatting sqref="AG24">
    <cfRule type="cellIs" dxfId="4" priority="538" operator="lessThanOrEqual">
      <formula>I24</formula>
    </cfRule>
  </conditionalFormatting>
  <conditionalFormatting sqref="AG25">
    <cfRule type="cellIs" dxfId="4" priority="543" operator="lessThanOrEqual">
      <formula>I25</formula>
    </cfRule>
  </conditionalFormatting>
  <conditionalFormatting sqref="AG26">
    <cfRule type="cellIs" dxfId="4" priority="548" operator="lessThanOrEqual">
      <formula>I26</formula>
    </cfRule>
  </conditionalFormatting>
  <conditionalFormatting sqref="AG27">
    <cfRule type="cellIs" dxfId="4" priority="553" operator="lessThanOrEqual">
      <formula>I27</formula>
    </cfRule>
  </conditionalFormatting>
  <conditionalFormatting sqref="AG28">
    <cfRule type="cellIs" dxfId="4" priority="558" operator="lessThanOrEqual">
      <formula>I28</formula>
    </cfRule>
  </conditionalFormatting>
  <conditionalFormatting sqref="AG29">
    <cfRule type="cellIs" dxfId="4" priority="563" operator="lessThanOrEqual">
      <formula>I29</formula>
    </cfRule>
  </conditionalFormatting>
  <conditionalFormatting sqref="AG30">
    <cfRule type="cellIs" dxfId="4" priority="568" operator="lessThanOrEqual">
      <formula>I30</formula>
    </cfRule>
  </conditionalFormatting>
  <conditionalFormatting sqref="AG31">
    <cfRule type="cellIs" dxfId="4" priority="573" operator="lessThanOrEqual">
      <formula>I31</formula>
    </cfRule>
  </conditionalFormatting>
  <conditionalFormatting sqref="AG32">
    <cfRule type="cellIs" dxfId="4" priority="578" operator="lessThanOrEqual">
      <formula>I32</formula>
    </cfRule>
  </conditionalFormatting>
  <conditionalFormatting sqref="AG33">
    <cfRule type="cellIs" dxfId="4" priority="583" operator="lessThanOrEqual">
      <formula>I33</formula>
    </cfRule>
  </conditionalFormatting>
  <conditionalFormatting sqref="AG34">
    <cfRule type="cellIs" dxfId="4" priority="588" operator="lessThanOrEqual">
      <formula>I34</formula>
    </cfRule>
  </conditionalFormatting>
  <conditionalFormatting sqref="AG35">
    <cfRule type="cellIs" dxfId="4" priority="593" operator="lessThanOrEqual">
      <formula>I35</formula>
    </cfRule>
  </conditionalFormatting>
  <conditionalFormatting sqref="AG36">
    <cfRule type="cellIs" dxfId="4" priority="598" operator="lessThanOrEqual">
      <formula>I36</formula>
    </cfRule>
  </conditionalFormatting>
  <conditionalFormatting sqref="AG7">
    <cfRule type="cellIs" dxfId="4" priority="468" operator="lessThanOrEqual">
      <formula>I7</formula>
    </cfRule>
  </conditionalFormatting>
  <conditionalFormatting sqref="AG8">
    <cfRule type="cellIs" dxfId="4" priority="473" operator="lessThanOrEqual">
      <formula>I8</formula>
    </cfRule>
  </conditionalFormatting>
  <conditionalFormatting sqref="AH10">
    <cfRule type="cellIs" dxfId="4" priority="477" operator="lessThanOrEqual">
      <formula>J10</formula>
    </cfRule>
  </conditionalFormatting>
  <conditionalFormatting sqref="AH11">
    <cfRule type="cellIs" dxfId="4" priority="482" operator="lessThanOrEqual">
      <formula>J11</formula>
    </cfRule>
  </conditionalFormatting>
  <conditionalFormatting sqref="AH12">
    <cfRule type="cellIs" dxfId="4" priority="487" operator="lessThanOrEqual">
      <formula>J12</formula>
    </cfRule>
  </conditionalFormatting>
  <conditionalFormatting sqref="AH13">
    <cfRule type="cellIs" dxfId="4" priority="492" operator="lessThanOrEqual">
      <formula>J13</formula>
    </cfRule>
  </conditionalFormatting>
  <conditionalFormatting sqref="AH14">
    <cfRule type="cellIs" dxfId="4" priority="497" operator="lessThanOrEqual">
      <formula>J14</formula>
    </cfRule>
  </conditionalFormatting>
  <conditionalFormatting sqref="AH15">
    <cfRule type="cellIs" dxfId="4" priority="502" operator="lessThanOrEqual">
      <formula>J15</formula>
    </cfRule>
  </conditionalFormatting>
  <conditionalFormatting sqref="AH16">
    <cfRule type="cellIs" dxfId="4" priority="507" operator="lessThanOrEqual">
      <formula>J16</formula>
    </cfRule>
  </conditionalFormatting>
  <conditionalFormatting sqref="AH19">
    <cfRule type="cellIs" dxfId="4" priority="512" operator="lessThanOrEqual">
      <formula>J19</formula>
    </cfRule>
  </conditionalFormatting>
  <conditionalFormatting sqref="AH20">
    <cfRule type="cellIs" dxfId="4" priority="517" operator="lessThanOrEqual">
      <formula>J20</formula>
    </cfRule>
  </conditionalFormatting>
  <conditionalFormatting sqref="AH21">
    <cfRule type="cellIs" dxfId="4" priority="522" operator="lessThanOrEqual">
      <formula>J21</formula>
    </cfRule>
  </conditionalFormatting>
  <conditionalFormatting sqref="AH22">
    <cfRule type="cellIs" dxfId="4" priority="527" operator="lessThanOrEqual">
      <formula>J22</formula>
    </cfRule>
  </conditionalFormatting>
  <conditionalFormatting sqref="AH23">
    <cfRule type="cellIs" dxfId="4" priority="532" operator="lessThanOrEqual">
      <formula>J23</formula>
    </cfRule>
  </conditionalFormatting>
  <conditionalFormatting sqref="AH24">
    <cfRule type="cellIs" dxfId="4" priority="537" operator="lessThanOrEqual">
      <formula>J24</formula>
    </cfRule>
  </conditionalFormatting>
  <conditionalFormatting sqref="AH25">
    <cfRule type="cellIs" dxfId="4" priority="542" operator="lessThanOrEqual">
      <formula>J25</formula>
    </cfRule>
  </conditionalFormatting>
  <conditionalFormatting sqref="AH26">
    <cfRule type="cellIs" dxfId="4" priority="547" operator="lessThanOrEqual">
      <formula>J26</formula>
    </cfRule>
  </conditionalFormatting>
  <conditionalFormatting sqref="AH27">
    <cfRule type="cellIs" dxfId="4" priority="552" operator="lessThanOrEqual">
      <formula>J27</formula>
    </cfRule>
  </conditionalFormatting>
  <conditionalFormatting sqref="AH28">
    <cfRule type="cellIs" dxfId="4" priority="557" operator="lessThanOrEqual">
      <formula>J28</formula>
    </cfRule>
  </conditionalFormatting>
  <conditionalFormatting sqref="AH29">
    <cfRule type="cellIs" dxfId="4" priority="562" operator="lessThanOrEqual">
      <formula>J29</formula>
    </cfRule>
  </conditionalFormatting>
  <conditionalFormatting sqref="AH30">
    <cfRule type="cellIs" dxfId="4" priority="567" operator="lessThanOrEqual">
      <formula>J30</formula>
    </cfRule>
  </conditionalFormatting>
  <conditionalFormatting sqref="AH31">
    <cfRule type="cellIs" dxfId="4" priority="572" operator="lessThanOrEqual">
      <formula>J31</formula>
    </cfRule>
  </conditionalFormatting>
  <conditionalFormatting sqref="AH32">
    <cfRule type="cellIs" dxfId="4" priority="577" operator="lessThanOrEqual">
      <formula>J32</formula>
    </cfRule>
  </conditionalFormatting>
  <conditionalFormatting sqref="AH33">
    <cfRule type="cellIs" dxfId="4" priority="582" operator="lessThanOrEqual">
      <formula>J33</formula>
    </cfRule>
  </conditionalFormatting>
  <conditionalFormatting sqref="AH34">
    <cfRule type="cellIs" dxfId="4" priority="587" operator="lessThanOrEqual">
      <formula>J34</formula>
    </cfRule>
  </conditionalFormatting>
  <conditionalFormatting sqref="AH35">
    <cfRule type="cellIs" dxfId="4" priority="592" operator="lessThanOrEqual">
      <formula>J35</formula>
    </cfRule>
  </conditionalFormatting>
  <conditionalFormatting sqref="AH36">
    <cfRule type="cellIs" dxfId="4" priority="597" operator="lessThanOrEqual">
      <formula>J36</formula>
    </cfRule>
  </conditionalFormatting>
  <conditionalFormatting sqref="AH7">
    <cfRule type="cellIs" dxfId="4" priority="467" operator="lessThanOrEqual">
      <formula>J7</formula>
    </cfRule>
  </conditionalFormatting>
  <conditionalFormatting sqref="AH8">
    <cfRule type="cellIs" dxfId="4" priority="472" operator="lessThanOrEqual">
      <formula>J8</formula>
    </cfRule>
  </conditionalFormatting>
  <conditionalFormatting sqref="AJ10">
    <cfRule type="cellIs" dxfId="1" priority="617" operator="equal">
      <formula>0</formula>
    </cfRule>
    <cfRule type="cellIs" dxfId="2" priority="618" operator="lessThan">
      <formula>H10</formula>
    </cfRule>
  </conditionalFormatting>
  <conditionalFormatting sqref="AJ11">
    <cfRule type="cellIs" dxfId="1" priority="623" operator="equal">
      <formula>0</formula>
    </cfRule>
    <cfRule type="cellIs" dxfId="2" priority="624" operator="lessThan">
      <formula>H11</formula>
    </cfRule>
  </conditionalFormatting>
  <conditionalFormatting sqref="AJ12">
    <cfRule type="cellIs" dxfId="1" priority="629" operator="equal">
      <formula>0</formula>
    </cfRule>
    <cfRule type="cellIs" dxfId="2" priority="630" operator="lessThan">
      <formula>H12</formula>
    </cfRule>
  </conditionalFormatting>
  <conditionalFormatting sqref="AJ13">
    <cfRule type="cellIs" dxfId="1" priority="635" operator="equal">
      <formula>0</formula>
    </cfRule>
    <cfRule type="cellIs" dxfId="2" priority="636" operator="lessThan">
      <formula>H13</formula>
    </cfRule>
  </conditionalFormatting>
  <conditionalFormatting sqref="AJ14">
    <cfRule type="cellIs" dxfId="1" priority="641" operator="equal">
      <formula>0</formula>
    </cfRule>
    <cfRule type="cellIs" dxfId="2" priority="642" operator="lessThan">
      <formula>H14</formula>
    </cfRule>
  </conditionalFormatting>
  <conditionalFormatting sqref="AJ15">
    <cfRule type="cellIs" dxfId="1" priority="646" operator="equal">
      <formula>0</formula>
    </cfRule>
    <cfRule type="cellIs" dxfId="2" priority="647" operator="lessThan">
      <formula>H15</formula>
    </cfRule>
  </conditionalFormatting>
  <conditionalFormatting sqref="AJ19">
    <cfRule type="cellIs" dxfId="1" priority="652" operator="equal">
      <formula>0</formula>
    </cfRule>
    <cfRule type="cellIs" dxfId="2" priority="653" operator="lessThan">
      <formula>H19</formula>
    </cfRule>
  </conditionalFormatting>
  <conditionalFormatting sqref="AJ21">
    <cfRule type="cellIs" dxfId="1" priority="658" operator="equal">
      <formula>0</formula>
    </cfRule>
    <cfRule type="cellIs" dxfId="2" priority="659" operator="lessThan">
      <formula>H21</formula>
    </cfRule>
  </conditionalFormatting>
  <conditionalFormatting sqref="AJ22">
    <cfRule type="cellIs" dxfId="1" priority="663" operator="equal">
      <formula>0</formula>
    </cfRule>
    <cfRule type="cellIs" dxfId="2" priority="664" operator="lessThan">
      <formula>H22</formula>
    </cfRule>
  </conditionalFormatting>
  <conditionalFormatting sqref="AJ23">
    <cfRule type="cellIs" dxfId="1" priority="669" operator="equal">
      <formula>0</formula>
    </cfRule>
    <cfRule type="cellIs" dxfId="2" priority="670" operator="lessThan">
      <formula>H23</formula>
    </cfRule>
  </conditionalFormatting>
  <conditionalFormatting sqref="AJ24">
    <cfRule type="cellIs" dxfId="1" priority="675" operator="equal">
      <formula>0</formula>
    </cfRule>
    <cfRule type="cellIs" dxfId="2" priority="676" operator="lessThan">
      <formula>H24</formula>
    </cfRule>
  </conditionalFormatting>
  <conditionalFormatting sqref="AJ27">
    <cfRule type="cellIs" dxfId="1" priority="681" operator="equal">
      <formula>0</formula>
    </cfRule>
    <cfRule type="cellIs" dxfId="2" priority="682" operator="lessThan">
      <formula>H27</formula>
    </cfRule>
  </conditionalFormatting>
  <conditionalFormatting sqref="AJ29">
    <cfRule type="cellIs" dxfId="1" priority="687" operator="equal">
      <formula>0</formula>
    </cfRule>
    <cfRule type="cellIs" dxfId="2" priority="688" operator="lessThan">
      <formula>H29</formula>
    </cfRule>
  </conditionalFormatting>
  <conditionalFormatting sqref="AJ30">
    <cfRule type="cellIs" dxfId="1" priority="693" operator="equal">
      <formula>0</formula>
    </cfRule>
    <cfRule type="cellIs" dxfId="2" priority="694" operator="lessThan">
      <formula>H30</formula>
    </cfRule>
  </conditionalFormatting>
  <conditionalFormatting sqref="AJ32">
    <cfRule type="cellIs" dxfId="1" priority="699" operator="equal">
      <formula>0</formula>
    </cfRule>
    <cfRule type="cellIs" dxfId="2" priority="700" operator="lessThan">
      <formula>H32</formula>
    </cfRule>
  </conditionalFormatting>
  <conditionalFormatting sqref="AJ34">
    <cfRule type="cellIs" dxfId="1" priority="704" operator="equal">
      <formula>0</formula>
    </cfRule>
    <cfRule type="cellIs" dxfId="2" priority="705" operator="lessThan">
      <formula>H34</formula>
    </cfRule>
  </conditionalFormatting>
  <conditionalFormatting sqref="AJ35">
    <cfRule type="cellIs" dxfId="1" priority="709" operator="equal">
      <formula>0</formula>
    </cfRule>
    <cfRule type="cellIs" dxfId="2" priority="710" operator="lessThan">
      <formula>H35</formula>
    </cfRule>
  </conditionalFormatting>
  <conditionalFormatting sqref="AJ7">
    <cfRule type="cellIs" dxfId="1" priority="599" operator="equal">
      <formula>0</formula>
    </cfRule>
    <cfRule type="cellIs" dxfId="2" priority="600" operator="lessThan">
      <formula>H7</formula>
    </cfRule>
  </conditionalFormatting>
  <conditionalFormatting sqref="AJ8">
    <cfRule type="cellIs" dxfId="1" priority="605" operator="equal">
      <formula>0</formula>
    </cfRule>
    <cfRule type="cellIs" dxfId="2" priority="606" operator="lessThan">
      <formula>H8</formula>
    </cfRule>
  </conditionalFormatting>
  <conditionalFormatting sqref="AJ9">
    <cfRule type="cellIs" dxfId="1" priority="611" operator="equal">
      <formula>0</formula>
    </cfRule>
    <cfRule type="cellIs" dxfId="2" priority="612" operator="lessThan">
      <formula>H9</formula>
    </cfRule>
  </conditionalFormatting>
  <conditionalFormatting sqref="AK10">
    <cfRule type="expression" dxfId="3" priority="619">
      <formula>AND(AK10&gt;0,AK10&lt;10)</formula>
    </cfRule>
    <cfRule type="cellIs" dxfId="1" priority="620" operator="greaterThan">
      <formula>AJ10</formula>
    </cfRule>
  </conditionalFormatting>
  <conditionalFormatting sqref="AK11">
    <cfRule type="expression" dxfId="3" priority="625">
      <formula>AND(AK11&gt;0,AK11&lt;10)</formula>
    </cfRule>
    <cfRule type="cellIs" dxfId="1" priority="626" operator="greaterThan">
      <formula>AJ11</formula>
    </cfRule>
  </conditionalFormatting>
  <conditionalFormatting sqref="AK12">
    <cfRule type="expression" dxfId="3" priority="631">
      <formula>AND(AK12&gt;0,AK12&lt;10)</formula>
    </cfRule>
    <cfRule type="cellIs" dxfId="1" priority="632" operator="greaterThan">
      <formula>AJ12</formula>
    </cfRule>
  </conditionalFormatting>
  <conditionalFormatting sqref="AK13">
    <cfRule type="expression" dxfId="3" priority="637">
      <formula>AND(AK13&gt;0,AK13&lt;5)</formula>
    </cfRule>
    <cfRule type="cellIs" dxfId="1" priority="638" operator="greaterThan">
      <formula>AJ13</formula>
    </cfRule>
  </conditionalFormatting>
  <conditionalFormatting sqref="AK14">
    <cfRule type="cellIs" dxfId="1" priority="643" operator="greaterThan">
      <formula>AJ14</formula>
    </cfRule>
  </conditionalFormatting>
  <conditionalFormatting sqref="AK15">
    <cfRule type="expression" dxfId="3" priority="648">
      <formula>AND(AK15&gt;0,AK15&lt;10000)</formula>
    </cfRule>
    <cfRule type="cellIs" dxfId="1" priority="649" operator="greaterThan">
      <formula>AJ15</formula>
    </cfRule>
  </conditionalFormatting>
  <conditionalFormatting sqref="AK19">
    <cfRule type="expression" dxfId="3" priority="654">
      <formula>AND(AK19&gt;0,AK19&lt;5)</formula>
    </cfRule>
    <cfRule type="cellIs" dxfId="1" priority="655" operator="greaterThan">
      <formula>AJ19</formula>
    </cfRule>
  </conditionalFormatting>
  <conditionalFormatting sqref="AK21">
    <cfRule type="cellIs" dxfId="1" priority="660" operator="greaterThan">
      <formula>AJ21</formula>
    </cfRule>
  </conditionalFormatting>
  <conditionalFormatting sqref="AK22">
    <cfRule type="expression" dxfId="3" priority="665">
      <formula>AND(AK22&gt;0,AK22&lt;15000)</formula>
    </cfRule>
    <cfRule type="cellIs" dxfId="1" priority="666" operator="greaterThan">
      <formula>AJ22</formula>
    </cfRule>
  </conditionalFormatting>
  <conditionalFormatting sqref="AK23">
    <cfRule type="expression" dxfId="3" priority="671">
      <formula>AND(AK23&gt;0,AK23&lt;15000)</formula>
    </cfRule>
    <cfRule type="cellIs" dxfId="1" priority="672" operator="greaterThan">
      <formula>AJ23</formula>
    </cfRule>
  </conditionalFormatting>
  <conditionalFormatting sqref="AK24">
    <cfRule type="expression" dxfId="3" priority="677">
      <formula>AND(AK24&gt;0,AK24&lt;45000)</formula>
    </cfRule>
    <cfRule type="cellIs" dxfId="1" priority="678" operator="greaterThan">
      <formula>AJ24</formula>
    </cfRule>
  </conditionalFormatting>
  <conditionalFormatting sqref="AK27">
    <cfRule type="expression" dxfId="3" priority="683">
      <formula>AND(AK27&gt;0,AK27&lt;5)</formula>
    </cfRule>
    <cfRule type="cellIs" dxfId="1" priority="684" operator="greaterThan">
      <formula>AJ27</formula>
    </cfRule>
  </conditionalFormatting>
  <conditionalFormatting sqref="AK29">
    <cfRule type="expression" dxfId="3" priority="689">
      <formula>AND(AK29&gt;0,AK29&lt;5)</formula>
    </cfRule>
    <cfRule type="cellIs" dxfId="1" priority="690" operator="greaterThan">
      <formula>AJ29</formula>
    </cfRule>
  </conditionalFormatting>
  <conditionalFormatting sqref="AK30">
    <cfRule type="expression" dxfId="3" priority="695">
      <formula>AND(AK30&gt;0,AK30&lt;5)</formula>
    </cfRule>
    <cfRule type="cellIs" dxfId="1" priority="696" operator="greaterThan">
      <formula>AJ30</formula>
    </cfRule>
  </conditionalFormatting>
  <conditionalFormatting sqref="AK32">
    <cfRule type="cellIs" dxfId="1" priority="701" operator="greaterThan">
      <formula>AJ32</formula>
    </cfRule>
  </conditionalFormatting>
  <conditionalFormatting sqref="AK34">
    <cfRule type="cellIs" dxfId="1" priority="706" operator="greaterThan">
      <formula>AJ34</formula>
    </cfRule>
  </conditionalFormatting>
  <conditionalFormatting sqref="AK35">
    <cfRule type="expression" dxfId="3" priority="711">
      <formula>AND(AK35&gt;0,AK35&lt;3000)</formula>
    </cfRule>
    <cfRule type="cellIs" dxfId="1" priority="712" operator="greaterThan">
      <formula>AJ35</formula>
    </cfRule>
  </conditionalFormatting>
  <conditionalFormatting sqref="AK7">
    <cfRule type="expression" dxfId="3" priority="601">
      <formula>AND(AK7&gt;0,AK7&lt;10)</formula>
    </cfRule>
    <cfRule type="cellIs" dxfId="1" priority="602" operator="greaterThan">
      <formula>AJ7</formula>
    </cfRule>
  </conditionalFormatting>
  <conditionalFormatting sqref="AK8">
    <cfRule type="expression" dxfId="3" priority="607">
      <formula>AND(AK8&gt;0,AK8&lt;10)</formula>
    </cfRule>
    <cfRule type="cellIs" dxfId="1" priority="608" operator="greaterThan">
      <formula>AJ8</formula>
    </cfRule>
  </conditionalFormatting>
  <conditionalFormatting sqref="AK9">
    <cfRule type="expression" dxfId="3" priority="613">
      <formula>AND(AK9&gt;0,AK9&lt;10)</formula>
    </cfRule>
    <cfRule type="cellIs" dxfId="1" priority="614" operator="greaterThan">
      <formula>AJ9</formula>
    </cfRule>
  </conditionalFormatting>
  <conditionalFormatting sqref="AL10">
    <cfRule type="cellIs" dxfId="4" priority="622" operator="lessThanOrEqual">
      <formula>I10</formula>
    </cfRule>
  </conditionalFormatting>
  <conditionalFormatting sqref="AL11">
    <cfRule type="cellIs" dxfId="4" priority="628" operator="lessThanOrEqual">
      <formula>I11</formula>
    </cfRule>
  </conditionalFormatting>
  <conditionalFormatting sqref="AL12">
    <cfRule type="cellIs" dxfId="4" priority="634" operator="lessThanOrEqual">
      <formula>I12</formula>
    </cfRule>
  </conditionalFormatting>
  <conditionalFormatting sqref="AL13">
    <cfRule type="cellIs" dxfId="4" priority="640" operator="lessThanOrEqual">
      <formula>I13</formula>
    </cfRule>
  </conditionalFormatting>
  <conditionalFormatting sqref="AL14">
    <cfRule type="cellIs" dxfId="4" priority="645" operator="lessThanOrEqual">
      <formula>I14</formula>
    </cfRule>
  </conditionalFormatting>
  <conditionalFormatting sqref="AL15">
    <cfRule type="cellIs" dxfId="4" priority="651" operator="lessThanOrEqual">
      <formula>I15</formula>
    </cfRule>
  </conditionalFormatting>
  <conditionalFormatting sqref="AL19">
    <cfRule type="cellIs" dxfId="4" priority="657" operator="lessThanOrEqual">
      <formula>I19</formula>
    </cfRule>
  </conditionalFormatting>
  <conditionalFormatting sqref="AL21">
    <cfRule type="cellIs" dxfId="4" priority="662" operator="lessThanOrEqual">
      <formula>I21</formula>
    </cfRule>
  </conditionalFormatting>
  <conditionalFormatting sqref="AL22">
    <cfRule type="cellIs" dxfId="4" priority="668" operator="lessThanOrEqual">
      <formula>I22</formula>
    </cfRule>
  </conditionalFormatting>
  <conditionalFormatting sqref="AL23">
    <cfRule type="cellIs" dxfId="4" priority="674" operator="lessThanOrEqual">
      <formula>I23</formula>
    </cfRule>
  </conditionalFormatting>
  <conditionalFormatting sqref="AL24">
    <cfRule type="cellIs" dxfId="4" priority="680" operator="lessThanOrEqual">
      <formula>I24</formula>
    </cfRule>
  </conditionalFormatting>
  <conditionalFormatting sqref="AL27">
    <cfRule type="cellIs" dxfId="4" priority="686" operator="lessThanOrEqual">
      <formula>I27</formula>
    </cfRule>
  </conditionalFormatting>
  <conditionalFormatting sqref="AL29">
    <cfRule type="cellIs" dxfId="4" priority="692" operator="lessThanOrEqual">
      <formula>I29</formula>
    </cfRule>
  </conditionalFormatting>
  <conditionalFormatting sqref="AL30">
    <cfRule type="cellIs" dxfId="4" priority="698" operator="lessThanOrEqual">
      <formula>I30</formula>
    </cfRule>
  </conditionalFormatting>
  <conditionalFormatting sqref="AL32">
    <cfRule type="cellIs" dxfId="4" priority="703" operator="lessThanOrEqual">
      <formula>I32</formula>
    </cfRule>
  </conditionalFormatting>
  <conditionalFormatting sqref="AL34">
    <cfRule type="cellIs" dxfId="4" priority="708" operator="lessThanOrEqual">
      <formula>I34</formula>
    </cfRule>
  </conditionalFormatting>
  <conditionalFormatting sqref="AL35">
    <cfRule type="cellIs" dxfId="4" priority="714" operator="lessThanOrEqual">
      <formula>I35</formula>
    </cfRule>
  </conditionalFormatting>
  <conditionalFormatting sqref="AL7">
    <cfRule type="cellIs" dxfId="4" priority="604" operator="lessThanOrEqual">
      <formula>I7</formula>
    </cfRule>
  </conditionalFormatting>
  <conditionalFormatting sqref="AL8">
    <cfRule type="cellIs" dxfId="4" priority="610" operator="lessThanOrEqual">
      <formula>I8</formula>
    </cfRule>
  </conditionalFormatting>
  <conditionalFormatting sqref="AL9">
    <cfRule type="cellIs" dxfId="4" priority="616" operator="lessThanOrEqual">
      <formula>I9</formula>
    </cfRule>
  </conditionalFormatting>
  <conditionalFormatting sqref="AM10">
    <cfRule type="cellIs" dxfId="4" priority="621" operator="lessThanOrEqual">
      <formula>J10</formula>
    </cfRule>
  </conditionalFormatting>
  <conditionalFormatting sqref="AM11">
    <cfRule type="cellIs" dxfId="4" priority="627" operator="lessThanOrEqual">
      <formula>J11</formula>
    </cfRule>
  </conditionalFormatting>
  <conditionalFormatting sqref="AM12">
    <cfRule type="cellIs" dxfId="4" priority="633" operator="lessThanOrEqual">
      <formula>J12</formula>
    </cfRule>
  </conditionalFormatting>
  <conditionalFormatting sqref="AM13">
    <cfRule type="cellIs" dxfId="4" priority="639" operator="lessThanOrEqual">
      <formula>J13</formula>
    </cfRule>
  </conditionalFormatting>
  <conditionalFormatting sqref="AM14">
    <cfRule type="cellIs" dxfId="4" priority="644" operator="lessThanOrEqual">
      <formula>J14</formula>
    </cfRule>
  </conditionalFormatting>
  <conditionalFormatting sqref="AM15">
    <cfRule type="cellIs" dxfId="4" priority="650" operator="lessThanOrEqual">
      <formula>J15</formula>
    </cfRule>
  </conditionalFormatting>
  <conditionalFormatting sqref="AM19">
    <cfRule type="cellIs" dxfId="4" priority="656" operator="lessThanOrEqual">
      <formula>J19</formula>
    </cfRule>
  </conditionalFormatting>
  <conditionalFormatting sqref="AM21">
    <cfRule type="cellIs" dxfId="4" priority="661" operator="lessThanOrEqual">
      <formula>J21</formula>
    </cfRule>
  </conditionalFormatting>
  <conditionalFormatting sqref="AM22">
    <cfRule type="cellIs" dxfId="4" priority="667" operator="lessThanOrEqual">
      <formula>J22</formula>
    </cfRule>
  </conditionalFormatting>
  <conditionalFormatting sqref="AM23">
    <cfRule type="cellIs" dxfId="4" priority="673" operator="lessThanOrEqual">
      <formula>J23</formula>
    </cfRule>
  </conditionalFormatting>
  <conditionalFormatting sqref="AM24">
    <cfRule type="cellIs" dxfId="4" priority="679" operator="lessThanOrEqual">
      <formula>J24</formula>
    </cfRule>
  </conditionalFormatting>
  <conditionalFormatting sqref="AM27">
    <cfRule type="cellIs" dxfId="4" priority="685" operator="lessThanOrEqual">
      <formula>J27</formula>
    </cfRule>
  </conditionalFormatting>
  <conditionalFormatting sqref="AM29">
    <cfRule type="cellIs" dxfId="4" priority="691" operator="lessThanOrEqual">
      <formula>J29</formula>
    </cfRule>
  </conditionalFormatting>
  <conditionalFormatting sqref="AM30">
    <cfRule type="cellIs" dxfId="4" priority="697" operator="lessThanOrEqual">
      <formula>J30</formula>
    </cfRule>
  </conditionalFormatting>
  <conditionalFormatting sqref="AM32">
    <cfRule type="cellIs" dxfId="4" priority="702" operator="lessThanOrEqual">
      <formula>J32</formula>
    </cfRule>
  </conditionalFormatting>
  <conditionalFormatting sqref="AM34">
    <cfRule type="cellIs" dxfId="4" priority="707" operator="lessThanOrEqual">
      <formula>J34</formula>
    </cfRule>
  </conditionalFormatting>
  <conditionalFormatting sqref="AM35">
    <cfRule type="cellIs" dxfId="4" priority="713" operator="lessThanOrEqual">
      <formula>J35</formula>
    </cfRule>
  </conditionalFormatting>
  <conditionalFormatting sqref="AM7">
    <cfRule type="cellIs" dxfId="4" priority="603" operator="lessThanOrEqual">
      <formula>J7</formula>
    </cfRule>
  </conditionalFormatting>
  <conditionalFormatting sqref="AM8">
    <cfRule type="cellIs" dxfId="4" priority="609" operator="lessThanOrEqual">
      <formula>J8</formula>
    </cfRule>
  </conditionalFormatting>
  <conditionalFormatting sqref="AM9">
    <cfRule type="cellIs" dxfId="4" priority="615" operator="lessThanOrEqual">
      <formula>J9</formula>
    </cfRule>
  </conditionalFormatting>
  <conditionalFormatting sqref="AO12">
    <cfRule type="cellIs" dxfId="1" priority="720" operator="equal">
      <formula>0</formula>
    </cfRule>
    <cfRule type="cellIs" dxfId="2" priority="721" operator="lessThan">
      <formula>H12</formula>
    </cfRule>
  </conditionalFormatting>
  <conditionalFormatting sqref="AO14">
    <cfRule type="cellIs" dxfId="1" priority="726" operator="equal">
      <formula>0</formula>
    </cfRule>
    <cfRule type="cellIs" dxfId="2" priority="727" operator="lessThan">
      <formula>H14</formula>
    </cfRule>
  </conditionalFormatting>
  <conditionalFormatting sqref="AO16">
    <cfRule type="cellIs" dxfId="1" priority="732" operator="equal">
      <formula>0</formula>
    </cfRule>
    <cfRule type="cellIs" dxfId="2" priority="733" operator="lessThan">
      <formula>H16</formula>
    </cfRule>
  </conditionalFormatting>
  <conditionalFormatting sqref="AO21">
    <cfRule type="cellIs" dxfId="1" priority="737" operator="equal">
      <formula>0</formula>
    </cfRule>
    <cfRule type="cellIs" dxfId="2" priority="738" operator="lessThan">
      <formula>H21</formula>
    </cfRule>
  </conditionalFormatting>
  <conditionalFormatting sqref="AO23">
    <cfRule type="cellIs" dxfId="1" priority="743" operator="equal">
      <formula>0</formula>
    </cfRule>
    <cfRule type="cellIs" dxfId="2" priority="744" operator="lessThan">
      <formula>H23</formula>
    </cfRule>
  </conditionalFormatting>
  <conditionalFormatting sqref="AO26">
    <cfRule type="cellIs" dxfId="1" priority="749" operator="equal">
      <formula>0</formula>
    </cfRule>
    <cfRule type="cellIs" dxfId="2" priority="750" operator="lessThan">
      <formula>H26</formula>
    </cfRule>
  </conditionalFormatting>
  <conditionalFormatting sqref="AO27">
    <cfRule type="cellIs" dxfId="1" priority="755" operator="equal">
      <formula>0</formula>
    </cfRule>
    <cfRule type="cellIs" dxfId="2" priority="756" operator="lessThan">
      <formula>H27</formula>
    </cfRule>
  </conditionalFormatting>
  <conditionalFormatting sqref="AO29">
    <cfRule type="cellIs" dxfId="1" priority="761" operator="equal">
      <formula>0</formula>
    </cfRule>
    <cfRule type="cellIs" dxfId="2" priority="762" operator="lessThan">
      <formula>H29</formula>
    </cfRule>
  </conditionalFormatting>
  <conditionalFormatting sqref="AO30">
    <cfRule type="cellIs" dxfId="1" priority="767" operator="equal">
      <formula>0</formula>
    </cfRule>
    <cfRule type="cellIs" dxfId="2" priority="768" operator="lessThan">
      <formula>H30</formula>
    </cfRule>
  </conditionalFormatting>
  <conditionalFormatting sqref="AO7">
    <cfRule type="cellIs" dxfId="1" priority="715" operator="equal">
      <formula>0</formula>
    </cfRule>
    <cfRule type="cellIs" dxfId="2" priority="716" operator="lessThan">
      <formula>H7</formula>
    </cfRule>
  </conditionalFormatting>
  <conditionalFormatting sqref="AP12">
    <cfRule type="expression" dxfId="3" priority="722">
      <formula>AND(AP12&gt;0,AP12&lt;15000)</formula>
    </cfRule>
    <cfRule type="cellIs" dxfId="1" priority="723" operator="greaterThan">
      <formula>AO12</formula>
    </cfRule>
  </conditionalFormatting>
  <conditionalFormatting sqref="AP14">
    <cfRule type="expression" dxfId="3" priority="728">
      <formula>AND(AP14&gt;0,AP14&lt;25)</formula>
    </cfRule>
    <cfRule type="cellIs" dxfId="1" priority="729" operator="greaterThan">
      <formula>AO14</formula>
    </cfRule>
  </conditionalFormatting>
  <conditionalFormatting sqref="AP16">
    <cfRule type="cellIs" dxfId="1" priority="734" operator="greaterThan">
      <formula>AO16</formula>
    </cfRule>
  </conditionalFormatting>
  <conditionalFormatting sqref="AP21">
    <cfRule type="expression" dxfId="3" priority="739">
      <formula>AND(AP21&gt;0,AP21&lt;15000)</formula>
    </cfRule>
    <cfRule type="cellIs" dxfId="1" priority="740" operator="greaterThan">
      <formula>AO21</formula>
    </cfRule>
  </conditionalFormatting>
  <conditionalFormatting sqref="AP23">
    <cfRule type="expression" dxfId="3" priority="745">
      <formula>AND(AP23&gt;0,AP23&lt;15000)</formula>
    </cfRule>
    <cfRule type="cellIs" dxfId="1" priority="746" operator="greaterThan">
      <formula>AO23</formula>
    </cfRule>
  </conditionalFormatting>
  <conditionalFormatting sqref="AP26">
    <cfRule type="expression" dxfId="3" priority="751">
      <formula>AND(AP26&gt;0,AP26&lt;15000)</formula>
    </cfRule>
    <cfRule type="cellIs" dxfId="1" priority="752" operator="greaterThan">
      <formula>AO26</formula>
    </cfRule>
  </conditionalFormatting>
  <conditionalFormatting sqref="AP27">
    <cfRule type="expression" dxfId="3" priority="757">
      <formula>AND(AP27&gt;0,AP27&lt;3000)</formula>
    </cfRule>
    <cfRule type="cellIs" dxfId="1" priority="758" operator="greaterThan">
      <formula>AO27</formula>
    </cfRule>
  </conditionalFormatting>
  <conditionalFormatting sqref="AP29">
    <cfRule type="expression" dxfId="3" priority="763">
      <formula>AND(AP29&gt;0,AP29&lt;25)</formula>
    </cfRule>
    <cfRule type="cellIs" dxfId="1" priority="764" operator="greaterThan">
      <formula>AO29</formula>
    </cfRule>
  </conditionalFormatting>
  <conditionalFormatting sqref="AP30">
    <cfRule type="expression" dxfId="3" priority="769">
      <formula>AND(AP30&gt;0,AP30&lt;3000)</formula>
    </cfRule>
    <cfRule type="cellIs" dxfId="1" priority="770" operator="greaterThan">
      <formula>AO30</formula>
    </cfRule>
  </conditionalFormatting>
  <conditionalFormatting sqref="AP7">
    <cfRule type="cellIs" dxfId="1" priority="717" operator="greaterThan">
      <formula>AO7</formula>
    </cfRule>
  </conditionalFormatting>
  <conditionalFormatting sqref="AQ12">
    <cfRule type="cellIs" dxfId="4" priority="725" operator="lessThanOrEqual">
      <formula>I12</formula>
    </cfRule>
  </conditionalFormatting>
  <conditionalFormatting sqref="AQ14">
    <cfRule type="cellIs" dxfId="4" priority="731" operator="lessThanOrEqual">
      <formula>I14</formula>
    </cfRule>
  </conditionalFormatting>
  <conditionalFormatting sqref="AQ16">
    <cfRule type="cellIs" dxfId="4" priority="736" operator="lessThanOrEqual">
      <formula>I16</formula>
    </cfRule>
  </conditionalFormatting>
  <conditionalFormatting sqref="AQ21">
    <cfRule type="cellIs" dxfId="4" priority="742" operator="lessThanOrEqual">
      <formula>I21</formula>
    </cfRule>
  </conditionalFormatting>
  <conditionalFormatting sqref="AQ23">
    <cfRule type="cellIs" dxfId="4" priority="748" operator="lessThanOrEqual">
      <formula>I23</formula>
    </cfRule>
  </conditionalFormatting>
  <conditionalFormatting sqref="AQ26">
    <cfRule type="cellIs" dxfId="4" priority="754" operator="lessThanOrEqual">
      <formula>I26</formula>
    </cfRule>
  </conditionalFormatting>
  <conditionalFormatting sqref="AQ27">
    <cfRule type="cellIs" dxfId="4" priority="760" operator="lessThanOrEqual">
      <formula>I27</formula>
    </cfRule>
  </conditionalFormatting>
  <conditionalFormatting sqref="AQ29">
    <cfRule type="cellIs" dxfId="4" priority="766" operator="lessThanOrEqual">
      <formula>I29</formula>
    </cfRule>
  </conditionalFormatting>
  <conditionalFormatting sqref="AQ30">
    <cfRule type="cellIs" dxfId="4" priority="772" operator="lessThanOrEqual">
      <formula>I30</formula>
    </cfRule>
  </conditionalFormatting>
  <conditionalFormatting sqref="AQ7">
    <cfRule type="cellIs" dxfId="4" priority="719" operator="lessThanOrEqual">
      <formula>I7</formula>
    </cfRule>
  </conditionalFormatting>
  <conditionalFormatting sqref="AR12">
    <cfRule type="cellIs" dxfId="4" priority="724" operator="lessThanOrEqual">
      <formula>J12</formula>
    </cfRule>
  </conditionalFormatting>
  <conditionalFormatting sqref="AR14">
    <cfRule type="cellIs" dxfId="4" priority="730" operator="lessThanOrEqual">
      <formula>J14</formula>
    </cfRule>
  </conditionalFormatting>
  <conditionalFormatting sqref="AR16">
    <cfRule type="cellIs" dxfId="4" priority="735" operator="lessThanOrEqual">
      <formula>J16</formula>
    </cfRule>
  </conditionalFormatting>
  <conditionalFormatting sqref="AR21">
    <cfRule type="cellIs" dxfId="4" priority="741" operator="lessThanOrEqual">
      <formula>J21</formula>
    </cfRule>
  </conditionalFormatting>
  <conditionalFormatting sqref="AR23">
    <cfRule type="cellIs" dxfId="4" priority="747" operator="lessThanOrEqual">
      <formula>J23</formula>
    </cfRule>
  </conditionalFormatting>
  <conditionalFormatting sqref="AR26">
    <cfRule type="cellIs" dxfId="4" priority="753" operator="lessThanOrEqual">
      <formula>J26</formula>
    </cfRule>
  </conditionalFormatting>
  <conditionalFormatting sqref="AR27">
    <cfRule type="cellIs" dxfId="4" priority="759" operator="lessThanOrEqual">
      <formula>J27</formula>
    </cfRule>
  </conditionalFormatting>
  <conditionalFormatting sqref="AR29">
    <cfRule type="cellIs" dxfId="4" priority="765" operator="lessThanOrEqual">
      <formula>J29</formula>
    </cfRule>
  </conditionalFormatting>
  <conditionalFormatting sqref="AR30">
    <cfRule type="cellIs" dxfId="4" priority="771" operator="lessThanOrEqual">
      <formula>J30</formula>
    </cfRule>
  </conditionalFormatting>
  <conditionalFormatting sqref="AR7">
    <cfRule type="cellIs" dxfId="4" priority="718" operator="lessThanOrEqual">
      <formula>J7</formula>
    </cfRule>
  </conditionalFormatting>
  <conditionalFormatting sqref="AT15">
    <cfRule type="cellIs" dxfId="1" priority="779" operator="equal">
      <formula>0</formula>
    </cfRule>
    <cfRule type="cellIs" dxfId="2" priority="780" operator="lessThan">
      <formula>H15</formula>
    </cfRule>
  </conditionalFormatting>
  <conditionalFormatting sqref="AT19">
    <cfRule type="cellIs" dxfId="1" priority="784" operator="equal">
      <formula>0</formula>
    </cfRule>
    <cfRule type="cellIs" dxfId="2" priority="785" operator="lessThan">
      <formula>H19</formula>
    </cfRule>
  </conditionalFormatting>
  <conditionalFormatting sqref="AT29">
    <cfRule type="cellIs" dxfId="1" priority="790" operator="equal">
      <formula>0</formula>
    </cfRule>
    <cfRule type="cellIs" dxfId="2" priority="791" operator="lessThan">
      <formula>H29</formula>
    </cfRule>
  </conditionalFormatting>
  <conditionalFormatting sqref="AT33">
    <cfRule type="cellIs" dxfId="1" priority="796" operator="equal">
      <formula>0</formula>
    </cfRule>
    <cfRule type="cellIs" dxfId="2" priority="797" operator="lessThan">
      <formula>H33</formula>
    </cfRule>
  </conditionalFormatting>
  <conditionalFormatting sqref="AT7">
    <cfRule type="cellIs" dxfId="1" priority="773" operator="equal">
      <formula>0</formula>
    </cfRule>
    <cfRule type="cellIs" dxfId="2" priority="774" operator="lessThan">
      <formula>H7</formula>
    </cfRule>
  </conditionalFormatting>
  <conditionalFormatting sqref="AU15">
    <cfRule type="cellIs" dxfId="1" priority="781" operator="greaterThan">
      <formula>AT15</formula>
    </cfRule>
  </conditionalFormatting>
  <conditionalFormatting sqref="AU19">
    <cfRule type="expression" dxfId="3" priority="786">
      <formula>AND(AU19&gt;0,AU19&lt;10)</formula>
    </cfRule>
    <cfRule type="cellIs" dxfId="1" priority="787" operator="greaterThan">
      <formula>AT19</formula>
    </cfRule>
  </conditionalFormatting>
  <conditionalFormatting sqref="AU29">
    <cfRule type="expression" dxfId="3" priority="792">
      <formula>AND(AU29&gt;0,AU29&lt;3)</formula>
    </cfRule>
    <cfRule type="cellIs" dxfId="1" priority="793" operator="greaterThan">
      <formula>AT29</formula>
    </cfRule>
  </conditionalFormatting>
  <conditionalFormatting sqref="AU33">
    <cfRule type="cellIs" dxfId="1" priority="798" operator="greaterThan">
      <formula>AT33</formula>
    </cfRule>
  </conditionalFormatting>
  <conditionalFormatting sqref="AU7">
    <cfRule type="expression" dxfId="3" priority="775">
      <formula>AND(AU7&gt;0,AU7&lt;1800)</formula>
    </cfRule>
    <cfRule type="cellIs" dxfId="1" priority="776" operator="greaterThan">
      <formula>AT7</formula>
    </cfRule>
  </conditionalFormatting>
  <conditionalFormatting sqref="AV15">
    <cfRule type="cellIs" dxfId="4" priority="783" operator="lessThanOrEqual">
      <formula>I15</formula>
    </cfRule>
  </conditionalFormatting>
  <conditionalFormatting sqref="AV19">
    <cfRule type="cellIs" dxfId="4" priority="789" operator="lessThanOrEqual">
      <formula>I19</formula>
    </cfRule>
  </conditionalFormatting>
  <conditionalFormatting sqref="AV29">
    <cfRule type="cellIs" dxfId="4" priority="795" operator="lessThanOrEqual">
      <formula>I29</formula>
    </cfRule>
  </conditionalFormatting>
  <conditionalFormatting sqref="AV33">
    <cfRule type="cellIs" dxfId="4" priority="800" operator="lessThanOrEqual">
      <formula>I33</formula>
    </cfRule>
  </conditionalFormatting>
  <conditionalFormatting sqref="AV7">
    <cfRule type="cellIs" dxfId="4" priority="778" operator="lessThanOrEqual">
      <formula>I7</formula>
    </cfRule>
  </conditionalFormatting>
  <conditionalFormatting sqref="AW15">
    <cfRule type="cellIs" dxfId="4" priority="782" operator="lessThanOrEqual">
      <formula>J15</formula>
    </cfRule>
  </conditionalFormatting>
  <conditionalFormatting sqref="AW19">
    <cfRule type="cellIs" dxfId="4" priority="788" operator="lessThanOrEqual">
      <formula>J19</formula>
    </cfRule>
  </conditionalFormatting>
  <conditionalFormatting sqref="AW29">
    <cfRule type="cellIs" dxfId="4" priority="794" operator="lessThanOrEqual">
      <formula>J29</formula>
    </cfRule>
  </conditionalFormatting>
  <conditionalFormatting sqref="AW33">
    <cfRule type="cellIs" dxfId="4" priority="799" operator="lessThanOrEqual">
      <formula>J33</formula>
    </cfRule>
  </conditionalFormatting>
  <conditionalFormatting sqref="AW7">
    <cfRule type="cellIs" dxfId="4" priority="777" operator="lessThanOrEqual">
      <formula>J7</formula>
    </cfRule>
  </conditionalFormatting>
  <conditionalFormatting sqref="H10">
    <cfRule type="expression" dxfId="0" priority="13">
      <formula>AND(ISBLANK(G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1">
    <cfRule type="expression" dxfId="0" priority="17">
      <formula>AND(ISBLANK(G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2">
    <cfRule type="expression" dxfId="0" priority="21">
      <formula>AND(ISBLANK(G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3">
    <cfRule type="expression" dxfId="0" priority="25">
      <formula>AND(ISBLANK(G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4">
    <cfRule type="expression" dxfId="0" priority="29">
      <formula>AND(ISBLANK(G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5">
    <cfRule type="expression" dxfId="0" priority="33">
      <formula>AND(ISBLANK(G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6">
    <cfRule type="expression" dxfId="0" priority="37">
      <formula>AND(ISBLANK(G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7">
    <cfRule type="expression" dxfId="0" priority="41">
      <formula>AND(ISBLANK(G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8">
    <cfRule type="expression" dxfId="0" priority="45">
      <formula>AND(ISBLANK(G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9">
    <cfRule type="expression" dxfId="0" priority="49">
      <formula>AND(ISBLANK(G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0">
    <cfRule type="expression" dxfId="0" priority="53">
      <formula>AND(ISBLANK(G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1">
    <cfRule type="expression" dxfId="0" priority="57">
      <formula>AND(ISBLANK(G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2">
    <cfRule type="expression" dxfId="0" priority="61">
      <formula>AND(ISBLANK(G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3">
    <cfRule type="expression" dxfId="0" priority="65">
      <formula>AND(ISBLANK(G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4">
    <cfRule type="expression" dxfId="0" priority="69">
      <formula>AND(ISBLANK(G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5">
    <cfRule type="expression" dxfId="0" priority="73">
      <formula>AND(ISBLANK(G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6">
    <cfRule type="expression" dxfId="0" priority="77">
      <formula>AND(ISBLANK(G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7">
    <cfRule type="expression" dxfId="0" priority="81">
      <formula>AND(ISBLANK(G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8">
    <cfRule type="expression" dxfId="0" priority="85">
      <formula>AND(ISBLANK(G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9">
    <cfRule type="expression" dxfId="0" priority="89">
      <formula>AND(ISBLANK(G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0">
    <cfRule type="expression" dxfId="0" priority="93">
      <formula>AND(ISBLANK(G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1">
    <cfRule type="expression" dxfId="0" priority="97">
      <formula>AND(ISBLANK(G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2">
    <cfRule type="expression" dxfId="0" priority="101">
      <formula>AND(ISBLANK(G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3">
    <cfRule type="expression" dxfId="0" priority="105">
      <formula>AND(ISBLANK(G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4">
    <cfRule type="expression" dxfId="0" priority="109">
      <formula>AND(ISBLANK(G34)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5">
    <cfRule type="expression" dxfId="0" priority="113">
      <formula>AND(ISBLANK(G35)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6">
    <cfRule type="expression" dxfId="0" priority="117">
      <formula>AND(ISBLANK(G36)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7">
    <cfRule type="expression" dxfId="0" priority="121">
      <formula>AND(ISBLANK(G37)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7">
    <cfRule type="expression" dxfId="0" priority="1">
      <formula>AND(ISBLANK(G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8">
    <cfRule type="expression" dxfId="0" priority="5">
      <formula>AND(ISBLANK(G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9">
    <cfRule type="expression" dxfId="0" priority="9">
      <formula>AND(ISBLANK(G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P10">
    <cfRule type="cellIs" dxfId="1" priority="140" operator="equal">
      <formula>0</formula>
    </cfRule>
    <cfRule type="cellIs" dxfId="2" priority="141" operator="lessThan">
      <formula>H10</formula>
    </cfRule>
  </conditionalFormatting>
  <conditionalFormatting sqref="P11">
    <cfRule type="cellIs" dxfId="1" priority="145" operator="equal">
      <formula>0</formula>
    </cfRule>
    <cfRule type="cellIs" dxfId="2" priority="146" operator="lessThan">
      <formula>H11</formula>
    </cfRule>
  </conditionalFormatting>
  <conditionalFormatting sqref="P12">
    <cfRule type="cellIs" dxfId="1" priority="150" operator="equal">
      <formula>0</formula>
    </cfRule>
    <cfRule type="cellIs" dxfId="2" priority="151" operator="lessThan">
      <formula>H12</formula>
    </cfRule>
  </conditionalFormatting>
  <conditionalFormatting sqref="P13">
    <cfRule type="cellIs" dxfId="1" priority="155" operator="equal">
      <formula>0</formula>
    </cfRule>
    <cfRule type="cellIs" dxfId="2" priority="156" operator="lessThan">
      <formula>H13</formula>
    </cfRule>
  </conditionalFormatting>
  <conditionalFormatting sqref="P14">
    <cfRule type="cellIs" dxfId="1" priority="160" operator="equal">
      <formula>0</formula>
    </cfRule>
    <cfRule type="cellIs" dxfId="2" priority="161" operator="lessThan">
      <formula>H14</formula>
    </cfRule>
  </conditionalFormatting>
  <conditionalFormatting sqref="P15">
    <cfRule type="cellIs" dxfId="1" priority="165" operator="equal">
      <formula>0</formula>
    </cfRule>
    <cfRule type="cellIs" dxfId="2" priority="166" operator="lessThan">
      <formula>H15</formula>
    </cfRule>
  </conditionalFormatting>
  <conditionalFormatting sqref="P16">
    <cfRule type="cellIs" dxfId="1" priority="170" operator="equal">
      <formula>0</formula>
    </cfRule>
    <cfRule type="cellIs" dxfId="2" priority="171" operator="lessThan">
      <formula>H16</formula>
    </cfRule>
  </conditionalFormatting>
  <conditionalFormatting sqref="P17">
    <cfRule type="cellIs" dxfId="1" priority="175" operator="equal">
      <formula>0</formula>
    </cfRule>
    <cfRule type="cellIs" dxfId="2" priority="176" operator="lessThan">
      <formula>H17</formula>
    </cfRule>
  </conditionalFormatting>
  <conditionalFormatting sqref="P18">
    <cfRule type="cellIs" dxfId="1" priority="180" operator="equal">
      <formula>0</formula>
    </cfRule>
    <cfRule type="cellIs" dxfId="2" priority="181" operator="lessThan">
      <formula>H18</formula>
    </cfRule>
  </conditionalFormatting>
  <conditionalFormatting sqref="P19">
    <cfRule type="cellIs" dxfId="1" priority="185" operator="equal">
      <formula>0</formula>
    </cfRule>
    <cfRule type="cellIs" dxfId="2" priority="186" operator="lessThan">
      <formula>H19</formula>
    </cfRule>
  </conditionalFormatting>
  <conditionalFormatting sqref="P20">
    <cfRule type="cellIs" dxfId="1" priority="191" operator="equal">
      <formula>0</formula>
    </cfRule>
    <cfRule type="cellIs" dxfId="2" priority="192" operator="lessThan">
      <formula>H20</formula>
    </cfRule>
  </conditionalFormatting>
  <conditionalFormatting sqref="P21">
    <cfRule type="cellIs" dxfId="1" priority="197" operator="equal">
      <formula>0</formula>
    </cfRule>
    <cfRule type="cellIs" dxfId="2" priority="198" operator="lessThan">
      <formula>H21</formula>
    </cfRule>
  </conditionalFormatting>
  <conditionalFormatting sqref="P22">
    <cfRule type="cellIs" dxfId="1" priority="202" operator="equal">
      <formula>0</formula>
    </cfRule>
    <cfRule type="cellIs" dxfId="2" priority="203" operator="lessThan">
      <formula>H22</formula>
    </cfRule>
  </conditionalFormatting>
  <conditionalFormatting sqref="P23">
    <cfRule type="cellIs" dxfId="1" priority="207" operator="equal">
      <formula>0</formula>
    </cfRule>
    <cfRule type="cellIs" dxfId="2" priority="208" operator="lessThan">
      <formula>H23</formula>
    </cfRule>
  </conditionalFormatting>
  <conditionalFormatting sqref="P24">
    <cfRule type="cellIs" dxfId="1" priority="212" operator="equal">
      <formula>0</formula>
    </cfRule>
    <cfRule type="cellIs" dxfId="2" priority="213" operator="lessThan">
      <formula>H24</formula>
    </cfRule>
  </conditionalFormatting>
  <conditionalFormatting sqref="P25">
    <cfRule type="cellIs" dxfId="1" priority="217" operator="equal">
      <formula>0</formula>
    </cfRule>
    <cfRule type="cellIs" dxfId="2" priority="218" operator="lessThan">
      <formula>H25</formula>
    </cfRule>
  </conditionalFormatting>
  <conditionalFormatting sqref="P26">
    <cfRule type="cellIs" dxfId="1" priority="222" operator="equal">
      <formula>0</formula>
    </cfRule>
    <cfRule type="cellIs" dxfId="2" priority="223" operator="lessThan">
      <formula>H26</formula>
    </cfRule>
  </conditionalFormatting>
  <conditionalFormatting sqref="P27">
    <cfRule type="cellIs" dxfId="1" priority="227" operator="equal">
      <formula>0</formula>
    </cfRule>
    <cfRule type="cellIs" dxfId="2" priority="228" operator="lessThan">
      <formula>H27</formula>
    </cfRule>
  </conditionalFormatting>
  <conditionalFormatting sqref="P28">
    <cfRule type="cellIs" dxfId="1" priority="232" operator="equal">
      <formula>0</formula>
    </cfRule>
    <cfRule type="cellIs" dxfId="2" priority="233" operator="lessThan">
      <formula>H28</formula>
    </cfRule>
  </conditionalFormatting>
  <conditionalFormatting sqref="P29">
    <cfRule type="cellIs" dxfId="1" priority="238" operator="equal">
      <formula>0</formula>
    </cfRule>
    <cfRule type="cellIs" dxfId="2" priority="239" operator="lessThan">
      <formula>H29</formula>
    </cfRule>
  </conditionalFormatting>
  <conditionalFormatting sqref="P30">
    <cfRule type="cellIs" dxfId="1" priority="243" operator="equal">
      <formula>0</formula>
    </cfRule>
    <cfRule type="cellIs" dxfId="2" priority="244" operator="lessThan">
      <formula>H30</formula>
    </cfRule>
  </conditionalFormatting>
  <conditionalFormatting sqref="P31">
    <cfRule type="cellIs" dxfId="1" priority="248" operator="equal">
      <formula>0</formula>
    </cfRule>
    <cfRule type="cellIs" dxfId="2" priority="249" operator="lessThan">
      <formula>H31</formula>
    </cfRule>
  </conditionalFormatting>
  <conditionalFormatting sqref="P32">
    <cfRule type="cellIs" dxfId="1" priority="254" operator="equal">
      <formula>0</formula>
    </cfRule>
    <cfRule type="cellIs" dxfId="2" priority="255" operator="lessThan">
      <formula>H32</formula>
    </cfRule>
  </conditionalFormatting>
  <conditionalFormatting sqref="P33">
    <cfRule type="cellIs" dxfId="1" priority="259" operator="equal">
      <formula>0</formula>
    </cfRule>
    <cfRule type="cellIs" dxfId="2" priority="260" operator="lessThan">
      <formula>H33</formula>
    </cfRule>
  </conditionalFormatting>
  <conditionalFormatting sqref="P34">
    <cfRule type="cellIs" dxfId="1" priority="264" operator="equal">
      <formula>0</formula>
    </cfRule>
    <cfRule type="cellIs" dxfId="2" priority="265" operator="lessThan">
      <formula>H34</formula>
    </cfRule>
  </conditionalFormatting>
  <conditionalFormatting sqref="P35">
    <cfRule type="cellIs" dxfId="1" priority="269" operator="equal">
      <formula>0</formula>
    </cfRule>
    <cfRule type="cellIs" dxfId="2" priority="270" operator="lessThan">
      <formula>H35</formula>
    </cfRule>
  </conditionalFormatting>
  <conditionalFormatting sqref="P36">
    <cfRule type="cellIs" dxfId="1" priority="274" operator="equal">
      <formula>0</formula>
    </cfRule>
    <cfRule type="cellIs" dxfId="2" priority="275" operator="lessThan">
      <formula>H36</formula>
    </cfRule>
  </conditionalFormatting>
  <conditionalFormatting sqref="P7">
    <cfRule type="cellIs" dxfId="1" priority="125" operator="equal">
      <formula>0</formula>
    </cfRule>
    <cfRule type="cellIs" dxfId="2" priority="126" operator="lessThan">
      <formula>H7</formula>
    </cfRule>
  </conditionalFormatting>
  <conditionalFormatting sqref="P8">
    <cfRule type="cellIs" dxfId="1" priority="130" operator="equal">
      <formula>0</formula>
    </cfRule>
    <cfRule type="cellIs" dxfId="2" priority="131" operator="lessThan">
      <formula>H8</formula>
    </cfRule>
  </conditionalFormatting>
  <conditionalFormatting sqref="P9">
    <cfRule type="cellIs" dxfId="1" priority="135" operator="equal">
      <formula>0</formula>
    </cfRule>
    <cfRule type="cellIs" dxfId="2" priority="136" operator="lessThan">
      <formula>H9</formula>
    </cfRule>
  </conditionalFormatting>
  <conditionalFormatting sqref="Q10">
    <cfRule type="cellIs" dxfId="1" priority="142" operator="greaterThan">
      <formula>P10</formula>
    </cfRule>
  </conditionalFormatting>
  <conditionalFormatting sqref="Q11">
    <cfRule type="cellIs" dxfId="1" priority="147" operator="greaterThan">
      <formula>P11</formula>
    </cfRule>
  </conditionalFormatting>
  <conditionalFormatting sqref="Q12">
    <cfRule type="cellIs" dxfId="1" priority="152" operator="greaterThan">
      <formula>P12</formula>
    </cfRule>
  </conditionalFormatting>
  <conditionalFormatting sqref="Q13">
    <cfRule type="cellIs" dxfId="1" priority="157" operator="greaterThan">
      <formula>P13</formula>
    </cfRule>
  </conditionalFormatting>
  <conditionalFormatting sqref="Q14">
    <cfRule type="cellIs" dxfId="1" priority="162" operator="greaterThan">
      <formula>P14</formula>
    </cfRule>
  </conditionalFormatting>
  <conditionalFormatting sqref="Q15">
    <cfRule type="cellIs" dxfId="1" priority="167" operator="greaterThan">
      <formula>P15</formula>
    </cfRule>
  </conditionalFormatting>
  <conditionalFormatting sqref="Q16">
    <cfRule type="cellIs" dxfId="1" priority="172" operator="greaterThan">
      <formula>P16</formula>
    </cfRule>
  </conditionalFormatting>
  <conditionalFormatting sqref="Q17">
    <cfRule type="cellIs" dxfId="1" priority="177" operator="greaterThan">
      <formula>P17</formula>
    </cfRule>
  </conditionalFormatting>
  <conditionalFormatting sqref="Q18">
    <cfRule type="cellIs" dxfId="1" priority="182" operator="greaterThan">
      <formula>P18</formula>
    </cfRule>
  </conditionalFormatting>
  <conditionalFormatting sqref="Q19">
    <cfRule type="expression" dxfId="3" priority="187">
      <formula>AND(Q19&gt;0,Q19&lt;4000)</formula>
    </cfRule>
    <cfRule type="cellIs" dxfId="1" priority="188" operator="greaterThan">
      <formula>P19</formula>
    </cfRule>
  </conditionalFormatting>
  <conditionalFormatting sqref="Q20">
    <cfRule type="expression" dxfId="3" priority="193">
      <formula>AND(Q20&gt;0,Q20&lt;10000)</formula>
    </cfRule>
    <cfRule type="cellIs" dxfId="1" priority="194" operator="greaterThan">
      <formula>P20</formula>
    </cfRule>
  </conditionalFormatting>
  <conditionalFormatting sqref="Q21">
    <cfRule type="cellIs" dxfId="1" priority="199" operator="greaterThan">
      <formula>P21</formula>
    </cfRule>
  </conditionalFormatting>
  <conditionalFormatting sqref="Q22">
    <cfRule type="cellIs" dxfId="1" priority="204" operator="greaterThan">
      <formula>P22</formula>
    </cfRule>
  </conditionalFormatting>
  <conditionalFormatting sqref="Q23">
    <cfRule type="cellIs" dxfId="1" priority="209" operator="greaterThan">
      <formula>P23</formula>
    </cfRule>
  </conditionalFormatting>
  <conditionalFormatting sqref="Q24">
    <cfRule type="cellIs" dxfId="1" priority="214" operator="greaterThan">
      <formula>P24</formula>
    </cfRule>
  </conditionalFormatting>
  <conditionalFormatting sqref="Q25">
    <cfRule type="cellIs" dxfId="1" priority="219" operator="greaterThan">
      <formula>P25</formula>
    </cfRule>
  </conditionalFormatting>
  <conditionalFormatting sqref="Q26">
    <cfRule type="cellIs" dxfId="1" priority="224" operator="greaterThan">
      <formula>P26</formula>
    </cfRule>
  </conditionalFormatting>
  <conditionalFormatting sqref="Q27">
    <cfRule type="cellIs" dxfId="1" priority="229" operator="greaterThan">
      <formula>P27</formula>
    </cfRule>
  </conditionalFormatting>
  <conditionalFormatting sqref="Q28">
    <cfRule type="expression" dxfId="3" priority="234">
      <formula>AND(Q28&gt;0,Q28&lt;2000)</formula>
    </cfRule>
    <cfRule type="cellIs" dxfId="1" priority="235" operator="greaterThan">
      <formula>P28</formula>
    </cfRule>
  </conditionalFormatting>
  <conditionalFormatting sqref="Q29">
    <cfRule type="cellIs" dxfId="1" priority="240" operator="greaterThan">
      <formula>P29</formula>
    </cfRule>
  </conditionalFormatting>
  <conditionalFormatting sqref="Q30">
    <cfRule type="cellIs" dxfId="1" priority="245" operator="greaterThan">
      <formula>P30</formula>
    </cfRule>
  </conditionalFormatting>
  <conditionalFormatting sqref="Q31">
    <cfRule type="expression" dxfId="3" priority="250">
      <formula>AND(Q31&gt;0,Q31&lt;5000)</formula>
    </cfRule>
    <cfRule type="cellIs" dxfId="1" priority="251" operator="greaterThan">
      <formula>P31</formula>
    </cfRule>
  </conditionalFormatting>
  <conditionalFormatting sqref="Q32">
    <cfRule type="cellIs" dxfId="1" priority="256" operator="greaterThan">
      <formula>P32</formula>
    </cfRule>
  </conditionalFormatting>
  <conditionalFormatting sqref="Q33">
    <cfRule type="cellIs" dxfId="1" priority="261" operator="greaterThan">
      <formula>P33</formula>
    </cfRule>
  </conditionalFormatting>
  <conditionalFormatting sqref="Q34">
    <cfRule type="cellIs" dxfId="1" priority="266" operator="greaterThan">
      <formula>P34</formula>
    </cfRule>
  </conditionalFormatting>
  <conditionalFormatting sqref="Q35">
    <cfRule type="cellIs" dxfId="1" priority="271" operator="greaterThan">
      <formula>P35</formula>
    </cfRule>
  </conditionalFormatting>
  <conditionalFormatting sqref="Q36">
    <cfRule type="cellIs" dxfId="1" priority="276" operator="greaterThan">
      <formula>P36</formula>
    </cfRule>
  </conditionalFormatting>
  <conditionalFormatting sqref="Q7">
    <cfRule type="cellIs" dxfId="1" priority="127" operator="greaterThan">
      <formula>P7</formula>
    </cfRule>
  </conditionalFormatting>
  <conditionalFormatting sqref="Q8">
    <cfRule type="cellIs" dxfId="1" priority="132" operator="greaterThan">
      <formula>P8</formula>
    </cfRule>
  </conditionalFormatting>
  <conditionalFormatting sqref="Q9">
    <cfRule type="cellIs" dxfId="1" priority="137" operator="greaterThan">
      <formula>P9</formula>
    </cfRule>
  </conditionalFormatting>
  <conditionalFormatting sqref="R10">
    <cfRule type="cellIs" dxfId="4" priority="144" operator="lessThanOrEqual">
      <formula>I10</formula>
    </cfRule>
  </conditionalFormatting>
  <conditionalFormatting sqref="R11">
    <cfRule type="cellIs" dxfId="4" priority="149" operator="lessThanOrEqual">
      <formula>I11</formula>
    </cfRule>
  </conditionalFormatting>
  <conditionalFormatting sqref="R12">
    <cfRule type="cellIs" dxfId="4" priority="154" operator="lessThanOrEqual">
      <formula>I12</formula>
    </cfRule>
  </conditionalFormatting>
  <conditionalFormatting sqref="R13">
    <cfRule type="cellIs" dxfId="4" priority="159" operator="lessThanOrEqual">
      <formula>I13</formula>
    </cfRule>
  </conditionalFormatting>
  <conditionalFormatting sqref="R14">
    <cfRule type="cellIs" dxfId="4" priority="164" operator="lessThanOrEqual">
      <formula>I14</formula>
    </cfRule>
  </conditionalFormatting>
  <conditionalFormatting sqref="R15">
    <cfRule type="cellIs" dxfId="4" priority="169" operator="lessThanOrEqual">
      <formula>I15</formula>
    </cfRule>
  </conditionalFormatting>
  <conditionalFormatting sqref="R16">
    <cfRule type="cellIs" dxfId="4" priority="174" operator="lessThanOrEqual">
      <formula>I16</formula>
    </cfRule>
  </conditionalFormatting>
  <conditionalFormatting sqref="R17">
    <cfRule type="cellIs" dxfId="4" priority="179" operator="lessThanOrEqual">
      <formula>I17</formula>
    </cfRule>
  </conditionalFormatting>
  <conditionalFormatting sqref="R18">
    <cfRule type="cellIs" dxfId="4" priority="184" operator="lessThanOrEqual">
      <formula>I18</formula>
    </cfRule>
  </conditionalFormatting>
  <conditionalFormatting sqref="R19">
    <cfRule type="cellIs" dxfId="4" priority="190" operator="lessThanOrEqual">
      <formula>I19</formula>
    </cfRule>
  </conditionalFormatting>
  <conditionalFormatting sqref="R20">
    <cfRule type="cellIs" dxfId="4" priority="196" operator="lessThanOrEqual">
      <formula>I20</formula>
    </cfRule>
  </conditionalFormatting>
  <conditionalFormatting sqref="R21">
    <cfRule type="cellIs" dxfId="4" priority="201" operator="lessThanOrEqual">
      <formula>I21</formula>
    </cfRule>
  </conditionalFormatting>
  <conditionalFormatting sqref="R22">
    <cfRule type="cellIs" dxfId="4" priority="206" operator="lessThanOrEqual">
      <formula>I22</formula>
    </cfRule>
  </conditionalFormatting>
  <conditionalFormatting sqref="R23">
    <cfRule type="cellIs" dxfId="4" priority="211" operator="lessThanOrEqual">
      <formula>I23</formula>
    </cfRule>
  </conditionalFormatting>
  <conditionalFormatting sqref="R24">
    <cfRule type="cellIs" dxfId="4" priority="216" operator="lessThanOrEqual">
      <formula>I24</formula>
    </cfRule>
  </conditionalFormatting>
  <conditionalFormatting sqref="R25">
    <cfRule type="cellIs" dxfId="4" priority="221" operator="lessThanOrEqual">
      <formula>I25</formula>
    </cfRule>
  </conditionalFormatting>
  <conditionalFormatting sqref="R26">
    <cfRule type="cellIs" dxfId="4" priority="226" operator="lessThanOrEqual">
      <formula>I26</formula>
    </cfRule>
  </conditionalFormatting>
  <conditionalFormatting sqref="R27">
    <cfRule type="cellIs" dxfId="4" priority="231" operator="lessThanOrEqual">
      <formula>I27</formula>
    </cfRule>
  </conditionalFormatting>
  <conditionalFormatting sqref="R28">
    <cfRule type="cellIs" dxfId="4" priority="237" operator="lessThanOrEqual">
      <formula>I28</formula>
    </cfRule>
  </conditionalFormatting>
  <conditionalFormatting sqref="R29">
    <cfRule type="cellIs" dxfId="4" priority="242" operator="lessThanOrEqual">
      <formula>I29</formula>
    </cfRule>
  </conditionalFormatting>
  <conditionalFormatting sqref="R30">
    <cfRule type="cellIs" dxfId="4" priority="247" operator="lessThanOrEqual">
      <formula>I30</formula>
    </cfRule>
  </conditionalFormatting>
  <conditionalFormatting sqref="R31">
    <cfRule type="cellIs" dxfId="4" priority="253" operator="lessThanOrEqual">
      <formula>I31</formula>
    </cfRule>
  </conditionalFormatting>
  <conditionalFormatting sqref="R32">
    <cfRule type="cellIs" dxfId="4" priority="258" operator="lessThanOrEqual">
      <formula>I32</formula>
    </cfRule>
  </conditionalFormatting>
  <conditionalFormatting sqref="R33">
    <cfRule type="cellIs" dxfId="4" priority="263" operator="lessThanOrEqual">
      <formula>I33</formula>
    </cfRule>
  </conditionalFormatting>
  <conditionalFormatting sqref="R34">
    <cfRule type="cellIs" dxfId="4" priority="268" operator="lessThanOrEqual">
      <formula>I34</formula>
    </cfRule>
  </conditionalFormatting>
  <conditionalFormatting sqref="R35">
    <cfRule type="cellIs" dxfId="4" priority="273" operator="lessThanOrEqual">
      <formula>I35</formula>
    </cfRule>
  </conditionalFormatting>
  <conditionalFormatting sqref="R36">
    <cfRule type="cellIs" dxfId="4" priority="278" operator="lessThanOrEqual">
      <formula>I36</formula>
    </cfRule>
  </conditionalFormatting>
  <conditionalFormatting sqref="R7">
    <cfRule type="cellIs" dxfId="4" priority="129" operator="lessThanOrEqual">
      <formula>I7</formula>
    </cfRule>
  </conditionalFormatting>
  <conditionalFormatting sqref="R8">
    <cfRule type="cellIs" dxfId="4" priority="134" operator="lessThanOrEqual">
      <formula>I8</formula>
    </cfRule>
  </conditionalFormatting>
  <conditionalFormatting sqref="R9">
    <cfRule type="cellIs" dxfId="4" priority="139" operator="lessThanOrEqual">
      <formula>I9</formula>
    </cfRule>
  </conditionalFormatting>
  <conditionalFormatting sqref="S10">
    <cfRule type="cellIs" dxfId="4" priority="143" operator="lessThanOrEqual">
      <formula>J10</formula>
    </cfRule>
  </conditionalFormatting>
  <conditionalFormatting sqref="S11">
    <cfRule type="cellIs" dxfId="4" priority="148" operator="lessThanOrEqual">
      <formula>J11</formula>
    </cfRule>
  </conditionalFormatting>
  <conditionalFormatting sqref="S12">
    <cfRule type="cellIs" dxfId="4" priority="153" operator="lessThanOrEqual">
      <formula>J12</formula>
    </cfRule>
  </conditionalFormatting>
  <conditionalFormatting sqref="S13">
    <cfRule type="cellIs" dxfId="4" priority="158" operator="lessThanOrEqual">
      <formula>J13</formula>
    </cfRule>
  </conditionalFormatting>
  <conditionalFormatting sqref="S14">
    <cfRule type="cellIs" dxfId="4" priority="163" operator="lessThanOrEqual">
      <formula>J14</formula>
    </cfRule>
  </conditionalFormatting>
  <conditionalFormatting sqref="S15">
    <cfRule type="cellIs" dxfId="4" priority="168" operator="lessThanOrEqual">
      <formula>J15</formula>
    </cfRule>
  </conditionalFormatting>
  <conditionalFormatting sqref="S16">
    <cfRule type="cellIs" dxfId="4" priority="173" operator="lessThanOrEqual">
      <formula>J16</formula>
    </cfRule>
  </conditionalFormatting>
  <conditionalFormatting sqref="S17">
    <cfRule type="cellIs" dxfId="4" priority="178" operator="lessThanOrEqual">
      <formula>J17</formula>
    </cfRule>
  </conditionalFormatting>
  <conditionalFormatting sqref="S18">
    <cfRule type="cellIs" dxfId="4" priority="183" operator="lessThanOrEqual">
      <formula>J18</formula>
    </cfRule>
  </conditionalFormatting>
  <conditionalFormatting sqref="S19">
    <cfRule type="cellIs" dxfId="4" priority="189" operator="lessThanOrEqual">
      <formula>J19</formula>
    </cfRule>
  </conditionalFormatting>
  <conditionalFormatting sqref="S20">
    <cfRule type="cellIs" dxfId="4" priority="195" operator="lessThanOrEqual">
      <formula>J20</formula>
    </cfRule>
  </conditionalFormatting>
  <conditionalFormatting sqref="S21">
    <cfRule type="cellIs" dxfId="4" priority="200" operator="lessThanOrEqual">
      <formula>J21</formula>
    </cfRule>
  </conditionalFormatting>
  <conditionalFormatting sqref="S22">
    <cfRule type="cellIs" dxfId="4" priority="205" operator="lessThanOrEqual">
      <formula>J22</formula>
    </cfRule>
  </conditionalFormatting>
  <conditionalFormatting sqref="S23">
    <cfRule type="cellIs" dxfId="4" priority="210" operator="lessThanOrEqual">
      <formula>J23</formula>
    </cfRule>
  </conditionalFormatting>
  <conditionalFormatting sqref="S24">
    <cfRule type="cellIs" dxfId="4" priority="215" operator="lessThanOrEqual">
      <formula>J24</formula>
    </cfRule>
  </conditionalFormatting>
  <conditionalFormatting sqref="S25">
    <cfRule type="cellIs" dxfId="4" priority="220" operator="lessThanOrEqual">
      <formula>J25</formula>
    </cfRule>
  </conditionalFormatting>
  <conditionalFormatting sqref="S26">
    <cfRule type="cellIs" dxfId="4" priority="225" operator="lessThanOrEqual">
      <formula>J26</formula>
    </cfRule>
  </conditionalFormatting>
  <conditionalFormatting sqref="S27">
    <cfRule type="cellIs" dxfId="4" priority="230" operator="lessThanOrEqual">
      <formula>J27</formula>
    </cfRule>
  </conditionalFormatting>
  <conditionalFormatting sqref="S28">
    <cfRule type="cellIs" dxfId="4" priority="236" operator="lessThanOrEqual">
      <formula>J28</formula>
    </cfRule>
  </conditionalFormatting>
  <conditionalFormatting sqref="S29">
    <cfRule type="cellIs" dxfId="4" priority="241" operator="lessThanOrEqual">
      <formula>J29</formula>
    </cfRule>
  </conditionalFormatting>
  <conditionalFormatting sqref="S30">
    <cfRule type="cellIs" dxfId="4" priority="246" operator="lessThanOrEqual">
      <formula>J30</formula>
    </cfRule>
  </conditionalFormatting>
  <conditionalFormatting sqref="S31">
    <cfRule type="cellIs" dxfId="4" priority="252" operator="lessThanOrEqual">
      <formula>J31</formula>
    </cfRule>
  </conditionalFormatting>
  <conditionalFormatting sqref="S32">
    <cfRule type="cellIs" dxfId="4" priority="257" operator="lessThanOrEqual">
      <formula>J32</formula>
    </cfRule>
  </conditionalFormatting>
  <conditionalFormatting sqref="S33">
    <cfRule type="cellIs" dxfId="4" priority="262" operator="lessThanOrEqual">
      <formula>J33</formula>
    </cfRule>
  </conditionalFormatting>
  <conditionalFormatting sqref="S34">
    <cfRule type="cellIs" dxfId="4" priority="267" operator="lessThanOrEqual">
      <formula>J34</formula>
    </cfRule>
  </conditionalFormatting>
  <conditionalFormatting sqref="S35">
    <cfRule type="cellIs" dxfId="4" priority="272" operator="lessThanOrEqual">
      <formula>J35</formula>
    </cfRule>
  </conditionalFormatting>
  <conditionalFormatting sqref="S36">
    <cfRule type="cellIs" dxfId="4" priority="277" operator="lessThanOrEqual">
      <formula>J36</formula>
    </cfRule>
  </conditionalFormatting>
  <conditionalFormatting sqref="S7">
    <cfRule type="cellIs" dxfId="4" priority="128" operator="lessThanOrEqual">
      <formula>J7</formula>
    </cfRule>
  </conditionalFormatting>
  <conditionalFormatting sqref="S8">
    <cfRule type="cellIs" dxfId="4" priority="133" operator="lessThanOrEqual">
      <formula>J8</formula>
    </cfRule>
  </conditionalFormatting>
  <conditionalFormatting sqref="S9">
    <cfRule type="cellIs" dxfId="4" priority="138" operator="lessThanOrEqual">
      <formula>J9</formula>
    </cfRule>
  </conditionalFormatting>
  <conditionalFormatting sqref="U10">
    <cfRule type="cellIs" dxfId="1" priority="296" operator="equal">
      <formula>0</formula>
    </cfRule>
    <cfRule type="cellIs" dxfId="2" priority="297" operator="lessThan">
      <formula>H10</formula>
    </cfRule>
  </conditionalFormatting>
  <conditionalFormatting sqref="U11">
    <cfRule type="cellIs" dxfId="1" priority="302" operator="equal">
      <formula>0</formula>
    </cfRule>
    <cfRule type="cellIs" dxfId="2" priority="303" operator="lessThan">
      <formula>H11</formula>
    </cfRule>
  </conditionalFormatting>
  <conditionalFormatting sqref="U12">
    <cfRule type="cellIs" dxfId="1" priority="308" operator="equal">
      <formula>0</formula>
    </cfRule>
    <cfRule type="cellIs" dxfId="2" priority="309" operator="lessThan">
      <formula>H12</formula>
    </cfRule>
  </conditionalFormatting>
  <conditionalFormatting sqref="U13">
    <cfRule type="cellIs" dxfId="1" priority="314" operator="equal">
      <formula>0</formula>
    </cfRule>
    <cfRule type="cellIs" dxfId="2" priority="315" operator="lessThan">
      <formula>H13</formula>
    </cfRule>
  </conditionalFormatting>
  <conditionalFormatting sqref="U14">
    <cfRule type="cellIs" dxfId="1" priority="320" operator="equal">
      <formula>0</formula>
    </cfRule>
    <cfRule type="cellIs" dxfId="2" priority="321" operator="lessThan">
      <formula>H14</formula>
    </cfRule>
  </conditionalFormatting>
  <conditionalFormatting sqref="U15">
    <cfRule type="cellIs" dxfId="1" priority="326" operator="equal">
      <formula>0</formula>
    </cfRule>
    <cfRule type="cellIs" dxfId="2" priority="327" operator="lessThan">
      <formula>H15</formula>
    </cfRule>
  </conditionalFormatting>
  <conditionalFormatting sqref="U19">
    <cfRule type="cellIs" dxfId="1" priority="331" operator="equal">
      <formula>0</formula>
    </cfRule>
    <cfRule type="cellIs" dxfId="2" priority="332" operator="lessThan">
      <formula>H19</formula>
    </cfRule>
  </conditionalFormatting>
  <conditionalFormatting sqref="U21">
    <cfRule type="cellIs" dxfId="1" priority="337" operator="equal">
      <formula>0</formula>
    </cfRule>
    <cfRule type="cellIs" dxfId="2" priority="338" operator="lessThan">
      <formula>H21</formula>
    </cfRule>
  </conditionalFormatting>
  <conditionalFormatting sqref="U22">
    <cfRule type="cellIs" dxfId="1" priority="343" operator="equal">
      <formula>0</formula>
    </cfRule>
    <cfRule type="cellIs" dxfId="2" priority="344" operator="lessThan">
      <formula>H22</formula>
    </cfRule>
  </conditionalFormatting>
  <conditionalFormatting sqref="U23">
    <cfRule type="cellIs" dxfId="1" priority="349" operator="equal">
      <formula>0</formula>
    </cfRule>
    <cfRule type="cellIs" dxfId="2" priority="350" operator="lessThan">
      <formula>H23</formula>
    </cfRule>
  </conditionalFormatting>
  <conditionalFormatting sqref="U24">
    <cfRule type="cellIs" dxfId="1" priority="355" operator="equal">
      <formula>0</formula>
    </cfRule>
    <cfRule type="cellIs" dxfId="2" priority="356" operator="lessThan">
      <formula>H24</formula>
    </cfRule>
  </conditionalFormatting>
  <conditionalFormatting sqref="U25">
    <cfRule type="cellIs" dxfId="1" priority="361" operator="equal">
      <formula>0</formula>
    </cfRule>
    <cfRule type="cellIs" dxfId="2" priority="362" operator="lessThan">
      <formula>H25</formula>
    </cfRule>
  </conditionalFormatting>
  <conditionalFormatting sqref="U26">
    <cfRule type="cellIs" dxfId="1" priority="367" operator="equal">
      <formula>0</formula>
    </cfRule>
    <cfRule type="cellIs" dxfId="2" priority="368" operator="lessThan">
      <formula>H26</formula>
    </cfRule>
  </conditionalFormatting>
  <conditionalFormatting sqref="U27">
    <cfRule type="cellIs" dxfId="1" priority="373" operator="equal">
      <formula>0</formula>
    </cfRule>
    <cfRule type="cellIs" dxfId="2" priority="374" operator="lessThan">
      <formula>H27</formula>
    </cfRule>
  </conditionalFormatting>
  <conditionalFormatting sqref="U29">
    <cfRule type="cellIs" dxfId="1" priority="379" operator="equal">
      <formula>0</formula>
    </cfRule>
    <cfRule type="cellIs" dxfId="2" priority="380" operator="lessThan">
      <formula>H29</formula>
    </cfRule>
  </conditionalFormatting>
  <conditionalFormatting sqref="U30">
    <cfRule type="cellIs" dxfId="1" priority="385" operator="equal">
      <formula>0</formula>
    </cfRule>
    <cfRule type="cellIs" dxfId="2" priority="386" operator="lessThan">
      <formula>H30</formula>
    </cfRule>
  </conditionalFormatting>
  <conditionalFormatting sqref="U31">
    <cfRule type="cellIs" dxfId="1" priority="391" operator="equal">
      <formula>0</formula>
    </cfRule>
    <cfRule type="cellIs" dxfId="2" priority="392" operator="lessThan">
      <formula>H31</formula>
    </cfRule>
  </conditionalFormatting>
  <conditionalFormatting sqref="U32">
    <cfRule type="cellIs" dxfId="1" priority="397" operator="equal">
      <formula>0</formula>
    </cfRule>
    <cfRule type="cellIs" dxfId="2" priority="398" operator="lessThan">
      <formula>H32</formula>
    </cfRule>
  </conditionalFormatting>
  <conditionalFormatting sqref="U34">
    <cfRule type="cellIs" dxfId="1" priority="402" operator="equal">
      <formula>0</formula>
    </cfRule>
    <cfRule type="cellIs" dxfId="2" priority="403" operator="lessThan">
      <formula>H34</formula>
    </cfRule>
  </conditionalFormatting>
  <conditionalFormatting sqref="U7">
    <cfRule type="cellIs" dxfId="1" priority="279" operator="equal">
      <formula>0</formula>
    </cfRule>
    <cfRule type="cellIs" dxfId="2" priority="280" operator="lessThan">
      <formula>H7</formula>
    </cfRule>
  </conditionalFormatting>
  <conditionalFormatting sqref="U8">
    <cfRule type="cellIs" dxfId="1" priority="284" operator="equal">
      <formula>0</formula>
    </cfRule>
    <cfRule type="cellIs" dxfId="2" priority="285" operator="lessThan">
      <formula>H8</formula>
    </cfRule>
  </conditionalFormatting>
  <conditionalFormatting sqref="U9">
    <cfRule type="cellIs" dxfId="1" priority="290" operator="equal">
      <formula>0</formula>
    </cfRule>
    <cfRule type="cellIs" dxfId="2" priority="291" operator="lessThan">
      <formula>H9</formula>
    </cfRule>
  </conditionalFormatting>
  <conditionalFormatting sqref="V10">
    <cfRule type="expression" dxfId="3" priority="298">
      <formula>AND(V10&gt;0,V10&lt;10)</formula>
    </cfRule>
    <cfRule type="cellIs" dxfId="1" priority="299" operator="greaterThan">
      <formula>U10</formula>
    </cfRule>
  </conditionalFormatting>
  <conditionalFormatting sqref="V11">
    <cfRule type="expression" dxfId="3" priority="304">
      <formula>AND(V11&gt;0,V11&lt;10)</formula>
    </cfRule>
    <cfRule type="cellIs" dxfId="1" priority="305" operator="greaterThan">
      <formula>U11</formula>
    </cfRule>
  </conditionalFormatting>
  <conditionalFormatting sqref="V12">
    <cfRule type="expression" dxfId="3" priority="310">
      <formula>AND(V12&gt;0,V12&lt;10)</formula>
    </cfRule>
    <cfRule type="cellIs" dxfId="1" priority="311" operator="greaterThan">
      <formula>U12</formula>
    </cfRule>
  </conditionalFormatting>
  <conditionalFormatting sqref="V13">
    <cfRule type="expression" dxfId="3" priority="316">
      <formula>AND(V13&gt;0,V13&lt;10000)</formula>
    </cfRule>
    <cfRule type="cellIs" dxfId="1" priority="317" operator="greaterThan">
      <formula>U13</formula>
    </cfRule>
  </conditionalFormatting>
  <conditionalFormatting sqref="V14">
    <cfRule type="expression" dxfId="3" priority="322">
      <formula>AND(V14&gt;0,V14&lt;5)</formula>
    </cfRule>
    <cfRule type="cellIs" dxfId="1" priority="323" operator="greaterThan">
      <formula>U14</formula>
    </cfRule>
  </conditionalFormatting>
  <conditionalFormatting sqref="V15">
    <cfRule type="cellIs" dxfId="1" priority="328" operator="greaterThan">
      <formula>U15</formula>
    </cfRule>
  </conditionalFormatting>
  <conditionalFormatting sqref="V19">
    <cfRule type="expression" dxfId="3" priority="333">
      <formula>AND(V19&gt;0,V19&lt;5)</formula>
    </cfRule>
    <cfRule type="cellIs" dxfId="1" priority="334" operator="greaterThan">
      <formula>U19</formula>
    </cfRule>
  </conditionalFormatting>
  <conditionalFormatting sqref="V21">
    <cfRule type="expression" dxfId="3" priority="339">
      <formula>AND(V21&gt;0,V21&lt;10)</formula>
    </cfRule>
    <cfRule type="cellIs" dxfId="1" priority="340" operator="greaterThan">
      <formula>U21</formula>
    </cfRule>
  </conditionalFormatting>
  <conditionalFormatting sqref="V22">
    <cfRule type="expression" dxfId="3" priority="345">
      <formula>AND(V22&gt;0,V22&lt;30000)</formula>
    </cfRule>
    <cfRule type="cellIs" dxfId="1" priority="346" operator="greaterThan">
      <formula>U22</formula>
    </cfRule>
  </conditionalFormatting>
  <conditionalFormatting sqref="V23">
    <cfRule type="expression" dxfId="3" priority="351">
      <formula>AND(V23&gt;0,V23&lt;30000)</formula>
    </cfRule>
    <cfRule type="cellIs" dxfId="1" priority="352" operator="greaterThan">
      <formula>U23</formula>
    </cfRule>
  </conditionalFormatting>
  <conditionalFormatting sqref="V24">
    <cfRule type="expression" dxfId="3" priority="357">
      <formula>AND(V24&gt;0,V24&lt;30000)</formula>
    </cfRule>
    <cfRule type="cellIs" dxfId="1" priority="358" operator="greaterThan">
      <formula>U24</formula>
    </cfRule>
  </conditionalFormatting>
  <conditionalFormatting sqref="V25">
    <cfRule type="expression" dxfId="3" priority="363">
      <formula>AND(V25&gt;0,V25&lt;30000)</formula>
    </cfRule>
    <cfRule type="cellIs" dxfId="1" priority="364" operator="greaterThan">
      <formula>U25</formula>
    </cfRule>
  </conditionalFormatting>
  <conditionalFormatting sqref="V26">
    <cfRule type="expression" dxfId="3" priority="369">
      <formula>AND(V26&gt;0,V26&lt;30000)</formula>
    </cfRule>
    <cfRule type="cellIs" dxfId="1" priority="370" operator="greaterThan">
      <formula>U26</formula>
    </cfRule>
  </conditionalFormatting>
  <conditionalFormatting sqref="V27">
    <cfRule type="expression" dxfId="3" priority="375">
      <formula>AND(V27&gt;0,V27&lt;5)</formula>
    </cfRule>
    <cfRule type="cellIs" dxfId="1" priority="376" operator="greaterThan">
      <formula>U27</formula>
    </cfRule>
  </conditionalFormatting>
  <conditionalFormatting sqref="V29">
    <cfRule type="expression" dxfId="3" priority="381">
      <formula>AND(V29&gt;0,V29&lt;5)</formula>
    </cfRule>
    <cfRule type="cellIs" dxfId="1" priority="382" operator="greaterThan">
      <formula>U29</formula>
    </cfRule>
  </conditionalFormatting>
  <conditionalFormatting sqref="V30">
    <cfRule type="expression" dxfId="3" priority="387">
      <formula>AND(V30&gt;0,V30&lt;5)</formula>
    </cfRule>
    <cfRule type="cellIs" dxfId="1" priority="388" operator="greaterThan">
      <formula>U30</formula>
    </cfRule>
  </conditionalFormatting>
  <conditionalFormatting sqref="V31">
    <cfRule type="expression" dxfId="3" priority="393">
      <formula>AND(V31&gt;0,V31&lt;5000)</formula>
    </cfRule>
    <cfRule type="cellIs" dxfId="1" priority="394" operator="greaterThan">
      <formula>U31</formula>
    </cfRule>
  </conditionalFormatting>
  <conditionalFormatting sqref="V32">
    <cfRule type="cellIs" dxfId="1" priority="399" operator="greaterThan">
      <formula>U32</formula>
    </cfRule>
  </conditionalFormatting>
  <conditionalFormatting sqref="V34">
    <cfRule type="cellIs" dxfId="1" priority="404" operator="greaterThan">
      <formula>U34</formula>
    </cfRule>
  </conditionalFormatting>
  <conditionalFormatting sqref="V7">
    <cfRule type="cellIs" dxfId="1" priority="281" operator="greaterThan">
      <formula>U7</formula>
    </cfRule>
  </conditionalFormatting>
  <conditionalFormatting sqref="V8">
    <cfRule type="expression" dxfId="3" priority="286">
      <formula>AND(V8&gt;0,V8&lt;10)</formula>
    </cfRule>
    <cfRule type="cellIs" dxfId="1" priority="287" operator="greaterThan">
      <formula>U8</formula>
    </cfRule>
  </conditionalFormatting>
  <conditionalFormatting sqref="V9">
    <cfRule type="expression" dxfId="3" priority="292">
      <formula>AND(V9&gt;0,V9&lt;10)</formula>
    </cfRule>
    <cfRule type="cellIs" dxfId="1" priority="293" operator="greaterThan">
      <formula>U9</formula>
    </cfRule>
  </conditionalFormatting>
  <conditionalFormatting sqref="W10">
    <cfRule type="cellIs" dxfId="4" priority="301" operator="lessThanOrEqual">
      <formula>I10</formula>
    </cfRule>
  </conditionalFormatting>
  <conditionalFormatting sqref="W11">
    <cfRule type="cellIs" dxfId="4" priority="307" operator="lessThanOrEqual">
      <formula>I11</formula>
    </cfRule>
  </conditionalFormatting>
  <conditionalFormatting sqref="W12">
    <cfRule type="cellIs" dxfId="4" priority="313" operator="lessThanOrEqual">
      <formula>I12</formula>
    </cfRule>
  </conditionalFormatting>
  <conditionalFormatting sqref="W13">
    <cfRule type="cellIs" dxfId="4" priority="319" operator="lessThanOrEqual">
      <formula>I13</formula>
    </cfRule>
  </conditionalFormatting>
  <conditionalFormatting sqref="W14">
    <cfRule type="cellIs" dxfId="4" priority="325" operator="lessThanOrEqual">
      <formula>I14</formula>
    </cfRule>
  </conditionalFormatting>
  <conditionalFormatting sqref="W15">
    <cfRule type="cellIs" dxfId="4" priority="330" operator="lessThanOrEqual">
      <formula>I15</formula>
    </cfRule>
  </conditionalFormatting>
  <conditionalFormatting sqref="W19">
    <cfRule type="cellIs" dxfId="4" priority="336" operator="lessThanOrEqual">
      <formula>I19</formula>
    </cfRule>
  </conditionalFormatting>
  <conditionalFormatting sqref="W21">
    <cfRule type="cellIs" dxfId="4" priority="342" operator="lessThanOrEqual">
      <formula>I21</formula>
    </cfRule>
  </conditionalFormatting>
  <conditionalFormatting sqref="W22">
    <cfRule type="cellIs" dxfId="4" priority="348" operator="lessThanOrEqual">
      <formula>I22</formula>
    </cfRule>
  </conditionalFormatting>
  <conditionalFormatting sqref="W23">
    <cfRule type="cellIs" dxfId="4" priority="354" operator="lessThanOrEqual">
      <formula>I23</formula>
    </cfRule>
  </conditionalFormatting>
  <conditionalFormatting sqref="W24">
    <cfRule type="cellIs" dxfId="4" priority="360" operator="lessThanOrEqual">
      <formula>I24</formula>
    </cfRule>
  </conditionalFormatting>
  <conditionalFormatting sqref="W25">
    <cfRule type="cellIs" dxfId="4" priority="366" operator="lessThanOrEqual">
      <formula>I25</formula>
    </cfRule>
  </conditionalFormatting>
  <conditionalFormatting sqref="W26">
    <cfRule type="cellIs" dxfId="4" priority="372" operator="lessThanOrEqual">
      <formula>I26</formula>
    </cfRule>
  </conditionalFormatting>
  <conditionalFormatting sqref="W27">
    <cfRule type="cellIs" dxfId="4" priority="378" operator="lessThanOrEqual">
      <formula>I27</formula>
    </cfRule>
  </conditionalFormatting>
  <conditionalFormatting sqref="W29">
    <cfRule type="cellIs" dxfId="4" priority="384" operator="lessThanOrEqual">
      <formula>I29</formula>
    </cfRule>
  </conditionalFormatting>
  <conditionalFormatting sqref="W30">
    <cfRule type="cellIs" dxfId="4" priority="390" operator="lessThanOrEqual">
      <formula>I30</formula>
    </cfRule>
  </conditionalFormatting>
  <conditionalFormatting sqref="W31">
    <cfRule type="cellIs" dxfId="4" priority="396" operator="lessThanOrEqual">
      <formula>I31</formula>
    </cfRule>
  </conditionalFormatting>
  <conditionalFormatting sqref="W32">
    <cfRule type="cellIs" dxfId="4" priority="401" operator="lessThanOrEqual">
      <formula>I32</formula>
    </cfRule>
  </conditionalFormatting>
  <conditionalFormatting sqref="W34">
    <cfRule type="cellIs" dxfId="4" priority="406" operator="lessThanOrEqual">
      <formula>I34</formula>
    </cfRule>
  </conditionalFormatting>
  <conditionalFormatting sqref="W7">
    <cfRule type="cellIs" dxfId="4" priority="283" operator="lessThanOrEqual">
      <formula>I7</formula>
    </cfRule>
  </conditionalFormatting>
  <conditionalFormatting sqref="W8">
    <cfRule type="cellIs" dxfId="4" priority="289" operator="lessThanOrEqual">
      <formula>I8</formula>
    </cfRule>
  </conditionalFormatting>
  <conditionalFormatting sqref="W9">
    <cfRule type="cellIs" dxfId="4" priority="295" operator="lessThanOrEqual">
      <formula>I9</formula>
    </cfRule>
  </conditionalFormatting>
  <conditionalFormatting sqref="X10">
    <cfRule type="cellIs" dxfId="4" priority="300" operator="lessThanOrEqual">
      <formula>J10</formula>
    </cfRule>
  </conditionalFormatting>
  <conditionalFormatting sqref="X11">
    <cfRule type="cellIs" dxfId="4" priority="306" operator="lessThanOrEqual">
      <formula>J11</formula>
    </cfRule>
  </conditionalFormatting>
  <conditionalFormatting sqref="X12">
    <cfRule type="cellIs" dxfId="4" priority="312" operator="lessThanOrEqual">
      <formula>J12</formula>
    </cfRule>
  </conditionalFormatting>
  <conditionalFormatting sqref="X13">
    <cfRule type="cellIs" dxfId="4" priority="318" operator="lessThanOrEqual">
      <formula>J13</formula>
    </cfRule>
  </conditionalFormatting>
  <conditionalFormatting sqref="X14">
    <cfRule type="cellIs" dxfId="4" priority="324" operator="lessThanOrEqual">
      <formula>J14</formula>
    </cfRule>
  </conditionalFormatting>
  <conditionalFormatting sqref="X15">
    <cfRule type="cellIs" dxfId="4" priority="329" operator="lessThanOrEqual">
      <formula>J15</formula>
    </cfRule>
  </conditionalFormatting>
  <conditionalFormatting sqref="X19">
    <cfRule type="cellIs" dxfId="4" priority="335" operator="lessThanOrEqual">
      <formula>J19</formula>
    </cfRule>
  </conditionalFormatting>
  <conditionalFormatting sqref="X21">
    <cfRule type="cellIs" dxfId="4" priority="341" operator="lessThanOrEqual">
      <formula>J21</formula>
    </cfRule>
  </conditionalFormatting>
  <conditionalFormatting sqref="X22">
    <cfRule type="cellIs" dxfId="4" priority="347" operator="lessThanOrEqual">
      <formula>J22</formula>
    </cfRule>
  </conditionalFormatting>
  <conditionalFormatting sqref="X23">
    <cfRule type="cellIs" dxfId="4" priority="353" operator="lessThanOrEqual">
      <formula>J23</formula>
    </cfRule>
  </conditionalFormatting>
  <conditionalFormatting sqref="X24">
    <cfRule type="cellIs" dxfId="4" priority="359" operator="lessThanOrEqual">
      <formula>J24</formula>
    </cfRule>
  </conditionalFormatting>
  <conditionalFormatting sqref="X25">
    <cfRule type="cellIs" dxfId="4" priority="365" operator="lessThanOrEqual">
      <formula>J25</formula>
    </cfRule>
  </conditionalFormatting>
  <conditionalFormatting sqref="X26">
    <cfRule type="cellIs" dxfId="4" priority="371" operator="lessThanOrEqual">
      <formula>J26</formula>
    </cfRule>
  </conditionalFormatting>
  <conditionalFormatting sqref="X27">
    <cfRule type="cellIs" dxfId="4" priority="377" operator="lessThanOrEqual">
      <formula>J27</formula>
    </cfRule>
  </conditionalFormatting>
  <conditionalFormatting sqref="X29">
    <cfRule type="cellIs" dxfId="4" priority="383" operator="lessThanOrEqual">
      <formula>J29</formula>
    </cfRule>
  </conditionalFormatting>
  <conditionalFormatting sqref="X30">
    <cfRule type="cellIs" dxfId="4" priority="389" operator="lessThanOrEqual">
      <formula>J30</formula>
    </cfRule>
  </conditionalFormatting>
  <conditionalFormatting sqref="X31">
    <cfRule type="cellIs" dxfId="4" priority="395" operator="lessThanOrEqual">
      <formula>J31</formula>
    </cfRule>
  </conditionalFormatting>
  <conditionalFormatting sqref="X32">
    <cfRule type="cellIs" dxfId="4" priority="400" operator="lessThanOrEqual">
      <formula>J32</formula>
    </cfRule>
  </conditionalFormatting>
  <conditionalFormatting sqref="X34">
    <cfRule type="cellIs" dxfId="4" priority="405" operator="lessThanOrEqual">
      <formula>J34</formula>
    </cfRule>
  </conditionalFormatting>
  <conditionalFormatting sqref="X7">
    <cfRule type="cellIs" dxfId="4" priority="282" operator="lessThanOrEqual">
      <formula>J7</formula>
    </cfRule>
  </conditionalFormatting>
  <conditionalFormatting sqref="X8">
    <cfRule type="cellIs" dxfId="4" priority="288" operator="lessThanOrEqual">
      <formula>J8</formula>
    </cfRule>
  </conditionalFormatting>
  <conditionalFormatting sqref="X9">
    <cfRule type="cellIs" dxfId="4" priority="294" operator="lessThanOrEqual">
      <formula>J9</formula>
    </cfRule>
  </conditionalFormatting>
  <conditionalFormatting sqref="Z10">
    <cfRule type="cellIs" dxfId="1" priority="419" operator="equal">
      <formula>0</formula>
    </cfRule>
    <cfRule type="cellIs" dxfId="2" priority="420" operator="lessThan">
      <formula>H10</formula>
    </cfRule>
  </conditionalFormatting>
  <conditionalFormatting sqref="Z11">
    <cfRule type="cellIs" dxfId="1" priority="425" operator="equal">
      <formula>0</formula>
    </cfRule>
    <cfRule type="cellIs" dxfId="2" priority="426" operator="lessThan">
      <formula>H11</formula>
    </cfRule>
  </conditionalFormatting>
  <conditionalFormatting sqref="Z12">
    <cfRule type="cellIs" dxfId="1" priority="431" operator="equal">
      <formula>0</formula>
    </cfRule>
    <cfRule type="cellIs" dxfId="2" priority="432" operator="lessThan">
      <formula>H12</formula>
    </cfRule>
  </conditionalFormatting>
  <conditionalFormatting sqref="Z14">
    <cfRule type="cellIs" dxfId="1" priority="437" operator="equal">
      <formula>0</formula>
    </cfRule>
    <cfRule type="cellIs" dxfId="2" priority="438" operator="lessThan">
      <formula>H14</formula>
    </cfRule>
  </conditionalFormatting>
  <conditionalFormatting sqref="Z24">
    <cfRule type="cellIs" dxfId="1" priority="442" operator="equal">
      <formula>0</formula>
    </cfRule>
    <cfRule type="cellIs" dxfId="2" priority="443" operator="lessThan">
      <formula>H24</formula>
    </cfRule>
  </conditionalFormatting>
  <conditionalFormatting sqref="Z26">
    <cfRule type="cellIs" dxfId="1" priority="448" operator="equal">
      <formula>0</formula>
    </cfRule>
    <cfRule type="cellIs" dxfId="2" priority="449" operator="lessThan">
      <formula>H26</formula>
    </cfRule>
  </conditionalFormatting>
  <conditionalFormatting sqref="Z28">
    <cfRule type="cellIs" dxfId="1" priority="454" operator="equal">
      <formula>0</formula>
    </cfRule>
    <cfRule type="cellIs" dxfId="2" priority="455" operator="lessThan">
      <formula>H28</formula>
    </cfRule>
  </conditionalFormatting>
  <conditionalFormatting sqref="Z35">
    <cfRule type="cellIs" dxfId="1" priority="459" operator="equal">
      <formula>0</formula>
    </cfRule>
    <cfRule type="cellIs" dxfId="2" priority="460" operator="lessThan">
      <formula>H35</formula>
    </cfRule>
  </conditionalFormatting>
  <conditionalFormatting sqref="Z8">
    <cfRule type="cellIs" dxfId="1" priority="407" operator="equal">
      <formula>0</formula>
    </cfRule>
    <cfRule type="cellIs" dxfId="2" priority="408" operator="lessThan">
      <formula>H8</formula>
    </cfRule>
  </conditionalFormatting>
  <conditionalFormatting sqref="Z9">
    <cfRule type="cellIs" dxfId="1" priority="413" operator="equal">
      <formula>0</formula>
    </cfRule>
    <cfRule type="cellIs" dxfId="2" priority="414" operator="lessThan">
      <formula>H9</formula>
    </cfRule>
  </conditionalFormatting>
  <hyperlinks>
    <hyperlink ref="G7" r:id="rId1"/>
    <hyperlink ref="T7" r:id="rId2"/>
    <hyperlink ref="Y7" r:id="rId3"/>
    <hyperlink ref="AI7" r:id="rId4"/>
    <hyperlink ref="AN7" r:id="rId5"/>
    <hyperlink ref="AS7" r:id="rId6"/>
    <hyperlink ref="AX7" r:id="rId7"/>
    <hyperlink ref="G8" r:id="rId8"/>
    <hyperlink ref="T8" r:id="rId9"/>
    <hyperlink ref="Y8" r:id="rId10"/>
    <hyperlink ref="AD8" r:id="rId11"/>
    <hyperlink ref="AI8" r:id="rId12"/>
    <hyperlink ref="AN8" r:id="rId13"/>
    <hyperlink ref="G9" r:id="rId14"/>
    <hyperlink ref="T9" r:id="rId15"/>
    <hyperlink ref="Y9" r:id="rId16"/>
    <hyperlink ref="AD9" r:id="rId17"/>
    <hyperlink ref="AN9" r:id="rId18"/>
    <hyperlink ref="G10" r:id="rId19"/>
    <hyperlink ref="T10" r:id="rId20"/>
    <hyperlink ref="Y10" r:id="rId21"/>
    <hyperlink ref="AD10" r:id="rId22"/>
    <hyperlink ref="AI10" r:id="rId23"/>
    <hyperlink ref="AN10" r:id="rId24"/>
    <hyperlink ref="G11" r:id="rId25"/>
    <hyperlink ref="T11" r:id="rId26"/>
    <hyperlink ref="Y11" r:id="rId27"/>
    <hyperlink ref="AD11" r:id="rId28"/>
    <hyperlink ref="AI11" r:id="rId29"/>
    <hyperlink ref="AN11" r:id="rId30"/>
    <hyperlink ref="G12" r:id="rId31"/>
    <hyperlink ref="T12" r:id="rId32"/>
    <hyperlink ref="Y12" r:id="rId33"/>
    <hyperlink ref="AD12" r:id="rId34"/>
    <hyperlink ref="AI12" r:id="rId35"/>
    <hyperlink ref="AN12" r:id="rId36"/>
    <hyperlink ref="AS12" r:id="rId37"/>
    <hyperlink ref="G13" r:id="rId38"/>
    <hyperlink ref="T13" r:id="rId39"/>
    <hyperlink ref="Y13" r:id="rId40"/>
    <hyperlink ref="AI13" r:id="rId41"/>
    <hyperlink ref="AN13" r:id="rId42"/>
    <hyperlink ref="G14" r:id="rId43"/>
    <hyperlink ref="T14" r:id="rId44"/>
    <hyperlink ref="Y14" r:id="rId45"/>
    <hyperlink ref="AD14" r:id="rId46"/>
    <hyperlink ref="AI14" r:id="rId47"/>
    <hyperlink ref="AN14" r:id="rId48"/>
    <hyperlink ref="AS14" r:id="rId49"/>
    <hyperlink ref="G15" r:id="rId50"/>
    <hyperlink ref="T15" r:id="rId51"/>
    <hyperlink ref="Y15" r:id="rId52"/>
    <hyperlink ref="AI15" r:id="rId53"/>
    <hyperlink ref="AN15" r:id="rId54"/>
    <hyperlink ref="AX15" r:id="rId55"/>
    <hyperlink ref="G16" r:id="rId56"/>
    <hyperlink ref="T16" r:id="rId57"/>
    <hyperlink ref="AI16" r:id="rId58"/>
    <hyperlink ref="AS16" r:id="rId59"/>
    <hyperlink ref="G17" r:id="rId60"/>
    <hyperlink ref="T17" r:id="rId61"/>
    <hyperlink ref="G18" r:id="rId62"/>
    <hyperlink ref="T18" r:id="rId63"/>
    <hyperlink ref="G19" r:id="rId64"/>
    <hyperlink ref="T19" r:id="rId65"/>
    <hyperlink ref="Y19" r:id="rId66"/>
    <hyperlink ref="AI19" r:id="rId67"/>
    <hyperlink ref="AN19" r:id="rId68"/>
    <hyperlink ref="AX19" r:id="rId69"/>
    <hyperlink ref="G20" r:id="rId70"/>
    <hyperlink ref="T20" r:id="rId71"/>
    <hyperlink ref="AI20" r:id="rId72"/>
    <hyperlink ref="G21" r:id="rId73"/>
    <hyperlink ref="T21" r:id="rId74"/>
    <hyperlink ref="Y21" r:id="rId75"/>
    <hyperlink ref="AI21" r:id="rId76"/>
    <hyperlink ref="AN21" r:id="rId77"/>
    <hyperlink ref="AS21" r:id="rId78"/>
    <hyperlink ref="G22" r:id="rId79"/>
    <hyperlink ref="T22" r:id="rId80"/>
    <hyperlink ref="Y22" r:id="rId81"/>
    <hyperlink ref="AI22" r:id="rId82"/>
    <hyperlink ref="AN22" r:id="rId83"/>
    <hyperlink ref="G23" r:id="rId84"/>
    <hyperlink ref="T23" r:id="rId85"/>
    <hyperlink ref="Y23" r:id="rId86"/>
    <hyperlink ref="AI23" r:id="rId87"/>
    <hyperlink ref="AN23" r:id="rId88"/>
    <hyperlink ref="AS23" r:id="rId89"/>
    <hyperlink ref="G24" r:id="rId90"/>
    <hyperlink ref="T24" r:id="rId91"/>
    <hyperlink ref="Y24" r:id="rId92"/>
    <hyperlink ref="AD24" r:id="rId93"/>
    <hyperlink ref="AI24" r:id="rId94"/>
    <hyperlink ref="AN24" r:id="rId95"/>
    <hyperlink ref="G25" r:id="rId96"/>
    <hyperlink ref="T25" r:id="rId97"/>
    <hyperlink ref="Y25" r:id="rId98"/>
    <hyperlink ref="AI25" r:id="rId99"/>
    <hyperlink ref="AN25" r:id="rId100"/>
    <hyperlink ref="G26" r:id="rId101"/>
    <hyperlink ref="T26" r:id="rId102"/>
    <hyperlink ref="Y26" r:id="rId103"/>
    <hyperlink ref="AD26" r:id="rId104"/>
    <hyperlink ref="AI26" r:id="rId105"/>
    <hyperlink ref="AN26" r:id="rId106"/>
    <hyperlink ref="AS26" r:id="rId107"/>
    <hyperlink ref="G27" r:id="rId108"/>
    <hyperlink ref="T27" r:id="rId109"/>
    <hyperlink ref="Y27" r:id="rId110"/>
    <hyperlink ref="AI27" r:id="rId111"/>
    <hyperlink ref="AN27" r:id="rId112"/>
    <hyperlink ref="AS27" r:id="rId113"/>
    <hyperlink ref="G28" r:id="rId114"/>
    <hyperlink ref="T28" r:id="rId115"/>
    <hyperlink ref="AD28" r:id="rId116"/>
    <hyperlink ref="AI28" r:id="rId117"/>
    <hyperlink ref="G29" r:id="rId118"/>
    <hyperlink ref="T29" r:id="rId119"/>
    <hyperlink ref="Y29" r:id="rId120"/>
    <hyperlink ref="AI29" r:id="rId121"/>
    <hyperlink ref="AN29" r:id="rId122"/>
    <hyperlink ref="AS29" r:id="rId123"/>
    <hyperlink ref="AX29" r:id="rId124"/>
    <hyperlink ref="G30" r:id="rId125"/>
    <hyperlink ref="T30" r:id="rId126"/>
    <hyperlink ref="Y30" r:id="rId127"/>
    <hyperlink ref="AI30" r:id="rId128"/>
    <hyperlink ref="AN30" r:id="rId129"/>
    <hyperlink ref="AS30" r:id="rId130"/>
    <hyperlink ref="G31" r:id="rId131"/>
    <hyperlink ref="T31" r:id="rId132"/>
    <hyperlink ref="Y31" r:id="rId133"/>
    <hyperlink ref="AI31" r:id="rId134"/>
    <hyperlink ref="G32" r:id="rId135"/>
    <hyperlink ref="T32" r:id="rId136"/>
    <hyperlink ref="Y32" r:id="rId137"/>
    <hyperlink ref="AI32" r:id="rId138"/>
    <hyperlink ref="AN32" r:id="rId139"/>
    <hyperlink ref="G33" r:id="rId140"/>
    <hyperlink ref="T33" r:id="rId141"/>
    <hyperlink ref="AI33" r:id="rId142"/>
    <hyperlink ref="AX33" r:id="rId143"/>
    <hyperlink ref="G34" r:id="rId144"/>
    <hyperlink ref="T34" r:id="rId145"/>
    <hyperlink ref="Y34" r:id="rId146"/>
    <hyperlink ref="AI34" r:id="rId147"/>
    <hyperlink ref="AN34" r:id="rId148"/>
    <hyperlink ref="G35" r:id="rId149"/>
    <hyperlink ref="T35" r:id="rId150"/>
    <hyperlink ref="Y35" r:id="rId151"/>
    <hyperlink ref="AD35" r:id="rId152"/>
    <hyperlink ref="AI35" r:id="rId153"/>
    <hyperlink ref="AN35" r:id="rId154"/>
    <hyperlink ref="G36" r:id="rId155"/>
    <hyperlink ref="T36" r:id="rId156"/>
    <hyperlink ref="AI36" r:id="rId157"/>
    <hyperlink ref="G37" r:id="rId158"/>
    <hyperlink ref="K39" r:id="rId159"/>
    <hyperlink ref="P39" r:id="rId160"/>
    <hyperlink ref="U39" r:id="rId161"/>
    <hyperlink ref="Z39" r:id="rId162"/>
    <hyperlink ref="AE39" r:id="rId163"/>
    <hyperlink ref="AJ39" r:id="rId164"/>
    <hyperlink ref="AO39" r:id="rId165"/>
    <hyperlink ref="AT39" r:id="rId166"/>
  </hyperlinks>
  <pageMargins left="0.7" right="0.7" top="0.75" bottom="0.75" header="0.3" footer="0.3"/>
  <legacyDrawing r:id="rId1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reDIP-SX-BOM.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2021-05-13T18:42:43Z</dcterms:created>
  <dcterms:modified xsi:type="dcterms:W3CDTF">2021-05-13T18:42:43Z</dcterms:modified>
</cp:coreProperties>
</file>