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DAGNER\Desktop\"/>
    </mc:Choice>
  </mc:AlternateContent>
  <bookViews>
    <workbookView xWindow="0" yWindow="0" windowWidth="20460" windowHeight="7080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L32" i="1" l="1"/>
  <c r="M32" i="1" s="1"/>
  <c r="L31" i="1"/>
  <c r="M31" i="1" s="1"/>
  <c r="L30" i="1"/>
  <c r="M30" i="1" s="1"/>
  <c r="L29" i="1"/>
  <c r="H31" i="1"/>
  <c r="H30" i="1"/>
  <c r="L27" i="1"/>
  <c r="M27" i="1" s="1"/>
  <c r="H59" i="1"/>
  <c r="L59" i="1" s="1"/>
  <c r="M59" i="1" s="1"/>
  <c r="H58" i="1"/>
  <c r="L58" i="1" s="1"/>
  <c r="M58" i="1" s="1"/>
  <c r="L57" i="1"/>
  <c r="L60" i="1"/>
  <c r="M60" i="1" s="1"/>
  <c r="L55" i="1"/>
  <c r="M55" i="1" s="1"/>
  <c r="E56" i="1"/>
  <c r="L56" i="1" s="1"/>
  <c r="M56" i="1" s="1"/>
  <c r="E54" i="1"/>
  <c r="L54" i="1" s="1"/>
  <c r="M54" i="1" s="1"/>
  <c r="I51" i="1"/>
  <c r="E50" i="1"/>
  <c r="H52" i="1" s="1"/>
  <c r="L52" i="1" s="1"/>
  <c r="M52" i="1" s="1"/>
  <c r="J49" i="1"/>
  <c r="I49" i="1"/>
  <c r="E49" i="1"/>
  <c r="E20" i="1"/>
  <c r="L20" i="1" s="1"/>
  <c r="M20" i="1" s="1"/>
  <c r="I19" i="1"/>
  <c r="E19" i="1"/>
  <c r="I21" i="1"/>
  <c r="E21" i="1"/>
  <c r="L21" i="1" s="1"/>
  <c r="M21" i="1" s="1"/>
  <c r="I22" i="1"/>
  <c r="E22" i="1"/>
  <c r="E44" i="1"/>
  <c r="L44" i="1" s="1"/>
  <c r="M44" i="1" s="1"/>
  <c r="E42" i="1"/>
  <c r="E43" i="1"/>
  <c r="E41" i="1"/>
  <c r="L41" i="1" s="1"/>
  <c r="I38" i="1"/>
  <c r="E40" i="1"/>
  <c r="E38" i="1"/>
  <c r="E39" i="1"/>
  <c r="E37" i="1"/>
  <c r="L37" i="1" s="1"/>
  <c r="M37" i="1" s="1"/>
  <c r="I36" i="1"/>
  <c r="E36" i="1"/>
  <c r="I45" i="1"/>
  <c r="E45" i="1"/>
  <c r="L23" i="1"/>
  <c r="M23" i="1" s="1"/>
  <c r="I12" i="1"/>
  <c r="E14" i="1"/>
  <c r="E13" i="1"/>
  <c r="E12" i="1"/>
  <c r="E15" i="1"/>
  <c r="I15" i="1"/>
  <c r="E8" i="1"/>
  <c r="L8" i="1" s="1"/>
  <c r="M8" i="1" s="1"/>
  <c r="J7" i="1"/>
  <c r="I7" i="1"/>
  <c r="E7" i="1"/>
  <c r="J6" i="1"/>
  <c r="J5" i="1"/>
  <c r="J4" i="1"/>
  <c r="I3" i="1"/>
  <c r="I4" i="1" s="1"/>
  <c r="E6" i="1"/>
  <c r="E5" i="1"/>
  <c r="E4" i="1"/>
  <c r="E11" i="1"/>
  <c r="E10" i="1"/>
  <c r="L49" i="1" l="1"/>
  <c r="M49" i="1" s="1"/>
  <c r="L38" i="1"/>
  <c r="H51" i="1"/>
  <c r="L51" i="1" s="1"/>
  <c r="M51" i="1" s="1"/>
  <c r="L50" i="1"/>
  <c r="H53" i="1"/>
  <c r="L53" i="1" s="1"/>
  <c r="M53" i="1" s="1"/>
  <c r="L19" i="1"/>
  <c r="M19" i="1" s="1"/>
  <c r="L22" i="1"/>
  <c r="M22" i="1" s="1"/>
  <c r="L36" i="1"/>
  <c r="M36" i="1" s="1"/>
  <c r="H40" i="1"/>
  <c r="L45" i="1"/>
  <c r="M45" i="1" s="1"/>
  <c r="H39" i="1"/>
  <c r="I40" i="1"/>
  <c r="H42" i="1"/>
  <c r="L42" i="1" s="1"/>
  <c r="M42" i="1" s="1"/>
  <c r="I39" i="1"/>
  <c r="H43" i="1"/>
  <c r="L43" i="1" s="1"/>
  <c r="M43" i="1" s="1"/>
  <c r="E3" i="1"/>
  <c r="L3" i="1" s="1"/>
  <c r="I13" i="1"/>
  <c r="E9" i="1"/>
  <c r="L9" i="1" s="1"/>
  <c r="L7" i="1"/>
  <c r="M7" i="1" s="1"/>
  <c r="H13" i="1"/>
  <c r="I5" i="1"/>
  <c r="L15" i="1"/>
  <c r="M15" i="1" s="1"/>
  <c r="H14" i="1"/>
  <c r="L12" i="1"/>
  <c r="I6" i="1"/>
  <c r="I14" i="1"/>
  <c r="L40" i="1" l="1"/>
  <c r="M40" i="1" s="1"/>
  <c r="G5" i="1"/>
  <c r="L5" i="1" s="1"/>
  <c r="M5" i="1" s="1"/>
  <c r="G6" i="1"/>
  <c r="L6" i="1" s="1"/>
  <c r="M6" i="1" s="1"/>
  <c r="L13" i="1"/>
  <c r="M13" i="1" s="1"/>
  <c r="G4" i="1"/>
  <c r="H4" i="1" s="1"/>
  <c r="L4" i="1" s="1"/>
  <c r="M4" i="1" s="1"/>
  <c r="L39" i="1"/>
  <c r="M39" i="1" s="1"/>
  <c r="G11" i="1"/>
  <c r="H11" i="1" s="1"/>
  <c r="L11" i="1" s="1"/>
  <c r="M11" i="1" s="1"/>
  <c r="G10" i="1"/>
  <c r="H10" i="1" s="1"/>
  <c r="L10" i="1" s="1"/>
  <c r="M10" i="1" s="1"/>
  <c r="L14" i="1"/>
  <c r="M14" i="1" s="1"/>
</calcChain>
</file>

<file path=xl/sharedStrings.xml><?xml version="1.0" encoding="utf-8"?>
<sst xmlns="http://schemas.openxmlformats.org/spreadsheetml/2006/main" count="165" uniqueCount="76">
  <si>
    <t>Morpho 4,999 tarj coop fatima</t>
  </si>
  <si>
    <t xml:space="preserve">13 mil tarjetas de china Univ </t>
  </si>
  <si>
    <t>Bco Union Tarjetas Credito Prepago Azul-Oro-</t>
  </si>
  <si>
    <t>6,710 tarjetas de credito MC Bco Prodem</t>
  </si>
  <si>
    <t>ROTAPEL</t>
  </si>
  <si>
    <t>ENOTRIA</t>
  </si>
  <si>
    <t>MORPHO</t>
  </si>
  <si>
    <t>UNITYPE</t>
  </si>
  <si>
    <t>CHINA</t>
  </si>
  <si>
    <t>PROVEEDOR</t>
  </si>
  <si>
    <t>ARTICULOS  SOLICITADOS</t>
  </si>
  <si>
    <t>LIQUIDACION ADUANA BOLIVIA</t>
  </si>
  <si>
    <t>IMPORTE</t>
  </si>
  <si>
    <t>No LIQUIDACION</t>
  </si>
  <si>
    <t>F/EMISION</t>
  </si>
  <si>
    <t>CANTIDAD</t>
  </si>
  <si>
    <t>IMP.FACTURA</t>
  </si>
  <si>
    <t>Tarjetas Debito Mastercard Bco Fortaleza</t>
  </si>
  <si>
    <t xml:space="preserve">Tarjeta  de credito Visa Platinum Bco Union </t>
  </si>
  <si>
    <t>No FACTURA IMPORTE EN $</t>
  </si>
  <si>
    <t>GASTOS ADUANA PERU</t>
  </si>
  <si>
    <t>FLETE</t>
  </si>
  <si>
    <t>TRANSPORTE LOCAL</t>
  </si>
  <si>
    <t>COSTO ARTICULO</t>
  </si>
  <si>
    <t>COSTO ALMACEN</t>
  </si>
  <si>
    <t>003-0196600</t>
  </si>
  <si>
    <t>Rollos 80mm x 80metros</t>
  </si>
  <si>
    <t>Rollos Fassil Grandes</t>
  </si>
  <si>
    <t>248kg</t>
  </si>
  <si>
    <t>300kg</t>
  </si>
  <si>
    <t>180kg</t>
  </si>
  <si>
    <t>001-00009951</t>
  </si>
  <si>
    <t>Formatos fassil</t>
  </si>
  <si>
    <t>Rollos Fassil Chicos</t>
  </si>
  <si>
    <t>001-00009829</t>
  </si>
  <si>
    <t>Tarjetas de coordenadas BNB</t>
  </si>
  <si>
    <t>001-00009971</t>
  </si>
  <si>
    <t>Cintas Epson ERC-35</t>
  </si>
  <si>
    <t>Cintas NCR 7156</t>
  </si>
  <si>
    <t>001-00010199</t>
  </si>
  <si>
    <t>Tarjetas de coordenadas  bco Bisa</t>
  </si>
  <si>
    <t>Formatos Fassil</t>
  </si>
  <si>
    <t>ARTICULOS SOLICITADOS  ABRIL 2017</t>
  </si>
  <si>
    <t>001-00011553</t>
  </si>
  <si>
    <t>Pin Maeler Banco Fassil</t>
  </si>
  <si>
    <t>Pin Maeler Banco SOL</t>
  </si>
  <si>
    <t>001-0001091</t>
  </si>
  <si>
    <t>Tarjetas de debito Visa - Banco Union</t>
  </si>
  <si>
    <t>Epson ERC-35</t>
  </si>
  <si>
    <t>pson ERC-38</t>
  </si>
  <si>
    <t>Tarjetas de debito Visa Bco Union</t>
  </si>
  <si>
    <t>Tarjetas de credito Visa Bco Union</t>
  </si>
  <si>
    <t>Tarjetas propietarias con CHIP  - Servired</t>
  </si>
  <si>
    <t>ARTICULOS SOLICITADOS ENERO 2017</t>
  </si>
  <si>
    <t>ARTICULOS SOLICITADOS FEBRERO 2017</t>
  </si>
  <si>
    <t>ARTICULOS SOLICITADOS MARZO 2017</t>
  </si>
  <si>
    <t>ARTICULOS SOLICITADOS  MAYO 2017</t>
  </si>
  <si>
    <t>Tarjetas de coordenadas Bco Nacional</t>
  </si>
  <si>
    <t>Tarjetas Visa Credito - Bco Economico</t>
  </si>
  <si>
    <t>Bco Economico - Tarjetas isa con chip</t>
  </si>
  <si>
    <t>Coop La Merced - tarjtas de debito visa</t>
  </si>
  <si>
    <t xml:space="preserve">No FACTURA </t>
  </si>
  <si>
    <t>Rollos termicos ATM chicos Bco Fassil</t>
  </si>
  <si>
    <t>Rollos Termicos ATM grandes Bco Fassil</t>
  </si>
  <si>
    <t>Rollos termicos 80mm x 80 mts</t>
  </si>
  <si>
    <t>001-0003803</t>
  </si>
  <si>
    <t>300Kg</t>
  </si>
  <si>
    <t>248Kg</t>
  </si>
  <si>
    <t>1750kg</t>
  </si>
  <si>
    <t>Tarjetas de coordenadas - Bco Nacional</t>
  </si>
  <si>
    <t>001-00011919</t>
  </si>
  <si>
    <t>001-00011895</t>
  </si>
  <si>
    <t>Tarjetas de coordenadas Bco nacional</t>
  </si>
  <si>
    <t>Tarjetas debito MasterCard con chip Coop Nazareno</t>
  </si>
  <si>
    <t>Tarjetas Visa con Chip Bco Union</t>
  </si>
  <si>
    <t>Tarjetas con CHIP Bco Nacional - ESTA IMPORTACION ES DEL 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</si>
</sst>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_-* #,##0.0000\ _€_-;\-* #,##0.00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2">
    <xf numFmtId="0" fontId="0" fillId="0" borderId="0" xfId="0"/>
    <xf numFmtId="164" fontId="0" fillId="0" borderId="0" xfId="1" applyFont="1"/>
    <xf numFmtId="0" fontId="3" fillId="3" borderId="1" xfId="0" applyFont="1" applyFill="1" applyBorder="1"/>
    <xf numFmtId="14" fontId="3" fillId="3" borderId="1" xfId="0" applyNumberFormat="1" applyFont="1" applyFill="1" applyBorder="1"/>
    <xf numFmtId="164" fontId="3" fillId="3" borderId="1" xfId="1" applyFont="1" applyFill="1" applyBorder="1"/>
    <xf numFmtId="0" fontId="3" fillId="0" borderId="1" xfId="0" applyFont="1" applyFill="1" applyBorder="1"/>
    <xf numFmtId="14" fontId="3" fillId="0" borderId="1" xfId="0" applyNumberFormat="1" applyFont="1" applyFill="1" applyBorder="1"/>
    <xf numFmtId="164" fontId="3" fillId="0" borderId="1" xfId="1" applyFont="1" applyFill="1" applyBorder="1"/>
    <xf numFmtId="0" fontId="0" fillId="0" borderId="0" xfId="0" applyFill="1"/>
    <xf numFmtId="0" fontId="0" fillId="0" borderId="1" xfId="0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164" fontId="0" fillId="0" borderId="0" xfId="1" applyFont="1" applyFill="1"/>
    <xf numFmtId="165" fontId="0" fillId="0" borderId="0" xfId="1" applyNumberFormat="1" applyFont="1" applyFill="1"/>
    <xf numFmtId="165" fontId="0" fillId="0" borderId="0" xfId="1" applyNumberFormat="1" applyFont="1"/>
    <xf numFmtId="0" fontId="3" fillId="0" borderId="7" xfId="0" applyFont="1" applyBorder="1"/>
    <xf numFmtId="0" fontId="3" fillId="0" borderId="7" xfId="0" applyFont="1" applyFill="1" applyBorder="1"/>
    <xf numFmtId="165" fontId="3" fillId="0" borderId="7" xfId="1" applyNumberFormat="1" applyFont="1" applyFill="1" applyBorder="1"/>
    <xf numFmtId="14" fontId="3" fillId="0" borderId="7" xfId="0" applyNumberFormat="1" applyFont="1" applyFill="1" applyBorder="1"/>
    <xf numFmtId="164" fontId="3" fillId="0" borderId="7" xfId="1" applyFont="1" applyFill="1" applyBorder="1"/>
    <xf numFmtId="0" fontId="3" fillId="0" borderId="8" xfId="0" applyFont="1" applyBorder="1"/>
    <xf numFmtId="0" fontId="3" fillId="0" borderId="9" xfId="0" applyFont="1" applyFill="1" applyBorder="1"/>
    <xf numFmtId="14" fontId="3" fillId="0" borderId="9" xfId="0" applyNumberFormat="1" applyFont="1" applyFill="1" applyBorder="1"/>
    <xf numFmtId="0" fontId="3" fillId="0" borderId="11" xfId="0" applyFont="1" applyBorder="1"/>
    <xf numFmtId="0" fontId="3" fillId="0" borderId="12" xfId="0" applyFont="1" applyFill="1" applyBorder="1"/>
    <xf numFmtId="165" fontId="3" fillId="0" borderId="12" xfId="1" applyNumberFormat="1" applyFont="1" applyFill="1" applyBorder="1"/>
    <xf numFmtId="14" fontId="3" fillId="0" borderId="12" xfId="0" applyNumberFormat="1" applyFont="1" applyFill="1" applyBorder="1"/>
    <xf numFmtId="0" fontId="3" fillId="0" borderId="14" xfId="0" applyFont="1" applyBorder="1"/>
    <xf numFmtId="0" fontId="3" fillId="0" borderId="15" xfId="0" applyFont="1" applyFill="1" applyBorder="1"/>
    <xf numFmtId="14" fontId="3" fillId="0" borderId="15" xfId="0" applyNumberFormat="1" applyFont="1" applyFill="1" applyBorder="1"/>
    <xf numFmtId="0" fontId="3" fillId="0" borderId="17" xfId="0" applyFont="1" applyBorder="1"/>
    <xf numFmtId="164" fontId="3" fillId="0" borderId="12" xfId="1" applyFont="1" applyFill="1" applyBorder="1"/>
    <xf numFmtId="164" fontId="3" fillId="0" borderId="15" xfId="1" applyFont="1" applyFill="1" applyBorder="1"/>
    <xf numFmtId="2" fontId="3" fillId="0" borderId="15" xfId="0" applyNumberFormat="1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165" fontId="3" fillId="3" borderId="12" xfId="1" applyNumberFormat="1" applyFont="1" applyFill="1" applyBorder="1"/>
    <xf numFmtId="164" fontId="3" fillId="3" borderId="12" xfId="1" applyFont="1" applyFill="1" applyBorder="1"/>
    <xf numFmtId="14" fontId="3" fillId="3" borderId="12" xfId="0" applyNumberFormat="1" applyFont="1" applyFill="1" applyBorder="1"/>
    <xf numFmtId="164" fontId="3" fillId="3" borderId="13" xfId="1" applyFont="1" applyFill="1" applyBorder="1"/>
    <xf numFmtId="0" fontId="3" fillId="3" borderId="17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14" fontId="3" fillId="3" borderId="15" xfId="0" applyNumberFormat="1" applyFont="1" applyFill="1" applyBorder="1"/>
    <xf numFmtId="164" fontId="3" fillId="3" borderId="15" xfId="1" applyFont="1" applyFill="1" applyBorder="1"/>
    <xf numFmtId="164" fontId="3" fillId="0" borderId="3" xfId="1" applyFont="1" applyFill="1" applyBorder="1"/>
    <xf numFmtId="164" fontId="3" fillId="3" borderId="20" xfId="1" applyFont="1" applyFill="1" applyBorder="1"/>
    <xf numFmtId="164" fontId="3" fillId="3" borderId="3" xfId="1" applyFont="1" applyFill="1" applyBorder="1"/>
    <xf numFmtId="164" fontId="3" fillId="3" borderId="21" xfId="1" applyFont="1" applyFill="1" applyBorder="1"/>
    <xf numFmtId="164" fontId="3" fillId="0" borderId="22" xfId="1" applyFont="1" applyFill="1" applyBorder="1"/>
    <xf numFmtId="0" fontId="0" fillId="3" borderId="1" xfId="0" applyFill="1" applyBorder="1"/>
    <xf numFmtId="0" fontId="0" fillId="0" borderId="7" xfId="0" applyBorder="1"/>
    <xf numFmtId="0" fontId="0" fillId="3" borderId="12" xfId="0" applyFill="1" applyBorder="1"/>
    <xf numFmtId="0" fontId="0" fillId="3" borderId="15" xfId="0" applyFill="1" applyBorder="1"/>
    <xf numFmtId="164" fontId="3" fillId="0" borderId="1" xfId="1" applyFont="1" applyBorder="1"/>
    <xf numFmtId="164" fontId="3" fillId="0" borderId="7" xfId="1" applyFont="1" applyBorder="1"/>
    <xf numFmtId="164" fontId="3" fillId="0" borderId="0" xfId="1" applyFont="1"/>
    <xf numFmtId="0" fontId="4" fillId="3" borderId="12" xfId="0" applyFont="1" applyFill="1" applyBorder="1" applyAlignment="1">
      <alignment horizontal="center" vertical="center"/>
    </xf>
    <xf numFmtId="164" fontId="3" fillId="0" borderId="3" xfId="1" applyFont="1" applyBorder="1"/>
    <xf numFmtId="164" fontId="3" fillId="0" borderId="22" xfId="1" applyFont="1" applyBorder="1"/>
    <xf numFmtId="0" fontId="4" fillId="3" borderId="11" xfId="0" applyFont="1" applyFill="1" applyBorder="1"/>
    <xf numFmtId="165" fontId="4" fillId="3" borderId="12" xfId="1" applyNumberFormat="1" applyFont="1" applyFill="1" applyBorder="1"/>
    <xf numFmtId="0" fontId="5" fillId="3" borderId="12" xfId="0" applyFont="1" applyFill="1" applyBorder="1" applyAlignment="1">
      <alignment horizontal="center"/>
    </xf>
    <xf numFmtId="164" fontId="4" fillId="3" borderId="12" xfId="1" applyFont="1" applyFill="1" applyBorder="1"/>
    <xf numFmtId="0" fontId="4" fillId="3" borderId="12" xfId="0" applyFont="1" applyFill="1" applyBorder="1"/>
    <xf numFmtId="14" fontId="4" fillId="3" borderId="12" xfId="0" applyNumberFormat="1" applyFont="1" applyFill="1" applyBorder="1"/>
    <xf numFmtId="0" fontId="2" fillId="3" borderId="12" xfId="0" applyFont="1" applyFill="1" applyBorder="1"/>
    <xf numFmtId="164" fontId="4" fillId="3" borderId="20" xfId="1" applyFont="1" applyFill="1" applyBorder="1"/>
    <xf numFmtId="0" fontId="4" fillId="3" borderId="17" xfId="0" applyFont="1" applyFill="1" applyBorder="1"/>
    <xf numFmtId="0" fontId="4" fillId="3" borderId="14" xfId="0" applyFont="1" applyFill="1" applyBorder="1"/>
    <xf numFmtId="164" fontId="4" fillId="3" borderId="13" xfId="1" applyFont="1" applyFill="1" applyBorder="1"/>
    <xf numFmtId="0" fontId="3" fillId="0" borderId="23" xfId="0" applyFont="1" applyFill="1" applyBorder="1"/>
    <xf numFmtId="165" fontId="3" fillId="0" borderId="23" xfId="1" applyNumberFormat="1" applyFont="1" applyFill="1" applyBorder="1"/>
    <xf numFmtId="164" fontId="3" fillId="0" borderId="23" xfId="1" applyFont="1" applyFill="1" applyBorder="1"/>
    <xf numFmtId="14" fontId="3" fillId="0" borderId="23" xfId="0" applyNumberFormat="1" applyFont="1" applyFill="1" applyBorder="1"/>
    <xf numFmtId="164" fontId="3" fillId="0" borderId="19" xfId="1" applyFont="1" applyFill="1" applyBorder="1"/>
    <xf numFmtId="164" fontId="3" fillId="0" borderId="23" xfId="1" applyFont="1" applyBorder="1"/>
    <xf numFmtId="0" fontId="0" fillId="0" borderId="23" xfId="0" applyBorder="1"/>
    <xf numFmtId="164" fontId="3" fillId="0" borderId="19" xfId="1" applyFont="1" applyBorder="1"/>
    <xf numFmtId="164" fontId="3" fillId="0" borderId="9" xfId="1" applyFont="1" applyFill="1" applyBorder="1"/>
    <xf numFmtId="164" fontId="3" fillId="0" borderId="24" xfId="1" applyFont="1" applyFill="1" applyBorder="1"/>
    <xf numFmtId="164" fontId="3" fillId="0" borderId="9" xfId="1" applyFont="1" applyBorder="1"/>
    <xf numFmtId="0" fontId="0" fillId="0" borderId="9" xfId="0" applyBorder="1"/>
    <xf numFmtId="164" fontId="3" fillId="0" borderId="24" xfId="1" applyFont="1" applyBorder="1"/>
    <xf numFmtId="0" fontId="3" fillId="3" borderId="8" xfId="0" applyFont="1" applyFill="1" applyBorder="1"/>
    <xf numFmtId="0" fontId="3" fillId="3" borderId="9" xfId="0" applyFont="1" applyFill="1" applyBorder="1"/>
    <xf numFmtId="165" fontId="3" fillId="3" borderId="9" xfId="1" applyNumberFormat="1" applyFont="1" applyFill="1" applyBorder="1"/>
    <xf numFmtId="164" fontId="3" fillId="3" borderId="9" xfId="1" applyFont="1" applyFill="1" applyBorder="1"/>
    <xf numFmtId="14" fontId="3" fillId="3" borderId="9" xfId="0" applyNumberFormat="1" applyFont="1" applyFill="1" applyBorder="1"/>
    <xf numFmtId="164" fontId="3" fillId="3" borderId="24" xfId="1" applyFont="1" applyFill="1" applyBorder="1"/>
    <xf numFmtId="0" fontId="0" fillId="3" borderId="9" xfId="0" applyFill="1" applyBorder="1"/>
    <xf numFmtId="164" fontId="3" fillId="3" borderId="10" xfId="1" applyFont="1" applyFill="1" applyBorder="1"/>
    <xf numFmtId="0" fontId="3" fillId="0" borderId="32" xfId="0" applyFont="1" applyBorder="1"/>
    <xf numFmtId="0" fontId="3" fillId="0" borderId="28" xfId="0" applyFont="1" applyFill="1" applyBorder="1"/>
    <xf numFmtId="165" fontId="3" fillId="0" borderId="28" xfId="1" applyNumberFormat="1" applyFont="1" applyFill="1" applyBorder="1"/>
    <xf numFmtId="164" fontId="3" fillId="0" borderId="28" xfId="1" applyFont="1" applyFill="1" applyBorder="1"/>
    <xf numFmtId="14" fontId="3" fillId="0" borderId="28" xfId="0" applyNumberFormat="1" applyFont="1" applyFill="1" applyBorder="1"/>
    <xf numFmtId="164" fontId="3" fillId="0" borderId="33" xfId="1" applyFont="1" applyFill="1" applyBorder="1"/>
    <xf numFmtId="164" fontId="3" fillId="0" borderId="28" xfId="1" applyFont="1" applyBorder="1"/>
    <xf numFmtId="0" fontId="0" fillId="0" borderId="28" xfId="0" applyBorder="1"/>
    <xf numFmtId="164" fontId="3" fillId="0" borderId="33" xfId="1" applyFont="1" applyBorder="1"/>
    <xf numFmtId="164" fontId="3" fillId="0" borderId="29" xfId="1" applyFont="1" applyBorder="1"/>
    <xf numFmtId="0" fontId="3" fillId="0" borderId="34" xfId="0" applyFont="1" applyBorder="1"/>
    <xf numFmtId="0" fontId="0" fillId="3" borderId="1" xfId="0" applyFont="1" applyFill="1" applyBorder="1"/>
    <xf numFmtId="0" fontId="0" fillId="3" borderId="15" xfId="0" applyFont="1" applyFill="1" applyBorder="1"/>
    <xf numFmtId="0" fontId="4" fillId="4" borderId="3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165" fontId="4" fillId="4" borderId="6" xfId="1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164" fontId="4" fillId="4" borderId="6" xfId="1" applyFont="1" applyFill="1" applyBorder="1" applyAlignment="1">
      <alignment horizontal="center" vertical="center"/>
    </xf>
    <xf numFmtId="0" fontId="4" fillId="0" borderId="11" xfId="0" applyFont="1" applyBorder="1"/>
    <xf numFmtId="0" fontId="4" fillId="0" borderId="12" xfId="0" applyFont="1" applyFill="1" applyBorder="1"/>
    <xf numFmtId="165" fontId="4" fillId="0" borderId="12" xfId="1" applyNumberFormat="1" applyFont="1" applyFill="1" applyBorder="1"/>
    <xf numFmtId="164" fontId="4" fillId="0" borderId="12" xfId="1" applyFont="1" applyFill="1" applyBorder="1"/>
    <xf numFmtId="14" fontId="4" fillId="0" borderId="12" xfId="0" applyNumberFormat="1" applyFont="1" applyFill="1" applyBorder="1"/>
    <xf numFmtId="164" fontId="4" fillId="0" borderId="12" xfId="1" applyFont="1" applyBorder="1"/>
    <xf numFmtId="0" fontId="2" fillId="0" borderId="12" xfId="0" applyFont="1" applyBorder="1"/>
    <xf numFmtId="164" fontId="3" fillId="0" borderId="15" xfId="1" applyFont="1" applyBorder="1"/>
    <xf numFmtId="0" fontId="0" fillId="0" borderId="15" xfId="0" applyBorder="1"/>
    <xf numFmtId="164" fontId="3" fillId="0" borderId="20" xfId="1" applyFont="1" applyFill="1" applyBorder="1"/>
    <xf numFmtId="164" fontId="4" fillId="0" borderId="13" xfId="1" applyFont="1" applyFill="1" applyBorder="1"/>
    <xf numFmtId="164" fontId="3" fillId="0" borderId="21" xfId="1" applyFont="1" applyFill="1" applyBorder="1"/>
    <xf numFmtId="164" fontId="6" fillId="0" borderId="18" xfId="1" applyFont="1" applyFill="1" applyBorder="1"/>
    <xf numFmtId="164" fontId="6" fillId="0" borderId="16" xfId="1" applyFont="1" applyFill="1" applyBorder="1"/>
    <xf numFmtId="0" fontId="7" fillId="3" borderId="1" xfId="0" applyFont="1" applyFill="1" applyBorder="1"/>
    <xf numFmtId="165" fontId="7" fillId="3" borderId="1" xfId="1" applyNumberFormat="1" applyFont="1" applyFill="1" applyBorder="1"/>
    <xf numFmtId="0" fontId="7" fillId="3" borderId="15" xfId="0" applyFont="1" applyFill="1" applyBorder="1"/>
    <xf numFmtId="165" fontId="7" fillId="3" borderId="15" xfId="1" applyNumberFormat="1" applyFont="1" applyFill="1" applyBorder="1"/>
    <xf numFmtId="164" fontId="7" fillId="3" borderId="18" xfId="1" applyFont="1" applyFill="1" applyBorder="1"/>
    <xf numFmtId="164" fontId="7" fillId="3" borderId="16" xfId="1" applyFont="1" applyFill="1" applyBorder="1"/>
    <xf numFmtId="0" fontId="7" fillId="0" borderId="1" xfId="0" applyFont="1" applyFill="1" applyBorder="1"/>
    <xf numFmtId="165" fontId="7" fillId="0" borderId="1" xfId="1" applyNumberFormat="1" applyFont="1" applyFill="1" applyBorder="1"/>
    <xf numFmtId="0" fontId="7" fillId="0" borderId="15" xfId="0" applyFont="1" applyFill="1" applyBorder="1"/>
    <xf numFmtId="165" fontId="7" fillId="0" borderId="15" xfId="1" applyNumberFormat="1" applyFont="1" applyFill="1" applyBorder="1"/>
    <xf numFmtId="164" fontId="7" fillId="3" borderId="10" xfId="1" applyFont="1" applyFill="1" applyBorder="1"/>
    <xf numFmtId="0" fontId="7" fillId="3" borderId="9" xfId="0" applyFont="1" applyFill="1" applyBorder="1"/>
    <xf numFmtId="165" fontId="7" fillId="3" borderId="9" xfId="1" applyNumberFormat="1" applyFont="1" applyFill="1" applyBorder="1"/>
    <xf numFmtId="164" fontId="7" fillId="0" borderId="35" xfId="1" applyFont="1" applyBorder="1"/>
    <xf numFmtId="0" fontId="3" fillId="0" borderId="37" xfId="0" applyFont="1" applyBorder="1"/>
    <xf numFmtId="0" fontId="3" fillId="0" borderId="30" xfId="0" applyFont="1" applyFill="1" applyBorder="1"/>
    <xf numFmtId="165" fontId="3" fillId="0" borderId="30" xfId="1" applyNumberFormat="1" applyFont="1" applyFill="1" applyBorder="1"/>
    <xf numFmtId="164" fontId="3" fillId="0" borderId="30" xfId="1" applyFont="1" applyFill="1" applyBorder="1"/>
    <xf numFmtId="14" fontId="3" fillId="0" borderId="30" xfId="0" applyNumberFormat="1" applyFont="1" applyFill="1" applyBorder="1"/>
    <xf numFmtId="164" fontId="3" fillId="0" borderId="38" xfId="1" applyFont="1" applyFill="1" applyBorder="1"/>
    <xf numFmtId="164" fontId="3" fillId="0" borderId="30" xfId="1" applyFont="1" applyBorder="1"/>
    <xf numFmtId="0" fontId="0" fillId="0" borderId="30" xfId="0" applyBorder="1"/>
    <xf numFmtId="164" fontId="3" fillId="0" borderId="38" xfId="1" applyFont="1" applyBorder="1"/>
    <xf numFmtId="0" fontId="7" fillId="0" borderId="23" xfId="0" applyFont="1" applyFill="1" applyBorder="1"/>
    <xf numFmtId="0" fontId="7" fillId="0" borderId="30" xfId="0" applyFont="1" applyFill="1" applyBorder="1"/>
    <xf numFmtId="165" fontId="7" fillId="0" borderId="23" xfId="1" applyNumberFormat="1" applyFont="1" applyFill="1" applyBorder="1"/>
    <xf numFmtId="165" fontId="7" fillId="0" borderId="30" xfId="1" applyNumberFormat="1" applyFont="1" applyFill="1" applyBorder="1"/>
    <xf numFmtId="164" fontId="7" fillId="0" borderId="31" xfId="1" applyFont="1" applyBorder="1"/>
    <xf numFmtId="0" fontId="7" fillId="0" borderId="9" xfId="0" applyFont="1" applyFill="1" applyBorder="1"/>
    <xf numFmtId="165" fontId="7" fillId="0" borderId="9" xfId="1" applyNumberFormat="1" applyFont="1" applyFill="1" applyBorder="1"/>
    <xf numFmtId="164" fontId="7" fillId="0" borderId="10" xfId="1" applyFont="1" applyBorder="1"/>
    <xf numFmtId="0" fontId="3" fillId="3" borderId="28" xfId="0" applyFont="1" applyFill="1" applyBorder="1"/>
    <xf numFmtId="164" fontId="3" fillId="3" borderId="28" xfId="1" applyFont="1" applyFill="1" applyBorder="1"/>
    <xf numFmtId="14" fontId="3" fillId="3" borderId="28" xfId="0" applyNumberFormat="1" applyFont="1" applyFill="1" applyBorder="1"/>
    <xf numFmtId="164" fontId="3" fillId="3" borderId="33" xfId="1" applyFont="1" applyFill="1" applyBorder="1"/>
    <xf numFmtId="0" fontId="0" fillId="3" borderId="28" xfId="0" applyFill="1" applyBorder="1"/>
    <xf numFmtId="164" fontId="3" fillId="3" borderId="29" xfId="1" applyFont="1" applyFill="1" applyBorder="1"/>
    <xf numFmtId="0" fontId="3" fillId="0" borderId="0" xfId="0" applyFont="1" applyBorder="1"/>
    <xf numFmtId="0" fontId="3" fillId="0" borderId="0" xfId="0" applyFont="1" applyFill="1" applyBorder="1"/>
    <xf numFmtId="165" fontId="3" fillId="0" borderId="0" xfId="1" applyNumberFormat="1" applyFont="1" applyFill="1" applyBorder="1"/>
    <xf numFmtId="164" fontId="3" fillId="0" borderId="0" xfId="1" applyFont="1" applyFill="1" applyBorder="1"/>
    <xf numFmtId="14" fontId="3" fillId="0" borderId="0" xfId="0" applyNumberFormat="1" applyFont="1" applyFill="1" applyBorder="1"/>
    <xf numFmtId="164" fontId="3" fillId="0" borderId="0" xfId="1" applyFont="1" applyBorder="1"/>
    <xf numFmtId="0" fontId="0" fillId="0" borderId="0" xfId="0" applyBorder="1"/>
    <xf numFmtId="0" fontId="0" fillId="0" borderId="0" xfId="0" applyFill="1" applyBorder="1"/>
    <xf numFmtId="0" fontId="3" fillId="0" borderId="2" xfId="0" applyFont="1" applyBorder="1"/>
    <xf numFmtId="0" fontId="3" fillId="0" borderId="2" xfId="0" applyFont="1" applyFill="1" applyBorder="1"/>
    <xf numFmtId="165" fontId="3" fillId="0" borderId="2" xfId="1" applyNumberFormat="1" applyFont="1" applyFill="1" applyBorder="1"/>
    <xf numFmtId="164" fontId="3" fillId="0" borderId="4" xfId="1" applyFont="1" applyFill="1" applyBorder="1"/>
    <xf numFmtId="14" fontId="3" fillId="0" borderId="2" xfId="0" applyNumberFormat="1" applyFont="1" applyFill="1" applyBorder="1"/>
    <xf numFmtId="164" fontId="3" fillId="0" borderId="2" xfId="1" applyFont="1" applyFill="1" applyBorder="1"/>
    <xf numFmtId="0" fontId="3" fillId="0" borderId="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164" fontId="3" fillId="0" borderId="12" xfId="1" applyFont="1" applyBorder="1"/>
    <xf numFmtId="0" fontId="0" fillId="0" borderId="12" xfId="0" applyBorder="1"/>
    <xf numFmtId="164" fontId="3" fillId="0" borderId="20" xfId="1" applyFont="1" applyBorder="1"/>
    <xf numFmtId="164" fontId="3" fillId="0" borderId="13" xfId="1" applyFont="1" applyBorder="1"/>
    <xf numFmtId="164" fontId="7" fillId="0" borderId="18" xfId="1" applyFont="1" applyBorder="1"/>
    <xf numFmtId="0" fontId="3" fillId="0" borderId="15" xfId="0" applyFont="1" applyFill="1" applyBorder="1" applyAlignment="1">
      <alignment horizontal="center"/>
    </xf>
    <xf numFmtId="164" fontId="3" fillId="0" borderId="21" xfId="1" applyFont="1" applyBorder="1"/>
    <xf numFmtId="164" fontId="7" fillId="0" borderId="16" xfId="1" applyFont="1" applyBorder="1"/>
    <xf numFmtId="0" fontId="3" fillId="3" borderId="12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3" borderId="23" xfId="0" applyFont="1" applyFill="1" applyBorder="1"/>
    <xf numFmtId="165" fontId="3" fillId="3" borderId="23" xfId="1" applyNumberFormat="1" applyFont="1" applyFill="1" applyBorder="1"/>
    <xf numFmtId="164" fontId="3" fillId="3" borderId="23" xfId="1" applyFont="1" applyFill="1" applyBorder="1"/>
    <xf numFmtId="14" fontId="3" fillId="3" borderId="23" xfId="0" applyNumberFormat="1" applyFont="1" applyFill="1" applyBorder="1"/>
    <xf numFmtId="164" fontId="3" fillId="3" borderId="19" xfId="1" applyFont="1" applyFill="1" applyBorder="1"/>
    <xf numFmtId="165" fontId="7" fillId="0" borderId="40" xfId="1" applyNumberFormat="1" applyFont="1" applyFill="1" applyBorder="1"/>
    <xf numFmtId="0" fontId="3" fillId="3" borderId="41" xfId="0" applyFont="1" applyFill="1" applyBorder="1"/>
    <xf numFmtId="0" fontId="3" fillId="3" borderId="28" xfId="0" applyFont="1" applyFill="1" applyBorder="1" applyAlignment="1">
      <alignment horizontal="left" vertical="center"/>
    </xf>
    <xf numFmtId="165" fontId="3" fillId="3" borderId="42" xfId="1" applyNumberFormat="1" applyFont="1" applyFill="1" applyBorder="1"/>
    <xf numFmtId="0" fontId="3" fillId="2" borderId="9" xfId="0" applyFont="1" applyFill="1" applyBorder="1"/>
    <xf numFmtId="0" fontId="3" fillId="0" borderId="39" xfId="0" applyFont="1" applyFill="1" applyBorder="1"/>
    <xf numFmtId="0" fontId="7" fillId="0" borderId="5" xfId="0" applyFont="1" applyFill="1" applyBorder="1"/>
    <xf numFmtId="0" fontId="0" fillId="0" borderId="9" xfId="0" applyFill="1" applyBorder="1"/>
    <xf numFmtId="164" fontId="7" fillId="0" borderId="10" xfId="1" applyFont="1" applyFill="1" applyBorder="1"/>
    <xf numFmtId="0" fontId="3" fillId="0" borderId="8" xfId="0" applyFont="1" applyFill="1" applyBorder="1"/>
    <xf numFmtId="166" fontId="7" fillId="0" borderId="10" xfId="1" applyNumberFormat="1" applyFont="1" applyFill="1" applyBorder="1"/>
    <xf numFmtId="0" fontId="3" fillId="0" borderId="32" xfId="0" applyFont="1" applyFill="1" applyBorder="1" applyAlignment="1">
      <alignment horizontal="left" vertical="center"/>
    </xf>
    <xf numFmtId="0" fontId="3" fillId="0" borderId="28" xfId="0" applyFont="1" applyFill="1" applyBorder="1" applyAlignment="1">
      <alignment horizontal="center" vertical="center" wrapText="1"/>
    </xf>
    <xf numFmtId="164" fontId="3" fillId="0" borderId="28" xfId="1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right" vertical="center" wrapText="1"/>
    </xf>
    <xf numFmtId="164" fontId="3" fillId="0" borderId="33" xfId="1" applyFont="1" applyFill="1" applyBorder="1" applyAlignment="1">
      <alignment horizontal="center" vertical="center"/>
    </xf>
    <xf numFmtId="164" fontId="3" fillId="0" borderId="28" xfId="1" applyFont="1" applyFill="1" applyBorder="1" applyAlignment="1">
      <alignment horizontal="center" vertical="center" wrapText="1"/>
    </xf>
    <xf numFmtId="164" fontId="3" fillId="0" borderId="33" xfId="1" applyFont="1" applyFill="1" applyBorder="1" applyAlignment="1">
      <alignment horizontal="center" vertical="center" wrapText="1"/>
    </xf>
    <xf numFmtId="166" fontId="7" fillId="0" borderId="29" xfId="1" applyNumberFormat="1" applyFont="1" applyFill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left" vertical="center"/>
    </xf>
    <xf numFmtId="165" fontId="7" fillId="0" borderId="28" xfId="1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0" fillId="3" borderId="23" xfId="0" applyFont="1" applyFill="1" applyBorder="1"/>
    <xf numFmtId="164" fontId="7" fillId="3" borderId="23" xfId="1" applyFont="1" applyFill="1" applyBorder="1"/>
    <xf numFmtId="0" fontId="3" fillId="5" borderId="17" xfId="0" applyFont="1" applyFill="1" applyBorder="1"/>
    <xf numFmtId="0" fontId="3" fillId="5" borderId="14" xfId="0" applyFont="1" applyFill="1" applyBorder="1"/>
    <xf numFmtId="0" fontId="3" fillId="2" borderId="1" xfId="0" applyFont="1" applyFill="1" applyBorder="1"/>
    <xf numFmtId="165" fontId="3" fillId="2" borderId="1" xfId="1" applyNumberFormat="1" applyFont="1" applyFill="1" applyBorder="1"/>
    <xf numFmtId="165" fontId="3" fillId="2" borderId="9" xfId="1" applyNumberFormat="1" applyFont="1" applyFill="1" applyBorder="1"/>
    <xf numFmtId="164" fontId="3" fillId="2" borderId="10" xfId="1" applyFont="1" applyFill="1" applyBorder="1"/>
    <xf numFmtId="164" fontId="3" fillId="2" borderId="18" xfId="1" applyFont="1" applyFill="1" applyBorder="1"/>
    <xf numFmtId="0" fontId="3" fillId="2" borderId="15" xfId="0" applyFont="1" applyFill="1" applyBorder="1"/>
    <xf numFmtId="165" fontId="3" fillId="2" borderId="15" xfId="1" applyNumberFormat="1" applyFont="1" applyFill="1" applyBorder="1"/>
    <xf numFmtId="0" fontId="3" fillId="6" borderId="8" xfId="0" applyFont="1" applyFill="1" applyBorder="1"/>
    <xf numFmtId="0" fontId="3" fillId="6" borderId="9" xfId="0" applyFont="1" applyFill="1" applyBorder="1"/>
    <xf numFmtId="165" fontId="3" fillId="6" borderId="9" xfId="1" applyNumberFormat="1" applyFont="1" applyFill="1" applyBorder="1"/>
    <xf numFmtId="164" fontId="3" fillId="6" borderId="9" xfId="1" applyFont="1" applyFill="1" applyBorder="1"/>
    <xf numFmtId="14" fontId="3" fillId="6" borderId="9" xfId="0" applyNumberFormat="1" applyFont="1" applyFill="1" applyBorder="1"/>
    <xf numFmtId="164" fontId="3" fillId="6" borderId="24" xfId="1" applyFont="1" applyFill="1" applyBorder="1"/>
    <xf numFmtId="0" fontId="0" fillId="6" borderId="9" xfId="0" applyFill="1" applyBorder="1"/>
    <xf numFmtId="164" fontId="3" fillId="6" borderId="10" xfId="1" applyFont="1" applyFill="1" applyBorder="1"/>
    <xf numFmtId="164" fontId="4" fillId="4" borderId="29" xfId="1" applyFont="1" applyFill="1" applyBorder="1" applyAlignment="1">
      <alignment horizontal="center" vertical="center" wrapText="1"/>
    </xf>
    <xf numFmtId="164" fontId="4" fillId="4" borderId="35" xfId="1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164" fontId="4" fillId="4" borderId="12" xfId="1" applyFont="1" applyFill="1" applyBorder="1" applyAlignment="1">
      <alignment horizontal="center" vertical="center"/>
    </xf>
    <xf numFmtId="164" fontId="4" fillId="4" borderId="6" xfId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64" fontId="4" fillId="4" borderId="6" xfId="1" applyFont="1" applyFill="1" applyBorder="1" applyAlignment="1">
      <alignment horizontal="center" vertical="center" wrapText="1"/>
    </xf>
    <xf numFmtId="164" fontId="4" fillId="4" borderId="23" xfId="1" applyFont="1" applyFill="1" applyBorder="1" applyAlignment="1">
      <alignment horizontal="center" vertical="center" wrapText="1"/>
    </xf>
    <xf numFmtId="164" fontId="4" fillId="4" borderId="28" xfId="1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4" workbookViewId="0">
      <selection activeCell="B15" sqref="B15"/>
    </sheetView>
  </sheetViews>
  <sheetFormatPr baseColWidth="10" defaultRowHeight="15" x14ac:dyDescent="0.25"/>
  <cols>
    <col min="1" max="1" width="11.42578125" style="10"/>
    <col min="2" max="2" width="44.7109375" customWidth="1"/>
    <col min="3" max="3" width="10.42578125" style="14" customWidth="1"/>
    <col min="4" max="4" width="11.7109375" customWidth="1"/>
    <col min="5" max="5" width="11.28515625" style="1" customWidth="1"/>
    <col min="6" max="6" width="10" customWidth="1"/>
    <col min="8" max="8" width="10.85546875" customWidth="1"/>
    <col min="9" max="9" width="11.42578125" style="56"/>
    <col min="12" max="12" width="13.7109375" style="56" bestFit="1" customWidth="1"/>
    <col min="13" max="13" width="11.42578125" style="56"/>
  </cols>
  <sheetData>
    <row r="1" spans="1:13" ht="23.25" customHeight="1" x14ac:dyDescent="0.25">
      <c r="A1" s="240" t="s">
        <v>53</v>
      </c>
      <c r="B1" s="241"/>
      <c r="C1" s="241"/>
      <c r="D1" s="241"/>
      <c r="E1" s="242"/>
      <c r="F1" s="243" t="s">
        <v>11</v>
      </c>
      <c r="G1" s="243"/>
      <c r="H1" s="244"/>
      <c r="I1" s="245" t="s">
        <v>21</v>
      </c>
      <c r="J1" s="247" t="s">
        <v>20</v>
      </c>
      <c r="K1" s="247" t="s">
        <v>22</v>
      </c>
      <c r="L1" s="251" t="s">
        <v>23</v>
      </c>
      <c r="M1" s="238" t="s">
        <v>24</v>
      </c>
    </row>
    <row r="2" spans="1:13" s="11" customFormat="1" ht="30.75" customHeight="1" thickBot="1" x14ac:dyDescent="0.3">
      <c r="A2" s="105" t="s">
        <v>9</v>
      </c>
      <c r="B2" s="106" t="s">
        <v>10</v>
      </c>
      <c r="C2" s="107" t="s">
        <v>15</v>
      </c>
      <c r="D2" s="108" t="s">
        <v>19</v>
      </c>
      <c r="E2" s="109" t="s">
        <v>16</v>
      </c>
      <c r="F2" s="108" t="s">
        <v>13</v>
      </c>
      <c r="G2" s="106" t="s">
        <v>14</v>
      </c>
      <c r="H2" s="106" t="s">
        <v>12</v>
      </c>
      <c r="I2" s="246"/>
      <c r="J2" s="248"/>
      <c r="K2" s="248"/>
      <c r="L2" s="250"/>
      <c r="M2" s="239"/>
    </row>
    <row r="3" spans="1:13" x14ac:dyDescent="0.25">
      <c r="A3" s="110" t="s">
        <v>4</v>
      </c>
      <c r="B3" s="111"/>
      <c r="C3" s="112"/>
      <c r="D3" s="111" t="s">
        <v>25</v>
      </c>
      <c r="E3" s="113">
        <f>SUM(E4:E6)</f>
        <v>15458.16</v>
      </c>
      <c r="F3" s="111">
        <v>2892</v>
      </c>
      <c r="G3" s="114">
        <v>42741</v>
      </c>
      <c r="H3" s="113">
        <v>4002</v>
      </c>
      <c r="I3" s="115">
        <f>SUM(700*6.96)</f>
        <v>4872</v>
      </c>
      <c r="J3" s="115">
        <v>696</v>
      </c>
      <c r="K3" s="116"/>
      <c r="L3" s="119">
        <f t="shared" ref="L3:L6" si="0">SUM(E3+H3+J3)</f>
        <v>20156.16</v>
      </c>
      <c r="M3" s="120"/>
    </row>
    <row r="4" spans="1:13" x14ac:dyDescent="0.25">
      <c r="A4" s="221" t="s">
        <v>30</v>
      </c>
      <c r="B4" s="130" t="s">
        <v>26</v>
      </c>
      <c r="C4" s="131">
        <v>500</v>
      </c>
      <c r="D4" s="7">
        <v>0.94</v>
      </c>
      <c r="E4" s="7">
        <f>SUM(C4*D4)*6.96</f>
        <v>3271.2</v>
      </c>
      <c r="F4" s="5"/>
      <c r="G4" s="7">
        <f>SUM(E4*100)/E3</f>
        <v>21.161638901395769</v>
      </c>
      <c r="H4" s="7">
        <f t="shared" ref="H4" si="1">SUM(H3*G4)/100</f>
        <v>846.88878883385871</v>
      </c>
      <c r="I4" s="54">
        <f>SUM(I3/728)*180</f>
        <v>1204.6153846153848</v>
      </c>
      <c r="J4" s="54">
        <f>SUM(J3/3)</f>
        <v>232</v>
      </c>
      <c r="K4" s="9"/>
      <c r="L4" s="45">
        <f t="shared" si="0"/>
        <v>4350.0887888338584</v>
      </c>
      <c r="M4" s="122">
        <f t="shared" ref="M4:M6" si="2">SUM(L4/C4)</f>
        <v>8.7001775776677164</v>
      </c>
    </row>
    <row r="5" spans="1:13" x14ac:dyDescent="0.25">
      <c r="A5" s="221" t="s">
        <v>66</v>
      </c>
      <c r="B5" s="130" t="s">
        <v>27</v>
      </c>
      <c r="C5" s="131">
        <v>105</v>
      </c>
      <c r="D5" s="7">
        <v>9</v>
      </c>
      <c r="E5" s="7">
        <f t="shared" ref="E5:E6" si="3">SUM(C5*D5)*6.96</f>
        <v>6577.2</v>
      </c>
      <c r="F5" s="5"/>
      <c r="G5" s="7">
        <f>SUM(E5*100)/E3</f>
        <v>42.548401620891489</v>
      </c>
      <c r="H5" s="7">
        <v>1452.32</v>
      </c>
      <c r="I5" s="54">
        <f>SUM(I3/728)*248</f>
        <v>1659.6923076923078</v>
      </c>
      <c r="J5" s="54">
        <f>SUM(J3/3)</f>
        <v>232</v>
      </c>
      <c r="K5" s="9"/>
      <c r="L5" s="45">
        <f t="shared" si="0"/>
        <v>8261.52</v>
      </c>
      <c r="M5" s="122">
        <f t="shared" si="2"/>
        <v>78.681142857142859</v>
      </c>
    </row>
    <row r="6" spans="1:13" ht="15.75" thickBot="1" x14ac:dyDescent="0.3">
      <c r="A6" s="222" t="s">
        <v>67</v>
      </c>
      <c r="B6" s="132" t="s">
        <v>33</v>
      </c>
      <c r="C6" s="133">
        <v>155</v>
      </c>
      <c r="D6" s="32">
        <v>5.2</v>
      </c>
      <c r="E6" s="32">
        <f t="shared" si="3"/>
        <v>5609.76</v>
      </c>
      <c r="F6" s="28"/>
      <c r="G6" s="32">
        <f>SUM(E6*100)/E3</f>
        <v>36.289959477712742</v>
      </c>
      <c r="H6" s="141">
        <v>1702.79</v>
      </c>
      <c r="I6" s="117">
        <f>SUM(I3/728)*300</f>
        <v>2007.6923076923078</v>
      </c>
      <c r="J6" s="117">
        <f>SUM(J3/3)</f>
        <v>232</v>
      </c>
      <c r="K6" s="118"/>
      <c r="L6" s="121">
        <f t="shared" si="0"/>
        <v>7544.55</v>
      </c>
      <c r="M6" s="123">
        <f t="shared" si="2"/>
        <v>48.674516129032263</v>
      </c>
    </row>
    <row r="7" spans="1:13" ht="15.75" thickBot="1" x14ac:dyDescent="0.3">
      <c r="A7" s="84" t="s">
        <v>5</v>
      </c>
      <c r="B7" s="135" t="s">
        <v>32</v>
      </c>
      <c r="C7" s="136">
        <v>900000</v>
      </c>
      <c r="D7" s="85" t="s">
        <v>31</v>
      </c>
      <c r="E7" s="87">
        <f>SUM(6471*6.96)</f>
        <v>45038.159999999996</v>
      </c>
      <c r="F7" s="85">
        <v>2894</v>
      </c>
      <c r="G7" s="88">
        <v>42741</v>
      </c>
      <c r="H7" s="89">
        <v>9608</v>
      </c>
      <c r="I7" s="87">
        <f>SUM(820*6.96)</f>
        <v>5707.2</v>
      </c>
      <c r="J7" s="87">
        <f>SUM(100*6.96)</f>
        <v>696</v>
      </c>
      <c r="K7" s="90"/>
      <c r="L7" s="89">
        <f>SUM(E7+H7+I7+J7)</f>
        <v>61049.359999999993</v>
      </c>
      <c r="M7" s="134">
        <f>SUM(L7/C7)</f>
        <v>6.7832622222222208E-2</v>
      </c>
    </row>
    <row r="8" spans="1:13" ht="15.75" thickBot="1" x14ac:dyDescent="0.3">
      <c r="A8" s="102" t="s">
        <v>6</v>
      </c>
      <c r="B8" s="71" t="s">
        <v>0</v>
      </c>
      <c r="C8" s="72">
        <v>4999</v>
      </c>
      <c r="D8" s="71">
        <v>10071411</v>
      </c>
      <c r="E8" s="73">
        <f>SUM(6037.79*6.96)</f>
        <v>42023.018400000001</v>
      </c>
      <c r="F8" s="71">
        <v>2897</v>
      </c>
      <c r="G8" s="74">
        <v>42741</v>
      </c>
      <c r="H8" s="75">
        <v>8511</v>
      </c>
      <c r="I8" s="76"/>
      <c r="J8" s="77"/>
      <c r="K8" s="77"/>
      <c r="L8" s="78">
        <f>SUM(E8+H8)</f>
        <v>50534.018400000001</v>
      </c>
      <c r="M8" s="137">
        <f>SUM(L8/C8)</f>
        <v>10.108825445089018</v>
      </c>
    </row>
    <row r="9" spans="1:13" x14ac:dyDescent="0.25">
      <c r="A9" s="60" t="s">
        <v>6</v>
      </c>
      <c r="B9" s="57" t="s">
        <v>10</v>
      </c>
      <c r="C9" s="61"/>
      <c r="D9" s="62">
        <v>10071577</v>
      </c>
      <c r="E9" s="63">
        <f>SUM(E10:E11)</f>
        <v>33644.222399999999</v>
      </c>
      <c r="F9" s="64">
        <v>2930</v>
      </c>
      <c r="G9" s="65">
        <v>42741</v>
      </c>
      <c r="H9" s="63">
        <v>7027</v>
      </c>
      <c r="I9" s="63"/>
      <c r="J9" s="63"/>
      <c r="K9" s="66"/>
      <c r="L9" s="67">
        <f>SUM(E9+H9+J9)</f>
        <v>40671.222399999999</v>
      </c>
      <c r="M9" s="70"/>
    </row>
    <row r="10" spans="1:13" x14ac:dyDescent="0.25">
      <c r="A10" s="68"/>
      <c r="B10" s="124" t="s">
        <v>17</v>
      </c>
      <c r="C10" s="125">
        <v>2390</v>
      </c>
      <c r="D10" s="4">
        <v>1.6459999999999999</v>
      </c>
      <c r="E10" s="4">
        <f>SUM(C10*D10)*6.96</f>
        <v>27380.222399999999</v>
      </c>
      <c r="F10" s="2"/>
      <c r="G10" s="4">
        <f>SUM(E10*100)/E9</f>
        <v>81.381647269101393</v>
      </c>
      <c r="H10" s="4">
        <f>SUM(H9*G10)/100</f>
        <v>5718.6883535997549</v>
      </c>
      <c r="I10" s="4"/>
      <c r="J10" s="4"/>
      <c r="K10" s="103"/>
      <c r="L10" s="47">
        <f>SUM(E10+H10+J10)</f>
        <v>33098.910753599754</v>
      </c>
      <c r="M10" s="128">
        <f>SUM(L10/C10)</f>
        <v>13.848916633305336</v>
      </c>
    </row>
    <row r="11" spans="1:13" ht="15.75" thickBot="1" x14ac:dyDescent="0.3">
      <c r="A11" s="69"/>
      <c r="B11" s="126" t="s">
        <v>18</v>
      </c>
      <c r="C11" s="127">
        <v>1000</v>
      </c>
      <c r="D11" s="44">
        <v>0.9</v>
      </c>
      <c r="E11" s="44">
        <f>SUM(C11*D11)*6.96</f>
        <v>6264</v>
      </c>
      <c r="F11" s="42"/>
      <c r="G11" s="44">
        <f>SUM(E11*100)/E9</f>
        <v>18.618352730898604</v>
      </c>
      <c r="H11" s="44">
        <f>SUM(H9*G11)/100</f>
        <v>1308.3116464002449</v>
      </c>
      <c r="I11" s="44"/>
      <c r="J11" s="44"/>
      <c r="K11" s="104"/>
      <c r="L11" s="48">
        <f>SUM(E11+H11+J11)</f>
        <v>7572.3116464002451</v>
      </c>
      <c r="M11" s="129">
        <f>SUM(L11/C11)</f>
        <v>7.5723116464002453</v>
      </c>
    </row>
    <row r="12" spans="1:13" x14ac:dyDescent="0.25">
      <c r="A12" s="92" t="s">
        <v>7</v>
      </c>
      <c r="B12" s="176" t="s">
        <v>10</v>
      </c>
      <c r="C12" s="94"/>
      <c r="D12" s="93">
        <v>50171</v>
      </c>
      <c r="E12" s="95">
        <f>SUM(1015*6.96)</f>
        <v>7064.4</v>
      </c>
      <c r="F12" s="93">
        <v>2970</v>
      </c>
      <c r="G12" s="96">
        <v>42741</v>
      </c>
      <c r="H12" s="97">
        <v>3358</v>
      </c>
      <c r="I12" s="98">
        <f>SUM(350*6.96)</f>
        <v>2436</v>
      </c>
      <c r="J12" s="99"/>
      <c r="K12" s="99"/>
      <c r="L12" s="100">
        <f>SUM(E12+H12+I12)</f>
        <v>12858.4</v>
      </c>
      <c r="M12" s="101"/>
    </row>
    <row r="13" spans="1:13" x14ac:dyDescent="0.25">
      <c r="A13" s="102"/>
      <c r="B13" s="147" t="s">
        <v>37</v>
      </c>
      <c r="C13" s="149">
        <v>700</v>
      </c>
      <c r="D13" s="71">
        <v>1.1499999999999999</v>
      </c>
      <c r="E13" s="73">
        <f>SUM(C13*D13)*6.96</f>
        <v>5602.7999999999993</v>
      </c>
      <c r="F13" s="71"/>
      <c r="G13" s="74"/>
      <c r="H13" s="75">
        <f>SUM(E13*H12)/E12</f>
        <v>2663.2413793103447</v>
      </c>
      <c r="I13" s="76">
        <f>SUM(E13*I12)/E12</f>
        <v>1932</v>
      </c>
      <c r="J13" s="77"/>
      <c r="K13" s="77"/>
      <c r="L13" s="78">
        <f>SUM(E13+H13+I13)</f>
        <v>10198.041379310343</v>
      </c>
      <c r="M13" s="137">
        <f>SUM(L13/C13)</f>
        <v>14.568630541871919</v>
      </c>
    </row>
    <row r="14" spans="1:13" ht="15.75" thickBot="1" x14ac:dyDescent="0.3">
      <c r="A14" s="138"/>
      <c r="B14" s="148" t="s">
        <v>38</v>
      </c>
      <c r="C14" s="150">
        <v>200</v>
      </c>
      <c r="D14" s="139">
        <v>1.05</v>
      </c>
      <c r="E14" s="141">
        <f>SUM(C14*D14)*6.96</f>
        <v>1461.6</v>
      </c>
      <c r="F14" s="139"/>
      <c r="G14" s="142"/>
      <c r="H14" s="143">
        <f>SUM(E14*H12)/E12</f>
        <v>694.75862068965523</v>
      </c>
      <c r="I14" s="144">
        <f>SUM(E14*I12)/E12</f>
        <v>504</v>
      </c>
      <c r="J14" s="145"/>
      <c r="K14" s="145"/>
      <c r="L14" s="146">
        <f>SUM(E14+H14+I14)</f>
        <v>2660.3586206896553</v>
      </c>
      <c r="M14" s="151">
        <f>SUM(L14/C14)</f>
        <v>13.301793103448276</v>
      </c>
    </row>
    <row r="15" spans="1:13" ht="15.75" thickBot="1" x14ac:dyDescent="0.3">
      <c r="A15" s="84" t="s">
        <v>5</v>
      </c>
      <c r="B15" s="85" t="s">
        <v>35</v>
      </c>
      <c r="C15" s="86">
        <v>3000</v>
      </c>
      <c r="D15" s="85" t="s">
        <v>34</v>
      </c>
      <c r="E15" s="87">
        <f>SUM(621.6*6.96)</f>
        <v>4326.3360000000002</v>
      </c>
      <c r="F15" s="85">
        <v>3072</v>
      </c>
      <c r="G15" s="88">
        <v>42741</v>
      </c>
      <c r="H15" s="89">
        <v>1594</v>
      </c>
      <c r="I15" s="87">
        <f>SUM(337*6.96)</f>
        <v>2345.52</v>
      </c>
      <c r="J15" s="90"/>
      <c r="K15" s="90"/>
      <c r="L15" s="89">
        <f>SUM(E15+I15+H15)</f>
        <v>8265.8559999999998</v>
      </c>
      <c r="M15" s="91">
        <f>SUM(L15/C15)</f>
        <v>2.7552853333333331</v>
      </c>
    </row>
    <row r="16" spans="1:13" s="167" customFormat="1" ht="15.75" thickBot="1" x14ac:dyDescent="0.3">
      <c r="A16" s="161"/>
      <c r="B16" s="162"/>
      <c r="C16" s="163"/>
      <c r="D16" s="162"/>
      <c r="E16" s="164"/>
      <c r="F16" s="162"/>
      <c r="G16" s="165"/>
      <c r="H16" s="164"/>
      <c r="I16" s="166"/>
      <c r="L16" s="166"/>
      <c r="M16" s="166"/>
    </row>
    <row r="17" spans="1:13" s="168" customFormat="1" x14ac:dyDescent="0.25">
      <c r="A17" s="240" t="s">
        <v>54</v>
      </c>
      <c r="B17" s="241"/>
      <c r="C17" s="241"/>
      <c r="D17" s="241"/>
      <c r="E17" s="242"/>
      <c r="F17" s="243" t="s">
        <v>11</v>
      </c>
      <c r="G17" s="243"/>
      <c r="H17" s="244"/>
      <c r="I17" s="245" t="s">
        <v>21</v>
      </c>
      <c r="J17" s="247" t="s">
        <v>20</v>
      </c>
      <c r="K17" s="247" t="s">
        <v>22</v>
      </c>
      <c r="L17" s="251" t="s">
        <v>23</v>
      </c>
      <c r="M17" s="238" t="s">
        <v>24</v>
      </c>
    </row>
    <row r="18" spans="1:13" ht="23.25" thickBot="1" x14ac:dyDescent="0.3">
      <c r="A18" s="105" t="s">
        <v>9</v>
      </c>
      <c r="B18" s="106" t="s">
        <v>10</v>
      </c>
      <c r="C18" s="107" t="s">
        <v>15</v>
      </c>
      <c r="D18" s="108" t="s">
        <v>19</v>
      </c>
      <c r="E18" s="109" t="s">
        <v>16</v>
      </c>
      <c r="F18" s="108" t="s">
        <v>13</v>
      </c>
      <c r="G18" s="106" t="s">
        <v>14</v>
      </c>
      <c r="H18" s="106" t="s">
        <v>12</v>
      </c>
      <c r="I18" s="246"/>
      <c r="J18" s="248"/>
      <c r="K18" s="248"/>
      <c r="L18" s="250"/>
      <c r="M18" s="239"/>
    </row>
    <row r="19" spans="1:13" ht="15.75" thickBot="1" x14ac:dyDescent="0.3">
      <c r="A19" s="20" t="s">
        <v>5</v>
      </c>
      <c r="B19" s="152" t="s">
        <v>57</v>
      </c>
      <c r="C19" s="153">
        <v>21600</v>
      </c>
      <c r="D19" s="21" t="s">
        <v>36</v>
      </c>
      <c r="E19" s="79">
        <f>SUM(4475.52)*6.96</f>
        <v>31149.619200000005</v>
      </c>
      <c r="F19" s="21">
        <v>3127</v>
      </c>
      <c r="G19" s="22">
        <v>42773</v>
      </c>
      <c r="H19" s="80">
        <v>6707</v>
      </c>
      <c r="I19" s="81">
        <f>SUM(840.33*6.96)</f>
        <v>5848.6968000000006</v>
      </c>
      <c r="J19" s="82"/>
      <c r="K19" s="82"/>
      <c r="L19" s="83">
        <f>SUM(E19+H19+I19)</f>
        <v>43705.315999999999</v>
      </c>
      <c r="M19" s="154">
        <f>SUM(L19/C19)</f>
        <v>2.0233942592592591</v>
      </c>
    </row>
    <row r="20" spans="1:13" ht="15.75" thickBot="1" x14ac:dyDescent="0.3">
      <c r="A20" s="198" t="s">
        <v>6</v>
      </c>
      <c r="B20" s="199" t="s">
        <v>58</v>
      </c>
      <c r="C20" s="200">
        <v>5400</v>
      </c>
      <c r="D20" s="155">
        <v>10071805</v>
      </c>
      <c r="E20" s="156">
        <f>SUM(8616*6.96)</f>
        <v>59967.360000000001</v>
      </c>
      <c r="F20" s="155">
        <v>3128</v>
      </c>
      <c r="G20" s="157">
        <v>42787</v>
      </c>
      <c r="H20" s="158">
        <v>11751</v>
      </c>
      <c r="I20" s="156"/>
      <c r="J20" s="159"/>
      <c r="K20" s="159"/>
      <c r="L20" s="158">
        <f>SUM(E20+H20)</f>
        <v>71718.36</v>
      </c>
      <c r="M20" s="160">
        <f>SUM(L20/C20)</f>
        <v>13.281177777777778</v>
      </c>
    </row>
    <row r="21" spans="1:13" ht="15.75" thickBot="1" x14ac:dyDescent="0.3">
      <c r="A21" s="202" t="s">
        <v>5</v>
      </c>
      <c r="B21" s="203" t="s">
        <v>40</v>
      </c>
      <c r="C21" s="197">
        <v>10000</v>
      </c>
      <c r="D21" s="21" t="s">
        <v>39</v>
      </c>
      <c r="E21" s="79">
        <f>SUM(1180.3*6.96)</f>
        <v>8214.887999999999</v>
      </c>
      <c r="F21" s="21">
        <v>3254</v>
      </c>
      <c r="G21" s="22">
        <v>42786</v>
      </c>
      <c r="H21" s="80">
        <v>2306</v>
      </c>
      <c r="I21" s="79">
        <f>SUM(428.61*6.96)</f>
        <v>2983.1256000000003</v>
      </c>
      <c r="J21" s="204"/>
      <c r="K21" s="204"/>
      <c r="L21" s="80">
        <f>SUM(E21+H21+I21)</f>
        <v>13504.013599999998</v>
      </c>
      <c r="M21" s="205">
        <f>SUM(L21/C21)</f>
        <v>1.3504013599999998</v>
      </c>
    </row>
    <row r="22" spans="1:13" ht="15.75" thickBot="1" x14ac:dyDescent="0.3">
      <c r="A22" s="84" t="s">
        <v>7</v>
      </c>
      <c r="B22" s="135" t="s">
        <v>38</v>
      </c>
      <c r="C22" s="136">
        <v>700</v>
      </c>
      <c r="D22" s="85">
        <v>50497</v>
      </c>
      <c r="E22" s="87">
        <f>SUM(735*6.96)</f>
        <v>5115.6000000000004</v>
      </c>
      <c r="F22" s="85">
        <v>3262</v>
      </c>
      <c r="G22" s="88">
        <v>42773</v>
      </c>
      <c r="H22" s="89">
        <v>2579</v>
      </c>
      <c r="I22" s="87">
        <f>SUM(300*6.96)</f>
        <v>2088</v>
      </c>
      <c r="J22" s="90"/>
      <c r="K22" s="90"/>
      <c r="L22" s="89">
        <f>SUM(E22+H22+I22)</f>
        <v>9782.6</v>
      </c>
      <c r="M22" s="134">
        <f>SUM(L22/700)</f>
        <v>13.975142857142858</v>
      </c>
    </row>
    <row r="23" spans="1:13" ht="15.75" thickBot="1" x14ac:dyDescent="0.3">
      <c r="A23" s="206" t="s">
        <v>5</v>
      </c>
      <c r="B23" s="152" t="s">
        <v>41</v>
      </c>
      <c r="C23" s="153">
        <v>900000</v>
      </c>
      <c r="D23" s="21" t="s">
        <v>31</v>
      </c>
      <c r="E23" s="79">
        <v>45038.16</v>
      </c>
      <c r="F23" s="21">
        <v>3283</v>
      </c>
      <c r="G23" s="22">
        <v>42789</v>
      </c>
      <c r="H23" s="80">
        <v>9580</v>
      </c>
      <c r="I23" s="79">
        <v>5707.2</v>
      </c>
      <c r="J23" s="79">
        <v>696</v>
      </c>
      <c r="K23" s="204"/>
      <c r="L23" s="80">
        <f>SUM(E23+H23+I23+J23)</f>
        <v>61021.36</v>
      </c>
      <c r="M23" s="207">
        <f>SUM(L23/C23)</f>
        <v>6.7801511111111115E-2</v>
      </c>
    </row>
    <row r="24" spans="1:13" ht="15.75" thickBot="1" x14ac:dyDescent="0.3">
      <c r="A24" s="15"/>
      <c r="B24" s="16"/>
      <c r="C24" s="17"/>
      <c r="D24" s="16"/>
      <c r="E24" s="19"/>
      <c r="F24" s="16"/>
      <c r="G24" s="18"/>
      <c r="H24" s="49"/>
      <c r="I24" s="55"/>
      <c r="J24" s="51"/>
      <c r="K24" s="51"/>
      <c r="L24" s="59"/>
      <c r="M24" s="55"/>
    </row>
    <row r="25" spans="1:13" s="8" customFormat="1" x14ac:dyDescent="0.25">
      <c r="A25" s="240" t="s">
        <v>55</v>
      </c>
      <c r="B25" s="241"/>
      <c r="C25" s="241"/>
      <c r="D25" s="241"/>
      <c r="E25" s="242"/>
      <c r="F25" s="243" t="s">
        <v>11</v>
      </c>
      <c r="G25" s="243"/>
      <c r="H25" s="244"/>
      <c r="I25" s="245" t="s">
        <v>21</v>
      </c>
      <c r="J25" s="247" t="s">
        <v>20</v>
      </c>
      <c r="K25" s="247" t="s">
        <v>22</v>
      </c>
      <c r="L25" s="251" t="s">
        <v>23</v>
      </c>
      <c r="M25" s="238" t="s">
        <v>24</v>
      </c>
    </row>
    <row r="26" spans="1:13" ht="23.25" thickBot="1" x14ac:dyDescent="0.3">
      <c r="A26" s="105" t="s">
        <v>9</v>
      </c>
      <c r="B26" s="106" t="s">
        <v>10</v>
      </c>
      <c r="C26" s="107" t="s">
        <v>15</v>
      </c>
      <c r="D26" s="108" t="s">
        <v>19</v>
      </c>
      <c r="E26" s="109" t="s">
        <v>16</v>
      </c>
      <c r="F26" s="108" t="s">
        <v>13</v>
      </c>
      <c r="G26" s="106" t="s">
        <v>14</v>
      </c>
      <c r="H26" s="106" t="s">
        <v>12</v>
      </c>
      <c r="I26" s="246"/>
      <c r="J26" s="248"/>
      <c r="K26" s="248"/>
      <c r="L26" s="250"/>
      <c r="M26" s="239"/>
    </row>
    <row r="27" spans="1:13" ht="15.75" thickBot="1" x14ac:dyDescent="0.3">
      <c r="A27" s="20" t="s">
        <v>6</v>
      </c>
      <c r="B27" s="201" t="s">
        <v>73</v>
      </c>
      <c r="C27" s="225">
        <v>20000</v>
      </c>
      <c r="D27" s="21">
        <v>10072314</v>
      </c>
      <c r="E27" s="79">
        <v>168125.76</v>
      </c>
      <c r="F27" s="21">
        <v>3406</v>
      </c>
      <c r="G27" s="22">
        <v>42809</v>
      </c>
      <c r="H27" s="80">
        <v>29175</v>
      </c>
      <c r="I27" s="81"/>
      <c r="J27" s="82"/>
      <c r="K27" s="82"/>
      <c r="L27" s="83">
        <f>SUM(E27+H27)</f>
        <v>197300.76</v>
      </c>
      <c r="M27" s="226">
        <f>SUM(L27/C27)</f>
        <v>9.8650380000000002</v>
      </c>
    </row>
    <row r="28" spans="1:13" ht="15.75" thickBot="1" x14ac:dyDescent="0.3">
      <c r="A28" s="230" t="s">
        <v>6</v>
      </c>
      <c r="B28" s="231" t="s">
        <v>75</v>
      </c>
      <c r="C28" s="232">
        <v>6500</v>
      </c>
      <c r="D28" s="231"/>
      <c r="E28" s="233"/>
      <c r="F28" s="231">
        <v>3498</v>
      </c>
      <c r="G28" s="234">
        <v>42818</v>
      </c>
      <c r="H28" s="235">
        <v>9791</v>
      </c>
      <c r="I28" s="233"/>
      <c r="J28" s="236"/>
      <c r="K28" s="236"/>
      <c r="L28" s="235"/>
      <c r="M28" s="237"/>
    </row>
    <row r="29" spans="1:13" ht="15.75" thickBot="1" x14ac:dyDescent="0.3">
      <c r="A29" s="23" t="s">
        <v>6</v>
      </c>
      <c r="B29" s="176" t="s">
        <v>10</v>
      </c>
      <c r="C29" s="25"/>
      <c r="D29" s="24">
        <v>10072421</v>
      </c>
      <c r="E29" s="31">
        <v>268091.46999999997</v>
      </c>
      <c r="F29" s="24">
        <v>3525</v>
      </c>
      <c r="G29" s="26">
        <v>42822</v>
      </c>
      <c r="H29" s="119">
        <v>45943</v>
      </c>
      <c r="I29" s="180"/>
      <c r="J29" s="181"/>
      <c r="K29" s="181"/>
      <c r="L29" s="182">
        <f>SUM(E29+H29)</f>
        <v>314034.46999999997</v>
      </c>
      <c r="M29" s="183"/>
    </row>
    <row r="30" spans="1:13" ht="15.75" thickBot="1" x14ac:dyDescent="0.3">
      <c r="A30" s="30"/>
      <c r="B30" s="223" t="s">
        <v>73</v>
      </c>
      <c r="C30" s="224">
        <v>28166</v>
      </c>
      <c r="D30" s="5">
        <v>1.2078</v>
      </c>
      <c r="E30" s="7">
        <v>236771.51</v>
      </c>
      <c r="F30" s="5"/>
      <c r="G30" s="6"/>
      <c r="H30" s="45">
        <f>SUM(E30*H29)/E29</f>
        <v>40575.679203556909</v>
      </c>
      <c r="I30" s="54"/>
      <c r="J30" s="9"/>
      <c r="K30" s="9"/>
      <c r="L30" s="182">
        <f t="shared" ref="L30:L31" si="4">SUM(E30+H30)</f>
        <v>277347.18920355692</v>
      </c>
      <c r="M30" s="227">
        <f>SUM(L30/C30)</f>
        <v>9.8468788327613765</v>
      </c>
    </row>
    <row r="31" spans="1:13" ht="15.75" thickBot="1" x14ac:dyDescent="0.3">
      <c r="A31" s="27"/>
      <c r="B31" s="228" t="s">
        <v>74</v>
      </c>
      <c r="C31" s="229">
        <v>5000</v>
      </c>
      <c r="D31" s="33">
        <v>0.9</v>
      </c>
      <c r="E31" s="32">
        <v>31320</v>
      </c>
      <c r="F31" s="28"/>
      <c r="G31" s="29"/>
      <c r="H31" s="121">
        <f>SUM(E31*H29)/E29</f>
        <v>5367.3276512676821</v>
      </c>
      <c r="I31" s="117"/>
      <c r="J31" s="118"/>
      <c r="K31" s="118"/>
      <c r="L31" s="182">
        <f t="shared" si="4"/>
        <v>36687.327651267682</v>
      </c>
      <c r="M31" s="227">
        <f>SUM(L31/C31)</f>
        <v>7.3374655302535361</v>
      </c>
    </row>
    <row r="32" spans="1:13" ht="15.75" thickBot="1" x14ac:dyDescent="0.3">
      <c r="A32" s="84" t="s">
        <v>8</v>
      </c>
      <c r="B32" s="201" t="s">
        <v>1</v>
      </c>
      <c r="C32" s="225">
        <v>13000</v>
      </c>
      <c r="D32" s="85">
        <v>21021</v>
      </c>
      <c r="E32" s="87">
        <v>18096</v>
      </c>
      <c r="F32" s="85">
        <v>3599</v>
      </c>
      <c r="G32" s="88">
        <v>42825</v>
      </c>
      <c r="H32" s="89">
        <v>5063</v>
      </c>
      <c r="I32" s="87"/>
      <c r="J32" s="90"/>
      <c r="K32" s="90"/>
      <c r="L32" s="89">
        <f>SUM(E32+H32)</f>
        <v>23159</v>
      </c>
      <c r="M32" s="226">
        <f>SUM(L32/C32)</f>
        <v>1.7814615384615384</v>
      </c>
    </row>
    <row r="33" spans="1:13" ht="15.75" thickBot="1" x14ac:dyDescent="0.3">
      <c r="A33" s="169"/>
      <c r="B33" s="170"/>
      <c r="C33" s="171"/>
      <c r="D33" s="170"/>
      <c r="E33" s="172"/>
      <c r="F33" s="170"/>
      <c r="G33" s="173"/>
      <c r="H33" s="174"/>
      <c r="I33" s="55"/>
      <c r="J33" s="51"/>
      <c r="K33" s="51"/>
      <c r="L33" s="78"/>
      <c r="M33" s="78"/>
    </row>
    <row r="34" spans="1:13" x14ac:dyDescent="0.25">
      <c r="A34" s="240" t="s">
        <v>42</v>
      </c>
      <c r="B34" s="241"/>
      <c r="C34" s="241"/>
      <c r="D34" s="241"/>
      <c r="E34" s="242"/>
      <c r="F34" s="243" t="s">
        <v>11</v>
      </c>
      <c r="G34" s="243"/>
      <c r="H34" s="244"/>
      <c r="I34" s="245" t="s">
        <v>21</v>
      </c>
      <c r="J34" s="247" t="s">
        <v>20</v>
      </c>
      <c r="K34" s="247" t="s">
        <v>22</v>
      </c>
      <c r="L34" s="251" t="s">
        <v>23</v>
      </c>
      <c r="M34" s="238" t="s">
        <v>24</v>
      </c>
    </row>
    <row r="35" spans="1:13" ht="23.25" thickBot="1" x14ac:dyDescent="0.3">
      <c r="A35" s="105" t="s">
        <v>9</v>
      </c>
      <c r="B35" s="106" t="s">
        <v>10</v>
      </c>
      <c r="C35" s="107" t="s">
        <v>15</v>
      </c>
      <c r="D35" s="108" t="s">
        <v>19</v>
      </c>
      <c r="E35" s="109" t="s">
        <v>16</v>
      </c>
      <c r="F35" s="108" t="s">
        <v>13</v>
      </c>
      <c r="G35" s="106" t="s">
        <v>14</v>
      </c>
      <c r="H35" s="106" t="s">
        <v>12</v>
      </c>
      <c r="I35" s="246"/>
      <c r="J35" s="248"/>
      <c r="K35" s="248"/>
      <c r="L35" s="250"/>
      <c r="M35" s="239"/>
    </row>
    <row r="36" spans="1:13" ht="15.75" thickBot="1" x14ac:dyDescent="0.3">
      <c r="A36" s="20" t="s">
        <v>5</v>
      </c>
      <c r="B36" s="152" t="s">
        <v>45</v>
      </c>
      <c r="C36" s="153">
        <v>20000</v>
      </c>
      <c r="D36" s="191" t="s">
        <v>46</v>
      </c>
      <c r="E36" s="79">
        <f>SUM(978.6*6.96)</f>
        <v>6811.0560000000005</v>
      </c>
      <c r="F36" s="21">
        <v>3634</v>
      </c>
      <c r="G36" s="22">
        <v>42467</v>
      </c>
      <c r="H36" s="80">
        <v>2095</v>
      </c>
      <c r="I36" s="81">
        <f>SUM(507.19*6.96)</f>
        <v>3530.0423999999998</v>
      </c>
      <c r="J36" s="82"/>
      <c r="K36" s="82"/>
      <c r="L36" s="83">
        <f>SUM(E36+H36+I36)</f>
        <v>12436.098400000001</v>
      </c>
      <c r="M36" s="154">
        <f>SUM(L36/C36)</f>
        <v>0.62180491999999998</v>
      </c>
    </row>
    <row r="37" spans="1:13" s="8" customFormat="1" ht="15.75" thickBot="1" x14ac:dyDescent="0.3">
      <c r="A37" s="84" t="s">
        <v>6</v>
      </c>
      <c r="B37" s="135" t="s">
        <v>47</v>
      </c>
      <c r="C37" s="136">
        <v>110000</v>
      </c>
      <c r="D37" s="190">
        <v>10072631</v>
      </c>
      <c r="E37" s="87">
        <f>SUM(110580*6.96)</f>
        <v>769636.8</v>
      </c>
      <c r="F37" s="85">
        <v>3690</v>
      </c>
      <c r="G37" s="88">
        <v>42479</v>
      </c>
      <c r="H37" s="89">
        <v>134165</v>
      </c>
      <c r="I37" s="87"/>
      <c r="J37" s="90"/>
      <c r="K37" s="90"/>
      <c r="L37" s="89">
        <f>SUM(E37+H37)</f>
        <v>903801.8</v>
      </c>
      <c r="M37" s="134">
        <f>SUM(L37/C37)</f>
        <v>8.2163800000000009</v>
      </c>
    </row>
    <row r="38" spans="1:13" x14ac:dyDescent="0.25">
      <c r="A38" s="23" t="s">
        <v>7</v>
      </c>
      <c r="B38" s="176" t="s">
        <v>10</v>
      </c>
      <c r="C38" s="25"/>
      <c r="D38" s="179">
        <v>50946</v>
      </c>
      <c r="E38" s="31">
        <f>SUM(1041.16*6.96)</f>
        <v>7246.4736000000003</v>
      </c>
      <c r="F38" s="24">
        <v>3722</v>
      </c>
      <c r="G38" s="26">
        <v>42849</v>
      </c>
      <c r="H38" s="119">
        <v>3540</v>
      </c>
      <c r="I38" s="180">
        <f>SUM(543.15*6.96)</f>
        <v>3780.3239999999996</v>
      </c>
      <c r="J38" s="181"/>
      <c r="K38" s="181"/>
      <c r="L38" s="182">
        <f>SUM(E38+H38+I38)</f>
        <v>14566.797600000002</v>
      </c>
      <c r="M38" s="183"/>
    </row>
    <row r="39" spans="1:13" x14ac:dyDescent="0.25">
      <c r="A39" s="30"/>
      <c r="B39" s="130" t="s">
        <v>48</v>
      </c>
      <c r="C39" s="131">
        <v>400</v>
      </c>
      <c r="D39" s="175">
        <v>1.1499999999999999</v>
      </c>
      <c r="E39" s="7">
        <f>SUM(1.15*6.96)*(C39)</f>
        <v>3201.6</v>
      </c>
      <c r="F39" s="5"/>
      <c r="G39" s="6"/>
      <c r="H39" s="45">
        <f>SUM(E39*H38)/E38</f>
        <v>1564.0247416343309</v>
      </c>
      <c r="I39" s="54">
        <f>SUM(I38*E39)/E38</f>
        <v>1670.2034653655537</v>
      </c>
      <c r="J39" s="9"/>
      <c r="K39" s="9"/>
      <c r="L39" s="58">
        <f>SUM(E39+H39+I39)</f>
        <v>6435.8282069998841</v>
      </c>
      <c r="M39" s="184">
        <f>SUM(L39/C39)</f>
        <v>16.089570517499709</v>
      </c>
    </row>
    <row r="40" spans="1:13" ht="15.75" thickBot="1" x14ac:dyDescent="0.3">
      <c r="A40" s="27"/>
      <c r="B40" s="132" t="s">
        <v>49</v>
      </c>
      <c r="C40" s="133">
        <v>1002</v>
      </c>
      <c r="D40" s="185">
        <v>0.57999999999999996</v>
      </c>
      <c r="E40" s="32">
        <f>SUM(0.58*6.96)*(C40)</f>
        <v>4044.8735999999994</v>
      </c>
      <c r="F40" s="28"/>
      <c r="G40" s="29"/>
      <c r="H40" s="121">
        <f>SUM(E40*H38)/E38</f>
        <v>1975.9752583656687</v>
      </c>
      <c r="I40" s="117">
        <f>SUM(I38*E40)/E38</f>
        <v>2110.1205346344454</v>
      </c>
      <c r="J40" s="118"/>
      <c r="K40" s="118"/>
      <c r="L40" s="186">
        <f>SUM(E40+H40+I40)</f>
        <v>8130.969393000114</v>
      </c>
      <c r="M40" s="187">
        <f>SUM(L40/C40)</f>
        <v>8.1147399131737661</v>
      </c>
    </row>
    <row r="41" spans="1:13" x14ac:dyDescent="0.25">
      <c r="A41" s="34" t="s">
        <v>6</v>
      </c>
      <c r="B41" s="57" t="s">
        <v>10</v>
      </c>
      <c r="C41" s="36"/>
      <c r="D41" s="188">
        <v>10072680</v>
      </c>
      <c r="E41" s="37">
        <f>SUM(106470.01*6.96)</f>
        <v>741031.2696</v>
      </c>
      <c r="F41" s="35">
        <v>3749</v>
      </c>
      <c r="G41" s="38">
        <v>42851</v>
      </c>
      <c r="H41" s="46">
        <v>120739</v>
      </c>
      <c r="I41" s="37"/>
      <c r="J41" s="52"/>
      <c r="K41" s="52"/>
      <c r="L41" s="46">
        <f>SUM(E41+H41)</f>
        <v>861770.2696</v>
      </c>
      <c r="M41" s="39"/>
    </row>
    <row r="42" spans="1:13" x14ac:dyDescent="0.25">
      <c r="A42" s="40"/>
      <c r="B42" s="124" t="s">
        <v>50</v>
      </c>
      <c r="C42" s="125">
        <v>90000</v>
      </c>
      <c r="D42" s="177">
        <v>1.0780000000000001</v>
      </c>
      <c r="E42" s="4">
        <f>SUM(D42*6.96)*C42</f>
        <v>675259.20000000007</v>
      </c>
      <c r="F42" s="2"/>
      <c r="G42" s="3"/>
      <c r="H42" s="47">
        <f>SUM(E42*H41/E41)</f>
        <v>110022.51037639614</v>
      </c>
      <c r="I42" s="4"/>
      <c r="J42" s="50"/>
      <c r="K42" s="50"/>
      <c r="L42" s="47">
        <f>SUM(E42+H42)</f>
        <v>785281.71037639619</v>
      </c>
      <c r="M42" s="128">
        <f>SUM(L42/C42)</f>
        <v>8.7253523375155133</v>
      </c>
    </row>
    <row r="43" spans="1:13" ht="15.75" thickBot="1" x14ac:dyDescent="0.3">
      <c r="A43" s="41"/>
      <c r="B43" s="126" t="s">
        <v>51</v>
      </c>
      <c r="C43" s="127">
        <v>10500</v>
      </c>
      <c r="D43" s="189">
        <v>0.9</v>
      </c>
      <c r="E43" s="44">
        <f>SUM(D43*6.96)*C43</f>
        <v>65772</v>
      </c>
      <c r="F43" s="42"/>
      <c r="G43" s="43"/>
      <c r="H43" s="48">
        <f>SUM(E43*H41)/E41</f>
        <v>10716.478283415208</v>
      </c>
      <c r="I43" s="44"/>
      <c r="J43" s="53"/>
      <c r="K43" s="53"/>
      <c r="L43" s="48">
        <f>SUM(E43+H43)</f>
        <v>76488.478283415214</v>
      </c>
      <c r="M43" s="129">
        <f>SUM(L43/C43)</f>
        <v>7.2846169793728777</v>
      </c>
    </row>
    <row r="44" spans="1:13" ht="15.75" thickBot="1" x14ac:dyDescent="0.3">
      <c r="A44" s="20" t="s">
        <v>6</v>
      </c>
      <c r="B44" s="152" t="s">
        <v>52</v>
      </c>
      <c r="C44" s="153">
        <v>2700</v>
      </c>
      <c r="D44" s="191">
        <v>10072689</v>
      </c>
      <c r="E44" s="79">
        <f>SUM(7221.86)*6.96</f>
        <v>50264.145599999996</v>
      </c>
      <c r="F44" s="21">
        <v>3750</v>
      </c>
      <c r="G44" s="22">
        <v>42851</v>
      </c>
      <c r="H44" s="80">
        <v>9977</v>
      </c>
      <c r="I44" s="81"/>
      <c r="J44" s="82"/>
      <c r="K44" s="82"/>
      <c r="L44" s="83">
        <f>SUM(E44+H44)</f>
        <v>60241.145599999996</v>
      </c>
      <c r="M44" s="154">
        <f>SUM(L44/C44)</f>
        <v>22.311535407407405</v>
      </c>
    </row>
    <row r="45" spans="1:13" ht="15.75" thickBot="1" x14ac:dyDescent="0.3">
      <c r="A45" s="84" t="s">
        <v>5</v>
      </c>
      <c r="B45" s="135" t="s">
        <v>44</v>
      </c>
      <c r="C45" s="136">
        <v>6000</v>
      </c>
      <c r="D45" s="190" t="s">
        <v>43</v>
      </c>
      <c r="E45" s="87">
        <f>SUM(1332.72*6.96)</f>
        <v>9275.7312000000002</v>
      </c>
      <c r="F45" s="85">
        <v>3763</v>
      </c>
      <c r="G45" s="88">
        <v>42852</v>
      </c>
      <c r="H45" s="89">
        <v>2456</v>
      </c>
      <c r="I45" s="87">
        <f>SUM(347.1*6.96)</f>
        <v>2415.8160000000003</v>
      </c>
      <c r="J45" s="90"/>
      <c r="K45" s="90"/>
      <c r="L45" s="89">
        <f>SUM(E45+H45+I45)</f>
        <v>14147.547200000001</v>
      </c>
      <c r="M45" s="134">
        <f>SUM(L45/C45)</f>
        <v>2.3579245333333336</v>
      </c>
    </row>
    <row r="46" spans="1:13" ht="15.75" thickBot="1" x14ac:dyDescent="0.3">
      <c r="A46" s="15"/>
      <c r="B46" s="16"/>
      <c r="C46" s="17"/>
      <c r="D46" s="178"/>
      <c r="E46" s="19"/>
      <c r="F46" s="16"/>
      <c r="G46" s="18"/>
      <c r="H46" s="49"/>
      <c r="I46" s="55"/>
      <c r="J46" s="51"/>
      <c r="K46" s="51"/>
      <c r="L46" s="78"/>
      <c r="M46" s="76"/>
    </row>
    <row r="47" spans="1:13" x14ac:dyDescent="0.25">
      <c r="A47" s="240" t="s">
        <v>56</v>
      </c>
      <c r="B47" s="241"/>
      <c r="C47" s="241"/>
      <c r="D47" s="241"/>
      <c r="E47" s="242"/>
      <c r="F47" s="243" t="s">
        <v>11</v>
      </c>
      <c r="G47" s="243"/>
      <c r="H47" s="244"/>
      <c r="I47" s="245" t="s">
        <v>21</v>
      </c>
      <c r="J47" s="247" t="s">
        <v>20</v>
      </c>
      <c r="K47" s="247" t="s">
        <v>22</v>
      </c>
      <c r="L47" s="249" t="s">
        <v>23</v>
      </c>
      <c r="M47" s="249" t="s">
        <v>24</v>
      </c>
    </row>
    <row r="48" spans="1:13" ht="23.25" thickBot="1" x14ac:dyDescent="0.3">
      <c r="A48" s="105" t="s">
        <v>9</v>
      </c>
      <c r="B48" s="106" t="s">
        <v>10</v>
      </c>
      <c r="C48" s="107" t="s">
        <v>15</v>
      </c>
      <c r="D48" s="108" t="s">
        <v>61</v>
      </c>
      <c r="E48" s="109" t="s">
        <v>16</v>
      </c>
      <c r="F48" s="108" t="s">
        <v>13</v>
      </c>
      <c r="G48" s="106" t="s">
        <v>14</v>
      </c>
      <c r="H48" s="106" t="s">
        <v>12</v>
      </c>
      <c r="I48" s="246"/>
      <c r="J48" s="248"/>
      <c r="K48" s="248"/>
      <c r="L48" s="250"/>
      <c r="M48" s="250"/>
    </row>
    <row r="49" spans="1:13" ht="15.75" thickBot="1" x14ac:dyDescent="0.3">
      <c r="A49" s="208" t="s">
        <v>5</v>
      </c>
      <c r="B49" s="216" t="s">
        <v>41</v>
      </c>
      <c r="C49" s="217">
        <v>900000</v>
      </c>
      <c r="D49" s="209">
        <v>11197</v>
      </c>
      <c r="E49" s="210">
        <f>SUM(6471*6.96)</f>
        <v>45038.159999999996</v>
      </c>
      <c r="F49" s="211">
        <v>3794</v>
      </c>
      <c r="G49" s="96">
        <v>42859</v>
      </c>
      <c r="H49" s="212">
        <v>9581</v>
      </c>
      <c r="I49" s="210">
        <f>SUM(820*6.96)</f>
        <v>5707.2</v>
      </c>
      <c r="J49" s="213">
        <f>SUM(100*6.96)</f>
        <v>696</v>
      </c>
      <c r="K49" s="209"/>
      <c r="L49" s="214">
        <f>SUM(E49+H49+I49+J49)</f>
        <v>61022.359999999993</v>
      </c>
      <c r="M49" s="215">
        <f>SUM(L49/C49)</f>
        <v>6.780262222222222E-2</v>
      </c>
    </row>
    <row r="50" spans="1:13" x14ac:dyDescent="0.25">
      <c r="A50" s="34" t="s">
        <v>4</v>
      </c>
      <c r="B50" s="57" t="s">
        <v>10</v>
      </c>
      <c r="C50" s="36"/>
      <c r="D50" s="35" t="s">
        <v>65</v>
      </c>
      <c r="E50" s="37">
        <f>SUM(6374.8*6.96)</f>
        <v>44368.608</v>
      </c>
      <c r="F50" s="35">
        <v>3795</v>
      </c>
      <c r="G50" s="38">
        <v>42859</v>
      </c>
      <c r="H50" s="37">
        <v>9624</v>
      </c>
      <c r="I50" s="37">
        <v>6960</v>
      </c>
      <c r="J50" s="35">
        <v>696</v>
      </c>
      <c r="K50" s="52"/>
      <c r="L50" s="37">
        <f>SUM(E50+H50+I50+J50)</f>
        <v>61648.608</v>
      </c>
      <c r="M50" s="39"/>
    </row>
    <row r="51" spans="1:13" x14ac:dyDescent="0.25">
      <c r="A51" s="221" t="s">
        <v>68</v>
      </c>
      <c r="B51" s="218" t="s">
        <v>64</v>
      </c>
      <c r="C51" s="125">
        <v>5000</v>
      </c>
      <c r="D51" s="4">
        <v>0.94</v>
      </c>
      <c r="E51" s="4">
        <v>32712</v>
      </c>
      <c r="F51" s="2"/>
      <c r="G51" s="3"/>
      <c r="H51" s="4">
        <f>SUM(E51*H50)/E50</f>
        <v>7095.5637823931729</v>
      </c>
      <c r="I51" s="4">
        <f>SUM(1750*I50)/2298</f>
        <v>5300.2610966057446</v>
      </c>
      <c r="J51" s="2">
        <v>232</v>
      </c>
      <c r="K51" s="50"/>
      <c r="L51" s="4">
        <f t="shared" ref="L51:L53" si="5">SUM(E51+H51+I51+J51)</f>
        <v>45339.824878998923</v>
      </c>
      <c r="M51" s="128">
        <f>SUM(L51/C51)</f>
        <v>9.067964975799784</v>
      </c>
    </row>
    <row r="52" spans="1:13" x14ac:dyDescent="0.25">
      <c r="A52" s="221" t="s">
        <v>28</v>
      </c>
      <c r="B52" s="124" t="s">
        <v>62</v>
      </c>
      <c r="C52" s="125">
        <v>149</v>
      </c>
      <c r="D52" s="4">
        <v>5.2</v>
      </c>
      <c r="E52" s="4">
        <v>5392.61</v>
      </c>
      <c r="F52" s="2"/>
      <c r="G52" s="3"/>
      <c r="H52" s="4">
        <f>SUM(E52*H50)/E50</f>
        <v>1169.7116718198595</v>
      </c>
      <c r="I52" s="4">
        <v>751.12</v>
      </c>
      <c r="J52" s="2">
        <v>232</v>
      </c>
      <c r="K52" s="50"/>
      <c r="L52" s="4">
        <f t="shared" si="5"/>
        <v>7545.441671819859</v>
      </c>
      <c r="M52" s="128">
        <f t="shared" ref="M52:M55" si="6">SUM(L52/C52)</f>
        <v>50.640548133019188</v>
      </c>
    </row>
    <row r="53" spans="1:13" ht="15.75" thickBot="1" x14ac:dyDescent="0.3">
      <c r="A53" s="222" t="s">
        <v>29</v>
      </c>
      <c r="B53" s="126" t="s">
        <v>63</v>
      </c>
      <c r="C53" s="127">
        <v>100</v>
      </c>
      <c r="D53" s="44">
        <v>9</v>
      </c>
      <c r="E53" s="44">
        <v>6264</v>
      </c>
      <c r="F53" s="42"/>
      <c r="G53" s="43"/>
      <c r="H53" s="44">
        <f>SUM(E53*H50)/E50</f>
        <v>1358.7249796072033</v>
      </c>
      <c r="I53" s="44">
        <v>908.62</v>
      </c>
      <c r="J53" s="42">
        <v>232</v>
      </c>
      <c r="K53" s="53"/>
      <c r="L53" s="44">
        <f t="shared" si="5"/>
        <v>8763.3449796072036</v>
      </c>
      <c r="M53" s="129">
        <f t="shared" si="6"/>
        <v>87.633449796072043</v>
      </c>
    </row>
    <row r="54" spans="1:13" ht="15.75" thickBot="1" x14ac:dyDescent="0.3">
      <c r="A54" s="138" t="s">
        <v>6</v>
      </c>
      <c r="B54" s="139" t="s">
        <v>2</v>
      </c>
      <c r="C54" s="140">
        <v>7500</v>
      </c>
      <c r="D54" s="21">
        <v>10072748</v>
      </c>
      <c r="E54" s="79">
        <f>SUM(6750*6.96)</f>
        <v>46980</v>
      </c>
      <c r="F54" s="139">
        <v>3802</v>
      </c>
      <c r="G54" s="142">
        <v>42859</v>
      </c>
      <c r="H54" s="143">
        <v>8951</v>
      </c>
      <c r="I54" s="144"/>
      <c r="J54" s="145"/>
      <c r="K54" s="145"/>
      <c r="L54" s="146">
        <f>SUM(E54+H54)</f>
        <v>55931</v>
      </c>
      <c r="M54" s="151">
        <f t="shared" si="6"/>
        <v>7.4574666666666669</v>
      </c>
    </row>
    <row r="55" spans="1:13" ht="15.75" thickBot="1" x14ac:dyDescent="0.3">
      <c r="A55" s="192" t="s">
        <v>5</v>
      </c>
      <c r="B55" s="192" t="s">
        <v>72</v>
      </c>
      <c r="C55" s="193">
        <v>5234</v>
      </c>
      <c r="D55" s="192" t="s">
        <v>71</v>
      </c>
      <c r="E55" s="194">
        <v>7915.61</v>
      </c>
      <c r="F55" s="192">
        <v>3825</v>
      </c>
      <c r="G55" s="195">
        <v>42866</v>
      </c>
      <c r="H55" s="196">
        <v>2224</v>
      </c>
      <c r="I55" s="194">
        <v>2834.11</v>
      </c>
      <c r="J55" s="219"/>
      <c r="K55" s="219"/>
      <c r="L55" s="196">
        <f>SUM(E55+H55+I55)</f>
        <v>12973.720000000001</v>
      </c>
      <c r="M55" s="220">
        <f t="shared" si="6"/>
        <v>2.4787390141383265</v>
      </c>
    </row>
    <row r="56" spans="1:13" ht="15.75" thickBot="1" x14ac:dyDescent="0.3">
      <c r="A56" s="20" t="s">
        <v>5</v>
      </c>
      <c r="B56" s="152" t="s">
        <v>69</v>
      </c>
      <c r="C56" s="153">
        <v>14750</v>
      </c>
      <c r="D56" s="21" t="s">
        <v>70</v>
      </c>
      <c r="E56" s="79">
        <f>SUM(3205.03*6.96)</f>
        <v>22307.0088</v>
      </c>
      <c r="F56" s="21">
        <v>3857</v>
      </c>
      <c r="G56" s="22">
        <v>42871</v>
      </c>
      <c r="H56" s="80">
        <v>5012</v>
      </c>
      <c r="I56" s="81">
        <v>4163.3999999999996</v>
      </c>
      <c r="J56" s="82"/>
      <c r="K56" s="82"/>
      <c r="L56" s="83">
        <f>SUM(E56+H56+I56)</f>
        <v>31482.408799999997</v>
      </c>
      <c r="M56" s="154">
        <f>SUM(L56/C56)</f>
        <v>2.1344005966101691</v>
      </c>
    </row>
    <row r="57" spans="1:13" x14ac:dyDescent="0.25">
      <c r="A57" s="34" t="s">
        <v>6</v>
      </c>
      <c r="B57" s="57" t="s">
        <v>10</v>
      </c>
      <c r="C57" s="36"/>
      <c r="D57" s="35">
        <v>10072925</v>
      </c>
      <c r="E57" s="37">
        <v>87780.56</v>
      </c>
      <c r="F57" s="35">
        <v>3888</v>
      </c>
      <c r="G57" s="38">
        <v>42873</v>
      </c>
      <c r="H57" s="46">
        <v>16098</v>
      </c>
      <c r="I57" s="37"/>
      <c r="J57" s="52"/>
      <c r="K57" s="52"/>
      <c r="L57" s="46">
        <f>SUM(E57+H57)</f>
        <v>103878.56</v>
      </c>
      <c r="M57" s="39"/>
    </row>
    <row r="58" spans="1:13" x14ac:dyDescent="0.25">
      <c r="A58" s="40"/>
      <c r="B58" s="124" t="s">
        <v>59</v>
      </c>
      <c r="C58" s="125">
        <v>11985</v>
      </c>
      <c r="D58" s="2">
        <v>0.75</v>
      </c>
      <c r="E58" s="4">
        <v>62561.7</v>
      </c>
      <c r="F58" s="2"/>
      <c r="G58" s="3"/>
      <c r="H58" s="47">
        <f>SUM(E58*H57)/E57</f>
        <v>11473.135357076782</v>
      </c>
      <c r="I58" s="4"/>
      <c r="J58" s="50"/>
      <c r="K58" s="50"/>
      <c r="L58" s="47">
        <f>SUM(E58+H58)</f>
        <v>74034.835357076779</v>
      </c>
      <c r="M58" s="128">
        <f>SUM(L58/C58)</f>
        <v>6.1772912271236358</v>
      </c>
    </row>
    <row r="59" spans="1:13" ht="15.75" thickBot="1" x14ac:dyDescent="0.3">
      <c r="A59" s="41"/>
      <c r="B59" s="126" t="s">
        <v>60</v>
      </c>
      <c r="C59" s="127">
        <v>3000</v>
      </c>
      <c r="D59" s="42">
        <v>1.2078</v>
      </c>
      <c r="E59" s="44">
        <v>25218.86</v>
      </c>
      <c r="F59" s="42"/>
      <c r="G59" s="43"/>
      <c r="H59" s="48">
        <f>SUM(E59*H57)/E57</f>
        <v>4624.8646429232176</v>
      </c>
      <c r="I59" s="44"/>
      <c r="J59" s="53"/>
      <c r="K59" s="53"/>
      <c r="L59" s="47">
        <f>SUM(E59+H59)</f>
        <v>29843.724642923218</v>
      </c>
      <c r="M59" s="128">
        <f>SUM(L59/C59)</f>
        <v>9.9479082143077395</v>
      </c>
    </row>
    <row r="60" spans="1:13" ht="15.75" thickBot="1" x14ac:dyDescent="0.3">
      <c r="A60" s="20" t="s">
        <v>6</v>
      </c>
      <c r="B60" s="152" t="s">
        <v>3</v>
      </c>
      <c r="C60" s="153">
        <v>6710</v>
      </c>
      <c r="D60" s="21">
        <v>10073045</v>
      </c>
      <c r="E60" s="79">
        <v>63047.16</v>
      </c>
      <c r="F60" s="21">
        <v>3962</v>
      </c>
      <c r="G60" s="22">
        <v>42886</v>
      </c>
      <c r="H60" s="80">
        <v>12278</v>
      </c>
      <c r="I60" s="81"/>
      <c r="J60" s="82"/>
      <c r="K60" s="82"/>
      <c r="L60" s="83">
        <f>SUM(E60+H60)</f>
        <v>75325.16</v>
      </c>
      <c r="M60" s="154">
        <f>SUM(L60/C60)</f>
        <v>11.225806259314457</v>
      </c>
    </row>
    <row r="61" spans="1:13" x14ac:dyDescent="0.25">
      <c r="B61" s="8"/>
      <c r="C61" s="13"/>
      <c r="D61" s="8"/>
      <c r="E61" s="12"/>
      <c r="F61" s="8"/>
      <c r="G61" s="8"/>
      <c r="H61" s="8"/>
    </row>
  </sheetData>
  <mergeCells count="35">
    <mergeCell ref="M17:M18"/>
    <mergeCell ref="L1:L2"/>
    <mergeCell ref="M1:M2"/>
    <mergeCell ref="A34:E34"/>
    <mergeCell ref="F34:H34"/>
    <mergeCell ref="I34:I35"/>
    <mergeCell ref="J34:J35"/>
    <mergeCell ref="K34:K35"/>
    <mergeCell ref="L34:L35"/>
    <mergeCell ref="M34:M35"/>
    <mergeCell ref="A17:E17"/>
    <mergeCell ref="F1:H1"/>
    <mergeCell ref="A1:E1"/>
    <mergeCell ref="I1:I2"/>
    <mergeCell ref="J1:J2"/>
    <mergeCell ref="K1:K2"/>
    <mergeCell ref="F17:H17"/>
    <mergeCell ref="I17:I18"/>
    <mergeCell ref="J17:J18"/>
    <mergeCell ref="K17:K18"/>
    <mergeCell ref="L17:L18"/>
    <mergeCell ref="M25:M26"/>
    <mergeCell ref="A47:E47"/>
    <mergeCell ref="F47:H47"/>
    <mergeCell ref="I47:I48"/>
    <mergeCell ref="J47:J48"/>
    <mergeCell ref="K47:K48"/>
    <mergeCell ref="L47:L48"/>
    <mergeCell ref="M47:M48"/>
    <mergeCell ref="A25:E25"/>
    <mergeCell ref="F25:H25"/>
    <mergeCell ref="I25:I26"/>
    <mergeCell ref="J25:J26"/>
    <mergeCell ref="K25:K26"/>
    <mergeCell ref="L25:L2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DAGNER</cp:lastModifiedBy>
  <dcterms:created xsi:type="dcterms:W3CDTF">2017-06-07T22:20:17Z</dcterms:created>
  <dcterms:modified xsi:type="dcterms:W3CDTF">2017-06-08T22:12:49Z</dcterms:modified>
</cp:coreProperties>
</file>