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180" windowWidth="15480" windowHeight="7575" tabRatio="740" activeTab="1"/>
  </bookViews>
  <sheets>
    <sheet name="PSUELDOS" sheetId="13" r:id="rId1"/>
    <sheet name="Boletas" sheetId="18" r:id="rId2"/>
    <sheet name="Aportes 16" sheetId="21" r:id="rId3"/>
    <sheet name="RC-IVA" sheetId="20" r:id="rId4"/>
  </sheets>
  <externalReferences>
    <externalReference r:id="rId5"/>
  </externalReferences>
  <definedNames>
    <definedName name="_xlnm.Print_Area" localSheetId="1">Boletas!$B$1:$K$61</definedName>
  </definedNames>
  <calcPr calcId="152511"/>
</workbook>
</file>

<file path=xl/calcChain.xml><?xml version="1.0" encoding="utf-8"?>
<calcChain xmlns="http://schemas.openxmlformats.org/spreadsheetml/2006/main">
  <c r="K37" i="13" l="1"/>
  <c r="E13" i="21" l="1"/>
  <c r="E14" i="21"/>
  <c r="E15" i="21"/>
  <c r="E16" i="21"/>
  <c r="E17" i="21"/>
  <c r="E18" i="21"/>
  <c r="D13" i="21"/>
  <c r="D14" i="21"/>
  <c r="D15" i="21"/>
  <c r="D16" i="21"/>
  <c r="D17" i="21"/>
  <c r="D18" i="21"/>
  <c r="C13" i="21"/>
  <c r="C14" i="21"/>
  <c r="C15" i="21"/>
  <c r="C16" i="21"/>
  <c r="B15" i="20" s="1"/>
  <c r="C17" i="21"/>
  <c r="C18" i="21"/>
  <c r="L20" i="21" l="1"/>
  <c r="J20" i="21"/>
  <c r="M13" i="18"/>
  <c r="M16" i="18"/>
  <c r="M8" i="18"/>
  <c r="M15" i="18"/>
  <c r="M19" i="18"/>
  <c r="M17" i="18"/>
  <c r="M21" i="18"/>
  <c r="M12" i="18"/>
  <c r="I9" i="18" l="1"/>
  <c r="E15" i="18"/>
  <c r="E17" i="18"/>
  <c r="I8" i="18"/>
  <c r="W37" i="13" l="1"/>
  <c r="O37" i="13"/>
  <c r="Q37" i="13"/>
  <c r="R37" i="13"/>
  <c r="S37" i="13"/>
  <c r="T37" i="13"/>
  <c r="Y37" i="13"/>
  <c r="D18" i="20"/>
  <c r="G18" i="20"/>
  <c r="K18" i="20"/>
  <c r="H17" i="20" l="1"/>
  <c r="L17" i="20"/>
  <c r="M17" i="20" s="1"/>
  <c r="B18" i="21"/>
  <c r="B17" i="20"/>
  <c r="F18" i="21"/>
  <c r="N17" i="13" l="1"/>
  <c r="N13" i="13"/>
  <c r="N14" i="13"/>
  <c r="N15" i="13"/>
  <c r="N16" i="13"/>
  <c r="N12" i="13"/>
  <c r="I6" i="21" l="1"/>
  <c r="K6" i="21"/>
  <c r="F6" i="21"/>
  <c r="U16" i="13"/>
  <c r="F13" i="21"/>
  <c r="F14" i="21"/>
  <c r="F15" i="21"/>
  <c r="F16" i="21"/>
  <c r="F17" i="21"/>
  <c r="B12" i="20"/>
  <c r="B13" i="20"/>
  <c r="B14" i="20"/>
  <c r="B16" i="20"/>
  <c r="B13" i="21"/>
  <c r="B14" i="21"/>
  <c r="B15" i="21"/>
  <c r="B16" i="21"/>
  <c r="B17" i="21"/>
  <c r="A14" i="21"/>
  <c r="A15" i="21" s="1"/>
  <c r="A16" i="21" s="1"/>
  <c r="A17" i="21" s="1"/>
  <c r="A18" i="21" s="1"/>
  <c r="H16" i="20"/>
  <c r="H15" i="20"/>
  <c r="H14" i="20"/>
  <c r="H13" i="20"/>
  <c r="H12" i="20"/>
  <c r="L3" i="20"/>
  <c r="L16" i="20"/>
  <c r="M16" i="20" s="1"/>
  <c r="L15" i="20"/>
  <c r="M15" i="20" s="1"/>
  <c r="L14" i="20"/>
  <c r="M14" i="20" s="1"/>
  <c r="L13" i="20"/>
  <c r="M13" i="20" s="1"/>
  <c r="L12" i="20"/>
  <c r="M12" i="20" s="1"/>
  <c r="A13" i="20"/>
  <c r="A14" i="20" s="1"/>
  <c r="A15" i="20" s="1"/>
  <c r="A16" i="20" s="1"/>
  <c r="A17" i="20" s="1"/>
  <c r="M7" i="18"/>
  <c r="B34" i="18"/>
  <c r="B33" i="18"/>
  <c r="H60" i="18"/>
  <c r="B32" i="18"/>
  <c r="U12" i="13"/>
  <c r="X13" i="13"/>
  <c r="U13" i="13"/>
  <c r="X14" i="13"/>
  <c r="U14" i="13"/>
  <c r="X15" i="13"/>
  <c r="U15" i="13"/>
  <c r="X16" i="13"/>
  <c r="X17" i="13"/>
  <c r="U17" i="13"/>
  <c r="N18" i="13"/>
  <c r="N19" i="13"/>
  <c r="U19" i="13" s="1"/>
  <c r="V19" i="13" s="1"/>
  <c r="Z19" i="13" s="1"/>
  <c r="AA19" i="13" s="1"/>
  <c r="N20" i="13"/>
  <c r="U20" i="13" s="1"/>
  <c r="V20" i="13" s="1"/>
  <c r="Z20" i="13" s="1"/>
  <c r="AA20" i="13" s="1"/>
  <c r="N21" i="13"/>
  <c r="U21" i="13" s="1"/>
  <c r="V21" i="13" s="1"/>
  <c r="Z21" i="13" s="1"/>
  <c r="N22" i="13"/>
  <c r="U22" i="13" s="1"/>
  <c r="N23" i="13"/>
  <c r="U23" i="13" s="1"/>
  <c r="V23" i="13" s="1"/>
  <c r="Z23" i="13" s="1"/>
  <c r="AA23" i="13" s="1"/>
  <c r="N24" i="13"/>
  <c r="U24" i="13" s="1"/>
  <c r="V24" i="13" s="1"/>
  <c r="Z24" i="13" s="1"/>
  <c r="N25" i="13"/>
  <c r="U25" i="13" s="1"/>
  <c r="V25" i="13" s="1"/>
  <c r="Z25" i="13" s="1"/>
  <c r="AA25" i="13" s="1"/>
  <c r="N26" i="13"/>
  <c r="U26" i="13" s="1"/>
  <c r="V26" i="13" s="1"/>
  <c r="Z26" i="13" s="1"/>
  <c r="N27" i="13"/>
  <c r="U27" i="13" s="1"/>
  <c r="V27" i="13" s="1"/>
  <c r="Z27" i="13" s="1"/>
  <c r="N28" i="13"/>
  <c r="U28" i="13" s="1"/>
  <c r="V28" i="13" s="1"/>
  <c r="Z28" i="13" s="1"/>
  <c r="AA28" i="13" s="1"/>
  <c r="N29" i="13"/>
  <c r="U29" i="13" s="1"/>
  <c r="V29" i="13" s="1"/>
  <c r="Z29" i="13" s="1"/>
  <c r="N30" i="13"/>
  <c r="U30" i="13" s="1"/>
  <c r="N31" i="13"/>
  <c r="U31" i="13" s="1"/>
  <c r="V31" i="13" s="1"/>
  <c r="Z31" i="13" s="1"/>
  <c r="AA31" i="13" s="1"/>
  <c r="N32" i="13"/>
  <c r="U32" i="13" s="1"/>
  <c r="V32" i="13" s="1"/>
  <c r="Z32" i="13" s="1"/>
  <c r="N33" i="13"/>
  <c r="U33" i="13" s="1"/>
  <c r="V33" i="13" s="1"/>
  <c r="Z33" i="13" s="1"/>
  <c r="AA33" i="13" s="1"/>
  <c r="N34" i="13"/>
  <c r="U34" i="13" s="1"/>
  <c r="Z34" i="13"/>
  <c r="N35" i="13"/>
  <c r="U35" i="13" s="1"/>
  <c r="Z35" i="13"/>
  <c r="N36" i="13"/>
  <c r="U36" i="13" s="1"/>
  <c r="Z36" i="13"/>
  <c r="M14" i="18"/>
  <c r="M10" i="18"/>
  <c r="M11" i="18"/>
  <c r="M9" i="18"/>
  <c r="M20" i="18"/>
  <c r="AA36" i="13" l="1"/>
  <c r="N37" i="13"/>
  <c r="U18" i="13"/>
  <c r="V18" i="13" s="1"/>
  <c r="Z18" i="13" s="1"/>
  <c r="I16" i="18"/>
  <c r="AA34" i="13"/>
  <c r="V13" i="13"/>
  <c r="C13" i="20" s="1"/>
  <c r="U37" i="13"/>
  <c r="V17" i="13"/>
  <c r="C17" i="20" s="1"/>
  <c r="G18" i="21"/>
  <c r="G16" i="21"/>
  <c r="H16" i="21" s="1"/>
  <c r="V15" i="13"/>
  <c r="C15" i="20" s="1"/>
  <c r="G15" i="21"/>
  <c r="K15" i="21" s="1"/>
  <c r="V14" i="13"/>
  <c r="C14" i="20" s="1"/>
  <c r="V12" i="13"/>
  <c r="Z12" i="13" s="1"/>
  <c r="AA12" i="13" s="1"/>
  <c r="V16" i="13"/>
  <c r="Z16" i="13" s="1"/>
  <c r="AA16" i="13" s="1"/>
  <c r="X37" i="13"/>
  <c r="M18" i="20"/>
  <c r="L18" i="20"/>
  <c r="H18" i="20"/>
  <c r="AA35" i="13"/>
  <c r="AA27" i="13"/>
  <c r="AA29" i="13"/>
  <c r="AA21" i="13"/>
  <c r="Z17" i="13"/>
  <c r="AA17" i="13" s="1"/>
  <c r="G17" i="21"/>
  <c r="I17" i="21" s="1"/>
  <c r="G13" i="21"/>
  <c r="AA32" i="13"/>
  <c r="AA24" i="13"/>
  <c r="G14" i="21"/>
  <c r="AA26" i="13"/>
  <c r="V30" i="13"/>
  <c r="Z30" i="13" s="1"/>
  <c r="AA30" i="13" s="1"/>
  <c r="AA18" i="13"/>
  <c r="V22" i="13"/>
  <c r="Z22" i="13" s="1"/>
  <c r="AA22" i="13" s="1"/>
  <c r="Z15" i="13"/>
  <c r="AA15" i="13" s="1"/>
  <c r="I47" i="18"/>
  <c r="E48" i="18"/>
  <c r="I17" i="18"/>
  <c r="I48" i="18"/>
  <c r="E45" i="18"/>
  <c r="E14" i="18"/>
  <c r="D10" i="18"/>
  <c r="D41" i="18" s="1"/>
  <c r="D11" i="18"/>
  <c r="D42" i="18"/>
  <c r="I40" i="18"/>
  <c r="D8" i="18"/>
  <c r="D39" i="18" s="1"/>
  <c r="E46" i="18"/>
  <c r="E16" i="18"/>
  <c r="E47" i="18"/>
  <c r="D40" i="18"/>
  <c r="D9" i="18"/>
  <c r="I46" i="18"/>
  <c r="I15" i="18"/>
  <c r="I39" i="18"/>
  <c r="M18" i="18"/>
  <c r="Z14" i="13" l="1"/>
  <c r="AA14" i="13" s="1"/>
  <c r="E19" i="18"/>
  <c r="Z13" i="13"/>
  <c r="AA13" i="13" s="1"/>
  <c r="E17" i="20"/>
  <c r="F17" i="20" s="1"/>
  <c r="J17" i="20" s="1"/>
  <c r="N17" i="20" s="1"/>
  <c r="C16" i="20"/>
  <c r="C12" i="20"/>
  <c r="H15" i="21"/>
  <c r="N15" i="21"/>
  <c r="I15" i="21"/>
  <c r="I16" i="21"/>
  <c r="O15" i="21"/>
  <c r="N16" i="21"/>
  <c r="E14" i="20"/>
  <c r="F14" i="20" s="1"/>
  <c r="I14" i="20" s="1"/>
  <c r="E15" i="20"/>
  <c r="F15" i="20" s="1"/>
  <c r="J15" i="20" s="1"/>
  <c r="N15" i="20" s="1"/>
  <c r="K16" i="21"/>
  <c r="O16" i="21"/>
  <c r="H18" i="21"/>
  <c r="I18" i="21"/>
  <c r="O18" i="21"/>
  <c r="K18" i="21"/>
  <c r="N18" i="21"/>
  <c r="V37" i="13"/>
  <c r="E16" i="20"/>
  <c r="F16" i="20" s="1"/>
  <c r="I16" i="20" s="1"/>
  <c r="E12" i="20"/>
  <c r="F12" i="20" s="1"/>
  <c r="E13" i="20"/>
  <c r="F13" i="20" s="1"/>
  <c r="I45" i="18"/>
  <c r="I50" i="18" s="1"/>
  <c r="I14" i="18"/>
  <c r="I19" i="18" s="1"/>
  <c r="O13" i="21"/>
  <c r="N13" i="21"/>
  <c r="O17" i="21"/>
  <c r="N17" i="21"/>
  <c r="O14" i="21"/>
  <c r="N14" i="21"/>
  <c r="J16" i="20"/>
  <c r="N16" i="20" s="1"/>
  <c r="H13" i="21"/>
  <c r="I13" i="21"/>
  <c r="H17" i="21"/>
  <c r="K17" i="21"/>
  <c r="K13" i="21"/>
  <c r="H14" i="21"/>
  <c r="I14" i="21"/>
  <c r="K14" i="21"/>
  <c r="E50" i="18"/>
  <c r="I17" i="20" l="1"/>
  <c r="M15" i="21"/>
  <c r="C18" i="20"/>
  <c r="I20" i="21"/>
  <c r="N20" i="21"/>
  <c r="K20" i="21"/>
  <c r="H20" i="21"/>
  <c r="O20" i="21"/>
  <c r="P15" i="21"/>
  <c r="Q15" i="21" s="1"/>
  <c r="M16" i="21"/>
  <c r="J14" i="20"/>
  <c r="N14" i="20" s="1"/>
  <c r="O14" i="20" s="1"/>
  <c r="Q14" i="20" s="1"/>
  <c r="P16" i="21"/>
  <c r="Q16" i="21" s="1"/>
  <c r="I15" i="20"/>
  <c r="O15" i="20" s="1"/>
  <c r="P15" i="20" s="1"/>
  <c r="M18" i="21"/>
  <c r="P18" i="21"/>
  <c r="P14" i="21"/>
  <c r="O17" i="20"/>
  <c r="P17" i="20" s="1"/>
  <c r="AA37" i="13"/>
  <c r="Z37" i="13"/>
  <c r="I12" i="20"/>
  <c r="J12" i="20"/>
  <c r="N12" i="20" s="1"/>
  <c r="J13" i="20"/>
  <c r="N13" i="20" s="1"/>
  <c r="I13" i="20"/>
  <c r="M17" i="21"/>
  <c r="O16" i="20"/>
  <c r="P16" i="20" s="1"/>
  <c r="M13" i="21"/>
  <c r="P17" i="21"/>
  <c r="P13" i="21"/>
  <c r="M14" i="21"/>
  <c r="E52" i="18"/>
  <c r="E21" i="18"/>
  <c r="M20" i="21" l="1"/>
  <c r="P20" i="21"/>
  <c r="Q14" i="21"/>
  <c r="Q17" i="20"/>
  <c r="Q18" i="21"/>
  <c r="Q15" i="20"/>
  <c r="O12" i="20"/>
  <c r="P12" i="20" s="1"/>
  <c r="O13" i="20"/>
  <c r="Q16" i="20"/>
  <c r="Q13" i="21"/>
  <c r="Q17" i="21"/>
  <c r="P14" i="20"/>
  <c r="Q20" i="21" l="1"/>
  <c r="F18" i="20"/>
  <c r="E18" i="20"/>
  <c r="Q12" i="20"/>
  <c r="P13" i="20"/>
  <c r="Q13" i="20"/>
  <c r="I18" i="20" l="1"/>
  <c r="J18" i="20" l="1"/>
  <c r="N18" i="20"/>
  <c r="O18" i="20" l="1"/>
  <c r="Q18" i="20"/>
  <c r="P18" i="20" l="1"/>
</calcChain>
</file>

<file path=xl/sharedStrings.xml><?xml version="1.0" encoding="utf-8"?>
<sst xmlns="http://schemas.openxmlformats.org/spreadsheetml/2006/main" count="227" uniqueCount="160">
  <si>
    <t>SEXO (F/M)</t>
  </si>
  <si>
    <t>OCUPACION QUE DESEMPEÑA</t>
  </si>
  <si>
    <t>FECHA DE INGRESO</t>
  </si>
  <si>
    <t>BOLIVIANA</t>
  </si>
  <si>
    <t>M</t>
  </si>
  <si>
    <t>PLANILLA DE SUELDOS Y SALARIOS</t>
  </si>
  <si>
    <t>(EXPRESADO EN BOLIVIANOS)</t>
  </si>
  <si>
    <t>F</t>
  </si>
  <si>
    <t>SUELDO BASICO</t>
  </si>
  <si>
    <t>MONTO PAGADO ( C )</t>
  </si>
  <si>
    <t>BONO DE ANTIGÜEDAD ( B )</t>
  </si>
  <si>
    <t>HORAS EXTRAS</t>
  </si>
  <si>
    <t>OTROS BONOS ( F )</t>
  </si>
  <si>
    <t>OTROS BONOS</t>
  </si>
  <si>
    <t>DESCUENTOS</t>
  </si>
  <si>
    <t>HORAS/DIA PAGA-DAS</t>
  </si>
  <si>
    <t>NOMBRE DEL EMPLEADO</t>
  </si>
  <si>
    <t>DIAS PAGA-DOS MES</t>
  </si>
  <si>
    <t>FIRMA DEL 
EMPLEADO</t>
  </si>
  <si>
    <t>NO</t>
  </si>
  <si>
    <t>TOTAL GANADO
 ( G) A+B+C+D+E+F</t>
  </si>
  <si>
    <t>CARNET
 DE IDENTIDAD</t>
  </si>
  <si>
    <t>FECHA
 DE NACIMIENTO</t>
  </si>
  <si>
    <t>NOMBRE DEL EMPLEADOR O REPRESENTANTE LEGAL</t>
  </si>
  <si>
    <t>NO. CARNET DE IDENTIDAD</t>
  </si>
  <si>
    <t xml:space="preserve">F I R M A </t>
  </si>
  <si>
    <t>SALARIO GANADO 
( A )</t>
  </si>
  <si>
    <t>CANT.</t>
  </si>
  <si>
    <t>DOMINI-
CALES
 ( E )</t>
  </si>
  <si>
    <t>BOLETA DE PAGO</t>
  </si>
  <si>
    <t>NOMBRE</t>
  </si>
  <si>
    <t xml:space="preserve">C.I. </t>
  </si>
  <si>
    <t>DIAS TRABAJADOS</t>
  </si>
  <si>
    <t>CARGO</t>
  </si>
  <si>
    <t>MES</t>
  </si>
  <si>
    <t>F-INGRESO</t>
  </si>
  <si>
    <t>INGRESOS</t>
  </si>
  <si>
    <t>EGRESOS</t>
  </si>
  <si>
    <t>TOTAL INGRESOS</t>
  </si>
  <si>
    <t>TOTAL EGRESOS</t>
  </si>
  <si>
    <t>RECIBI CONFORME</t>
  </si>
  <si>
    <t>SALARIO GANADO</t>
  </si>
  <si>
    <t>BONO DE ANTIGÜEDAD</t>
  </si>
  <si>
    <t>(Expresado en bolivianos)</t>
  </si>
  <si>
    <t>OTROS</t>
  </si>
  <si>
    <t>RECIBO DE PAGO</t>
  </si>
  <si>
    <t>ANTICIPO Y OTROS DSCTOS.</t>
  </si>
  <si>
    <t>3350052  LP</t>
  </si>
  <si>
    <t>MERCADO DESPOT DANIELA</t>
  </si>
  <si>
    <t>NACIONALI-DAD</t>
  </si>
  <si>
    <t>AFP 
12,71% 
( H )</t>
  </si>
  <si>
    <t>COORDINADORA</t>
  </si>
  <si>
    <t>GERENTE GENERAL</t>
  </si>
  <si>
    <t>APORTE NACIONAL SOLIDARIO (I)</t>
  </si>
  <si>
    <t>RC-IVA
 13 % 
( J )</t>
  </si>
  <si>
    <t>ANTICIPO Y OTROS DESCUENTOS
 ( K )</t>
  </si>
  <si>
    <t>TOTAL DESCUENTOS
 ( L ) 
H+I+J+K</t>
  </si>
  <si>
    <t>LIQUIDO PAGABLE 
( LL )
G - L</t>
  </si>
  <si>
    <t>AFP´S (12,71%)</t>
  </si>
  <si>
    <t>ANS</t>
  </si>
  <si>
    <t>RC-IVA (13%)</t>
  </si>
  <si>
    <t>Correspondiente al mes:</t>
  </si>
  <si>
    <r>
      <t xml:space="preserve">LIQUIDO PAGABLE </t>
    </r>
    <r>
      <rPr>
        <b/>
        <sz val="10"/>
        <rFont val="Tahoma"/>
        <family val="2"/>
      </rPr>
      <t>( I - E )</t>
    </r>
  </si>
  <si>
    <t>E-10158629</t>
  </si>
  <si>
    <t>Coviella Vasconcelos Marlene de las Mercedes</t>
  </si>
  <si>
    <t>Boliviana</t>
  </si>
  <si>
    <t>10157272-E</t>
  </si>
  <si>
    <t>Cubana</t>
  </si>
  <si>
    <t>4281563 LP</t>
  </si>
  <si>
    <t>Paula Luisa Rivas Quispe</t>
  </si>
  <si>
    <t>4551814 SC</t>
  </si>
  <si>
    <t>Mancilla Surubi Mercedes</t>
  </si>
  <si>
    <t>4322964 LP</t>
  </si>
  <si>
    <t>Luque Huanca Alfredo</t>
  </si>
  <si>
    <t>Coodinadora de Marketing</t>
  </si>
  <si>
    <t>Técnico Sistemas</t>
  </si>
  <si>
    <t>Auxliar Oficina</t>
  </si>
  <si>
    <t>TOTALES</t>
  </si>
  <si>
    <t>(En Bolivianos)</t>
  </si>
  <si>
    <t>NOMBRE O RAZÓN SOCIAL</t>
  </si>
  <si>
    <t>Nº PATRONAL</t>
  </si>
  <si>
    <t>DIRECCION</t>
  </si>
  <si>
    <t>KEY SOLUTIOSN SRL</t>
  </si>
  <si>
    <t>03-661-01150</t>
  </si>
  <si>
    <t>B/Urbari Calle Barasea Nº414</t>
  </si>
  <si>
    <t>KEY SOLUTIONS S.R.L.</t>
  </si>
  <si>
    <t>NIT:  254946027</t>
  </si>
  <si>
    <t>SANTA CRUZ - BOLIVIA</t>
  </si>
  <si>
    <t>KEY SOLUTIOS SRL</t>
  </si>
  <si>
    <t>NIT: 254946027</t>
  </si>
  <si>
    <t>Nro</t>
  </si>
  <si>
    <t>NOMBRE Y</t>
  </si>
  <si>
    <t>Sueldo</t>
  </si>
  <si>
    <t>Minimo no</t>
  </si>
  <si>
    <t xml:space="preserve">Base </t>
  </si>
  <si>
    <t>RC-IVA</t>
  </si>
  <si>
    <t>13% Form</t>
  </si>
  <si>
    <t>Saldo a Favor</t>
  </si>
  <si>
    <t>Saldo anterior a Favor  Empleado</t>
  </si>
  <si>
    <t>Saldo Total</t>
  </si>
  <si>
    <t xml:space="preserve">Saldo </t>
  </si>
  <si>
    <t>Impuesto a</t>
  </si>
  <si>
    <t>Saldo Mes</t>
  </si>
  <si>
    <t>APELLIDOS</t>
  </si>
  <si>
    <t>Neto</t>
  </si>
  <si>
    <t>Imponible</t>
  </si>
  <si>
    <t>2SMN</t>
  </si>
  <si>
    <t>Fisco</t>
  </si>
  <si>
    <t>Empleado</t>
  </si>
  <si>
    <t>Mes Anterior</t>
  </si>
  <si>
    <t>Actualiz.</t>
  </si>
  <si>
    <t xml:space="preserve">    Total</t>
  </si>
  <si>
    <t>Utilizado</t>
  </si>
  <si>
    <t>Pagar</t>
  </si>
  <si>
    <t>Siguiente</t>
  </si>
  <si>
    <t xml:space="preserve"> </t>
  </si>
  <si>
    <t>PLANILLA TRIBUTARIA</t>
  </si>
  <si>
    <t>Correpondiente al Mes de :</t>
  </si>
  <si>
    <t>(Expresado en Bolivianos)</t>
  </si>
  <si>
    <t xml:space="preserve">NOMBRE O RAZON SOCIAL                            </t>
  </si>
  <si>
    <t>KEY SOLUTIONS SRL</t>
  </si>
  <si>
    <t>NIT</t>
  </si>
  <si>
    <t>Nº</t>
  </si>
  <si>
    <t>CARNET DE
IDENTIDAD</t>
  </si>
  <si>
    <t>NOMBRES Y APELLIDOS</t>
  </si>
  <si>
    <t>DIAS / MES PAGADOS</t>
  </si>
  <si>
    <t>TOTAL GANADO</t>
  </si>
  <si>
    <t>APORTES PATRONALES</t>
  </si>
  <si>
    <t>TOTAL APORTES PATRONALES</t>
  </si>
  <si>
    <t>BENEFICIOS SOCIALES</t>
  </si>
  <si>
    <t>TOTAL BENEFICIOS SOCIALES</t>
  </si>
  <si>
    <t>TOTAL CARGAS SOCIALES</t>
  </si>
  <si>
    <t>C.N.S.</t>
  </si>
  <si>
    <t>COMISION Y APORTE PATRONAL SOLIDARIO</t>
  </si>
  <si>
    <t>PROVIVIENDA</t>
  </si>
  <si>
    <t>AGUINALDO NORMAL Y ESFUERZO POR BOLIVIA</t>
  </si>
  <si>
    <t>PREVISION P/ INDEMNIZACION</t>
  </si>
  <si>
    <t>-</t>
  </si>
  <si>
    <t>TOTAL GENERAL</t>
  </si>
  <si>
    <t>PLANILLA DE CARGAS SOCIALES</t>
  </si>
  <si>
    <t>Gustavo Pestana Delgado</t>
  </si>
  <si>
    <t>BONO CUMPLIMIENTO DE PLAZOS ( D )</t>
  </si>
  <si>
    <t>4693042 SC</t>
  </si>
  <si>
    <t>Eliana Maricela Quispe Loayza</t>
  </si>
  <si>
    <t>Contadora</t>
  </si>
  <si>
    <t>E-13509198</t>
  </si>
  <si>
    <t>Española</t>
  </si>
  <si>
    <t>FECHA DE RETIRO</t>
  </si>
  <si>
    <t xml:space="preserve">Nº EMPLEADOR </t>
  </si>
  <si>
    <t>MINISTERIO DE TRABAJO</t>
  </si>
  <si>
    <t>Ufv 31/10/2017</t>
  </si>
  <si>
    <t>NOVIEMBRE</t>
  </si>
  <si>
    <t>Ufv 30/11/2017</t>
  </si>
  <si>
    <t>Alena Guerra Dagner</t>
  </si>
  <si>
    <t>FEBRERO</t>
  </si>
  <si>
    <t>Santa Cruz 28 de Febrero del 2018</t>
  </si>
  <si>
    <t>Enero</t>
  </si>
  <si>
    <t>Santa Cruz, 30 de Enero del 2018</t>
  </si>
  <si>
    <t>Febrero</t>
  </si>
  <si>
    <t>Santa Cruz, 28 de febrero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</si>
</sst>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"/>
    <numFmt numFmtId="166" formatCode="mmmm\ yyyy"/>
    <numFmt numFmtId="167" formatCode="mmm\ yyyy"/>
    <numFmt numFmtId="168" formatCode="[$-F800]dddd\,\ mmmm\ dd\,\ yyyy"/>
    <numFmt numFmtId="169" formatCode="#,##0.00000"/>
    <numFmt numFmtId="170" formatCode="_ [$€]\ * #,##0.00_ ;_ [$€]\ * \-#,##0.00_ ;_ [$€]\ * &quot;-&quot;??_ ;_ @_ "/>
    <numFmt numFmtId="171" formatCode="_ * #,##0.00_ ;_ * \-#,##0.00_ ;_ * &quot;-&quot;??_ ;_ @_ 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b/>
      <sz val="12"/>
      <name val="Tahoma"/>
      <family val="2"/>
    </font>
    <font>
      <b/>
      <u/>
      <sz val="16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7"/>
      <name val="Tahoma"/>
      <family val="2"/>
    </font>
    <font>
      <sz val="7"/>
      <name val="Tahoma"/>
      <family val="2"/>
    </font>
    <font>
      <b/>
      <u/>
      <sz val="18"/>
      <name val="Tahoma"/>
      <family val="2"/>
    </font>
    <font>
      <sz val="10"/>
      <color indexed="55"/>
      <name val="Tahoma"/>
      <family val="2"/>
    </font>
    <font>
      <i/>
      <sz val="10"/>
      <name val="Tahoma"/>
      <family val="2"/>
    </font>
    <font>
      <b/>
      <u/>
      <sz val="10"/>
      <name val="Tahoma"/>
      <family val="2"/>
    </font>
    <font>
      <b/>
      <sz val="10"/>
      <name val="Tahoma"/>
      <family val="2"/>
    </font>
    <font>
      <i/>
      <sz val="9"/>
      <name val="Tahoma"/>
      <family val="2"/>
    </font>
    <font>
      <sz val="12"/>
      <name val="Tahom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u/>
      <sz val="14"/>
      <name val="Tahoma"/>
      <family val="2"/>
    </font>
    <font>
      <sz val="14"/>
      <name val="Tahoma"/>
      <family val="2"/>
    </font>
    <font>
      <b/>
      <sz val="10"/>
      <name val="Arial"/>
      <family val="2"/>
    </font>
    <font>
      <b/>
      <sz val="16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u/>
      <sz val="12"/>
      <name val="Arial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sz val="12"/>
      <color indexed="8"/>
      <name val="Arial"/>
      <family val="2"/>
    </font>
    <font>
      <sz val="11"/>
      <name val="Tahoma"/>
      <family val="2"/>
    </font>
    <font>
      <sz val="10"/>
      <color rgb="FFFF0000"/>
      <name val="Tahoma"/>
      <family val="2"/>
    </font>
    <font>
      <sz val="9"/>
      <color indexed="8"/>
      <name val="Arial"/>
      <family val="2"/>
    </font>
    <font>
      <b/>
      <sz val="6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8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0" fontId="18" fillId="0" borderId="0"/>
    <xf numFmtId="0" fontId="26" fillId="0" borderId="0" applyNumberFormat="0" applyFill="0" applyBorder="0" applyAlignment="0" applyProtection="0">
      <alignment vertical="top"/>
      <protection locked="0"/>
    </xf>
    <xf numFmtId="40" fontId="31" fillId="0" borderId="0" applyFont="0" applyFill="0" applyBorder="0" applyAlignment="0" applyProtection="0"/>
    <xf numFmtId="170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 applyFill="0" applyProtection="0"/>
  </cellStyleXfs>
  <cellXfs count="308">
    <xf numFmtId="0" fontId="0" fillId="0" borderId="0" xfId="0"/>
    <xf numFmtId="0" fontId="3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7" xfId="0" applyFont="1" applyBorder="1"/>
    <xf numFmtId="0" fontId="3" fillId="0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2" fontId="8" fillId="0" borderId="0" xfId="0" applyNumberFormat="1" applyFont="1"/>
    <xf numFmtId="0" fontId="8" fillId="0" borderId="7" xfId="0" applyFont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8" fillId="0" borderId="0" xfId="0" applyFont="1" applyFill="1"/>
    <xf numFmtId="2" fontId="8" fillId="0" borderId="0" xfId="0" applyNumberFormat="1" applyFont="1" applyFill="1"/>
    <xf numFmtId="2" fontId="3" fillId="0" borderId="0" xfId="0" applyNumberFormat="1" applyFont="1" applyFill="1"/>
    <xf numFmtId="165" fontId="3" fillId="0" borderId="0" xfId="0" applyNumberFormat="1" applyFont="1" applyFill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Fill="1" applyBorder="1"/>
    <xf numFmtId="0" fontId="8" fillId="0" borderId="0" xfId="0" applyFont="1" applyBorder="1" applyAlignment="1">
      <alignment horizontal="center" wrapText="1"/>
    </xf>
    <xf numFmtId="0" fontId="4" fillId="0" borderId="0" xfId="0" applyFont="1" applyAlignment="1"/>
    <xf numFmtId="0" fontId="3" fillId="0" borderId="13" xfId="0" applyFont="1" applyBorder="1"/>
    <xf numFmtId="0" fontId="3" fillId="0" borderId="14" xfId="0" applyFont="1" applyBorder="1"/>
    <xf numFmtId="0" fontId="3" fillId="0" borderId="0" xfId="0" applyFont="1" applyBorder="1"/>
    <xf numFmtId="0" fontId="3" fillId="0" borderId="8" xfId="0" applyFont="1" applyBorder="1"/>
    <xf numFmtId="0" fontId="8" fillId="0" borderId="9" xfId="0" applyFont="1" applyBorder="1" applyAlignment="1">
      <alignment horizontal="center"/>
    </xf>
    <xf numFmtId="0" fontId="12" fillId="0" borderId="0" xfId="0" applyFont="1"/>
    <xf numFmtId="0" fontId="3" fillId="0" borderId="9" xfId="0" applyFont="1" applyBorder="1"/>
    <xf numFmtId="0" fontId="3" fillId="0" borderId="0" xfId="0" applyFont="1" applyBorder="1" applyAlignment="1">
      <alignment horizontal="center"/>
    </xf>
    <xf numFmtId="14" fontId="12" fillId="0" borderId="0" xfId="0" applyNumberFormat="1" applyFont="1"/>
    <xf numFmtId="0" fontId="13" fillId="0" borderId="0" xfId="0" applyFont="1" applyFill="1" applyBorder="1"/>
    <xf numFmtId="4" fontId="3" fillId="0" borderId="0" xfId="0" applyNumberFormat="1" applyFont="1" applyBorder="1"/>
    <xf numFmtId="0" fontId="3" fillId="0" borderId="0" xfId="0" applyFont="1" applyBorder="1" applyAlignment="1">
      <alignment horizontal="left"/>
    </xf>
    <xf numFmtId="0" fontId="13" fillId="0" borderId="0" xfId="0" applyFont="1" applyBorder="1"/>
    <xf numFmtId="167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14" fontId="3" fillId="0" borderId="0" xfId="0" applyNumberFormat="1" applyFont="1" applyBorder="1" applyAlignment="1">
      <alignment horizontal="left"/>
    </xf>
    <xf numFmtId="17" fontId="3" fillId="0" borderId="0" xfId="0" applyNumberFormat="1" applyFont="1" applyBorder="1"/>
    <xf numFmtId="2" fontId="3" fillId="0" borderId="0" xfId="0" applyNumberFormat="1" applyFont="1" applyBorder="1"/>
    <xf numFmtId="4" fontId="3" fillId="0" borderId="0" xfId="0" applyNumberFormat="1" applyFont="1" applyFill="1" applyBorder="1"/>
    <xf numFmtId="4" fontId="3" fillId="0" borderId="1" xfId="0" applyNumberFormat="1" applyFont="1" applyBorder="1"/>
    <xf numFmtId="4" fontId="3" fillId="0" borderId="20" xfId="0" applyNumberFormat="1" applyFont="1" applyBorder="1"/>
    <xf numFmtId="0" fontId="17" fillId="0" borderId="0" xfId="0" applyFont="1" applyFill="1" applyBorder="1"/>
    <xf numFmtId="4" fontId="17" fillId="0" borderId="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166" fontId="3" fillId="0" borderId="0" xfId="0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0" fontId="3" fillId="0" borderId="27" xfId="0" applyFont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left" vertical="center" wrapText="1"/>
    </xf>
    <xf numFmtId="14" fontId="8" fillId="0" borderId="27" xfId="0" applyNumberFormat="1" applyFont="1" applyFill="1" applyBorder="1" applyAlignment="1">
      <alignment horizontal="center" vertical="center" wrapText="1"/>
    </xf>
    <xf numFmtId="2" fontId="8" fillId="0" borderId="27" xfId="0" applyNumberFormat="1" applyFont="1" applyFill="1" applyBorder="1" applyAlignment="1">
      <alignment vertical="center"/>
    </xf>
    <xf numFmtId="0" fontId="8" fillId="0" borderId="27" xfId="0" applyFont="1" applyBorder="1" applyAlignment="1">
      <alignment horizontal="center" vertical="center" wrapText="1"/>
    </xf>
    <xf numFmtId="2" fontId="8" fillId="0" borderId="27" xfId="0" applyNumberFormat="1" applyFont="1" applyFill="1" applyBorder="1" applyAlignment="1">
      <alignment vertical="center" wrapText="1"/>
    </xf>
    <xf numFmtId="0" fontId="8" fillId="0" borderId="27" xfId="0" applyFont="1" applyBorder="1" applyAlignment="1">
      <alignment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vertical="center"/>
    </xf>
    <xf numFmtId="14" fontId="8" fillId="0" borderId="27" xfId="0" applyNumberFormat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vertical="center"/>
    </xf>
    <xf numFmtId="14" fontId="8" fillId="0" borderId="28" xfId="0" applyNumberFormat="1" applyFont="1" applyFill="1" applyBorder="1" applyAlignment="1">
      <alignment horizontal="center" vertical="center"/>
    </xf>
    <xf numFmtId="14" fontId="8" fillId="0" borderId="28" xfId="0" applyNumberFormat="1" applyFont="1" applyBorder="1" applyAlignment="1">
      <alignment horizontal="center" vertical="center" wrapText="1"/>
    </xf>
    <xf numFmtId="2" fontId="8" fillId="0" borderId="28" xfId="0" applyNumberFormat="1" applyFont="1" applyBorder="1" applyAlignment="1">
      <alignment vertical="center" wrapText="1"/>
    </xf>
    <xf numFmtId="0" fontId="8" fillId="0" borderId="28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8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2" fontId="8" fillId="0" borderId="21" xfId="0" applyNumberFormat="1" applyFont="1" applyBorder="1" applyAlignment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4" fontId="8" fillId="0" borderId="2" xfId="0" applyNumberFormat="1" applyFont="1" applyBorder="1" applyAlignment="1">
      <alignment horizontal="center" vertical="center" wrapText="1"/>
    </xf>
    <xf numFmtId="2" fontId="8" fillId="0" borderId="22" xfId="0" applyNumberFormat="1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2" fontId="8" fillId="0" borderId="27" xfId="0" applyNumberFormat="1" applyFont="1" applyFill="1" applyBorder="1" applyAlignment="1">
      <alignment horizontal="center" vertical="center" wrapText="1"/>
    </xf>
    <xf numFmtId="2" fontId="8" fillId="0" borderId="27" xfId="0" applyNumberFormat="1" applyFont="1" applyBorder="1" applyAlignment="1">
      <alignment horizontal="center" vertical="center" wrapText="1"/>
    </xf>
    <xf numFmtId="2" fontId="8" fillId="0" borderId="27" xfId="0" applyNumberFormat="1" applyFont="1" applyBorder="1" applyAlignment="1">
      <alignment horizontal="center" vertical="center"/>
    </xf>
    <xf numFmtId="2" fontId="8" fillId="0" borderId="27" xfId="0" applyNumberFormat="1" applyFont="1" applyFill="1" applyBorder="1" applyAlignment="1">
      <alignment horizontal="center" vertical="center"/>
    </xf>
    <xf numFmtId="2" fontId="8" fillId="0" borderId="28" xfId="0" applyNumberFormat="1" applyFont="1" applyFill="1" applyBorder="1" applyAlignment="1">
      <alignment horizontal="center" vertical="center" wrapText="1"/>
    </xf>
    <xf numFmtId="2" fontId="8" fillId="0" borderId="28" xfId="0" applyNumberFormat="1" applyFont="1" applyBorder="1" applyAlignment="1">
      <alignment horizontal="center" vertical="center" wrapText="1"/>
    </xf>
    <xf numFmtId="2" fontId="8" fillId="0" borderId="28" xfId="0" applyNumberFormat="1" applyFont="1" applyBorder="1" applyAlignment="1">
      <alignment horizontal="center" vertical="center"/>
    </xf>
    <xf numFmtId="2" fontId="8" fillId="0" borderId="28" xfId="0" applyNumberFormat="1" applyFont="1" applyFill="1" applyBorder="1" applyAlignment="1">
      <alignment horizontal="center" vertical="center"/>
    </xf>
    <xf numFmtId="2" fontId="8" fillId="0" borderId="24" xfId="0" applyNumberFormat="1" applyFont="1" applyFill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16" xfId="0" applyNumberFormat="1" applyFont="1" applyBorder="1" applyAlignment="1">
      <alignment horizontal="center" vertical="center"/>
    </xf>
    <xf numFmtId="2" fontId="8" fillId="0" borderId="22" xfId="0" applyNumberFormat="1" applyFont="1" applyBorder="1" applyAlignment="1">
      <alignment vertical="center"/>
    </xf>
    <xf numFmtId="0" fontId="8" fillId="0" borderId="18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2" fontId="8" fillId="0" borderId="31" xfId="0" applyNumberFormat="1" applyFont="1" applyFill="1" applyBorder="1" applyAlignment="1">
      <alignment horizontal="center" vertical="center" wrapText="1"/>
    </xf>
    <xf numFmtId="2" fontId="8" fillId="0" borderId="18" xfId="0" applyNumberFormat="1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2" fontId="8" fillId="0" borderId="16" xfId="0" applyNumberFormat="1" applyFont="1" applyBorder="1" applyAlignment="1">
      <alignment horizontal="center" vertical="center"/>
    </xf>
    <xf numFmtId="2" fontId="8" fillId="0" borderId="22" xfId="0" applyNumberFormat="1" applyFon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 vertical="center"/>
    </xf>
    <xf numFmtId="0" fontId="8" fillId="0" borderId="18" xfId="0" applyFont="1" applyBorder="1" applyAlignment="1">
      <alignment vertical="center"/>
    </xf>
    <xf numFmtId="0" fontId="10" fillId="0" borderId="37" xfId="0" applyFont="1" applyBorder="1" applyAlignment="1">
      <alignment vertical="center"/>
    </xf>
    <xf numFmtId="2" fontId="7" fillId="0" borderId="29" xfId="0" applyNumberFormat="1" applyFont="1" applyFill="1" applyBorder="1" applyAlignment="1">
      <alignment vertical="center"/>
    </xf>
    <xf numFmtId="0" fontId="7" fillId="0" borderId="34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2" fontId="7" fillId="0" borderId="29" xfId="0" applyNumberFormat="1" applyFont="1" applyFill="1" applyBorder="1" applyAlignment="1">
      <alignment horizontal="center" vertical="center" wrapText="1"/>
    </xf>
    <xf numFmtId="2" fontId="7" fillId="0" borderId="34" xfId="0" applyNumberFormat="1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2" fontId="7" fillId="0" borderId="36" xfId="0" applyNumberFormat="1" applyFont="1" applyBorder="1" applyAlignment="1">
      <alignment horizontal="center" vertical="center" wrapText="1"/>
    </xf>
    <xf numFmtId="2" fontId="7" fillId="0" borderId="36" xfId="0" applyNumberFormat="1" applyFont="1" applyBorder="1" applyAlignment="1">
      <alignment horizontal="center" vertical="center"/>
    </xf>
    <xf numFmtId="2" fontId="7" fillId="0" borderId="35" xfId="0" applyNumberFormat="1" applyFont="1" applyBorder="1" applyAlignment="1">
      <alignment horizontal="center" vertical="center"/>
    </xf>
    <xf numFmtId="2" fontId="7" fillId="0" borderId="29" xfId="0" applyNumberFormat="1" applyFont="1" applyFill="1" applyBorder="1" applyAlignment="1">
      <alignment horizontal="center" vertical="center"/>
    </xf>
    <xf numFmtId="2" fontId="7" fillId="0" borderId="35" xfId="0" applyNumberFormat="1" applyFont="1" applyFill="1" applyBorder="1" applyAlignment="1">
      <alignment horizontal="center" vertical="center"/>
    </xf>
    <xf numFmtId="2" fontId="7" fillId="0" borderId="29" xfId="0" applyNumberFormat="1" applyFont="1" applyBorder="1" applyAlignment="1">
      <alignment horizontal="center" vertical="center"/>
    </xf>
    <xf numFmtId="0" fontId="23" fillId="0" borderId="0" xfId="0" applyFont="1"/>
    <xf numFmtId="0" fontId="17" fillId="0" borderId="0" xfId="0" applyFont="1" applyAlignment="1">
      <alignment horizontal="center"/>
    </xf>
    <xf numFmtId="0" fontId="24" fillId="0" borderId="0" xfId="0" applyFont="1"/>
    <xf numFmtId="0" fontId="18" fillId="0" borderId="15" xfId="0" applyFont="1" applyBorder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18" fillId="0" borderId="0" xfId="1"/>
    <xf numFmtId="0" fontId="18" fillId="0" borderId="0" xfId="1" applyAlignment="1">
      <alignment horizontal="center" vertical="center"/>
    </xf>
    <xf numFmtId="0" fontId="24" fillId="0" borderId="0" xfId="1" applyFont="1" applyAlignment="1">
      <alignment horizontal="center"/>
    </xf>
    <xf numFmtId="0" fontId="18" fillId="0" borderId="0" xfId="1" applyAlignment="1">
      <alignment horizontal="center"/>
    </xf>
    <xf numFmtId="0" fontId="18" fillId="0" borderId="0" xfId="1" applyFill="1" applyAlignment="1">
      <alignment horizontal="center"/>
    </xf>
    <xf numFmtId="0" fontId="24" fillId="0" borderId="0" xfId="1" applyFont="1" applyAlignment="1"/>
    <xf numFmtId="0" fontId="24" fillId="2" borderId="0" xfId="1" applyFont="1" applyFill="1" applyAlignment="1"/>
    <xf numFmtId="0" fontId="26" fillId="0" borderId="0" xfId="2" applyAlignment="1" applyProtection="1">
      <alignment horizontal="center"/>
    </xf>
    <xf numFmtId="0" fontId="24" fillId="0" borderId="29" xfId="1" applyFont="1" applyBorder="1" applyAlignment="1">
      <alignment horizontal="center" vertical="center"/>
    </xf>
    <xf numFmtId="0" fontId="24" fillId="0" borderId="29" xfId="1" applyFont="1" applyBorder="1" applyAlignment="1">
      <alignment horizontal="center"/>
    </xf>
    <xf numFmtId="0" fontId="24" fillId="0" borderId="29" xfId="1" applyFont="1" applyFill="1" applyBorder="1" applyAlignment="1">
      <alignment horizontal="center"/>
    </xf>
    <xf numFmtId="0" fontId="27" fillId="3" borderId="25" xfId="1" applyFont="1" applyFill="1" applyBorder="1" applyAlignment="1">
      <alignment horizontal="center" vertical="center"/>
    </xf>
    <xf numFmtId="0" fontId="27" fillId="0" borderId="25" xfId="1" applyFont="1" applyFill="1" applyBorder="1" applyAlignment="1">
      <alignment horizontal="center" vertical="center"/>
    </xf>
    <xf numFmtId="9" fontId="27" fillId="3" borderId="25" xfId="1" applyNumberFormat="1" applyFont="1" applyFill="1" applyBorder="1" applyAlignment="1">
      <alignment horizontal="center" vertical="center"/>
    </xf>
    <xf numFmtId="0" fontId="18" fillId="0" borderId="0" xfId="1" applyBorder="1" applyAlignment="1">
      <alignment horizontal="center" vertical="center"/>
    </xf>
    <xf numFmtId="0" fontId="27" fillId="3" borderId="23" xfId="1" applyFont="1" applyFill="1" applyBorder="1" applyAlignment="1">
      <alignment horizontal="center" vertical="center"/>
    </xf>
    <xf numFmtId="9" fontId="27" fillId="0" borderId="23" xfId="1" applyNumberFormat="1" applyFont="1" applyFill="1" applyBorder="1" applyAlignment="1">
      <alignment horizontal="center" vertical="center"/>
    </xf>
    <xf numFmtId="0" fontId="27" fillId="3" borderId="29" xfId="1" applyFont="1" applyFill="1" applyBorder="1" applyAlignment="1">
      <alignment horizontal="center" vertical="center"/>
    </xf>
    <xf numFmtId="0" fontId="27" fillId="3" borderId="19" xfId="1" applyFont="1" applyFill="1" applyBorder="1" applyAlignment="1">
      <alignment horizontal="center" vertical="center" wrapText="1"/>
    </xf>
    <xf numFmtId="0" fontId="27" fillId="3" borderId="6" xfId="1" applyFont="1" applyFill="1" applyBorder="1" applyAlignment="1">
      <alignment horizontal="center" vertical="center"/>
    </xf>
    <xf numFmtId="0" fontId="27" fillId="3" borderId="17" xfId="1" applyFont="1" applyFill="1" applyBorder="1" applyAlignment="1">
      <alignment horizontal="center" vertical="center"/>
    </xf>
    <xf numFmtId="0" fontId="27" fillId="0" borderId="23" xfId="1" applyFont="1" applyFill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center"/>
    </xf>
    <xf numFmtId="9" fontId="2" fillId="0" borderId="6" xfId="1" applyNumberFormat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8" fillId="0" borderId="1" xfId="1" applyFont="1" applyBorder="1" applyAlignment="1">
      <alignment horizontal="center" vertical="center"/>
    </xf>
    <xf numFmtId="2" fontId="28" fillId="0" borderId="1" xfId="1" applyNumberFormat="1" applyFont="1" applyBorder="1" applyAlignment="1">
      <alignment horizontal="left" vertical="center"/>
    </xf>
    <xf numFmtId="3" fontId="28" fillId="0" borderId="1" xfId="1" applyNumberFormat="1" applyFont="1" applyBorder="1" applyAlignment="1">
      <alignment horizontal="center" vertical="center"/>
    </xf>
    <xf numFmtId="3" fontId="28" fillId="0" borderId="1" xfId="1" applyNumberFormat="1" applyFont="1" applyFill="1" applyBorder="1" applyAlignment="1">
      <alignment horizontal="center" vertical="center"/>
    </xf>
    <xf numFmtId="3" fontId="28" fillId="4" borderId="1" xfId="1" applyNumberFormat="1" applyFont="1" applyFill="1" applyBorder="1" applyAlignment="1">
      <alignment horizontal="center" vertical="center"/>
    </xf>
    <xf numFmtId="0" fontId="28" fillId="0" borderId="0" xfId="1" applyFont="1"/>
    <xf numFmtId="3" fontId="29" fillId="3" borderId="29" xfId="1" applyNumberFormat="1" applyFont="1" applyFill="1" applyBorder="1" applyAlignment="1">
      <alignment horizontal="center" vertical="center"/>
    </xf>
    <xf numFmtId="0" fontId="18" fillId="0" borderId="0" xfId="1" applyBorder="1" applyAlignment="1">
      <alignment horizontal="center"/>
    </xf>
    <xf numFmtId="0" fontId="18" fillId="0" borderId="0" xfId="1" applyFill="1" applyBorder="1" applyAlignment="1">
      <alignment horizontal="center"/>
    </xf>
    <xf numFmtId="0" fontId="30" fillId="0" borderId="0" xfId="1" applyFont="1" applyBorder="1" applyAlignment="1">
      <alignment horizontal="center"/>
    </xf>
    <xf numFmtId="0" fontId="30" fillId="0" borderId="0" xfId="1" applyFont="1" applyFill="1" applyBorder="1" applyAlignment="1">
      <alignment horizontal="center"/>
    </xf>
    <xf numFmtId="0" fontId="25" fillId="0" borderId="0" xfId="1" applyFont="1" applyAlignment="1"/>
    <xf numFmtId="0" fontId="33" fillId="0" borderId="0" xfId="1" applyFont="1"/>
    <xf numFmtId="0" fontId="21" fillId="0" borderId="0" xfId="1" applyFont="1" applyFill="1" applyBorder="1" applyAlignment="1">
      <alignment horizontal="left"/>
    </xf>
    <xf numFmtId="0" fontId="18" fillId="0" borderId="0" xfId="1" applyFill="1"/>
    <xf numFmtId="0" fontId="21" fillId="0" borderId="0" xfId="1" applyFont="1" applyFill="1" applyBorder="1" applyAlignment="1">
      <alignment horizontal="center"/>
    </xf>
    <xf numFmtId="0" fontId="21" fillId="0" borderId="0" xfId="1" applyFont="1" applyFill="1" applyAlignment="1">
      <alignment horizontal="center"/>
    </xf>
    <xf numFmtId="0" fontId="34" fillId="0" borderId="0" xfId="1" applyFont="1" applyFill="1" applyAlignment="1"/>
    <xf numFmtId="0" fontId="20" fillId="0" borderId="0" xfId="1" applyFont="1" applyFill="1" applyAlignment="1"/>
    <xf numFmtId="0" fontId="20" fillId="0" borderId="0" xfId="1" applyFont="1" applyFill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8" fillId="0" borderId="0" xfId="1" applyFont="1"/>
    <xf numFmtId="0" fontId="19" fillId="0" borderId="0" xfId="1" applyFont="1" applyFill="1" applyAlignment="1">
      <alignment horizontal="center"/>
    </xf>
    <xf numFmtId="9" fontId="36" fillId="0" borderId="25" xfId="1" applyNumberFormat="1" applyFont="1" applyBorder="1" applyAlignment="1">
      <alignment horizontal="center" vertical="center" wrapText="1"/>
    </xf>
    <xf numFmtId="10" fontId="36" fillId="0" borderId="25" xfId="1" applyNumberFormat="1" applyFont="1" applyBorder="1" applyAlignment="1">
      <alignment horizontal="center" vertical="center" wrapText="1"/>
    </xf>
    <xf numFmtId="1" fontId="21" fillId="0" borderId="38" xfId="1" applyNumberFormat="1" applyFont="1" applyFill="1" applyBorder="1" applyAlignment="1">
      <alignment horizontal="center" vertical="center" wrapText="1"/>
    </xf>
    <xf numFmtId="2" fontId="21" fillId="0" borderId="38" xfId="1" applyNumberFormat="1" applyFont="1" applyFill="1" applyBorder="1" applyAlignment="1">
      <alignment horizontal="center" vertical="center" wrapText="1"/>
    </xf>
    <xf numFmtId="14" fontId="21" fillId="0" borderId="38" xfId="1" applyNumberFormat="1" applyFont="1" applyFill="1" applyBorder="1" applyAlignment="1">
      <alignment horizontal="center" vertical="center" wrapText="1"/>
    </xf>
    <xf numFmtId="2" fontId="21" fillId="0" borderId="38" xfId="1" applyNumberFormat="1" applyFont="1" applyFill="1" applyBorder="1" applyAlignment="1">
      <alignment horizontal="right" vertical="center" wrapText="1"/>
    </xf>
    <xf numFmtId="2" fontId="37" fillId="0" borderId="38" xfId="1" applyNumberFormat="1" applyFont="1" applyFill="1" applyBorder="1" applyAlignment="1">
      <alignment horizontal="center" vertical="center"/>
    </xf>
    <xf numFmtId="2" fontId="37" fillId="0" borderId="38" xfId="6" applyNumberFormat="1" applyFont="1" applyFill="1" applyBorder="1" applyAlignment="1">
      <alignment horizontal="center" vertical="center"/>
    </xf>
    <xf numFmtId="2" fontId="21" fillId="0" borderId="38" xfId="1" applyNumberFormat="1" applyFont="1" applyBorder="1" applyAlignment="1">
      <alignment horizontal="right" vertical="center" wrapText="1"/>
    </xf>
    <xf numFmtId="0" fontId="21" fillId="0" borderId="0" xfId="1" applyFont="1"/>
    <xf numFmtId="1" fontId="21" fillId="0" borderId="39" xfId="1" applyNumberFormat="1" applyFont="1" applyFill="1" applyBorder="1" applyAlignment="1">
      <alignment horizontal="center" vertical="center" wrapText="1"/>
    </xf>
    <xf numFmtId="2" fontId="37" fillId="0" borderId="39" xfId="6" applyNumberFormat="1" applyFont="1" applyFill="1" applyBorder="1" applyAlignment="1">
      <alignment horizontal="center" vertical="center"/>
    </xf>
    <xf numFmtId="2" fontId="21" fillId="0" borderId="39" xfId="1" applyNumberFormat="1" applyFont="1" applyBorder="1" applyAlignment="1">
      <alignment horizontal="right" vertical="center" wrapText="1"/>
    </xf>
    <xf numFmtId="2" fontId="37" fillId="0" borderId="39" xfId="1" applyNumberFormat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center" vertical="center" wrapText="1"/>
    </xf>
    <xf numFmtId="14" fontId="21" fillId="0" borderId="0" xfId="1" applyNumberFormat="1" applyFont="1" applyFill="1" applyBorder="1" applyAlignment="1">
      <alignment horizontal="center" vertical="center" wrapText="1"/>
    </xf>
    <xf numFmtId="0" fontId="21" fillId="0" borderId="0" xfId="1" applyFont="1" applyFill="1"/>
    <xf numFmtId="4" fontId="20" fillId="0" borderId="29" xfId="1" applyNumberFormat="1" applyFont="1" applyFill="1" applyBorder="1" applyAlignment="1">
      <alignment horizontal="right" vertical="center" wrapText="1"/>
    </xf>
    <xf numFmtId="4" fontId="18" fillId="0" borderId="0" xfId="1" applyNumberFormat="1"/>
    <xf numFmtId="0" fontId="18" fillId="0" borderId="0" xfId="1" applyBorder="1"/>
    <xf numFmtId="0" fontId="3" fillId="0" borderId="7" xfId="0" applyFont="1" applyBorder="1" applyAlignment="1">
      <alignment horizontal="center" wrapText="1"/>
    </xf>
    <xf numFmtId="169" fontId="18" fillId="2" borderId="0" xfId="1" applyNumberFormat="1" applyFill="1"/>
    <xf numFmtId="2" fontId="17" fillId="0" borderId="0" xfId="0" applyNumberFormat="1" applyFont="1" applyAlignment="1">
      <alignment horizontal="center"/>
    </xf>
    <xf numFmtId="0" fontId="39" fillId="2" borderId="0" xfId="0" applyFont="1" applyFill="1"/>
    <xf numFmtId="169" fontId="0" fillId="0" borderId="0" xfId="0" applyNumberFormat="1" applyFill="1"/>
    <xf numFmtId="1" fontId="8" fillId="0" borderId="27" xfId="0" applyNumberFormat="1" applyFont="1" applyBorder="1" applyAlignment="1">
      <alignment horizontal="center" vertical="center"/>
    </xf>
    <xf numFmtId="2" fontId="3" fillId="0" borderId="0" xfId="0" applyNumberFormat="1" applyFont="1"/>
    <xf numFmtId="4" fontId="0" fillId="0" borderId="0" xfId="0" applyNumberFormat="1" applyFont="1" applyFill="1"/>
    <xf numFmtId="4" fontId="3" fillId="0" borderId="0" xfId="0" applyNumberFormat="1" applyFont="1"/>
    <xf numFmtId="1" fontId="8" fillId="0" borderId="27" xfId="0" applyNumberFormat="1" applyFont="1" applyBorder="1" applyAlignment="1">
      <alignment horizontal="center" vertical="center" wrapText="1"/>
    </xf>
    <xf numFmtId="0" fontId="10" fillId="0" borderId="0" xfId="0" applyFont="1" applyFill="1"/>
    <xf numFmtId="0" fontId="3" fillId="0" borderId="27" xfId="0" applyFont="1" applyFill="1" applyBorder="1" applyAlignment="1">
      <alignment horizontal="center" vertical="center" wrapText="1"/>
    </xf>
    <xf numFmtId="0" fontId="40" fillId="5" borderId="0" xfId="0" applyFont="1" applyFill="1" applyAlignment="1" applyProtection="1">
      <alignment horizontal="center" vertical="center"/>
    </xf>
    <xf numFmtId="0" fontId="8" fillId="0" borderId="27" xfId="0" applyFont="1" applyFill="1" applyBorder="1" applyAlignment="1">
      <alignment vertical="center" wrapText="1"/>
    </xf>
    <xf numFmtId="0" fontId="17" fillId="0" borderId="0" xfId="0" applyFont="1" applyAlignment="1">
      <alignment horizontal="center"/>
    </xf>
    <xf numFmtId="0" fontId="15" fillId="0" borderId="33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4" fontId="8" fillId="0" borderId="40" xfId="0" applyNumberFormat="1" applyFont="1" applyBorder="1" applyAlignment="1">
      <alignment horizontal="center" vertical="center"/>
    </xf>
    <xf numFmtId="14" fontId="8" fillId="0" borderId="40" xfId="0" applyNumberFormat="1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15" fillId="0" borderId="3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29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168" fontId="3" fillId="0" borderId="0" xfId="0" applyNumberFormat="1" applyFont="1" applyAlignment="1">
      <alignment horizontal="left"/>
    </xf>
    <xf numFmtId="0" fontId="17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41" fillId="0" borderId="25" xfId="0" applyFont="1" applyBorder="1" applyAlignment="1">
      <alignment horizontal="center" vertical="center" wrapText="1"/>
    </xf>
    <xf numFmtId="0" fontId="41" fillId="0" borderId="23" xfId="0" applyFont="1" applyBorder="1" applyAlignment="1">
      <alignment horizontal="center" vertical="center" wrapText="1"/>
    </xf>
    <xf numFmtId="1" fontId="18" fillId="0" borderId="40" xfId="0" applyNumberFormat="1" applyFont="1" applyBorder="1" applyAlignment="1">
      <alignment horizontal="center"/>
    </xf>
    <xf numFmtId="1" fontId="18" fillId="0" borderId="7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8" fontId="3" fillId="0" borderId="9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6" fillId="0" borderId="0" xfId="0" applyFont="1" applyBorder="1" applyAlignment="1">
      <alignment horizontal="left" vertical="top" wrapText="1"/>
    </xf>
    <xf numFmtId="168" fontId="3" fillId="0" borderId="0" xfId="0" applyNumberFormat="1" applyFont="1" applyFill="1" applyBorder="1" applyAlignment="1">
      <alignment horizontal="center"/>
    </xf>
    <xf numFmtId="168" fontId="3" fillId="0" borderId="8" xfId="0" applyNumberFormat="1" applyFont="1" applyFill="1" applyBorder="1" applyAlignment="1">
      <alignment horizontal="center"/>
    </xf>
    <xf numFmtId="0" fontId="35" fillId="0" borderId="26" xfId="1" applyFont="1" applyBorder="1" applyAlignment="1">
      <alignment horizontal="center" vertical="center" wrapText="1"/>
    </xf>
    <xf numFmtId="0" fontId="35" fillId="0" borderId="10" xfId="1" applyFont="1" applyBorder="1" applyAlignment="1">
      <alignment horizontal="center" vertical="center" wrapText="1"/>
    </xf>
    <xf numFmtId="10" fontId="36" fillId="0" borderId="26" xfId="1" applyNumberFormat="1" applyFont="1" applyBorder="1" applyAlignment="1">
      <alignment horizontal="center" vertical="center" wrapText="1"/>
    </xf>
    <xf numFmtId="10" fontId="36" fillId="0" borderId="14" xfId="1" applyNumberFormat="1" applyFont="1" applyBorder="1" applyAlignment="1">
      <alignment horizontal="center" vertical="center" wrapText="1"/>
    </xf>
    <xf numFmtId="9" fontId="36" fillId="0" borderId="26" xfId="1" applyNumberFormat="1" applyFont="1" applyBorder="1" applyAlignment="1">
      <alignment horizontal="center" vertical="center" wrapText="1"/>
    </xf>
    <xf numFmtId="9" fontId="36" fillId="0" borderId="14" xfId="1" applyNumberFormat="1" applyFont="1" applyBorder="1" applyAlignment="1">
      <alignment horizontal="center" vertical="center" wrapText="1"/>
    </xf>
    <xf numFmtId="0" fontId="20" fillId="0" borderId="32" xfId="1" applyFont="1" applyFill="1" applyBorder="1" applyAlignment="1">
      <alignment horizontal="center" vertical="center" wrapText="1"/>
    </xf>
    <xf numFmtId="0" fontId="20" fillId="0" borderId="33" xfId="1" applyFont="1" applyFill="1" applyBorder="1" applyAlignment="1">
      <alignment horizontal="center" vertical="center" wrapText="1"/>
    </xf>
    <xf numFmtId="0" fontId="35" fillId="0" borderId="14" xfId="1" applyFont="1" applyBorder="1" applyAlignment="1">
      <alignment horizontal="center" vertical="center" wrapText="1"/>
    </xf>
    <xf numFmtId="0" fontId="35" fillId="0" borderId="12" xfId="1" applyFont="1" applyBorder="1" applyAlignment="1">
      <alignment horizontal="center" vertical="center" wrapText="1"/>
    </xf>
    <xf numFmtId="0" fontId="34" fillId="0" borderId="0" xfId="1" applyFont="1" applyFill="1" applyAlignment="1">
      <alignment horizontal="center"/>
    </xf>
    <xf numFmtId="0" fontId="20" fillId="0" borderId="0" xfId="1" applyFont="1" applyFill="1" applyAlignment="1">
      <alignment horizontal="center"/>
    </xf>
    <xf numFmtId="0" fontId="24" fillId="0" borderId="26" xfId="1" applyFont="1" applyFill="1" applyBorder="1" applyAlignment="1">
      <alignment horizontal="center" vertical="center" wrapText="1"/>
    </xf>
    <xf numFmtId="0" fontId="24" fillId="0" borderId="9" xfId="1" applyFont="1" applyFill="1" applyBorder="1" applyAlignment="1">
      <alignment horizontal="center" vertical="center" wrapText="1"/>
    </xf>
    <xf numFmtId="0" fontId="24" fillId="0" borderId="10" xfId="1" applyFont="1" applyFill="1" applyBorder="1" applyAlignment="1">
      <alignment horizontal="center" vertical="center" wrapText="1"/>
    </xf>
    <xf numFmtId="0" fontId="24" fillId="0" borderId="25" xfId="1" applyFont="1" applyFill="1" applyBorder="1" applyAlignment="1">
      <alignment horizontal="center" vertical="center" wrapText="1"/>
    </xf>
    <xf numFmtId="0" fontId="24" fillId="0" borderId="31" xfId="1" applyFont="1" applyFill="1" applyBorder="1" applyAlignment="1">
      <alignment horizontal="center" vertical="center" wrapText="1"/>
    </xf>
    <xf numFmtId="0" fontId="24" fillId="0" borderId="23" xfId="1" applyFont="1" applyFill="1" applyBorder="1" applyAlignment="1">
      <alignment horizontal="center" vertical="center" wrapText="1"/>
    </xf>
    <xf numFmtId="0" fontId="35" fillId="0" borderId="33" xfId="1" applyFont="1" applyBorder="1" applyAlignment="1">
      <alignment horizontal="center" vertical="center" wrapText="1"/>
    </xf>
    <xf numFmtId="0" fontId="35" fillId="0" borderId="37" xfId="1" applyFont="1" applyBorder="1" applyAlignment="1">
      <alignment horizontal="center" vertical="center" wrapText="1"/>
    </xf>
    <xf numFmtId="0" fontId="36" fillId="0" borderId="25" xfId="1" applyFont="1" applyBorder="1" applyAlignment="1">
      <alignment horizontal="center" vertical="center" wrapText="1"/>
    </xf>
    <xf numFmtId="0" fontId="36" fillId="0" borderId="31" xfId="1" applyFont="1" applyBorder="1" applyAlignment="1">
      <alignment horizontal="center" vertical="center" wrapText="1"/>
    </xf>
    <xf numFmtId="0" fontId="35" fillId="0" borderId="32" xfId="1" applyFont="1" applyBorder="1" applyAlignment="1">
      <alignment horizontal="center" vertical="center" wrapText="1"/>
    </xf>
    <xf numFmtId="0" fontId="35" fillId="0" borderId="25" xfId="1" applyFont="1" applyBorder="1" applyAlignment="1">
      <alignment horizontal="center" vertical="center" wrapText="1"/>
    </xf>
    <xf numFmtId="0" fontId="35" fillId="0" borderId="31" xfId="1" applyFont="1" applyBorder="1" applyAlignment="1">
      <alignment horizontal="center" vertical="center" wrapText="1"/>
    </xf>
    <xf numFmtId="0" fontId="35" fillId="0" borderId="23" xfId="1" applyFont="1" applyBorder="1" applyAlignment="1">
      <alignment horizontal="center" vertical="center" wrapText="1"/>
    </xf>
    <xf numFmtId="0" fontId="20" fillId="0" borderId="0" xfId="1" applyFont="1" applyFill="1" applyAlignment="1">
      <alignment horizontal="left"/>
    </xf>
    <xf numFmtId="0" fontId="21" fillId="0" borderId="0" xfId="1" applyFont="1" applyFill="1" applyBorder="1" applyAlignment="1">
      <alignment horizontal="left"/>
    </xf>
    <xf numFmtId="0" fontId="29" fillId="3" borderId="32" xfId="1" applyFont="1" applyFill="1" applyBorder="1" applyAlignment="1">
      <alignment horizontal="center" vertical="center"/>
    </xf>
    <xf numFmtId="0" fontId="18" fillId="0" borderId="37" xfId="1" applyBorder="1"/>
    <xf numFmtId="0" fontId="25" fillId="0" borderId="0" xfId="1" applyFont="1" applyAlignment="1">
      <alignment horizontal="center"/>
    </xf>
    <xf numFmtId="0" fontId="18" fillId="0" borderId="0" xfId="1" applyFont="1" applyAlignment="1">
      <alignment horizontal="center" vertical="center"/>
    </xf>
    <xf numFmtId="0" fontId="27" fillId="3" borderId="25" xfId="1" applyFont="1" applyFill="1" applyBorder="1" applyAlignment="1">
      <alignment horizontal="center" vertical="center"/>
    </xf>
    <xf numFmtId="0" fontId="27" fillId="3" borderId="23" xfId="1" applyFont="1" applyFill="1" applyBorder="1" applyAlignment="1">
      <alignment horizontal="center" vertical="center"/>
    </xf>
    <xf numFmtId="0" fontId="27" fillId="3" borderId="32" xfId="1" applyFont="1" applyFill="1" applyBorder="1" applyAlignment="1">
      <alignment horizontal="center" vertical="center"/>
    </xf>
    <xf numFmtId="0" fontId="27" fillId="3" borderId="37" xfId="1" applyFont="1" applyFill="1" applyBorder="1" applyAlignment="1">
      <alignment horizontal="center" vertical="center"/>
    </xf>
    <xf numFmtId="0" fontId="27" fillId="3" borderId="32" xfId="1" applyFont="1" applyFill="1" applyBorder="1" applyAlignment="1">
      <alignment horizontal="center" vertical="center" wrapText="1"/>
    </xf>
    <xf numFmtId="0" fontId="27" fillId="3" borderId="33" xfId="1" applyFont="1" applyFill="1" applyBorder="1" applyAlignment="1">
      <alignment horizontal="center" vertical="center" wrapText="1"/>
    </xf>
  </cellXfs>
  <cellStyles count="16">
    <cellStyle name="Comma 2" xfId="3"/>
    <cellStyle name="Euro" xfId="4"/>
    <cellStyle name="Hipervínculo" xfId="2" builtinId="8"/>
    <cellStyle name="Millares 2" xfId="5"/>
    <cellStyle name="Millares 2 2" xfId="6"/>
    <cellStyle name="Normal" xfId="0" builtinId="0"/>
    <cellStyle name="Normal 2" xfId="7"/>
    <cellStyle name="Normal 2 10" xfId="8"/>
    <cellStyle name="Normal 2 11" xfId="9"/>
    <cellStyle name="Normal 2 12" xfId="10"/>
    <cellStyle name="Normal 2 13" xfId="11"/>
    <cellStyle name="Normal 2 14" xfId="12"/>
    <cellStyle name="Normal 2 15" xfId="13"/>
    <cellStyle name="Normal 2 2" xfId="1"/>
    <cellStyle name="Normal 3" xfId="14"/>
    <cellStyle name="Normal 4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676275</xdr:colOff>
      <xdr:row>4</xdr:row>
      <xdr:rowOff>190500</xdr:rowOff>
    </xdr:from>
    <xdr:to>
      <xdr:col>37</xdr:col>
      <xdr:colOff>752475</xdr:colOff>
      <xdr:row>23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20212050" y="838200"/>
          <a:ext cx="6934200" cy="3105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1">
            <a:defRPr sz="1000"/>
          </a:pPr>
          <a:r>
            <a:rPr lang="en-US" sz="2200" b="0" i="0" strike="noStrike">
              <a:solidFill>
                <a:srgbClr val="000000"/>
              </a:solidFill>
              <a:latin typeface="Arial"/>
              <a:cs typeface="Arial"/>
            </a:rPr>
            <a:t>Limberg:</a:t>
          </a:r>
        </a:p>
        <a:p>
          <a:pPr algn="ctr" rtl="1">
            <a:defRPr sz="1000"/>
          </a:pPr>
          <a:endParaRPr lang="en-U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2200" b="0" i="0" strike="noStrike">
              <a:solidFill>
                <a:srgbClr val="000000"/>
              </a:solidFill>
              <a:latin typeface="Arial"/>
              <a:cs typeface="Arial"/>
            </a:rPr>
            <a:t>Para imprimir las boletas automaticas.</a:t>
          </a:r>
        </a:p>
        <a:p>
          <a:pPr algn="ctr" rtl="1">
            <a:defRPr sz="1000"/>
          </a:pPr>
          <a:endParaRPr lang="en-U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2200" b="0" i="0" strike="noStrike">
              <a:solidFill>
                <a:srgbClr val="000000"/>
              </a:solidFill>
              <a:latin typeface="Arial"/>
              <a:cs typeface="Arial"/>
            </a:rPr>
            <a:t>Falta unos cuantos ajustes…….</a:t>
          </a:r>
        </a:p>
        <a:p>
          <a:pPr algn="ctr" rtl="1">
            <a:defRPr sz="1000"/>
          </a:pPr>
          <a:endParaRPr lang="en-U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2200" b="0" i="0" strike="noStrike">
              <a:solidFill>
                <a:srgbClr val="000000"/>
              </a:solidFill>
              <a:latin typeface="Arial"/>
              <a:cs typeface="Arial"/>
            </a:rPr>
            <a:t>.r.a.</a:t>
          </a:r>
        </a:p>
      </xdr:txBody>
    </xdr:sp>
    <xdr:clientData/>
  </xdr:twoCellAnchor>
  <xdr:twoCellAnchor editAs="oneCell">
    <xdr:from>
      <xdr:col>7</xdr:col>
      <xdr:colOff>209550</xdr:colOff>
      <xdr:row>24</xdr:row>
      <xdr:rowOff>19050</xdr:rowOff>
    </xdr:from>
    <xdr:to>
      <xdr:col>8</xdr:col>
      <xdr:colOff>782577</xdr:colOff>
      <xdr:row>30</xdr:row>
      <xdr:rowOff>19433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4105275"/>
          <a:ext cx="1411227" cy="1057658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54</xdr:row>
      <xdr:rowOff>200025</xdr:rowOff>
    </xdr:from>
    <xdr:to>
      <xdr:col>8</xdr:col>
      <xdr:colOff>839727</xdr:colOff>
      <xdr:row>60</xdr:row>
      <xdr:rowOff>95633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4450" y="9372600"/>
          <a:ext cx="1411227" cy="10576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KEY%20SOLUTIONS%202018\KEY%20SOLUTIONS%202018\Sueldos\PLANILLAS-FEBRERO11UVIRTU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"/>
      <sheetName val="AFP"/>
      <sheetName val="FISCAL"/>
      <sheetName val="CORTES"/>
      <sheetName val="ANTICIPOS"/>
      <sheetName val="INTERNA"/>
      <sheetName val="INT REINT EN-MAY-10"/>
      <sheetName val="TRIBUTARIA"/>
      <sheetName val="BOLETAS"/>
      <sheetName val="_Bole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Q10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9">
          <cell r="Q19">
            <v>0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AF75"/>
  <sheetViews>
    <sheetView topLeftCell="B11" workbookViewId="0">
      <selection activeCell="B13" sqref="B13"/>
    </sheetView>
  </sheetViews>
  <sheetFormatPr baseColWidth="10" defaultRowHeight="12.75" x14ac:dyDescent="0.2"/>
  <cols>
    <col min="1" max="1" width="3.7109375" style="1" hidden="1" customWidth="1"/>
    <col min="2" max="2" width="3.140625" style="1" customWidth="1"/>
    <col min="3" max="3" width="11" style="1" customWidth="1"/>
    <col min="4" max="4" width="16.5703125" style="1" customWidth="1"/>
    <col min="5" max="5" width="9.85546875" style="1" customWidth="1"/>
    <col min="6" max="6" width="10.42578125" style="1" customWidth="1"/>
    <col min="7" max="7" width="4.7109375" style="1" customWidth="1"/>
    <col min="8" max="8" width="11" style="1" customWidth="1"/>
    <col min="9" max="9" width="9.5703125" style="1" customWidth="1"/>
    <col min="10" max="10" width="9.140625" style="1" hidden="1" customWidth="1"/>
    <col min="11" max="11" width="9.5703125" style="1" customWidth="1"/>
    <col min="12" max="12" width="5.28515625" style="1" customWidth="1"/>
    <col min="13" max="13" width="5" style="1" customWidth="1"/>
    <col min="14" max="14" width="9.7109375" style="1" customWidth="1"/>
    <col min="15" max="15" width="8.28515625" style="1" customWidth="1"/>
    <col min="16" max="16" width="3.85546875" style="1" customWidth="1"/>
    <col min="17" max="17" width="8.28515625" style="1" customWidth="1"/>
    <col min="18" max="18" width="9.140625" style="1" hidden="1" customWidth="1"/>
    <col min="19" max="19" width="6.5703125" style="1" hidden="1" customWidth="1"/>
    <col min="20" max="20" width="7.42578125" style="1" hidden="1" customWidth="1"/>
    <col min="21" max="21" width="9.5703125" style="1" customWidth="1"/>
    <col min="22" max="22" width="9.28515625" style="1" customWidth="1"/>
    <col min="23" max="23" width="8.28515625" style="1" customWidth="1"/>
    <col min="24" max="24" width="8.28515625" style="1" bestFit="1" customWidth="1"/>
    <col min="25" max="25" width="6.85546875" style="1" customWidth="1"/>
    <col min="26" max="26" width="9.140625" style="1" customWidth="1"/>
    <col min="27" max="27" width="9.28515625" style="1" customWidth="1"/>
    <col min="28" max="28" width="16.42578125" style="1" customWidth="1"/>
    <col min="29" max="29" width="18.7109375" style="1" hidden="1" customWidth="1"/>
    <col min="30" max="16384" width="11.42578125" style="6"/>
  </cols>
  <sheetData>
    <row r="1" spans="2:29" ht="19.5" x14ac:dyDescent="0.25">
      <c r="B1" s="246" t="s">
        <v>5</v>
      </c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"/>
    </row>
    <row r="2" spans="2:29" ht="18" x14ac:dyDescent="0.25">
      <c r="B2" s="137"/>
      <c r="C2" s="26"/>
      <c r="D2" s="26"/>
      <c r="E2" s="26"/>
      <c r="F2" s="26"/>
      <c r="G2" s="26"/>
      <c r="H2" s="26"/>
      <c r="K2" s="26" t="s">
        <v>61</v>
      </c>
      <c r="L2" s="26"/>
      <c r="M2" s="26"/>
      <c r="N2" s="26"/>
      <c r="P2" s="26" t="s">
        <v>154</v>
      </c>
      <c r="Q2" s="26"/>
      <c r="R2" s="26">
        <v>2017</v>
      </c>
      <c r="S2" s="26"/>
      <c r="T2" s="26"/>
      <c r="V2" s="26">
        <v>2018</v>
      </c>
      <c r="W2" s="26"/>
      <c r="X2" s="26"/>
      <c r="Y2" s="26"/>
      <c r="Z2" s="26"/>
      <c r="AA2" s="26"/>
      <c r="AB2" s="26"/>
      <c r="AC2" s="3"/>
    </row>
    <row r="3" spans="2:29" ht="15" x14ac:dyDescent="0.2">
      <c r="B3" s="245" t="s">
        <v>6</v>
      </c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4"/>
    </row>
    <row r="4" spans="2:29" ht="15" x14ac:dyDescent="0.2">
      <c r="B4" s="139" t="s">
        <v>79</v>
      </c>
      <c r="C4" s="138"/>
      <c r="D4" s="138"/>
      <c r="E4" s="141" t="s">
        <v>82</v>
      </c>
      <c r="F4" s="138"/>
      <c r="G4" s="138"/>
      <c r="H4" s="138"/>
      <c r="I4" s="138"/>
      <c r="J4" s="225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4"/>
    </row>
    <row r="5" spans="2:29" ht="15" x14ac:dyDescent="0.2">
      <c r="B5" s="139" t="s">
        <v>148</v>
      </c>
      <c r="C5" s="225"/>
      <c r="D5" s="6"/>
      <c r="E5" s="249">
        <v>254946027</v>
      </c>
      <c r="F5" s="138"/>
      <c r="G5" s="138"/>
      <c r="H5" s="138"/>
      <c r="I5" s="138"/>
      <c r="J5" s="225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4"/>
    </row>
    <row r="6" spans="2:29" ht="15" x14ac:dyDescent="0.2">
      <c r="B6" s="139" t="s">
        <v>149</v>
      </c>
      <c r="C6" s="225"/>
      <c r="D6" s="225"/>
      <c r="E6" s="250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4"/>
    </row>
    <row r="7" spans="2:29" ht="15" x14ac:dyDescent="0.2">
      <c r="B7" s="139" t="s">
        <v>80</v>
      </c>
      <c r="C7" s="138"/>
      <c r="D7" s="138"/>
      <c r="E7" s="140" t="s">
        <v>83</v>
      </c>
      <c r="F7" s="138"/>
      <c r="G7" s="138"/>
      <c r="H7" s="138"/>
      <c r="I7" s="138"/>
      <c r="J7" s="225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4"/>
    </row>
    <row r="8" spans="2:29" ht="15" x14ac:dyDescent="0.2">
      <c r="B8" s="139" t="s">
        <v>81</v>
      </c>
      <c r="C8" s="138"/>
      <c r="D8" s="138"/>
      <c r="E8" s="141" t="s">
        <v>84</v>
      </c>
      <c r="F8" s="138"/>
      <c r="G8" s="138"/>
      <c r="H8" s="138"/>
      <c r="I8" s="138"/>
      <c r="J8" s="225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X8" s="138"/>
      <c r="Y8" s="213"/>
      <c r="Z8" s="138"/>
      <c r="AA8" s="138"/>
      <c r="AB8" s="138"/>
      <c r="AC8" s="4"/>
    </row>
    <row r="9" spans="2:29" ht="13.5" thickBot="1" x14ac:dyDescent="0.25">
      <c r="B9" s="29"/>
      <c r="C9" s="44"/>
      <c r="V9" s="6"/>
      <c r="W9" s="6"/>
      <c r="X9" s="6"/>
      <c r="Y9" s="6"/>
      <c r="Z9" s="6"/>
      <c r="AA9" s="6"/>
    </row>
    <row r="10" spans="2:29" ht="12.75" customHeight="1" thickBot="1" x14ac:dyDescent="0.25">
      <c r="B10" s="238" t="s">
        <v>19</v>
      </c>
      <c r="C10" s="238" t="s">
        <v>21</v>
      </c>
      <c r="D10" s="238" t="s">
        <v>16</v>
      </c>
      <c r="E10" s="238" t="s">
        <v>49</v>
      </c>
      <c r="F10" s="238" t="s">
        <v>22</v>
      </c>
      <c r="G10" s="238" t="s">
        <v>0</v>
      </c>
      <c r="H10" s="238" t="s">
        <v>1</v>
      </c>
      <c r="I10" s="238" t="s">
        <v>2</v>
      </c>
      <c r="J10" s="238" t="s">
        <v>147</v>
      </c>
      <c r="K10" s="242" t="s">
        <v>8</v>
      </c>
      <c r="L10" s="238" t="s">
        <v>17</v>
      </c>
      <c r="M10" s="247" t="s">
        <v>15</v>
      </c>
      <c r="N10" s="242" t="s">
        <v>26</v>
      </c>
      <c r="O10" s="238" t="s">
        <v>10</v>
      </c>
      <c r="P10" s="237" t="s">
        <v>11</v>
      </c>
      <c r="Q10" s="237"/>
      <c r="R10" s="237" t="s">
        <v>13</v>
      </c>
      <c r="S10" s="237"/>
      <c r="T10" s="237"/>
      <c r="U10" s="238" t="s">
        <v>20</v>
      </c>
      <c r="V10" s="237" t="s">
        <v>14</v>
      </c>
      <c r="W10" s="237"/>
      <c r="X10" s="237"/>
      <c r="Y10" s="237"/>
      <c r="Z10" s="238" t="s">
        <v>56</v>
      </c>
      <c r="AA10" s="238" t="s">
        <v>57</v>
      </c>
      <c r="AB10" s="240" t="s">
        <v>18</v>
      </c>
      <c r="AC10" s="230"/>
    </row>
    <row r="11" spans="2:29" ht="66.75" customHeight="1" thickBot="1" x14ac:dyDescent="0.25">
      <c r="B11" s="239"/>
      <c r="C11" s="239"/>
      <c r="D11" s="239"/>
      <c r="E11" s="239"/>
      <c r="F11" s="239"/>
      <c r="G11" s="239"/>
      <c r="H11" s="239"/>
      <c r="I11" s="239"/>
      <c r="J11" s="239"/>
      <c r="K11" s="243"/>
      <c r="L11" s="239"/>
      <c r="M11" s="248"/>
      <c r="N11" s="243"/>
      <c r="O11" s="239"/>
      <c r="P11" s="105" t="s">
        <v>27</v>
      </c>
      <c r="Q11" s="105" t="s">
        <v>9</v>
      </c>
      <c r="R11" s="105" t="s">
        <v>141</v>
      </c>
      <c r="S11" s="105" t="s">
        <v>28</v>
      </c>
      <c r="T11" s="106" t="s">
        <v>12</v>
      </c>
      <c r="U11" s="239"/>
      <c r="V11" s="106" t="s">
        <v>50</v>
      </c>
      <c r="W11" s="106" t="s">
        <v>53</v>
      </c>
      <c r="X11" s="106" t="s">
        <v>54</v>
      </c>
      <c r="Y11" s="106" t="s">
        <v>55</v>
      </c>
      <c r="Z11" s="239"/>
      <c r="AA11" s="239"/>
      <c r="AB11" s="241"/>
      <c r="AC11" s="231"/>
    </row>
    <row r="12" spans="2:29" ht="40.5" customHeight="1" x14ac:dyDescent="0.2">
      <c r="B12" s="55">
        <v>1</v>
      </c>
      <c r="C12" s="63" t="s">
        <v>145</v>
      </c>
      <c r="D12" s="224" t="s">
        <v>64</v>
      </c>
      <c r="E12" s="63" t="s">
        <v>146</v>
      </c>
      <c r="F12" s="65">
        <v>24271</v>
      </c>
      <c r="G12" s="63" t="s">
        <v>7</v>
      </c>
      <c r="H12" s="56" t="s">
        <v>74</v>
      </c>
      <c r="I12" s="65">
        <v>42675</v>
      </c>
      <c r="J12" s="65"/>
      <c r="K12" s="59">
        <v>7383</v>
      </c>
      <c r="L12" s="56">
        <v>30</v>
      </c>
      <c r="M12" s="60">
        <v>8</v>
      </c>
      <c r="N12" s="88">
        <f t="shared" ref="N12:N17" si="0">+K12/30*L12</f>
        <v>7383</v>
      </c>
      <c r="O12" s="89">
        <v>0</v>
      </c>
      <c r="P12" s="220">
        <v>0</v>
      </c>
      <c r="Q12" s="89">
        <v>0</v>
      </c>
      <c r="R12" s="89">
        <v>0</v>
      </c>
      <c r="S12" s="89">
        <v>0</v>
      </c>
      <c r="T12" s="90">
        <v>0</v>
      </c>
      <c r="U12" s="91">
        <f t="shared" ref="U12:U32" si="1">+N12+O12+Q12+R12+S12+T12</f>
        <v>7383</v>
      </c>
      <c r="V12" s="90">
        <f t="shared" ref="V12:V16" si="2">+U12*0.1271</f>
        <v>938.37929999999994</v>
      </c>
      <c r="W12" s="90">
        <v>0</v>
      </c>
      <c r="X12" s="90">
        <v>0</v>
      </c>
      <c r="Y12" s="91">
        <v>0</v>
      </c>
      <c r="Z12" s="90">
        <f t="shared" ref="Z12:Z32" si="3">+V12+W12+X12+Y12</f>
        <v>938.37929999999994</v>
      </c>
      <c r="AA12" s="91">
        <f t="shared" ref="AA12:AA32" si="4">+U12-Z12</f>
        <v>6444.6207000000004</v>
      </c>
      <c r="AB12" s="62"/>
      <c r="AC12" s="7">
        <v>3</v>
      </c>
    </row>
    <row r="13" spans="2:29" ht="27.75" customHeight="1" x14ac:dyDescent="0.2">
      <c r="B13" s="222">
        <v>2</v>
      </c>
      <c r="C13" s="63" t="s">
        <v>66</v>
      </c>
      <c r="D13" s="224" t="s">
        <v>153</v>
      </c>
      <c r="E13" s="63" t="s">
        <v>67</v>
      </c>
      <c r="F13" s="65">
        <v>31833</v>
      </c>
      <c r="G13" s="63" t="s">
        <v>4</v>
      </c>
      <c r="H13" s="56" t="s">
        <v>75</v>
      </c>
      <c r="I13" s="65">
        <v>42522</v>
      </c>
      <c r="J13" s="65"/>
      <c r="K13" s="59">
        <v>3500</v>
      </c>
      <c r="L13" s="56">
        <v>30</v>
      </c>
      <c r="M13" s="60">
        <v>8</v>
      </c>
      <c r="N13" s="88">
        <f t="shared" si="0"/>
        <v>3500</v>
      </c>
      <c r="O13" s="89">
        <v>0</v>
      </c>
      <c r="P13" s="216">
        <v>0</v>
      </c>
      <c r="Q13" s="89">
        <v>0</v>
      </c>
      <c r="R13" s="89">
        <v>0</v>
      </c>
      <c r="S13" s="89">
        <v>0</v>
      </c>
      <c r="T13" s="90">
        <v>0</v>
      </c>
      <c r="U13" s="91">
        <f t="shared" si="1"/>
        <v>3500</v>
      </c>
      <c r="V13" s="90">
        <f t="shared" si="2"/>
        <v>444.84999999999997</v>
      </c>
      <c r="W13" s="90">
        <v>0</v>
      </c>
      <c r="X13" s="90">
        <f>[1]TRIBUTARIA!Q14</f>
        <v>0</v>
      </c>
      <c r="Y13" s="91">
        <v>0</v>
      </c>
      <c r="Z13" s="90">
        <f t="shared" si="3"/>
        <v>444.84999999999997</v>
      </c>
      <c r="AA13" s="91">
        <f t="shared" si="4"/>
        <v>3055.15</v>
      </c>
      <c r="AB13" s="62"/>
      <c r="AC13" s="7">
        <v>5</v>
      </c>
    </row>
    <row r="14" spans="2:29" ht="27.75" customHeight="1" x14ac:dyDescent="0.2">
      <c r="B14" s="55">
        <v>3</v>
      </c>
      <c r="C14" s="63" t="s">
        <v>68</v>
      </c>
      <c r="D14" s="224" t="s">
        <v>69</v>
      </c>
      <c r="E14" s="63" t="s">
        <v>65</v>
      </c>
      <c r="F14" s="65">
        <v>27982</v>
      </c>
      <c r="G14" s="63" t="s">
        <v>7</v>
      </c>
      <c r="H14" s="56" t="s">
        <v>76</v>
      </c>
      <c r="I14" s="65">
        <v>42675</v>
      </c>
      <c r="J14" s="65"/>
      <c r="K14" s="59">
        <v>2637.55</v>
      </c>
      <c r="L14" s="56">
        <v>30</v>
      </c>
      <c r="M14" s="60">
        <v>8</v>
      </c>
      <c r="N14" s="88">
        <f t="shared" si="0"/>
        <v>2637.55</v>
      </c>
      <c r="O14" s="89">
        <v>0</v>
      </c>
      <c r="P14" s="220">
        <v>0</v>
      </c>
      <c r="Q14" s="89">
        <v>0</v>
      </c>
      <c r="R14" s="89">
        <v>0</v>
      </c>
      <c r="S14" s="89">
        <v>0</v>
      </c>
      <c r="T14" s="90">
        <v>0</v>
      </c>
      <c r="U14" s="91">
        <f t="shared" si="1"/>
        <v>2637.55</v>
      </c>
      <c r="V14" s="90">
        <f t="shared" si="2"/>
        <v>335.23260499999998</v>
      </c>
      <c r="W14" s="90">
        <v>0</v>
      </c>
      <c r="X14" s="90">
        <f>[1]TRIBUTARIA!Q15</f>
        <v>0</v>
      </c>
      <c r="Y14" s="91">
        <v>0</v>
      </c>
      <c r="Z14" s="90">
        <f t="shared" si="3"/>
        <v>335.23260499999998</v>
      </c>
      <c r="AA14" s="91">
        <f t="shared" si="4"/>
        <v>2302.317395</v>
      </c>
      <c r="AB14" s="62"/>
      <c r="AC14" s="7">
        <v>6</v>
      </c>
    </row>
    <row r="15" spans="2:29" ht="27.75" customHeight="1" x14ac:dyDescent="0.2">
      <c r="B15" s="222">
        <v>4</v>
      </c>
      <c r="C15" s="63" t="s">
        <v>70</v>
      </c>
      <c r="D15" s="224" t="s">
        <v>71</v>
      </c>
      <c r="E15" s="63" t="s">
        <v>65</v>
      </c>
      <c r="F15" s="65">
        <v>23447</v>
      </c>
      <c r="G15" s="63" t="s">
        <v>7</v>
      </c>
      <c r="H15" s="56" t="s">
        <v>76</v>
      </c>
      <c r="I15" s="65">
        <v>42675</v>
      </c>
      <c r="J15" s="65"/>
      <c r="K15" s="59">
        <v>2023.37</v>
      </c>
      <c r="L15" s="56">
        <v>30</v>
      </c>
      <c r="M15" s="60">
        <v>8</v>
      </c>
      <c r="N15" s="88">
        <f t="shared" si="0"/>
        <v>2023.3700000000001</v>
      </c>
      <c r="O15" s="89">
        <v>0</v>
      </c>
      <c r="P15" s="216">
        <v>0</v>
      </c>
      <c r="Q15" s="89">
        <v>0</v>
      </c>
      <c r="R15" s="89">
        <v>0</v>
      </c>
      <c r="S15" s="89">
        <v>0</v>
      </c>
      <c r="T15" s="90">
        <v>0</v>
      </c>
      <c r="U15" s="91">
        <f t="shared" si="1"/>
        <v>2023.3700000000001</v>
      </c>
      <c r="V15" s="90">
        <f t="shared" si="2"/>
        <v>257.17032699999999</v>
      </c>
      <c r="W15" s="90">
        <v>0</v>
      </c>
      <c r="X15" s="90">
        <f>[1]TRIBUTARIA!Q16</f>
        <v>0</v>
      </c>
      <c r="Y15" s="91">
        <v>0</v>
      </c>
      <c r="Z15" s="90">
        <f t="shared" si="3"/>
        <v>257.17032699999999</v>
      </c>
      <c r="AA15" s="91">
        <f t="shared" si="4"/>
        <v>1766.1996730000001</v>
      </c>
      <c r="AB15" s="62"/>
      <c r="AC15" s="7">
        <v>7</v>
      </c>
    </row>
    <row r="16" spans="2:29" ht="27.75" customHeight="1" x14ac:dyDescent="0.2">
      <c r="B16" s="55">
        <v>5</v>
      </c>
      <c r="C16" s="56" t="s">
        <v>72</v>
      </c>
      <c r="D16" s="57" t="s">
        <v>73</v>
      </c>
      <c r="E16" s="56" t="s">
        <v>65</v>
      </c>
      <c r="F16" s="58">
        <v>24009</v>
      </c>
      <c r="G16" s="56" t="s">
        <v>4</v>
      </c>
      <c r="H16" s="56" t="s">
        <v>76</v>
      </c>
      <c r="I16" s="58">
        <v>42675</v>
      </c>
      <c r="J16" s="58"/>
      <c r="K16" s="61">
        <v>3784</v>
      </c>
      <c r="L16" s="56">
        <v>30</v>
      </c>
      <c r="M16" s="60">
        <v>8</v>
      </c>
      <c r="N16" s="88">
        <f t="shared" si="0"/>
        <v>3784</v>
      </c>
      <c r="O16" s="89">
        <v>0</v>
      </c>
      <c r="P16" s="216">
        <v>0</v>
      </c>
      <c r="Q16" s="89">
        <v>0</v>
      </c>
      <c r="R16" s="89">
        <v>0</v>
      </c>
      <c r="S16" s="89">
        <v>0</v>
      </c>
      <c r="T16" s="90">
        <v>0</v>
      </c>
      <c r="U16" s="91">
        <f t="shared" si="1"/>
        <v>3784</v>
      </c>
      <c r="V16" s="90">
        <f t="shared" si="2"/>
        <v>480.94639999999998</v>
      </c>
      <c r="W16" s="90">
        <v>0</v>
      </c>
      <c r="X16" s="90">
        <f>[1]TRIBUTARIA!Q17</f>
        <v>0</v>
      </c>
      <c r="Y16" s="91">
        <v>0</v>
      </c>
      <c r="Z16" s="90">
        <f t="shared" si="3"/>
        <v>480.94639999999998</v>
      </c>
      <c r="AA16" s="91">
        <f>+U16-Z16</f>
        <v>3303.0536000000002</v>
      </c>
      <c r="AB16" s="62"/>
      <c r="AC16" s="8">
        <v>8</v>
      </c>
    </row>
    <row r="17" spans="2:32" ht="22.5" customHeight="1" thickBot="1" x14ac:dyDescent="0.25">
      <c r="B17" s="222">
        <v>6</v>
      </c>
      <c r="C17" s="63" t="s">
        <v>142</v>
      </c>
      <c r="D17" s="224" t="s">
        <v>143</v>
      </c>
      <c r="E17" s="63" t="s">
        <v>65</v>
      </c>
      <c r="F17" s="65">
        <v>32743</v>
      </c>
      <c r="G17" s="63" t="s">
        <v>7</v>
      </c>
      <c r="H17" s="56" t="s">
        <v>144</v>
      </c>
      <c r="I17" s="65">
        <v>42856</v>
      </c>
      <c r="J17" s="65"/>
      <c r="K17" s="59">
        <v>2000</v>
      </c>
      <c r="L17" s="56">
        <v>30</v>
      </c>
      <c r="M17" s="60">
        <v>4</v>
      </c>
      <c r="N17" s="88">
        <f t="shared" si="0"/>
        <v>2000.0000000000002</v>
      </c>
      <c r="O17" s="89">
        <v>0</v>
      </c>
      <c r="P17" s="216">
        <v>0</v>
      </c>
      <c r="Q17" s="89">
        <v>0</v>
      </c>
      <c r="R17" s="89">
        <v>0</v>
      </c>
      <c r="S17" s="89">
        <v>0</v>
      </c>
      <c r="T17" s="90">
        <v>0</v>
      </c>
      <c r="U17" s="91">
        <f t="shared" si="1"/>
        <v>2000.0000000000002</v>
      </c>
      <c r="V17" s="90">
        <f>+U17*0.1271</f>
        <v>254.20000000000002</v>
      </c>
      <c r="W17" s="90">
        <v>0</v>
      </c>
      <c r="X17" s="90">
        <f>[1]TRIBUTARIA!Q19</f>
        <v>0</v>
      </c>
      <c r="Y17" s="91">
        <v>0</v>
      </c>
      <c r="Z17" s="90">
        <f t="shared" si="3"/>
        <v>254.20000000000002</v>
      </c>
      <c r="AA17" s="91">
        <f t="shared" si="4"/>
        <v>1745.8000000000002</v>
      </c>
      <c r="AB17" s="62"/>
      <c r="AC17" s="9">
        <v>9</v>
      </c>
      <c r="AE17" s="20"/>
      <c r="AF17" s="20"/>
    </row>
    <row r="18" spans="2:32" ht="22.5" hidden="1" customHeight="1" x14ac:dyDescent="0.2">
      <c r="B18" s="55">
        <v>9</v>
      </c>
      <c r="C18" s="63"/>
      <c r="D18" s="64"/>
      <c r="E18" s="63"/>
      <c r="F18" s="65"/>
      <c r="G18" s="63" t="s">
        <v>7</v>
      </c>
      <c r="H18" s="63"/>
      <c r="I18" s="65"/>
      <c r="J18" s="65"/>
      <c r="K18" s="59"/>
      <c r="L18" s="56">
        <v>30</v>
      </c>
      <c r="M18" s="60">
        <v>8</v>
      </c>
      <c r="N18" s="88">
        <f t="shared" ref="N18:N32" si="5">+K18/30*L18</f>
        <v>0</v>
      </c>
      <c r="O18" s="89">
        <v>0</v>
      </c>
      <c r="P18" s="90">
        <v>0</v>
      </c>
      <c r="Q18" s="89">
        <v>0</v>
      </c>
      <c r="R18" s="89">
        <v>0</v>
      </c>
      <c r="S18" s="89">
        <v>0</v>
      </c>
      <c r="T18" s="90">
        <v>0</v>
      </c>
      <c r="U18" s="90">
        <f t="shared" si="1"/>
        <v>0</v>
      </c>
      <c r="V18" s="90">
        <f t="shared" ref="V18:V32" si="6">+U18*0.1271</f>
        <v>0</v>
      </c>
      <c r="W18" s="90">
        <v>0</v>
      </c>
      <c r="X18" s="90">
        <v>0</v>
      </c>
      <c r="Y18" s="91">
        <v>0</v>
      </c>
      <c r="Z18" s="90">
        <f t="shared" si="3"/>
        <v>0</v>
      </c>
      <c r="AA18" s="90">
        <f t="shared" si="4"/>
        <v>0</v>
      </c>
      <c r="AB18" s="62"/>
      <c r="AC18" s="9">
        <v>10</v>
      </c>
    </row>
    <row r="19" spans="2:32" ht="22.5" hidden="1" customHeight="1" x14ac:dyDescent="0.2">
      <c r="B19" s="222">
        <v>10</v>
      </c>
      <c r="C19" s="63"/>
      <c r="D19" s="64"/>
      <c r="E19" s="63"/>
      <c r="F19" s="65"/>
      <c r="G19" s="63" t="s">
        <v>7</v>
      </c>
      <c r="H19" s="63"/>
      <c r="I19" s="65"/>
      <c r="J19" s="65"/>
      <c r="K19" s="59"/>
      <c r="L19" s="56">
        <v>30</v>
      </c>
      <c r="M19" s="60">
        <v>8</v>
      </c>
      <c r="N19" s="88">
        <f t="shared" si="5"/>
        <v>0</v>
      </c>
      <c r="O19" s="89">
        <v>0</v>
      </c>
      <c r="P19" s="90">
        <v>0</v>
      </c>
      <c r="Q19" s="89">
        <v>0</v>
      </c>
      <c r="R19" s="89">
        <v>0</v>
      </c>
      <c r="S19" s="89">
        <v>0</v>
      </c>
      <c r="T19" s="90">
        <v>0</v>
      </c>
      <c r="U19" s="90">
        <f t="shared" si="1"/>
        <v>0</v>
      </c>
      <c r="V19" s="90">
        <f t="shared" si="6"/>
        <v>0</v>
      </c>
      <c r="W19" s="90">
        <v>0</v>
      </c>
      <c r="X19" s="90">
        <v>0</v>
      </c>
      <c r="Y19" s="91">
        <v>0</v>
      </c>
      <c r="Z19" s="90">
        <f t="shared" si="3"/>
        <v>0</v>
      </c>
      <c r="AA19" s="90">
        <f t="shared" si="4"/>
        <v>0</v>
      </c>
      <c r="AB19" s="62"/>
      <c r="AC19" s="9">
        <v>11</v>
      </c>
    </row>
    <row r="20" spans="2:32" ht="22.5" hidden="1" customHeight="1" x14ac:dyDescent="0.2">
      <c r="B20" s="55">
        <v>11</v>
      </c>
      <c r="C20" s="63"/>
      <c r="D20" s="64"/>
      <c r="E20" s="63"/>
      <c r="F20" s="65"/>
      <c r="G20" s="63" t="s">
        <v>7</v>
      </c>
      <c r="H20" s="63"/>
      <c r="I20" s="65"/>
      <c r="J20" s="65"/>
      <c r="K20" s="59"/>
      <c r="L20" s="56">
        <v>30</v>
      </c>
      <c r="M20" s="66">
        <v>8</v>
      </c>
      <c r="N20" s="88">
        <f t="shared" si="5"/>
        <v>0</v>
      </c>
      <c r="O20" s="89">
        <v>0</v>
      </c>
      <c r="P20" s="90">
        <v>0</v>
      </c>
      <c r="Q20" s="89">
        <v>0</v>
      </c>
      <c r="R20" s="89">
        <v>0</v>
      </c>
      <c r="S20" s="89">
        <v>0</v>
      </c>
      <c r="T20" s="90">
        <v>0</v>
      </c>
      <c r="U20" s="90">
        <f t="shared" si="1"/>
        <v>0</v>
      </c>
      <c r="V20" s="90">
        <f t="shared" si="6"/>
        <v>0</v>
      </c>
      <c r="W20" s="91">
        <v>0</v>
      </c>
      <c r="X20" s="90">
        <v>0</v>
      </c>
      <c r="Y20" s="91">
        <v>0</v>
      </c>
      <c r="Z20" s="90">
        <f t="shared" si="3"/>
        <v>0</v>
      </c>
      <c r="AA20" s="90">
        <f t="shared" si="4"/>
        <v>0</v>
      </c>
      <c r="AB20" s="62"/>
      <c r="AC20" s="8">
        <v>12</v>
      </c>
    </row>
    <row r="21" spans="2:32" ht="22.5" hidden="1" customHeight="1" x14ac:dyDescent="0.2">
      <c r="B21" s="222">
        <v>12</v>
      </c>
      <c r="C21" s="63"/>
      <c r="D21" s="64"/>
      <c r="E21" s="63"/>
      <c r="F21" s="65"/>
      <c r="G21" s="63" t="s">
        <v>7</v>
      </c>
      <c r="H21" s="63"/>
      <c r="I21" s="65"/>
      <c r="J21" s="65"/>
      <c r="K21" s="59"/>
      <c r="L21" s="56">
        <v>30</v>
      </c>
      <c r="M21" s="60">
        <v>8</v>
      </c>
      <c r="N21" s="88">
        <f t="shared" si="5"/>
        <v>0</v>
      </c>
      <c r="O21" s="89">
        <v>0</v>
      </c>
      <c r="P21" s="90">
        <v>0</v>
      </c>
      <c r="Q21" s="89">
        <v>0</v>
      </c>
      <c r="R21" s="89">
        <v>0</v>
      </c>
      <c r="S21" s="89">
        <v>0</v>
      </c>
      <c r="T21" s="90">
        <v>0</v>
      </c>
      <c r="U21" s="90">
        <f t="shared" si="1"/>
        <v>0</v>
      </c>
      <c r="V21" s="90">
        <f t="shared" si="6"/>
        <v>0</v>
      </c>
      <c r="W21" s="91">
        <v>0</v>
      </c>
      <c r="X21" s="90">
        <v>0</v>
      </c>
      <c r="Y21" s="91">
        <v>0</v>
      </c>
      <c r="Z21" s="90">
        <f t="shared" si="3"/>
        <v>0</v>
      </c>
      <c r="AA21" s="90">
        <f t="shared" si="4"/>
        <v>0</v>
      </c>
      <c r="AB21" s="62"/>
      <c r="AC21" s="8">
        <v>13</v>
      </c>
    </row>
    <row r="22" spans="2:32" ht="22.5" hidden="1" customHeight="1" x14ac:dyDescent="0.2">
      <c r="B22" s="55">
        <v>13</v>
      </c>
      <c r="C22" s="63"/>
      <c r="D22" s="64"/>
      <c r="E22" s="63"/>
      <c r="F22" s="65"/>
      <c r="G22" s="63" t="s">
        <v>7</v>
      </c>
      <c r="H22" s="63"/>
      <c r="I22" s="65"/>
      <c r="J22" s="65"/>
      <c r="K22" s="59"/>
      <c r="L22" s="56">
        <v>30</v>
      </c>
      <c r="M22" s="66">
        <v>8</v>
      </c>
      <c r="N22" s="88">
        <f t="shared" si="5"/>
        <v>0</v>
      </c>
      <c r="O22" s="89">
        <v>0</v>
      </c>
      <c r="P22" s="90">
        <v>0</v>
      </c>
      <c r="Q22" s="89">
        <v>0</v>
      </c>
      <c r="R22" s="89">
        <v>0</v>
      </c>
      <c r="S22" s="89">
        <v>0</v>
      </c>
      <c r="T22" s="90">
        <v>0</v>
      </c>
      <c r="U22" s="90">
        <f t="shared" si="1"/>
        <v>0</v>
      </c>
      <c r="V22" s="90">
        <f t="shared" si="6"/>
        <v>0</v>
      </c>
      <c r="W22" s="91">
        <v>0</v>
      </c>
      <c r="X22" s="90">
        <v>0</v>
      </c>
      <c r="Y22" s="91">
        <v>0</v>
      </c>
      <c r="Z22" s="90">
        <f t="shared" si="3"/>
        <v>0</v>
      </c>
      <c r="AA22" s="90">
        <f t="shared" si="4"/>
        <v>0</v>
      </c>
      <c r="AB22" s="62"/>
      <c r="AC22" s="8">
        <v>14</v>
      </c>
    </row>
    <row r="23" spans="2:32" ht="22.5" hidden="1" customHeight="1" x14ac:dyDescent="0.2">
      <c r="B23" s="222">
        <v>14</v>
      </c>
      <c r="C23" s="63"/>
      <c r="D23" s="64"/>
      <c r="E23" s="63"/>
      <c r="F23" s="65"/>
      <c r="G23" s="63" t="s">
        <v>7</v>
      </c>
      <c r="H23" s="63"/>
      <c r="I23" s="65"/>
      <c r="J23" s="65"/>
      <c r="K23" s="59"/>
      <c r="L23" s="56">
        <v>30</v>
      </c>
      <c r="M23" s="60">
        <v>8</v>
      </c>
      <c r="N23" s="88">
        <f t="shared" si="5"/>
        <v>0</v>
      </c>
      <c r="O23" s="89">
        <v>0</v>
      </c>
      <c r="P23" s="90">
        <v>0</v>
      </c>
      <c r="Q23" s="89">
        <v>0</v>
      </c>
      <c r="R23" s="89">
        <v>0</v>
      </c>
      <c r="S23" s="89">
        <v>0</v>
      </c>
      <c r="T23" s="90">
        <v>0</v>
      </c>
      <c r="U23" s="90">
        <f t="shared" si="1"/>
        <v>0</v>
      </c>
      <c r="V23" s="90">
        <f t="shared" si="6"/>
        <v>0</v>
      </c>
      <c r="W23" s="91">
        <v>0</v>
      </c>
      <c r="X23" s="90">
        <v>0</v>
      </c>
      <c r="Y23" s="91">
        <v>0</v>
      </c>
      <c r="Z23" s="90">
        <f t="shared" si="3"/>
        <v>0</v>
      </c>
      <c r="AA23" s="90">
        <f t="shared" si="4"/>
        <v>0</v>
      </c>
      <c r="AB23" s="62"/>
      <c r="AC23" s="8">
        <v>15</v>
      </c>
    </row>
    <row r="24" spans="2:32" ht="22.5" hidden="1" customHeight="1" x14ac:dyDescent="0.2">
      <c r="B24" s="55">
        <v>15</v>
      </c>
      <c r="C24" s="63"/>
      <c r="D24" s="64"/>
      <c r="E24" s="63"/>
      <c r="F24" s="65"/>
      <c r="G24" s="63" t="s">
        <v>4</v>
      </c>
      <c r="H24" s="63"/>
      <c r="I24" s="65"/>
      <c r="J24" s="65"/>
      <c r="K24" s="59"/>
      <c r="L24" s="56">
        <v>30</v>
      </c>
      <c r="M24" s="66">
        <v>8</v>
      </c>
      <c r="N24" s="88">
        <f t="shared" si="5"/>
        <v>0</v>
      </c>
      <c r="O24" s="89">
        <v>0</v>
      </c>
      <c r="P24" s="90">
        <v>0</v>
      </c>
      <c r="Q24" s="89">
        <v>0</v>
      </c>
      <c r="R24" s="89">
        <v>0</v>
      </c>
      <c r="S24" s="89">
        <v>0</v>
      </c>
      <c r="T24" s="90">
        <v>0</v>
      </c>
      <c r="U24" s="90">
        <f t="shared" si="1"/>
        <v>0</v>
      </c>
      <c r="V24" s="90">
        <f t="shared" si="6"/>
        <v>0</v>
      </c>
      <c r="W24" s="91">
        <v>0</v>
      </c>
      <c r="X24" s="90">
        <v>0</v>
      </c>
      <c r="Y24" s="91">
        <v>0</v>
      </c>
      <c r="Z24" s="90">
        <f t="shared" si="3"/>
        <v>0</v>
      </c>
      <c r="AA24" s="90">
        <f t="shared" si="4"/>
        <v>0</v>
      </c>
      <c r="AB24" s="62"/>
      <c r="AC24" s="8">
        <v>16</v>
      </c>
    </row>
    <row r="25" spans="2:32" ht="22.5" hidden="1" customHeight="1" x14ac:dyDescent="0.2">
      <c r="B25" s="222">
        <v>16</v>
      </c>
      <c r="C25" s="63"/>
      <c r="D25" s="64"/>
      <c r="E25" s="63"/>
      <c r="F25" s="65"/>
      <c r="G25" s="63" t="s">
        <v>7</v>
      </c>
      <c r="H25" s="63"/>
      <c r="I25" s="65"/>
      <c r="J25" s="65"/>
      <c r="K25" s="59"/>
      <c r="L25" s="56">
        <v>30</v>
      </c>
      <c r="M25" s="66">
        <v>8</v>
      </c>
      <c r="N25" s="88">
        <f t="shared" si="5"/>
        <v>0</v>
      </c>
      <c r="O25" s="89">
        <v>0</v>
      </c>
      <c r="P25" s="90">
        <v>0</v>
      </c>
      <c r="Q25" s="89">
        <v>0</v>
      </c>
      <c r="R25" s="89">
        <v>0</v>
      </c>
      <c r="S25" s="89">
        <v>0</v>
      </c>
      <c r="T25" s="90">
        <v>0</v>
      </c>
      <c r="U25" s="90">
        <f t="shared" si="1"/>
        <v>0</v>
      </c>
      <c r="V25" s="90">
        <f t="shared" si="6"/>
        <v>0</v>
      </c>
      <c r="W25" s="91">
        <v>0</v>
      </c>
      <c r="X25" s="90">
        <v>0</v>
      </c>
      <c r="Y25" s="91">
        <v>0</v>
      </c>
      <c r="Z25" s="90">
        <f t="shared" si="3"/>
        <v>0</v>
      </c>
      <c r="AA25" s="90">
        <f t="shared" si="4"/>
        <v>0</v>
      </c>
      <c r="AB25" s="62"/>
      <c r="AC25" s="8">
        <v>17</v>
      </c>
    </row>
    <row r="26" spans="2:32" ht="22.5" hidden="1" customHeight="1" x14ac:dyDescent="0.2">
      <c r="B26" s="55">
        <v>17</v>
      </c>
      <c r="C26" s="63"/>
      <c r="D26" s="64"/>
      <c r="E26" s="63"/>
      <c r="F26" s="65"/>
      <c r="G26" s="63" t="s">
        <v>4</v>
      </c>
      <c r="H26" s="63"/>
      <c r="I26" s="65"/>
      <c r="J26" s="65"/>
      <c r="K26" s="59"/>
      <c r="L26" s="56">
        <v>30</v>
      </c>
      <c r="M26" s="66">
        <v>8</v>
      </c>
      <c r="N26" s="88">
        <f t="shared" si="5"/>
        <v>0</v>
      </c>
      <c r="O26" s="89">
        <v>0</v>
      </c>
      <c r="P26" s="90">
        <v>0</v>
      </c>
      <c r="Q26" s="89">
        <v>0</v>
      </c>
      <c r="R26" s="89">
        <v>0</v>
      </c>
      <c r="S26" s="89">
        <v>0</v>
      </c>
      <c r="T26" s="90">
        <v>0</v>
      </c>
      <c r="U26" s="90">
        <f t="shared" si="1"/>
        <v>0</v>
      </c>
      <c r="V26" s="90">
        <f t="shared" si="6"/>
        <v>0</v>
      </c>
      <c r="W26" s="91">
        <v>0</v>
      </c>
      <c r="X26" s="90">
        <v>0</v>
      </c>
      <c r="Y26" s="91">
        <v>0</v>
      </c>
      <c r="Z26" s="90">
        <f t="shared" si="3"/>
        <v>0</v>
      </c>
      <c r="AA26" s="90">
        <f t="shared" si="4"/>
        <v>0</v>
      </c>
      <c r="AB26" s="62"/>
      <c r="AC26" s="8">
        <v>18</v>
      </c>
    </row>
    <row r="27" spans="2:32" ht="22.5" hidden="1" customHeight="1" x14ac:dyDescent="0.2">
      <c r="B27" s="222">
        <v>18</v>
      </c>
      <c r="C27" s="63"/>
      <c r="D27" s="64"/>
      <c r="E27" s="63"/>
      <c r="F27" s="65"/>
      <c r="G27" s="63" t="s">
        <v>7</v>
      </c>
      <c r="H27" s="63"/>
      <c r="I27" s="65"/>
      <c r="J27" s="65"/>
      <c r="K27" s="59"/>
      <c r="L27" s="56">
        <v>25</v>
      </c>
      <c r="M27" s="66">
        <v>8</v>
      </c>
      <c r="N27" s="88">
        <f t="shared" si="5"/>
        <v>0</v>
      </c>
      <c r="O27" s="89">
        <v>0</v>
      </c>
      <c r="P27" s="90">
        <v>0</v>
      </c>
      <c r="Q27" s="89">
        <v>0</v>
      </c>
      <c r="R27" s="89">
        <v>0</v>
      </c>
      <c r="S27" s="89">
        <v>0</v>
      </c>
      <c r="T27" s="90">
        <v>0</v>
      </c>
      <c r="U27" s="90">
        <f t="shared" si="1"/>
        <v>0</v>
      </c>
      <c r="V27" s="90">
        <f t="shared" si="6"/>
        <v>0</v>
      </c>
      <c r="W27" s="91">
        <v>0</v>
      </c>
      <c r="X27" s="90">
        <v>0</v>
      </c>
      <c r="Y27" s="91">
        <v>0</v>
      </c>
      <c r="Z27" s="90">
        <f t="shared" si="3"/>
        <v>0</v>
      </c>
      <c r="AA27" s="90">
        <f t="shared" si="4"/>
        <v>0</v>
      </c>
      <c r="AB27" s="62"/>
      <c r="AC27" s="8">
        <v>19</v>
      </c>
    </row>
    <row r="28" spans="2:32" ht="22.5" hidden="1" customHeight="1" x14ac:dyDescent="0.2">
      <c r="B28" s="55">
        <v>19</v>
      </c>
      <c r="C28" s="63"/>
      <c r="D28" s="64"/>
      <c r="E28" s="63"/>
      <c r="F28" s="65"/>
      <c r="G28" s="63" t="s">
        <v>4</v>
      </c>
      <c r="H28" s="63"/>
      <c r="I28" s="65"/>
      <c r="J28" s="65"/>
      <c r="K28" s="59"/>
      <c r="L28" s="56">
        <v>30</v>
      </c>
      <c r="M28" s="66">
        <v>8</v>
      </c>
      <c r="N28" s="88">
        <f t="shared" si="5"/>
        <v>0</v>
      </c>
      <c r="O28" s="89">
        <v>0</v>
      </c>
      <c r="P28" s="90">
        <v>0</v>
      </c>
      <c r="Q28" s="89">
        <v>0</v>
      </c>
      <c r="R28" s="89">
        <v>0</v>
      </c>
      <c r="S28" s="89">
        <v>0</v>
      </c>
      <c r="T28" s="90">
        <v>0</v>
      </c>
      <c r="U28" s="90">
        <f t="shared" si="1"/>
        <v>0</v>
      </c>
      <c r="V28" s="90">
        <f t="shared" si="6"/>
        <v>0</v>
      </c>
      <c r="W28" s="91">
        <v>0</v>
      </c>
      <c r="X28" s="90">
        <v>0</v>
      </c>
      <c r="Y28" s="91">
        <v>0</v>
      </c>
      <c r="Z28" s="90">
        <f t="shared" si="3"/>
        <v>0</v>
      </c>
      <c r="AA28" s="90">
        <f t="shared" si="4"/>
        <v>0</v>
      </c>
      <c r="AB28" s="62"/>
      <c r="AC28" s="8">
        <v>20</v>
      </c>
    </row>
    <row r="29" spans="2:32" ht="22.5" hidden="1" customHeight="1" x14ac:dyDescent="0.2">
      <c r="B29" s="222">
        <v>20</v>
      </c>
      <c r="C29" s="56"/>
      <c r="D29" s="64"/>
      <c r="E29" s="63"/>
      <c r="F29" s="65"/>
      <c r="G29" s="63" t="s">
        <v>7</v>
      </c>
      <c r="H29" s="63"/>
      <c r="I29" s="65"/>
      <c r="J29" s="65"/>
      <c r="K29" s="59"/>
      <c r="L29" s="56">
        <v>18</v>
      </c>
      <c r="M29" s="66">
        <v>8</v>
      </c>
      <c r="N29" s="88">
        <f t="shared" si="5"/>
        <v>0</v>
      </c>
      <c r="O29" s="89">
        <v>0</v>
      </c>
      <c r="P29" s="90">
        <v>0</v>
      </c>
      <c r="Q29" s="89">
        <v>0</v>
      </c>
      <c r="R29" s="89">
        <v>0</v>
      </c>
      <c r="S29" s="89">
        <v>0</v>
      </c>
      <c r="T29" s="90">
        <v>0</v>
      </c>
      <c r="U29" s="90">
        <f t="shared" si="1"/>
        <v>0</v>
      </c>
      <c r="V29" s="90">
        <f t="shared" si="6"/>
        <v>0</v>
      </c>
      <c r="W29" s="91">
        <v>0</v>
      </c>
      <c r="X29" s="90">
        <v>0</v>
      </c>
      <c r="Y29" s="91">
        <v>0</v>
      </c>
      <c r="Z29" s="90">
        <f t="shared" si="3"/>
        <v>0</v>
      </c>
      <c r="AA29" s="90">
        <f t="shared" si="4"/>
        <v>0</v>
      </c>
      <c r="AB29" s="62"/>
      <c r="AC29" s="8">
        <v>21</v>
      </c>
    </row>
    <row r="30" spans="2:32" ht="22.5" hidden="1" customHeight="1" x14ac:dyDescent="0.2">
      <c r="B30" s="55">
        <v>21</v>
      </c>
      <c r="C30" s="63"/>
      <c r="D30" s="64"/>
      <c r="E30" s="63"/>
      <c r="F30" s="65"/>
      <c r="G30" s="63" t="s">
        <v>7</v>
      </c>
      <c r="H30" s="63"/>
      <c r="I30" s="65"/>
      <c r="J30" s="65"/>
      <c r="K30" s="59"/>
      <c r="L30" s="56">
        <v>18</v>
      </c>
      <c r="M30" s="66">
        <v>8</v>
      </c>
      <c r="N30" s="88">
        <f t="shared" si="5"/>
        <v>0</v>
      </c>
      <c r="O30" s="89">
        <v>0</v>
      </c>
      <c r="P30" s="90">
        <v>0</v>
      </c>
      <c r="Q30" s="89">
        <v>0</v>
      </c>
      <c r="R30" s="89">
        <v>0</v>
      </c>
      <c r="S30" s="89">
        <v>0</v>
      </c>
      <c r="T30" s="90">
        <v>0</v>
      </c>
      <c r="U30" s="90">
        <f t="shared" si="1"/>
        <v>0</v>
      </c>
      <c r="V30" s="90">
        <f t="shared" si="6"/>
        <v>0</v>
      </c>
      <c r="W30" s="91">
        <v>0</v>
      </c>
      <c r="X30" s="90">
        <v>0</v>
      </c>
      <c r="Y30" s="91">
        <v>0</v>
      </c>
      <c r="Z30" s="90">
        <f t="shared" si="3"/>
        <v>0</v>
      </c>
      <c r="AA30" s="90">
        <f t="shared" si="4"/>
        <v>0</v>
      </c>
      <c r="AB30" s="62"/>
      <c r="AC30" s="8">
        <v>22</v>
      </c>
    </row>
    <row r="31" spans="2:32" ht="22.5" hidden="1" customHeight="1" x14ac:dyDescent="0.2">
      <c r="B31" s="222">
        <v>22</v>
      </c>
      <c r="C31" s="63"/>
      <c r="D31" s="64"/>
      <c r="E31" s="63"/>
      <c r="F31" s="65"/>
      <c r="G31" s="63" t="s">
        <v>7</v>
      </c>
      <c r="H31" s="63"/>
      <c r="I31" s="65"/>
      <c r="J31" s="65"/>
      <c r="K31" s="59"/>
      <c r="L31" s="56">
        <v>15.5</v>
      </c>
      <c r="M31" s="66">
        <v>8</v>
      </c>
      <c r="N31" s="88">
        <f t="shared" si="5"/>
        <v>0</v>
      </c>
      <c r="O31" s="89">
        <v>0</v>
      </c>
      <c r="P31" s="90">
        <v>0</v>
      </c>
      <c r="Q31" s="89">
        <v>0</v>
      </c>
      <c r="R31" s="89">
        <v>0</v>
      </c>
      <c r="S31" s="89">
        <v>0</v>
      </c>
      <c r="T31" s="90">
        <v>0</v>
      </c>
      <c r="U31" s="90">
        <f t="shared" si="1"/>
        <v>0</v>
      </c>
      <c r="V31" s="90">
        <f t="shared" si="6"/>
        <v>0</v>
      </c>
      <c r="W31" s="91">
        <v>0</v>
      </c>
      <c r="X31" s="90">
        <v>0</v>
      </c>
      <c r="Y31" s="91">
        <v>0</v>
      </c>
      <c r="Z31" s="90">
        <f t="shared" si="3"/>
        <v>0</v>
      </c>
      <c r="AA31" s="90">
        <f t="shared" si="4"/>
        <v>0</v>
      </c>
      <c r="AB31" s="62"/>
      <c r="AC31" s="8">
        <v>23</v>
      </c>
    </row>
    <row r="32" spans="2:32" ht="22.5" hidden="1" customHeight="1" x14ac:dyDescent="0.2">
      <c r="B32" s="55">
        <v>23</v>
      </c>
      <c r="C32" s="67"/>
      <c r="D32" s="68"/>
      <c r="E32" s="67"/>
      <c r="F32" s="69"/>
      <c r="G32" s="67" t="s">
        <v>7</v>
      </c>
      <c r="H32" s="67"/>
      <c r="I32" s="70"/>
      <c r="J32" s="70"/>
      <c r="K32" s="71"/>
      <c r="L32" s="72">
        <v>18</v>
      </c>
      <c r="M32" s="73">
        <v>8</v>
      </c>
      <c r="N32" s="92">
        <f t="shared" si="5"/>
        <v>0</v>
      </c>
      <c r="O32" s="93">
        <v>0</v>
      </c>
      <c r="P32" s="94">
        <v>0</v>
      </c>
      <c r="Q32" s="93">
        <v>0</v>
      </c>
      <c r="R32" s="93">
        <v>0</v>
      </c>
      <c r="S32" s="93">
        <v>0</v>
      </c>
      <c r="T32" s="94">
        <v>0</v>
      </c>
      <c r="U32" s="94">
        <f t="shared" si="1"/>
        <v>0</v>
      </c>
      <c r="V32" s="94">
        <f t="shared" si="6"/>
        <v>0</v>
      </c>
      <c r="W32" s="95">
        <v>0</v>
      </c>
      <c r="X32" s="94">
        <v>0</v>
      </c>
      <c r="Y32" s="95">
        <v>0</v>
      </c>
      <c r="Z32" s="94">
        <f t="shared" si="3"/>
        <v>0</v>
      </c>
      <c r="AA32" s="94">
        <f t="shared" si="4"/>
        <v>0</v>
      </c>
      <c r="AB32" s="74"/>
      <c r="AC32" s="8">
        <v>24</v>
      </c>
    </row>
    <row r="33" spans="1:29" ht="50.1" hidden="1" customHeight="1" thickBot="1" x14ac:dyDescent="0.25">
      <c r="B33" s="222">
        <v>24</v>
      </c>
      <c r="C33" s="75" t="s">
        <v>47</v>
      </c>
      <c r="D33" s="76" t="s">
        <v>48</v>
      </c>
      <c r="E33" s="77" t="s">
        <v>3</v>
      </c>
      <c r="F33" s="78">
        <v>29969</v>
      </c>
      <c r="G33" s="77" t="s">
        <v>7</v>
      </c>
      <c r="H33" s="77" t="s">
        <v>51</v>
      </c>
      <c r="I33" s="79">
        <v>40422</v>
      </c>
      <c r="J33" s="228"/>
      <c r="K33" s="80">
        <v>0</v>
      </c>
      <c r="L33" s="81">
        <v>30</v>
      </c>
      <c r="M33" s="82">
        <v>8</v>
      </c>
      <c r="N33" s="96">
        <f>+K33/30*L33</f>
        <v>0</v>
      </c>
      <c r="O33" s="97">
        <v>0</v>
      </c>
      <c r="P33" s="98"/>
      <c r="Q33" s="99">
        <v>0</v>
      </c>
      <c r="R33" s="99">
        <v>0</v>
      </c>
      <c r="S33" s="99">
        <v>0</v>
      </c>
      <c r="T33" s="100">
        <v>0</v>
      </c>
      <c r="U33" s="101">
        <f>+N33+O33+Q33+R33+S33+T33</f>
        <v>0</v>
      </c>
      <c r="V33" s="102">
        <f>+U33*0.1271</f>
        <v>0</v>
      </c>
      <c r="W33" s="102"/>
      <c r="X33" s="103">
        <v>0</v>
      </c>
      <c r="Y33" s="104">
        <v>0</v>
      </c>
      <c r="Z33" s="101">
        <f>+V33+X33+Y33</f>
        <v>0</v>
      </c>
      <c r="AA33" s="101">
        <f>+U33-Z33</f>
        <v>0</v>
      </c>
      <c r="AB33" s="83"/>
      <c r="AC33" s="8">
        <v>12</v>
      </c>
    </row>
    <row r="34" spans="1:29" ht="50.1" hidden="1" customHeight="1" x14ac:dyDescent="0.2">
      <c r="B34" s="84"/>
      <c r="C34" s="75"/>
      <c r="D34" s="76"/>
      <c r="E34" s="77"/>
      <c r="F34" s="78"/>
      <c r="G34" s="77"/>
      <c r="H34" s="77"/>
      <c r="I34" s="85"/>
      <c r="J34" s="229"/>
      <c r="K34" s="86"/>
      <c r="L34" s="81"/>
      <c r="M34" s="87"/>
      <c r="N34" s="96">
        <f>+K34/30*L34</f>
        <v>0</v>
      </c>
      <c r="O34" s="97"/>
      <c r="P34" s="98"/>
      <c r="Q34" s="99"/>
      <c r="R34" s="99">
        <v>0</v>
      </c>
      <c r="S34" s="99">
        <v>0</v>
      </c>
      <c r="T34" s="100"/>
      <c r="U34" s="101">
        <f>+N34+O34+Q34+R34+S34+T34</f>
        <v>0</v>
      </c>
      <c r="V34" s="102"/>
      <c r="W34" s="102"/>
      <c r="X34" s="103"/>
      <c r="Y34" s="104"/>
      <c r="Z34" s="101">
        <f>+V34+X34+Y34</f>
        <v>0</v>
      </c>
      <c r="AA34" s="101">
        <f>+U34-Z34</f>
        <v>0</v>
      </c>
      <c r="AB34" s="83"/>
      <c r="AC34" s="8"/>
    </row>
    <row r="35" spans="1:29" ht="50.1" hidden="1" customHeight="1" x14ac:dyDescent="0.2">
      <c r="B35" s="84"/>
      <c r="C35" s="75"/>
      <c r="D35" s="76"/>
      <c r="E35" s="77"/>
      <c r="F35" s="78"/>
      <c r="G35" s="77"/>
      <c r="H35" s="77"/>
      <c r="I35" s="85"/>
      <c r="J35" s="229"/>
      <c r="K35" s="86"/>
      <c r="L35" s="81"/>
      <c r="M35" s="87"/>
      <c r="N35" s="96">
        <f>+K35/30*L35</f>
        <v>0</v>
      </c>
      <c r="O35" s="97"/>
      <c r="P35" s="98"/>
      <c r="Q35" s="99"/>
      <c r="R35" s="99">
        <v>0</v>
      </c>
      <c r="S35" s="99">
        <v>0</v>
      </c>
      <c r="T35" s="100"/>
      <c r="U35" s="101">
        <f>+N35+O35+Q35+R35+S35+T35</f>
        <v>0</v>
      </c>
      <c r="V35" s="102"/>
      <c r="W35" s="102"/>
      <c r="X35" s="103"/>
      <c r="Y35" s="104"/>
      <c r="Z35" s="101">
        <f>+V35+X35+Y35</f>
        <v>0</v>
      </c>
      <c r="AA35" s="101">
        <f>+U35-Z35</f>
        <v>0</v>
      </c>
      <c r="AB35" s="83"/>
      <c r="AC35" s="8"/>
    </row>
    <row r="36" spans="1:29" ht="50.1" hidden="1" customHeight="1" thickBot="1" x14ac:dyDescent="0.25">
      <c r="B36" s="107"/>
      <c r="C36" s="108"/>
      <c r="D36" s="109"/>
      <c r="E36" s="110"/>
      <c r="F36" s="111"/>
      <c r="G36" s="110"/>
      <c r="H36" s="110"/>
      <c r="I36" s="112"/>
      <c r="J36" s="228"/>
      <c r="K36" s="113"/>
      <c r="L36" s="114"/>
      <c r="M36" s="115"/>
      <c r="N36" s="116">
        <f>+K36/30*L36</f>
        <v>0</v>
      </c>
      <c r="O36" s="117"/>
      <c r="P36" s="98"/>
      <c r="Q36" s="118"/>
      <c r="R36" s="118">
        <v>0</v>
      </c>
      <c r="S36" s="118">
        <v>0</v>
      </c>
      <c r="T36" s="119"/>
      <c r="U36" s="120">
        <f>+N36+O36+Q36+R36+S36+T36</f>
        <v>0</v>
      </c>
      <c r="V36" s="121"/>
      <c r="W36" s="121"/>
      <c r="X36" s="98"/>
      <c r="Y36" s="122"/>
      <c r="Z36" s="120">
        <f>+V36+X36+Y36</f>
        <v>0</v>
      </c>
      <c r="AA36" s="120">
        <f>+U36-Z36</f>
        <v>0</v>
      </c>
      <c r="AB36" s="123"/>
      <c r="AC36" s="8"/>
    </row>
    <row r="37" spans="1:29" s="221" customFormat="1" ht="22.5" customHeight="1" thickBot="1" x14ac:dyDescent="0.2">
      <c r="A37" s="10"/>
      <c r="B37" s="232" t="s">
        <v>77</v>
      </c>
      <c r="C37" s="233"/>
      <c r="D37" s="233"/>
      <c r="E37" s="233"/>
      <c r="F37" s="233"/>
      <c r="G37" s="233"/>
      <c r="H37" s="233"/>
      <c r="I37" s="233"/>
      <c r="J37" s="226"/>
      <c r="K37" s="125">
        <f>SUM(K12:K36)</f>
        <v>21327.919999999998</v>
      </c>
      <c r="L37" s="126"/>
      <c r="M37" s="127"/>
      <c r="N37" s="128">
        <f>SUM(N12:N32)</f>
        <v>21327.919999999998</v>
      </c>
      <c r="O37" s="129">
        <f>SUM(O12:O36)</f>
        <v>0</v>
      </c>
      <c r="P37" s="130"/>
      <c r="Q37" s="131">
        <f>SUM(Q12:Q36)</f>
        <v>0</v>
      </c>
      <c r="R37" s="132">
        <f>SUM(R12:R36)</f>
        <v>0</v>
      </c>
      <c r="S37" s="132">
        <f>SUM(S12:S36)</f>
        <v>0</v>
      </c>
      <c r="T37" s="133">
        <f>SUM(T12:T36)</f>
        <v>0</v>
      </c>
      <c r="U37" s="134">
        <f>SUM(U12:U36)</f>
        <v>21327.919999999998</v>
      </c>
      <c r="V37" s="129">
        <f>SUM(V12:V32)</f>
        <v>2710.7786319999996</v>
      </c>
      <c r="W37" s="129">
        <f>SUM(W12:W32)</f>
        <v>0</v>
      </c>
      <c r="X37" s="132">
        <f>SUM(X12:X17)</f>
        <v>0</v>
      </c>
      <c r="Y37" s="135">
        <f>SUM(Y12:Y36)</f>
        <v>0</v>
      </c>
      <c r="Z37" s="136">
        <f>SUM(Z12:Z36)</f>
        <v>2710.7786319999996</v>
      </c>
      <c r="AA37" s="136">
        <f>SUM(AA12:AA36)</f>
        <v>18617.141368000001</v>
      </c>
      <c r="AB37" s="124"/>
      <c r="AC37" s="11"/>
    </row>
    <row r="38" spans="1:29" x14ac:dyDescent="0.2">
      <c r="B38" s="12"/>
      <c r="C38" s="12"/>
      <c r="D38" s="12"/>
      <c r="E38" s="13"/>
      <c r="F38" s="13"/>
      <c r="G38" s="13"/>
      <c r="H38" s="12"/>
      <c r="I38" s="13"/>
      <c r="J38" s="227"/>
      <c r="K38" s="14"/>
      <c r="L38" s="12"/>
      <c r="M38" s="12"/>
      <c r="N38" s="12"/>
      <c r="O38" s="12"/>
      <c r="P38" s="12"/>
      <c r="Q38" s="12"/>
      <c r="R38" s="12"/>
      <c r="S38" s="12"/>
      <c r="U38" s="12"/>
    </row>
    <row r="39" spans="1:29" x14ac:dyDescent="0.2">
      <c r="B39" s="12"/>
      <c r="C39" s="12"/>
      <c r="D39" s="12"/>
      <c r="E39" s="13"/>
      <c r="F39" s="13"/>
      <c r="G39" s="13"/>
      <c r="H39" s="12"/>
      <c r="I39" s="13"/>
      <c r="J39" s="227"/>
      <c r="K39" s="14"/>
      <c r="L39" s="14"/>
      <c r="M39" s="14"/>
      <c r="N39" s="14"/>
      <c r="O39" s="12"/>
      <c r="P39" s="12"/>
      <c r="Q39" s="12"/>
      <c r="R39" s="12"/>
      <c r="S39" s="12"/>
      <c r="U39" s="14"/>
      <c r="V39" s="217"/>
      <c r="W39"/>
      <c r="AA39" s="14"/>
    </row>
    <row r="40" spans="1:29" x14ac:dyDescent="0.2">
      <c r="B40" s="12"/>
      <c r="C40" s="12"/>
      <c r="D40" s="12"/>
      <c r="E40" s="13"/>
      <c r="F40" s="13"/>
      <c r="G40" s="13"/>
      <c r="H40" s="12"/>
      <c r="I40" s="13"/>
      <c r="J40" s="227"/>
      <c r="K40" s="14"/>
      <c r="L40" s="14"/>
      <c r="M40" s="14"/>
      <c r="N40" s="14"/>
      <c r="O40" s="12"/>
      <c r="P40" s="12"/>
      <c r="Q40" s="12"/>
      <c r="R40" s="12"/>
      <c r="S40" s="12"/>
      <c r="U40" s="14"/>
      <c r="V40" s="217"/>
      <c r="W40" s="217"/>
      <c r="X40" s="217"/>
      <c r="AA40" s="14"/>
    </row>
    <row r="41" spans="1:29" hidden="1" x14ac:dyDescent="0.2">
      <c r="B41" s="12"/>
      <c r="C41" s="12"/>
      <c r="D41" s="12"/>
      <c r="E41" s="13"/>
      <c r="F41" s="13"/>
      <c r="G41" s="13"/>
      <c r="H41" s="12"/>
      <c r="I41" s="13"/>
      <c r="J41" s="227"/>
      <c r="K41" s="14"/>
      <c r="L41" s="14"/>
      <c r="M41" s="14"/>
      <c r="N41" s="14"/>
      <c r="O41" s="12"/>
      <c r="P41" s="12"/>
      <c r="Q41" s="12"/>
      <c r="R41" s="12"/>
      <c r="S41" s="12"/>
      <c r="U41" s="14"/>
      <c r="V41" s="217"/>
      <c r="W41" s="217"/>
      <c r="AA41" s="14"/>
    </row>
    <row r="42" spans="1:29" hidden="1" x14ac:dyDescent="0.2">
      <c r="B42" s="12"/>
      <c r="C42" s="12"/>
      <c r="D42" s="12"/>
      <c r="E42" s="13"/>
      <c r="F42" s="13"/>
      <c r="G42" s="13"/>
      <c r="H42" s="12"/>
      <c r="I42" s="13"/>
      <c r="J42" s="227"/>
      <c r="K42" s="14"/>
      <c r="L42" s="14"/>
      <c r="M42" s="14"/>
      <c r="N42" s="14"/>
      <c r="O42" s="12"/>
      <c r="P42" s="12"/>
      <c r="Q42" s="12"/>
      <c r="R42" s="12"/>
      <c r="S42" s="12"/>
      <c r="U42" s="12"/>
      <c r="V42" s="218"/>
      <c r="W42" s="217"/>
      <c r="AA42" s="14"/>
    </row>
    <row r="43" spans="1:29" hidden="1" x14ac:dyDescent="0.2">
      <c r="B43" s="12"/>
      <c r="C43" s="12"/>
      <c r="D43" s="12"/>
      <c r="E43" s="13"/>
      <c r="F43" s="13"/>
      <c r="G43" s="13"/>
      <c r="H43" s="12"/>
      <c r="I43" s="13"/>
      <c r="J43" s="227"/>
      <c r="K43" s="14"/>
      <c r="L43" s="14"/>
      <c r="M43" s="14"/>
      <c r="N43" s="14"/>
      <c r="O43" s="12"/>
      <c r="P43" s="12"/>
      <c r="Q43" s="12"/>
      <c r="R43" s="12"/>
      <c r="S43" s="12"/>
      <c r="U43" s="12"/>
      <c r="V43" s="219"/>
      <c r="AA43" s="14"/>
    </row>
    <row r="44" spans="1:29" hidden="1" x14ac:dyDescent="0.2">
      <c r="B44" s="12"/>
      <c r="C44" s="12"/>
      <c r="D44" s="12"/>
      <c r="E44" s="13"/>
      <c r="F44" s="13"/>
      <c r="G44" s="13"/>
      <c r="H44" s="12"/>
      <c r="I44" s="13"/>
      <c r="J44" s="227"/>
      <c r="K44" s="12"/>
      <c r="L44" s="12"/>
      <c r="M44" s="12"/>
      <c r="N44" s="12"/>
      <c r="O44" s="12"/>
      <c r="P44" s="12"/>
      <c r="Q44" s="12"/>
      <c r="R44" s="12"/>
      <c r="S44" s="12"/>
    </row>
    <row r="45" spans="1:29" x14ac:dyDescent="0.2">
      <c r="B45" s="12"/>
      <c r="C45" s="12"/>
      <c r="D45" s="12"/>
      <c r="E45" s="13"/>
      <c r="F45" s="13"/>
      <c r="G45" s="13"/>
      <c r="H45" s="12"/>
      <c r="I45" s="13"/>
      <c r="J45" s="227"/>
      <c r="K45" s="14"/>
      <c r="L45" s="12"/>
      <c r="M45" s="12"/>
      <c r="N45" s="12"/>
      <c r="O45" s="12"/>
      <c r="P45" s="12"/>
      <c r="Q45" s="14"/>
      <c r="R45" s="12"/>
      <c r="S45" s="12"/>
    </row>
    <row r="46" spans="1:29" ht="14.25" x14ac:dyDescent="0.2">
      <c r="B46" s="12"/>
      <c r="C46" s="234" t="s">
        <v>140</v>
      </c>
      <c r="D46" s="234"/>
      <c r="E46" s="234"/>
      <c r="F46" s="13"/>
      <c r="G46" s="13"/>
      <c r="H46" s="211" t="s">
        <v>63</v>
      </c>
      <c r="I46" s="13"/>
      <c r="J46" s="227"/>
      <c r="K46" s="12"/>
      <c r="L46" s="12"/>
      <c r="M46" s="15"/>
      <c r="N46" s="15"/>
      <c r="O46" s="15"/>
      <c r="P46" s="12"/>
      <c r="Q46" s="14"/>
      <c r="R46" s="12"/>
      <c r="S46" s="12"/>
    </row>
    <row r="47" spans="1:29" x14ac:dyDescent="0.2">
      <c r="B47" s="12"/>
      <c r="C47" s="235" t="s">
        <v>23</v>
      </c>
      <c r="D47" s="235"/>
      <c r="E47" s="235"/>
      <c r="F47" s="13"/>
      <c r="G47" s="13"/>
      <c r="H47" s="13" t="s">
        <v>24</v>
      </c>
      <c r="I47" s="13"/>
      <c r="J47" s="227"/>
      <c r="K47" s="12"/>
      <c r="L47" s="12"/>
      <c r="M47" s="236" t="s">
        <v>25</v>
      </c>
      <c r="N47" s="236"/>
      <c r="O47" s="236"/>
      <c r="P47" s="12"/>
      <c r="Q47" s="12"/>
      <c r="R47" s="12"/>
      <c r="S47" s="12"/>
      <c r="Y47" s="16" t="s">
        <v>155</v>
      </c>
      <c r="Z47" s="244"/>
      <c r="AA47" s="244"/>
      <c r="AB47" s="244"/>
      <c r="AC47" s="17"/>
    </row>
    <row r="48" spans="1:29" x14ac:dyDescent="0.2">
      <c r="B48" s="12"/>
      <c r="C48" s="12"/>
      <c r="D48" s="12"/>
      <c r="E48" s="13"/>
      <c r="F48" s="13"/>
      <c r="G48" s="13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2:27" x14ac:dyDescent="0.2">
      <c r="B49" s="12"/>
      <c r="C49" s="12"/>
      <c r="D49" s="12"/>
      <c r="E49" s="13"/>
      <c r="F49" s="13"/>
      <c r="G49" s="13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spans="2:27" x14ac:dyDescent="0.2">
      <c r="B50" s="12"/>
      <c r="C50" s="12"/>
      <c r="D50" s="12"/>
      <c r="E50" s="13"/>
      <c r="F50" s="13"/>
      <c r="G50" s="13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2:27" x14ac:dyDescent="0.2">
      <c r="B51" s="12"/>
      <c r="C51" s="12"/>
      <c r="D51" s="12"/>
      <c r="E51" s="13"/>
      <c r="F51" s="13"/>
      <c r="G51" s="13"/>
      <c r="H51" s="12"/>
      <c r="I51" s="12"/>
      <c r="J51" s="12"/>
      <c r="K51" s="18"/>
      <c r="L51" s="18"/>
      <c r="M51" s="18"/>
      <c r="N51" s="18"/>
      <c r="O51" s="18"/>
      <c r="P51" s="18"/>
      <c r="Q51" s="18"/>
      <c r="R51" s="18"/>
      <c r="S51" s="18"/>
      <c r="T51" s="6"/>
      <c r="U51" s="6"/>
      <c r="V51" s="6"/>
      <c r="W51" s="6"/>
      <c r="X51" s="6"/>
      <c r="Y51" s="6"/>
      <c r="Z51" s="6"/>
      <c r="AA51" s="6"/>
    </row>
    <row r="52" spans="2:27" x14ac:dyDescent="0.2">
      <c r="B52" s="12"/>
      <c r="C52" s="12"/>
      <c r="D52" s="12"/>
      <c r="E52" s="13"/>
      <c r="F52" s="13"/>
      <c r="G52" s="13"/>
      <c r="H52" s="12"/>
      <c r="I52" s="12"/>
      <c r="J52" s="12"/>
      <c r="K52" s="18"/>
      <c r="L52" s="18"/>
      <c r="M52" s="18"/>
      <c r="N52" s="18"/>
      <c r="O52" s="18"/>
      <c r="P52" s="18"/>
      <c r="Q52" s="18"/>
      <c r="R52" s="18"/>
      <c r="S52" s="18"/>
      <c r="T52" s="6"/>
      <c r="U52" s="6"/>
      <c r="V52" s="6"/>
      <c r="W52" s="6"/>
      <c r="X52" s="6"/>
      <c r="Y52" s="6"/>
      <c r="Z52" s="6"/>
      <c r="AA52" s="6"/>
    </row>
    <row r="53" spans="2:27" x14ac:dyDescent="0.2">
      <c r="B53" s="12"/>
      <c r="C53" s="12"/>
      <c r="D53" s="12"/>
      <c r="E53" s="13"/>
      <c r="F53" s="13"/>
      <c r="G53" s="13"/>
      <c r="H53" s="12"/>
      <c r="I53" s="12"/>
      <c r="J53" s="12"/>
      <c r="K53" s="18"/>
      <c r="L53" s="18"/>
      <c r="M53" s="18"/>
      <c r="N53" s="19"/>
      <c r="O53" s="18"/>
      <c r="P53" s="18"/>
      <c r="Q53" s="18"/>
      <c r="R53" s="18"/>
      <c r="S53" s="18"/>
      <c r="T53" s="6"/>
      <c r="U53" s="20"/>
      <c r="V53" s="21"/>
      <c r="W53" s="21"/>
      <c r="X53" s="6"/>
      <c r="Y53" s="20"/>
      <c r="Z53" s="20"/>
      <c r="AA53" s="20"/>
    </row>
    <row r="54" spans="2:27" x14ac:dyDescent="0.2">
      <c r="B54" s="12"/>
      <c r="C54" s="12"/>
      <c r="D54" s="12"/>
      <c r="E54" s="13"/>
      <c r="F54" s="13"/>
      <c r="G54" s="13"/>
      <c r="H54" s="12"/>
      <c r="I54" s="12"/>
      <c r="J54" s="12"/>
      <c r="K54" s="18"/>
      <c r="L54" s="18"/>
      <c r="M54" s="18"/>
      <c r="N54" s="19"/>
      <c r="O54" s="18"/>
      <c r="P54" s="18"/>
      <c r="Q54" s="18"/>
      <c r="R54" s="18"/>
      <c r="S54" s="18"/>
      <c r="T54" s="6"/>
      <c r="U54" s="20"/>
      <c r="V54" s="21"/>
      <c r="W54" s="21"/>
      <c r="X54" s="6"/>
      <c r="Y54" s="20"/>
      <c r="Z54" s="20"/>
      <c r="AA54" s="20"/>
    </row>
    <row r="55" spans="2:27" x14ac:dyDescent="0.2">
      <c r="B55" s="12"/>
      <c r="C55" s="12"/>
      <c r="D55" s="12"/>
      <c r="E55" s="13"/>
      <c r="F55" s="13"/>
      <c r="G55" s="13"/>
      <c r="H55" s="12"/>
      <c r="I55" s="12"/>
      <c r="J55" s="12"/>
      <c r="K55" s="18"/>
      <c r="L55" s="18"/>
      <c r="M55" s="18"/>
      <c r="N55" s="19"/>
      <c r="O55" s="18"/>
      <c r="P55" s="18"/>
      <c r="Q55" s="18"/>
      <c r="R55" s="18"/>
      <c r="S55" s="18"/>
      <c r="T55" s="6"/>
      <c r="U55" s="20"/>
      <c r="V55" s="21"/>
      <c r="W55" s="21"/>
      <c r="X55" s="6"/>
      <c r="Y55" s="20"/>
      <c r="Z55" s="20"/>
      <c r="AA55" s="20"/>
    </row>
    <row r="56" spans="2:27" x14ac:dyDescent="0.2">
      <c r="B56" s="12"/>
      <c r="C56" s="12"/>
      <c r="D56" s="12"/>
      <c r="E56" s="13"/>
      <c r="F56" s="13"/>
      <c r="G56" s="13"/>
      <c r="H56" s="12"/>
      <c r="I56" s="12"/>
      <c r="J56" s="12"/>
      <c r="K56" s="18"/>
      <c r="L56" s="18"/>
      <c r="M56" s="18"/>
      <c r="N56" s="19"/>
      <c r="O56" s="18"/>
      <c r="P56" s="18"/>
      <c r="Q56" s="18"/>
      <c r="R56" s="18"/>
      <c r="S56" s="18"/>
      <c r="T56" s="6"/>
      <c r="U56" s="20"/>
      <c r="V56" s="21"/>
      <c r="W56" s="21"/>
      <c r="X56" s="6"/>
      <c r="Y56" s="20"/>
      <c r="Z56" s="20"/>
      <c r="AA56" s="20"/>
    </row>
    <row r="57" spans="2:27" x14ac:dyDescent="0.2">
      <c r="B57" s="12"/>
      <c r="C57" s="12"/>
      <c r="D57" s="12"/>
      <c r="E57" s="13"/>
      <c r="F57" s="13"/>
      <c r="G57" s="13"/>
      <c r="H57" s="12"/>
      <c r="I57" s="12"/>
      <c r="J57" s="12"/>
      <c r="K57" s="18"/>
      <c r="L57" s="18"/>
      <c r="M57" s="18"/>
      <c r="N57" s="19"/>
      <c r="O57" s="18"/>
      <c r="P57" s="18"/>
      <c r="Q57" s="18"/>
      <c r="R57" s="18"/>
      <c r="S57" s="18"/>
      <c r="T57" s="6"/>
      <c r="U57" s="20"/>
      <c r="V57" s="21"/>
      <c r="W57" s="21"/>
      <c r="X57" s="6"/>
      <c r="Y57" s="20"/>
      <c r="Z57" s="20"/>
      <c r="AA57" s="20"/>
    </row>
    <row r="58" spans="2:27" x14ac:dyDescent="0.2">
      <c r="B58" s="12"/>
      <c r="C58" s="12"/>
      <c r="D58" s="12"/>
      <c r="E58" s="13"/>
      <c r="F58" s="13"/>
      <c r="G58" s="13"/>
      <c r="H58" s="12"/>
      <c r="I58" s="12"/>
      <c r="J58" s="12"/>
      <c r="K58" s="18"/>
      <c r="L58" s="18"/>
      <c r="M58" s="18"/>
      <c r="N58" s="19"/>
      <c r="O58" s="18"/>
      <c r="P58" s="18"/>
      <c r="Q58" s="18"/>
      <c r="R58" s="18"/>
      <c r="S58" s="18"/>
      <c r="T58" s="6"/>
      <c r="U58" s="20"/>
      <c r="V58" s="21"/>
      <c r="W58" s="21"/>
      <c r="X58" s="6"/>
      <c r="Y58" s="20"/>
      <c r="Z58" s="20"/>
      <c r="AA58" s="20"/>
    </row>
    <row r="59" spans="2:27" x14ac:dyDescent="0.2">
      <c r="B59" s="12"/>
      <c r="C59" s="12"/>
      <c r="D59" s="12"/>
      <c r="E59" s="13"/>
      <c r="F59" s="13"/>
      <c r="G59" s="13"/>
      <c r="H59" s="12"/>
      <c r="I59" s="12"/>
      <c r="J59" s="12"/>
      <c r="K59" s="18"/>
      <c r="L59" s="18"/>
      <c r="M59" s="18"/>
      <c r="N59" s="19"/>
      <c r="O59" s="18"/>
      <c r="P59" s="18"/>
      <c r="Q59" s="18"/>
      <c r="R59" s="18"/>
      <c r="S59" s="18"/>
      <c r="T59" s="6"/>
      <c r="U59" s="20"/>
      <c r="V59" s="21"/>
      <c r="W59" s="21"/>
      <c r="X59" s="6"/>
      <c r="Y59" s="20"/>
      <c r="Z59" s="20"/>
      <c r="AA59" s="20"/>
    </row>
    <row r="60" spans="2:27" x14ac:dyDescent="0.2">
      <c r="B60" s="12"/>
      <c r="C60" s="12"/>
      <c r="D60" s="12"/>
      <c r="E60" s="13"/>
      <c r="F60" s="13"/>
      <c r="G60" s="13"/>
      <c r="H60" s="12"/>
      <c r="I60" s="12"/>
      <c r="J60" s="12"/>
      <c r="K60" s="18"/>
      <c r="L60" s="18"/>
      <c r="M60" s="18"/>
      <c r="N60" s="19"/>
      <c r="O60" s="18"/>
      <c r="P60" s="18"/>
      <c r="Q60" s="18"/>
      <c r="R60" s="18"/>
      <c r="S60" s="18"/>
      <c r="T60" s="6"/>
      <c r="U60" s="20"/>
      <c r="V60" s="21"/>
      <c r="W60" s="21"/>
      <c r="X60" s="6"/>
      <c r="Y60" s="20"/>
      <c r="Z60" s="20"/>
      <c r="AA60" s="20"/>
    </row>
    <row r="61" spans="2:27" x14ac:dyDescent="0.2">
      <c r="B61" s="12"/>
      <c r="C61" s="12"/>
      <c r="D61" s="12"/>
      <c r="E61" s="13"/>
      <c r="F61" s="13"/>
      <c r="G61" s="13"/>
      <c r="H61" s="12"/>
      <c r="I61" s="12"/>
      <c r="J61" s="12"/>
      <c r="K61" s="18"/>
      <c r="L61" s="18"/>
      <c r="M61" s="18"/>
      <c r="N61" s="19"/>
      <c r="O61" s="18"/>
      <c r="P61" s="18"/>
      <c r="Q61" s="18"/>
      <c r="R61" s="18"/>
      <c r="S61" s="18"/>
      <c r="T61" s="6"/>
      <c r="U61" s="20"/>
      <c r="V61" s="21"/>
      <c r="W61" s="21"/>
      <c r="X61" s="6"/>
      <c r="Y61" s="20"/>
      <c r="Z61" s="20"/>
      <c r="AA61" s="20"/>
    </row>
    <row r="62" spans="2:27" x14ac:dyDescent="0.2">
      <c r="B62" s="12"/>
      <c r="C62" s="12"/>
      <c r="D62" s="12"/>
      <c r="E62" s="13"/>
      <c r="F62" s="13"/>
      <c r="G62" s="13"/>
      <c r="H62" s="12"/>
      <c r="I62" s="12"/>
      <c r="J62" s="12"/>
      <c r="K62" s="18"/>
      <c r="L62" s="18"/>
      <c r="M62" s="18"/>
      <c r="N62" s="19"/>
      <c r="O62" s="18"/>
      <c r="P62" s="18"/>
      <c r="Q62" s="18"/>
      <c r="R62" s="18"/>
      <c r="S62" s="18"/>
      <c r="T62" s="6"/>
      <c r="U62" s="20"/>
      <c r="V62" s="21"/>
      <c r="W62" s="21"/>
      <c r="X62" s="6"/>
      <c r="Y62" s="20"/>
      <c r="Z62" s="20"/>
      <c r="AA62" s="20"/>
    </row>
    <row r="63" spans="2:27" x14ac:dyDescent="0.2">
      <c r="B63" s="12"/>
      <c r="C63" s="12"/>
      <c r="D63" s="12"/>
      <c r="E63" s="13"/>
      <c r="F63" s="13"/>
      <c r="G63" s="13"/>
      <c r="H63" s="12"/>
      <c r="I63" s="12"/>
      <c r="J63" s="12"/>
      <c r="K63" s="18"/>
      <c r="L63" s="18"/>
      <c r="M63" s="18"/>
      <c r="N63" s="19"/>
      <c r="O63" s="18"/>
      <c r="P63" s="18"/>
      <c r="Q63" s="18"/>
      <c r="R63" s="18"/>
      <c r="S63" s="18"/>
      <c r="T63" s="6"/>
      <c r="U63" s="20"/>
      <c r="V63" s="21"/>
      <c r="W63" s="21"/>
      <c r="X63" s="6"/>
      <c r="Y63" s="20"/>
      <c r="Z63" s="20"/>
      <c r="AA63" s="20"/>
    </row>
    <row r="64" spans="2:27" x14ac:dyDescent="0.2">
      <c r="B64" s="12"/>
      <c r="C64" s="12"/>
      <c r="D64" s="12"/>
      <c r="E64" s="13"/>
      <c r="F64" s="13"/>
      <c r="G64" s="13"/>
      <c r="H64" s="12"/>
      <c r="I64" s="12"/>
      <c r="J64" s="12"/>
      <c r="K64" s="18"/>
      <c r="L64" s="18"/>
      <c r="M64" s="18"/>
      <c r="N64" s="19"/>
      <c r="O64" s="18"/>
      <c r="P64" s="18"/>
      <c r="Q64" s="18"/>
      <c r="R64" s="18"/>
      <c r="S64" s="18"/>
      <c r="T64" s="6"/>
      <c r="U64" s="20"/>
      <c r="V64" s="21"/>
      <c r="W64" s="21"/>
      <c r="X64" s="6"/>
      <c r="Y64" s="20"/>
      <c r="Z64" s="20"/>
      <c r="AA64" s="20"/>
    </row>
    <row r="65" spans="2:27" x14ac:dyDescent="0.2">
      <c r="B65" s="12"/>
      <c r="C65" s="12"/>
      <c r="D65" s="12"/>
      <c r="E65" s="13"/>
      <c r="F65" s="13"/>
      <c r="G65" s="13"/>
      <c r="H65" s="12"/>
      <c r="I65" s="12"/>
      <c r="J65" s="12"/>
      <c r="K65" s="18"/>
      <c r="L65" s="18"/>
      <c r="M65" s="18"/>
      <c r="N65" s="19"/>
      <c r="O65" s="18"/>
      <c r="P65" s="18"/>
      <c r="Q65" s="18"/>
      <c r="R65" s="18"/>
      <c r="S65" s="18"/>
      <c r="T65" s="6"/>
      <c r="U65" s="20"/>
      <c r="V65" s="21"/>
      <c r="W65" s="21"/>
      <c r="X65" s="6"/>
      <c r="Y65" s="20"/>
      <c r="Z65" s="20"/>
      <c r="AA65" s="20"/>
    </row>
    <row r="66" spans="2:27" x14ac:dyDescent="0.2">
      <c r="B66" s="12"/>
      <c r="C66" s="12"/>
      <c r="D66" s="12"/>
      <c r="E66" s="13"/>
      <c r="F66" s="13"/>
      <c r="G66" s="13"/>
      <c r="H66" s="12"/>
      <c r="I66" s="12"/>
      <c r="J66" s="12"/>
      <c r="K66" s="18"/>
      <c r="L66" s="18"/>
      <c r="M66" s="18"/>
      <c r="N66" s="19"/>
      <c r="O66" s="18"/>
      <c r="P66" s="18"/>
      <c r="Q66" s="18"/>
      <c r="R66" s="18"/>
      <c r="S66" s="18"/>
      <c r="T66" s="6"/>
      <c r="U66" s="20"/>
      <c r="V66" s="21"/>
      <c r="W66" s="21"/>
      <c r="X66" s="6"/>
      <c r="Y66" s="20"/>
      <c r="Z66" s="20"/>
      <c r="AA66" s="20"/>
    </row>
    <row r="67" spans="2:27" x14ac:dyDescent="0.2">
      <c r="B67" s="12"/>
      <c r="C67" s="12"/>
      <c r="D67" s="12"/>
      <c r="E67" s="13"/>
      <c r="F67" s="13"/>
      <c r="G67" s="13"/>
      <c r="H67" s="12"/>
      <c r="I67" s="12"/>
      <c r="J67" s="12"/>
      <c r="K67" s="18"/>
      <c r="L67" s="18"/>
      <c r="M67" s="18"/>
      <c r="N67" s="19"/>
      <c r="O67" s="18"/>
      <c r="P67" s="18"/>
      <c r="Q67" s="18"/>
      <c r="R67" s="18"/>
      <c r="S67" s="18"/>
      <c r="T67" s="6"/>
      <c r="U67" s="20"/>
      <c r="V67" s="21"/>
      <c r="W67" s="21"/>
      <c r="X67" s="6"/>
      <c r="Y67" s="20"/>
      <c r="Z67" s="20"/>
      <c r="AA67" s="20"/>
    </row>
    <row r="68" spans="2:27" x14ac:dyDescent="0.2">
      <c r="B68" s="12"/>
      <c r="C68" s="12"/>
      <c r="D68" s="12"/>
      <c r="E68" s="13"/>
      <c r="F68" s="13"/>
      <c r="G68" s="13"/>
      <c r="H68" s="12"/>
      <c r="I68" s="12"/>
      <c r="J68" s="12"/>
      <c r="K68" s="18"/>
      <c r="L68" s="18"/>
      <c r="M68" s="18"/>
      <c r="N68" s="19"/>
      <c r="O68" s="18"/>
      <c r="P68" s="18"/>
      <c r="Q68" s="18"/>
      <c r="R68" s="18"/>
      <c r="S68" s="18"/>
      <c r="T68" s="6"/>
      <c r="U68" s="20"/>
      <c r="V68" s="21"/>
      <c r="W68" s="21"/>
      <c r="X68" s="6"/>
      <c r="Y68" s="20"/>
      <c r="Z68" s="20"/>
      <c r="AA68" s="20"/>
    </row>
    <row r="69" spans="2:27" ht="30" customHeight="1" x14ac:dyDescent="0.2">
      <c r="C69" s="22"/>
      <c r="D69" s="23"/>
    </row>
    <row r="70" spans="2:27" ht="30" customHeight="1" x14ac:dyDescent="0.2">
      <c r="C70" s="22"/>
      <c r="D70" s="23"/>
    </row>
    <row r="71" spans="2:27" ht="30" customHeight="1" x14ac:dyDescent="0.2">
      <c r="C71" s="22"/>
      <c r="D71" s="23"/>
    </row>
    <row r="72" spans="2:27" ht="30" customHeight="1" x14ac:dyDescent="0.2">
      <c r="C72" s="22"/>
      <c r="D72" s="23"/>
    </row>
    <row r="73" spans="2:27" ht="30" customHeight="1" x14ac:dyDescent="0.2">
      <c r="C73" s="22"/>
      <c r="D73" s="24"/>
    </row>
    <row r="74" spans="2:27" ht="30" customHeight="1" x14ac:dyDescent="0.2">
      <c r="C74" s="25"/>
      <c r="D74" s="24"/>
    </row>
    <row r="75" spans="2:27" ht="30" customHeight="1" x14ac:dyDescent="0.2">
      <c r="C75" s="22"/>
      <c r="D75" s="24"/>
    </row>
  </sheetData>
  <mergeCells count="30">
    <mergeCell ref="Z47:AB47"/>
    <mergeCell ref="B3:AB3"/>
    <mergeCell ref="B1:AB1"/>
    <mergeCell ref="L10:L11"/>
    <mergeCell ref="M10:M11"/>
    <mergeCell ref="N10:N11"/>
    <mergeCell ref="B10:B11"/>
    <mergeCell ref="C10:C11"/>
    <mergeCell ref="D10:D11"/>
    <mergeCell ref="E10:E11"/>
    <mergeCell ref="F10:F11"/>
    <mergeCell ref="G10:G11"/>
    <mergeCell ref="J10:J11"/>
    <mergeCell ref="E5:E6"/>
    <mergeCell ref="AC10:AC11"/>
    <mergeCell ref="B37:I37"/>
    <mergeCell ref="C46:E46"/>
    <mergeCell ref="C47:E47"/>
    <mergeCell ref="M47:O47"/>
    <mergeCell ref="V10:Y10"/>
    <mergeCell ref="Z10:Z11"/>
    <mergeCell ref="AA10:AA11"/>
    <mergeCell ref="AB10:AB11"/>
    <mergeCell ref="O10:O11"/>
    <mergeCell ref="H10:H11"/>
    <mergeCell ref="I10:I11"/>
    <mergeCell ref="P10:Q10"/>
    <mergeCell ref="R10:T10"/>
    <mergeCell ref="U10:U11"/>
    <mergeCell ref="K10:K11"/>
  </mergeCells>
  <phoneticPr fontId="2" type="noConversion"/>
  <pageMargins left="0.25" right="0.25" top="0.75" bottom="0.75" header="0.3" footer="0.3"/>
  <pageSetup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B1:N61"/>
  <sheetViews>
    <sheetView tabSelected="1" workbookViewId="0">
      <selection activeCell="K30" sqref="B1:K30"/>
    </sheetView>
  </sheetViews>
  <sheetFormatPr baseColWidth="10" defaultRowHeight="12.75" x14ac:dyDescent="0.2"/>
  <cols>
    <col min="1" max="1" width="3" style="1" customWidth="1"/>
    <col min="2" max="2" width="9.42578125" style="1" customWidth="1"/>
    <col min="3" max="3" width="14.85546875" style="1" customWidth="1"/>
    <col min="4" max="4" width="12.140625" style="1" customWidth="1"/>
    <col min="5" max="5" width="15.7109375" style="1" customWidth="1"/>
    <col min="6" max="6" width="2.85546875" style="1" customWidth="1"/>
    <col min="7" max="7" width="14.85546875" style="1" customWidth="1"/>
    <col min="8" max="8" width="12.5703125" style="1" customWidth="1"/>
    <col min="9" max="9" width="15.7109375" style="1" customWidth="1"/>
    <col min="10" max="11" width="2" style="1" customWidth="1"/>
    <col min="12" max="12" width="11.42578125" style="1"/>
    <col min="13" max="13" width="14.7109375" style="1" customWidth="1"/>
    <col min="14" max="14" width="11.5703125" style="1" bestFit="1" customWidth="1"/>
    <col min="15" max="16384" width="11.42578125" style="1"/>
  </cols>
  <sheetData>
    <row r="1" spans="2:14" ht="15" x14ac:dyDescent="0.2">
      <c r="B1" s="251" t="s">
        <v>85</v>
      </c>
      <c r="C1" s="252"/>
      <c r="D1" s="252"/>
      <c r="E1" s="27"/>
      <c r="F1" s="27"/>
      <c r="G1" s="27"/>
      <c r="H1" s="27"/>
      <c r="I1" s="27"/>
      <c r="J1" s="27"/>
      <c r="K1" s="28"/>
    </row>
    <row r="2" spans="2:14" ht="15" x14ac:dyDescent="0.2">
      <c r="B2" s="253" t="s">
        <v>86</v>
      </c>
      <c r="C2" s="254"/>
      <c r="D2" s="254"/>
      <c r="E2" s="29"/>
      <c r="F2" s="29"/>
      <c r="G2" s="29"/>
      <c r="H2" s="29"/>
      <c r="I2" s="29"/>
      <c r="J2" s="29"/>
      <c r="K2" s="30"/>
    </row>
    <row r="3" spans="2:14" x14ac:dyDescent="0.2">
      <c r="B3" s="256" t="s">
        <v>87</v>
      </c>
      <c r="C3" s="236"/>
      <c r="D3" s="236"/>
      <c r="E3" s="29"/>
      <c r="F3" s="29"/>
      <c r="G3" s="29"/>
      <c r="H3" s="29"/>
      <c r="I3" s="260"/>
      <c r="J3" s="260"/>
      <c r="K3" s="30"/>
    </row>
    <row r="4" spans="2:14" ht="6.75" customHeight="1" x14ac:dyDescent="0.2">
      <c r="B4" s="31"/>
      <c r="C4" s="22"/>
      <c r="D4" s="22"/>
      <c r="E4" s="29"/>
      <c r="F4" s="29"/>
      <c r="G4" s="29"/>
      <c r="H4" s="29"/>
      <c r="I4" s="29"/>
      <c r="J4" s="29"/>
      <c r="K4" s="30"/>
    </row>
    <row r="5" spans="2:14" ht="22.5" x14ac:dyDescent="0.3">
      <c r="B5" s="257" t="s">
        <v>45</v>
      </c>
      <c r="C5" s="258"/>
      <c r="D5" s="258"/>
      <c r="E5" s="258"/>
      <c r="F5" s="258"/>
      <c r="G5" s="258"/>
      <c r="H5" s="258"/>
      <c r="I5" s="258"/>
      <c r="J5" s="258"/>
      <c r="K5" s="259"/>
    </row>
    <row r="6" spans="2:14" x14ac:dyDescent="0.2">
      <c r="B6" s="261" t="s">
        <v>43</v>
      </c>
      <c r="C6" s="262"/>
      <c r="D6" s="262"/>
      <c r="E6" s="262"/>
      <c r="F6" s="262"/>
      <c r="G6" s="262"/>
      <c r="H6" s="262"/>
      <c r="I6" s="262"/>
      <c r="J6" s="262"/>
      <c r="K6" s="263"/>
      <c r="M6" s="214">
        <v>13</v>
      </c>
      <c r="N6" s="32"/>
    </row>
    <row r="7" spans="2:14" x14ac:dyDescent="0.2">
      <c r="B7" s="33"/>
      <c r="C7" s="29"/>
      <c r="D7" s="34"/>
      <c r="E7" s="34"/>
      <c r="F7" s="34"/>
      <c r="G7" s="34"/>
      <c r="H7" s="29"/>
      <c r="I7" s="29"/>
      <c r="J7" s="29"/>
      <c r="K7" s="30"/>
      <c r="M7" s="35" t="str">
        <f>PSUELDOS!P2</f>
        <v>FEBRERO</v>
      </c>
      <c r="N7" s="32"/>
    </row>
    <row r="8" spans="2:14" x14ac:dyDescent="0.2">
      <c r="B8" s="33"/>
      <c r="C8" s="29" t="s">
        <v>30</v>
      </c>
      <c r="D8" s="36" t="str">
        <f ca="1">PROPER(M8)</f>
        <v>Alena Guerra Dagner</v>
      </c>
      <c r="E8" s="29"/>
      <c r="F8" s="29"/>
      <c r="G8" s="29" t="s">
        <v>8</v>
      </c>
      <c r="H8" s="29"/>
      <c r="I8" s="37">
        <f ca="1">M12</f>
        <v>3500</v>
      </c>
      <c r="J8" s="29"/>
      <c r="K8" s="30"/>
      <c r="M8" s="32" t="str">
        <f ca="1">INDIRECT("psueldos!D" &amp; $M$6)</f>
        <v>Alena Guerra Dagner</v>
      </c>
      <c r="N8" s="32"/>
    </row>
    <row r="9" spans="2:14" x14ac:dyDescent="0.2">
      <c r="B9" s="33"/>
      <c r="C9" s="29" t="s">
        <v>31</v>
      </c>
      <c r="D9" s="38" t="str">
        <f ca="1">M9</f>
        <v>10157272-E</v>
      </c>
      <c r="E9" s="29"/>
      <c r="F9" s="29"/>
      <c r="G9" s="29" t="s">
        <v>32</v>
      </c>
      <c r="H9" s="29"/>
      <c r="I9" s="29">
        <f ca="1">M13</f>
        <v>30</v>
      </c>
      <c r="J9" s="29"/>
      <c r="K9" s="30"/>
      <c r="M9" s="32" t="str">
        <f ca="1">INDIRECT("psueldos!c" &amp; $M$6)</f>
        <v>10157272-E</v>
      </c>
      <c r="N9" s="32"/>
    </row>
    <row r="10" spans="2:14" x14ac:dyDescent="0.2">
      <c r="B10" s="33"/>
      <c r="C10" s="29" t="s">
        <v>33</v>
      </c>
      <c r="D10" s="39" t="str">
        <f ca="1">PROPER(M10)</f>
        <v>Técnico Sistemas</v>
      </c>
      <c r="E10" s="29"/>
      <c r="F10" s="29"/>
      <c r="G10" s="29" t="s">
        <v>34</v>
      </c>
      <c r="H10" s="29"/>
      <c r="I10" s="40" t="s">
        <v>158</v>
      </c>
      <c r="J10" s="29"/>
      <c r="K10" s="30"/>
      <c r="M10" s="32" t="str">
        <f ca="1">INDIRECT("psueldos!h" &amp; $M$6)</f>
        <v>Técnico Sistemas</v>
      </c>
      <c r="N10" s="32"/>
    </row>
    <row r="11" spans="2:14" x14ac:dyDescent="0.2">
      <c r="B11" s="33"/>
      <c r="C11" s="41" t="s">
        <v>35</v>
      </c>
      <c r="D11" s="42">
        <f ca="1">M11</f>
        <v>42522</v>
      </c>
      <c r="E11" s="29"/>
      <c r="F11" s="29"/>
      <c r="G11" s="29"/>
      <c r="H11" s="29"/>
      <c r="I11" s="43"/>
      <c r="J11" s="29"/>
      <c r="K11" s="30"/>
      <c r="M11" s="32">
        <f ca="1">INDIRECT("psueldos!i" &amp; $M$6)</f>
        <v>42522</v>
      </c>
      <c r="N11" s="32"/>
    </row>
    <row r="12" spans="2:14" x14ac:dyDescent="0.2">
      <c r="B12" s="33"/>
      <c r="C12" s="29"/>
      <c r="D12" s="29"/>
      <c r="E12" s="29"/>
      <c r="F12" s="29"/>
      <c r="G12" s="29"/>
      <c r="H12" s="29"/>
      <c r="I12" s="29"/>
      <c r="J12" s="29"/>
      <c r="K12" s="30"/>
      <c r="M12" s="32">
        <f ca="1">INDIRECT("psueldos!k" &amp; $M$6)</f>
        <v>3500</v>
      </c>
      <c r="N12" s="32"/>
    </row>
    <row r="13" spans="2:14" x14ac:dyDescent="0.2">
      <c r="B13" s="33"/>
      <c r="C13" s="255" t="s">
        <v>36</v>
      </c>
      <c r="D13" s="255"/>
      <c r="E13" s="255"/>
      <c r="F13" s="29"/>
      <c r="G13" s="255" t="s">
        <v>37</v>
      </c>
      <c r="H13" s="255"/>
      <c r="I13" s="255"/>
      <c r="J13" s="29"/>
      <c r="K13" s="30"/>
      <c r="M13" s="32">
        <f ca="1">INDIRECT("psueldos!L" &amp; $M$6)</f>
        <v>30</v>
      </c>
      <c r="N13" s="32"/>
    </row>
    <row r="14" spans="2:14" x14ac:dyDescent="0.2">
      <c r="B14" s="33"/>
      <c r="C14" s="29" t="s">
        <v>41</v>
      </c>
      <c r="D14" s="29"/>
      <c r="E14" s="37">
        <f ca="1">M14</f>
        <v>3500</v>
      </c>
      <c r="F14" s="44"/>
      <c r="G14" s="29" t="s">
        <v>58</v>
      </c>
      <c r="H14" s="29"/>
      <c r="I14" s="37">
        <f ca="1">M18</f>
        <v>444.84999999999997</v>
      </c>
      <c r="J14" s="29"/>
      <c r="K14" s="30"/>
      <c r="M14" s="32">
        <f ca="1">INDIRECT("psueldos!n" &amp; $M$6)</f>
        <v>3500</v>
      </c>
      <c r="N14" s="32"/>
    </row>
    <row r="15" spans="2:14" x14ac:dyDescent="0.2">
      <c r="B15" s="33"/>
      <c r="C15" s="41" t="s">
        <v>42</v>
      </c>
      <c r="D15" s="29"/>
      <c r="E15" s="37">
        <f ca="1">M15</f>
        <v>0</v>
      </c>
      <c r="F15" s="29"/>
      <c r="G15" s="29" t="s">
        <v>59</v>
      </c>
      <c r="H15" s="29"/>
      <c r="I15" s="37">
        <f ca="1">M19</f>
        <v>0</v>
      </c>
      <c r="J15" s="29"/>
      <c r="K15" s="30"/>
      <c r="M15" s="32">
        <f ca="1">INDIRECT("psueldos!O" &amp; $M$6)</f>
        <v>0</v>
      </c>
      <c r="N15" s="32"/>
    </row>
    <row r="16" spans="2:14" x14ac:dyDescent="0.2">
      <c r="B16" s="33"/>
      <c r="C16" s="41" t="s">
        <v>11</v>
      </c>
      <c r="D16" s="41"/>
      <c r="E16" s="45">
        <f ca="1">M16</f>
        <v>0</v>
      </c>
      <c r="F16" s="29"/>
      <c r="G16" s="29" t="s">
        <v>60</v>
      </c>
      <c r="H16" s="29"/>
      <c r="I16" s="37">
        <f ca="1">M20</f>
        <v>0</v>
      </c>
      <c r="J16" s="29"/>
      <c r="K16" s="30"/>
      <c r="M16" s="32">
        <f ca="1">INDIRECT("psueldos!q" &amp; $M$6)</f>
        <v>0</v>
      </c>
      <c r="N16" s="32"/>
    </row>
    <row r="17" spans="2:14" x14ac:dyDescent="0.2">
      <c r="B17" s="33"/>
      <c r="C17" s="41" t="s">
        <v>44</v>
      </c>
      <c r="D17" s="41"/>
      <c r="E17" s="45">
        <f ca="1">M17</f>
        <v>0</v>
      </c>
      <c r="F17" s="29"/>
      <c r="G17" s="41" t="s">
        <v>46</v>
      </c>
      <c r="H17" s="29"/>
      <c r="I17" s="37">
        <f ca="1">M21</f>
        <v>0</v>
      </c>
      <c r="J17" s="29"/>
      <c r="K17" s="30"/>
      <c r="M17" s="32">
        <f ca="1">INDIRECT("psueldos!T" &amp; $M$6)</f>
        <v>0</v>
      </c>
      <c r="N17" s="32"/>
    </row>
    <row r="18" spans="2:14" x14ac:dyDescent="0.2">
      <c r="B18" s="33"/>
      <c r="C18" s="29"/>
      <c r="D18" s="29"/>
      <c r="E18" s="37"/>
      <c r="F18" s="29"/>
      <c r="G18" s="29"/>
      <c r="H18" s="29"/>
      <c r="I18" s="37"/>
      <c r="J18" s="29"/>
      <c r="K18" s="30"/>
      <c r="M18" s="32">
        <f ca="1">INDIRECT("psueldos!v" &amp; $M$6)</f>
        <v>444.84999999999997</v>
      </c>
      <c r="N18" s="32"/>
    </row>
    <row r="19" spans="2:14" x14ac:dyDescent="0.2">
      <c r="B19" s="33"/>
      <c r="C19" s="29" t="s">
        <v>38</v>
      </c>
      <c r="D19" s="29"/>
      <c r="E19" s="46">
        <f ca="1">SUM(E14:E17)</f>
        <v>3500</v>
      </c>
      <c r="F19" s="29"/>
      <c r="G19" s="29" t="s">
        <v>39</v>
      </c>
      <c r="H19" s="29"/>
      <c r="I19" s="46">
        <f ca="1">SUM(I14:I17)</f>
        <v>444.84999999999997</v>
      </c>
      <c r="J19" s="29"/>
      <c r="K19" s="30"/>
      <c r="M19" s="32">
        <f ca="1">INDIRECT("psueldos!w" &amp; $M$6)</f>
        <v>0</v>
      </c>
      <c r="N19" s="32"/>
    </row>
    <row r="20" spans="2:14" x14ac:dyDescent="0.2">
      <c r="B20" s="33"/>
      <c r="C20" s="29"/>
      <c r="D20" s="29"/>
      <c r="E20" s="37"/>
      <c r="F20" s="29"/>
      <c r="G20" s="29"/>
      <c r="H20" s="29"/>
      <c r="I20" s="29"/>
      <c r="J20" s="29"/>
      <c r="K20" s="30"/>
      <c r="M20" s="32">
        <f ca="1">INDIRECT("psueldos!X" &amp; $M$6)</f>
        <v>0</v>
      </c>
      <c r="N20" s="32"/>
    </row>
    <row r="21" spans="2:14" ht="13.5" thickBot="1" x14ac:dyDescent="0.25">
      <c r="B21" s="33"/>
      <c r="C21" s="29" t="s">
        <v>62</v>
      </c>
      <c r="D21" s="29"/>
      <c r="E21" s="47">
        <f ca="1">E19-I19</f>
        <v>3055.15</v>
      </c>
      <c r="F21" s="29"/>
      <c r="G21" s="267"/>
      <c r="H21" s="267"/>
      <c r="I21" s="267"/>
      <c r="J21" s="29"/>
      <c r="K21" s="30"/>
      <c r="M21" s="32">
        <f ca="1">INDIRECT("psueldos!Y" &amp; $M$6)</f>
        <v>0</v>
      </c>
      <c r="N21" s="32"/>
    </row>
    <row r="22" spans="2:14" ht="13.5" thickTop="1" x14ac:dyDescent="0.2">
      <c r="B22" s="33"/>
      <c r="C22" s="29"/>
      <c r="D22" s="29"/>
      <c r="E22" s="44"/>
      <c r="F22" s="29"/>
      <c r="G22" s="267"/>
      <c r="H22" s="267"/>
      <c r="I22" s="267"/>
      <c r="J22" s="29"/>
      <c r="K22" s="30"/>
      <c r="M22" s="32"/>
      <c r="N22" s="32"/>
    </row>
    <row r="23" spans="2:14" ht="15" x14ac:dyDescent="0.2">
      <c r="B23" s="33"/>
      <c r="C23" s="48"/>
      <c r="D23" s="49"/>
      <c r="E23" s="44"/>
      <c r="F23" s="29"/>
      <c r="G23" s="39"/>
      <c r="H23" s="29"/>
      <c r="I23" s="29"/>
      <c r="J23" s="29"/>
      <c r="K23" s="30"/>
      <c r="M23" s="32"/>
    </row>
    <row r="24" spans="2:14" ht="16.5" customHeight="1" x14ac:dyDescent="0.2">
      <c r="B24" s="264" t="s">
        <v>159</v>
      </c>
      <c r="C24" s="268"/>
      <c r="D24" s="268"/>
      <c r="E24" s="268"/>
      <c r="F24" s="268"/>
      <c r="G24" s="268"/>
      <c r="H24" s="268"/>
      <c r="I24" s="268"/>
      <c r="J24" s="268"/>
      <c r="K24" s="269"/>
      <c r="M24" s="32"/>
    </row>
    <row r="25" spans="2:14" ht="16.5" customHeight="1" x14ac:dyDescent="0.2">
      <c r="B25" s="33"/>
      <c r="C25" s="29"/>
      <c r="D25" s="29"/>
      <c r="E25" s="29"/>
      <c r="F25" s="29"/>
      <c r="G25" s="29"/>
      <c r="H25" s="29"/>
      <c r="I25" s="29"/>
      <c r="J25" s="29"/>
      <c r="K25" s="30"/>
      <c r="M25" s="32"/>
    </row>
    <row r="26" spans="2:14" ht="16.5" customHeight="1" x14ac:dyDescent="0.2">
      <c r="B26" s="33"/>
      <c r="C26" s="29"/>
      <c r="D26" s="29"/>
      <c r="E26" s="29"/>
      <c r="F26" s="29"/>
      <c r="G26" s="29"/>
      <c r="H26" s="29"/>
      <c r="I26" s="29"/>
      <c r="J26" s="29"/>
      <c r="K26" s="30"/>
      <c r="M26" s="32"/>
    </row>
    <row r="27" spans="2:14" ht="16.5" customHeight="1" x14ac:dyDescent="0.2">
      <c r="B27" s="33"/>
      <c r="C27" s="29"/>
      <c r="D27" s="29"/>
      <c r="E27" s="29"/>
      <c r="F27" s="29"/>
      <c r="G27" s="29"/>
      <c r="H27" s="29"/>
      <c r="I27" s="29"/>
      <c r="J27" s="29"/>
      <c r="K27" s="30"/>
      <c r="M27" s="32"/>
    </row>
    <row r="28" spans="2:14" x14ac:dyDescent="0.2">
      <c r="B28" s="33"/>
      <c r="C28" s="29"/>
      <c r="D28" s="5"/>
      <c r="E28" s="5"/>
      <c r="F28" s="29"/>
      <c r="G28" s="29"/>
      <c r="H28" s="5"/>
      <c r="I28" s="5"/>
      <c r="J28" s="29"/>
      <c r="K28" s="30"/>
      <c r="M28" s="32"/>
    </row>
    <row r="29" spans="2:14" x14ac:dyDescent="0.2">
      <c r="B29" s="33"/>
      <c r="C29" s="29"/>
      <c r="D29" s="262" t="s">
        <v>40</v>
      </c>
      <c r="E29" s="262"/>
      <c r="F29" s="29"/>
      <c r="G29" s="29"/>
      <c r="H29" s="262" t="s">
        <v>52</v>
      </c>
      <c r="I29" s="262"/>
      <c r="J29" s="29"/>
      <c r="K29" s="30"/>
      <c r="M29" s="32"/>
    </row>
    <row r="30" spans="2:14" ht="8.25" customHeight="1" thickBot="1" x14ac:dyDescent="0.25">
      <c r="B30" s="50"/>
      <c r="C30" s="51"/>
      <c r="D30" s="51"/>
      <c r="E30" s="51"/>
      <c r="F30" s="51"/>
      <c r="G30" s="51"/>
      <c r="H30" s="51"/>
      <c r="I30" s="51"/>
      <c r="J30" s="51"/>
      <c r="K30" s="52"/>
      <c r="M30" s="32"/>
    </row>
    <row r="31" spans="2:14" ht="13.5" thickBot="1" x14ac:dyDescent="0.25"/>
    <row r="32" spans="2:14" ht="15" x14ac:dyDescent="0.2">
      <c r="B32" s="251" t="str">
        <f>+B1</f>
        <v>KEY SOLUTIONS S.R.L.</v>
      </c>
      <c r="C32" s="252"/>
      <c r="D32" s="252"/>
      <c r="E32" s="27"/>
      <c r="F32" s="27"/>
      <c r="G32" s="27"/>
      <c r="H32" s="27"/>
      <c r="I32" s="27"/>
      <c r="J32" s="27"/>
      <c r="K32" s="28"/>
    </row>
    <row r="33" spans="2:11" ht="15" x14ac:dyDescent="0.2">
      <c r="B33" s="253" t="str">
        <f>B2</f>
        <v>NIT:  254946027</v>
      </c>
      <c r="C33" s="254"/>
      <c r="D33" s="254"/>
      <c r="E33" s="29"/>
      <c r="F33" s="29"/>
      <c r="G33" s="29"/>
      <c r="H33" s="29"/>
      <c r="I33" s="29"/>
      <c r="J33" s="29"/>
      <c r="K33" s="30"/>
    </row>
    <row r="34" spans="2:11" x14ac:dyDescent="0.2">
      <c r="B34" s="256" t="str">
        <f>B3</f>
        <v>SANTA CRUZ - BOLIVIA</v>
      </c>
      <c r="C34" s="236"/>
      <c r="D34" s="236"/>
      <c r="E34" s="29"/>
      <c r="F34" s="29"/>
      <c r="G34" s="29"/>
      <c r="H34" s="29"/>
      <c r="I34" s="262"/>
      <c r="J34" s="262"/>
      <c r="K34" s="30"/>
    </row>
    <row r="35" spans="2:11" ht="6" customHeight="1" x14ac:dyDescent="0.2">
      <c r="B35" s="31"/>
      <c r="C35" s="22"/>
      <c r="D35" s="22"/>
      <c r="E35" s="29"/>
      <c r="F35" s="29"/>
      <c r="G35" s="29"/>
      <c r="H35" s="29"/>
      <c r="I35" s="29"/>
      <c r="J35" s="29"/>
      <c r="K35" s="30"/>
    </row>
    <row r="36" spans="2:11" ht="22.5" x14ac:dyDescent="0.3">
      <c r="B36" s="257" t="s">
        <v>29</v>
      </c>
      <c r="C36" s="258"/>
      <c r="D36" s="258"/>
      <c r="E36" s="258"/>
      <c r="F36" s="258"/>
      <c r="G36" s="258"/>
      <c r="H36" s="258"/>
      <c r="I36" s="258"/>
      <c r="J36" s="258"/>
      <c r="K36" s="259"/>
    </row>
    <row r="37" spans="2:11" ht="14.25" customHeight="1" x14ac:dyDescent="0.2">
      <c r="B37" s="261" t="s">
        <v>43</v>
      </c>
      <c r="C37" s="262"/>
      <c r="D37" s="262"/>
      <c r="E37" s="262"/>
      <c r="F37" s="262"/>
      <c r="G37" s="262"/>
      <c r="H37" s="262"/>
      <c r="I37" s="262"/>
      <c r="J37" s="262"/>
      <c r="K37" s="263"/>
    </row>
    <row r="38" spans="2:11" x14ac:dyDescent="0.2">
      <c r="B38" s="33"/>
      <c r="C38" s="29"/>
      <c r="D38" s="34"/>
      <c r="E38" s="34"/>
      <c r="F38" s="34"/>
      <c r="G38" s="34"/>
      <c r="H38" s="29"/>
      <c r="I38" s="29"/>
      <c r="J38" s="29"/>
      <c r="K38" s="30"/>
    </row>
    <row r="39" spans="2:11" x14ac:dyDescent="0.2">
      <c r="B39" s="33"/>
      <c r="C39" s="29" t="s">
        <v>30</v>
      </c>
      <c r="D39" s="39" t="str">
        <f ca="1">D8</f>
        <v>Alena Guerra Dagner</v>
      </c>
      <c r="E39" s="29"/>
      <c r="F39" s="29"/>
      <c r="G39" s="29" t="s">
        <v>8</v>
      </c>
      <c r="H39" s="29"/>
      <c r="I39" s="37">
        <f ca="1">M12</f>
        <v>3500</v>
      </c>
      <c r="J39" s="29"/>
      <c r="K39" s="30"/>
    </row>
    <row r="40" spans="2:11" x14ac:dyDescent="0.2">
      <c r="B40" s="33"/>
      <c r="C40" s="29" t="s">
        <v>31</v>
      </c>
      <c r="D40" s="29" t="str">
        <f ca="1">M9</f>
        <v>10157272-E</v>
      </c>
      <c r="E40" s="29"/>
      <c r="F40" s="29"/>
      <c r="G40" s="29" t="s">
        <v>32</v>
      </c>
      <c r="H40" s="29"/>
      <c r="I40" s="29">
        <f ca="1">+I9</f>
        <v>30</v>
      </c>
      <c r="J40" s="29"/>
      <c r="K40" s="30"/>
    </row>
    <row r="41" spans="2:11" x14ac:dyDescent="0.2">
      <c r="B41" s="33"/>
      <c r="C41" s="29" t="s">
        <v>33</v>
      </c>
      <c r="D41" s="39" t="str">
        <f ca="1">D10</f>
        <v>Técnico Sistemas</v>
      </c>
      <c r="E41" s="29"/>
      <c r="F41" s="29"/>
      <c r="G41" s="29" t="s">
        <v>34</v>
      </c>
      <c r="H41" s="29"/>
      <c r="I41" s="53" t="s">
        <v>156</v>
      </c>
      <c r="J41" s="29"/>
      <c r="K41" s="30"/>
    </row>
    <row r="42" spans="2:11" x14ac:dyDescent="0.2">
      <c r="B42" s="33"/>
      <c r="C42" s="41" t="s">
        <v>35</v>
      </c>
      <c r="D42" s="42">
        <f ca="1">M11</f>
        <v>42522</v>
      </c>
      <c r="E42" s="29"/>
      <c r="F42" s="29"/>
      <c r="G42" s="29"/>
      <c r="H42" s="29"/>
      <c r="I42" s="43"/>
      <c r="J42" s="29"/>
      <c r="K42" s="30"/>
    </row>
    <row r="43" spans="2:11" x14ac:dyDescent="0.2">
      <c r="B43" s="33"/>
      <c r="C43" s="29"/>
      <c r="D43" s="29"/>
      <c r="E43" s="29"/>
      <c r="F43" s="29"/>
      <c r="G43" s="29"/>
      <c r="H43" s="29"/>
      <c r="I43" s="29"/>
      <c r="J43" s="29"/>
      <c r="K43" s="30"/>
    </row>
    <row r="44" spans="2:11" x14ac:dyDescent="0.2">
      <c r="B44" s="33"/>
      <c r="C44" s="255" t="s">
        <v>36</v>
      </c>
      <c r="D44" s="255"/>
      <c r="E44" s="255"/>
      <c r="F44" s="29"/>
      <c r="G44" s="255" t="s">
        <v>37</v>
      </c>
      <c r="H44" s="255"/>
      <c r="I44" s="255"/>
      <c r="J44" s="29"/>
      <c r="K44" s="30"/>
    </row>
    <row r="45" spans="2:11" x14ac:dyDescent="0.2">
      <c r="B45" s="33"/>
      <c r="C45" s="29" t="s">
        <v>41</v>
      </c>
      <c r="D45" s="29"/>
      <c r="E45" s="45">
        <f ca="1">M14</f>
        <v>3500</v>
      </c>
      <c r="F45" s="44"/>
      <c r="G45" s="29" t="s">
        <v>58</v>
      </c>
      <c r="H45" s="29"/>
      <c r="I45" s="45">
        <f ca="1">M18</f>
        <v>444.84999999999997</v>
      </c>
      <c r="J45" s="29"/>
      <c r="K45" s="30"/>
    </row>
    <row r="46" spans="2:11" x14ac:dyDescent="0.2">
      <c r="B46" s="33"/>
      <c r="C46" s="29" t="s">
        <v>42</v>
      </c>
      <c r="D46" s="29"/>
      <c r="E46" s="37">
        <f ca="1">M15</f>
        <v>0</v>
      </c>
      <c r="F46" s="29"/>
      <c r="G46" s="29" t="s">
        <v>59</v>
      </c>
      <c r="H46" s="29"/>
      <c r="I46" s="45">
        <f ca="1">M19</f>
        <v>0</v>
      </c>
      <c r="J46" s="29"/>
      <c r="K46" s="30"/>
    </row>
    <row r="47" spans="2:11" x14ac:dyDescent="0.2">
      <c r="B47" s="33"/>
      <c r="C47" s="41" t="s">
        <v>11</v>
      </c>
      <c r="D47" s="41"/>
      <c r="E47" s="45">
        <f ca="1">M16</f>
        <v>0</v>
      </c>
      <c r="F47" s="29"/>
      <c r="G47" s="29" t="s">
        <v>60</v>
      </c>
      <c r="H47" s="29"/>
      <c r="I47" s="45">
        <f ca="1">M20</f>
        <v>0</v>
      </c>
      <c r="J47" s="29"/>
      <c r="K47" s="30"/>
    </row>
    <row r="48" spans="2:11" x14ac:dyDescent="0.2">
      <c r="B48" s="33"/>
      <c r="C48" s="41" t="s">
        <v>44</v>
      </c>
      <c r="D48" s="29"/>
      <c r="E48" s="37">
        <f ca="1">M17</f>
        <v>0</v>
      </c>
      <c r="F48" s="29"/>
      <c r="G48" s="41" t="s">
        <v>46</v>
      </c>
      <c r="H48" s="29"/>
      <c r="I48" s="37">
        <f ca="1">M21</f>
        <v>0</v>
      </c>
      <c r="J48" s="29"/>
      <c r="K48" s="30"/>
    </row>
    <row r="49" spans="2:13" x14ac:dyDescent="0.2">
      <c r="B49" s="33"/>
      <c r="C49" s="41"/>
      <c r="D49" s="29"/>
      <c r="E49" s="37"/>
      <c r="F49" s="29"/>
      <c r="G49" s="29"/>
      <c r="H49" s="29"/>
      <c r="I49" s="37"/>
      <c r="J49" s="29"/>
      <c r="K49" s="30"/>
    </row>
    <row r="50" spans="2:13" x14ac:dyDescent="0.2">
      <c r="B50" s="33"/>
      <c r="C50" s="29" t="s">
        <v>38</v>
      </c>
      <c r="D50" s="29"/>
      <c r="E50" s="46">
        <f ca="1">SUM(E45:E48)</f>
        <v>3500</v>
      </c>
      <c r="F50" s="29"/>
      <c r="G50" s="29" t="s">
        <v>39</v>
      </c>
      <c r="H50" s="29"/>
      <c r="I50" s="54">
        <f ca="1">SUM(I45:I48)</f>
        <v>444.84999999999997</v>
      </c>
      <c r="J50" s="29"/>
      <c r="K50" s="30"/>
    </row>
    <row r="51" spans="2:13" x14ac:dyDescent="0.2">
      <c r="B51" s="33"/>
      <c r="C51" s="29"/>
      <c r="D51" s="29"/>
      <c r="E51" s="37"/>
      <c r="F51" s="29"/>
      <c r="G51" s="29"/>
      <c r="H51" s="29"/>
      <c r="I51" s="29"/>
      <c r="J51" s="29"/>
      <c r="K51" s="30"/>
    </row>
    <row r="52" spans="2:13" ht="13.5" thickBot="1" x14ac:dyDescent="0.25">
      <c r="B52" s="33"/>
      <c r="C52" s="29" t="s">
        <v>62</v>
      </c>
      <c r="D52" s="29"/>
      <c r="E52" s="47">
        <f ca="1">E50-I50</f>
        <v>3055.15</v>
      </c>
      <c r="F52" s="29"/>
      <c r="G52" s="267"/>
      <c r="H52" s="267"/>
      <c r="I52" s="267"/>
      <c r="J52" s="29"/>
      <c r="K52" s="30"/>
    </row>
    <row r="53" spans="2:13" ht="13.5" thickTop="1" x14ac:dyDescent="0.2">
      <c r="B53" s="33"/>
      <c r="C53" s="29"/>
      <c r="D53" s="29"/>
      <c r="E53" s="37"/>
      <c r="F53" s="29"/>
      <c r="G53" s="267"/>
      <c r="H53" s="267"/>
      <c r="I53" s="267"/>
      <c r="J53" s="29"/>
      <c r="K53" s="30"/>
    </row>
    <row r="54" spans="2:13" x14ac:dyDescent="0.2">
      <c r="B54" s="33"/>
      <c r="C54" s="29"/>
      <c r="D54" s="29"/>
      <c r="E54" s="44"/>
      <c r="F54" s="29"/>
      <c r="G54" s="39"/>
      <c r="H54" s="29"/>
      <c r="I54" s="29"/>
      <c r="J54" s="29"/>
      <c r="K54" s="30"/>
    </row>
    <row r="55" spans="2:13" ht="16.5" customHeight="1" x14ac:dyDescent="0.2">
      <c r="B55" s="264" t="s">
        <v>157</v>
      </c>
      <c r="C55" s="265"/>
      <c r="D55" s="265"/>
      <c r="E55" s="265"/>
      <c r="F55" s="265"/>
      <c r="G55" s="265"/>
      <c r="H55" s="265"/>
      <c r="I55" s="265"/>
      <c r="J55" s="265"/>
      <c r="K55" s="266"/>
      <c r="M55" s="32"/>
    </row>
    <row r="56" spans="2:13" ht="16.5" customHeight="1" x14ac:dyDescent="0.2">
      <c r="B56" s="33"/>
      <c r="C56" s="29"/>
      <c r="D56" s="29"/>
      <c r="E56" s="29"/>
      <c r="F56" s="29"/>
      <c r="G56" s="29"/>
      <c r="H56" s="29"/>
      <c r="I56" s="29"/>
      <c r="J56" s="29"/>
      <c r="K56" s="30"/>
      <c r="M56" s="32"/>
    </row>
    <row r="57" spans="2:13" ht="16.5" customHeight="1" x14ac:dyDescent="0.2">
      <c r="B57" s="33"/>
      <c r="C57" s="29"/>
      <c r="D57" s="29"/>
      <c r="E57" s="29"/>
      <c r="F57" s="29"/>
      <c r="G57" s="29"/>
      <c r="H57" s="29"/>
      <c r="I57" s="29"/>
      <c r="J57" s="29"/>
      <c r="K57" s="30"/>
      <c r="M57" s="32"/>
    </row>
    <row r="58" spans="2:13" ht="16.5" customHeight="1" x14ac:dyDescent="0.2">
      <c r="B58" s="33"/>
      <c r="C58" s="29"/>
      <c r="D58" s="29"/>
      <c r="E58" s="29"/>
      <c r="F58" s="29"/>
      <c r="G58" s="29"/>
      <c r="H58" s="29"/>
      <c r="I58" s="29"/>
      <c r="J58" s="29"/>
      <c r="K58" s="30"/>
      <c r="M58" s="32"/>
    </row>
    <row r="59" spans="2:13" x14ac:dyDescent="0.2">
      <c r="B59" s="33"/>
      <c r="C59" s="29"/>
      <c r="D59" s="5"/>
      <c r="E59" s="5"/>
      <c r="F59" s="29"/>
      <c r="G59" s="29"/>
      <c r="H59" s="5"/>
      <c r="I59" s="5"/>
      <c r="J59" s="29"/>
      <c r="K59" s="30"/>
      <c r="M59" s="32"/>
    </row>
    <row r="60" spans="2:13" x14ac:dyDescent="0.2">
      <c r="B60" s="33"/>
      <c r="C60" s="29"/>
      <c r="D60" s="262" t="s">
        <v>40</v>
      </c>
      <c r="E60" s="262"/>
      <c r="F60" s="29"/>
      <c r="G60" s="29"/>
      <c r="H60" s="262" t="str">
        <f>+H29</f>
        <v>GERENTE GENERAL</v>
      </c>
      <c r="I60" s="262"/>
      <c r="J60" s="29"/>
      <c r="K60" s="30"/>
    </row>
    <row r="61" spans="2:13" ht="8.25" customHeight="1" thickBot="1" x14ac:dyDescent="0.25">
      <c r="B61" s="50"/>
      <c r="C61" s="51"/>
      <c r="D61" s="51"/>
      <c r="E61" s="51"/>
      <c r="F61" s="51"/>
      <c r="G61" s="51"/>
      <c r="H61" s="51"/>
      <c r="I61" s="51"/>
      <c r="J61" s="51"/>
      <c r="K61" s="52"/>
    </row>
  </sheetData>
  <mergeCells count="24">
    <mergeCell ref="B33:D33"/>
    <mergeCell ref="B34:D34"/>
    <mergeCell ref="I34:J34"/>
    <mergeCell ref="G21:I22"/>
    <mergeCell ref="D29:E29"/>
    <mergeCell ref="H29:I29"/>
    <mergeCell ref="B24:K24"/>
    <mergeCell ref="D60:E60"/>
    <mergeCell ref="H60:I60"/>
    <mergeCell ref="B55:K55"/>
    <mergeCell ref="B36:K36"/>
    <mergeCell ref="C44:E44"/>
    <mergeCell ref="G44:I44"/>
    <mergeCell ref="G52:I53"/>
    <mergeCell ref="B37:K37"/>
    <mergeCell ref="B1:D1"/>
    <mergeCell ref="B32:D32"/>
    <mergeCell ref="B2:D2"/>
    <mergeCell ref="C13:E13"/>
    <mergeCell ref="B3:D3"/>
    <mergeCell ref="B5:K5"/>
    <mergeCell ref="I3:J3"/>
    <mergeCell ref="B6:K6"/>
    <mergeCell ref="G13:I13"/>
  </mergeCells>
  <phoneticPr fontId="2" type="noConversion"/>
  <printOptions horizontalCentered="1"/>
  <pageMargins left="0.39370078740157483" right="0.39370078740157483" top="0.19685039370078741" bottom="0.19685039370078741" header="0" footer="0"/>
  <pageSetup scale="94" orientation="portrait" horizontalDpi="180" verticalDpi="18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zoomScale="70" zoomScaleNormal="70" workbookViewId="0">
      <selection activeCell="A14" sqref="A14"/>
    </sheetView>
  </sheetViews>
  <sheetFormatPr baseColWidth="10" defaultRowHeight="12.75" x14ac:dyDescent="0.2"/>
  <cols>
    <col min="1" max="1" width="5.7109375" style="142" customWidth="1"/>
    <col min="2" max="2" width="14.42578125" style="142" bestFit="1" customWidth="1"/>
    <col min="3" max="3" width="24.5703125" style="142" customWidth="1"/>
    <col min="4" max="4" width="17.28515625" style="142" bestFit="1" customWidth="1"/>
    <col min="5" max="5" width="13.28515625" style="142" bestFit="1" customWidth="1"/>
    <col min="6" max="6" width="11.42578125" style="142"/>
    <col min="7" max="7" width="11.85546875" style="210" bestFit="1" customWidth="1"/>
    <col min="8" max="8" width="13.28515625" style="142" bestFit="1" customWidth="1"/>
    <col min="9" max="9" width="14.42578125" style="142" customWidth="1"/>
    <col min="10" max="10" width="12.28515625" style="142" hidden="1" customWidth="1"/>
    <col min="11" max="11" width="12.28515625" style="142" customWidth="1"/>
    <col min="12" max="12" width="12.140625" style="142" hidden="1" customWidth="1"/>
    <col min="13" max="13" width="15.140625" style="142" customWidth="1"/>
    <col min="14" max="14" width="13.28515625" style="142" customWidth="1"/>
    <col min="15" max="15" width="13.140625" style="142" customWidth="1"/>
    <col min="16" max="16" width="13.42578125" style="142" customWidth="1"/>
    <col min="17" max="17" width="12.42578125" style="142" customWidth="1"/>
    <col min="18" max="16384" width="11.42578125" style="142"/>
  </cols>
  <sheetData>
    <row r="1" spans="1:26" ht="15.75" x14ac:dyDescent="0.25">
      <c r="A1" s="296" t="s">
        <v>119</v>
      </c>
      <c r="B1" s="296"/>
      <c r="C1" s="296"/>
      <c r="D1" s="180" t="s">
        <v>120</v>
      </c>
      <c r="F1" s="181"/>
      <c r="G1" s="181"/>
      <c r="H1" s="182"/>
    </row>
    <row r="2" spans="1:26" ht="15.75" x14ac:dyDescent="0.25">
      <c r="A2" s="296" t="s">
        <v>121</v>
      </c>
      <c r="B2" s="296"/>
      <c r="C2" s="296"/>
      <c r="D2" s="297">
        <v>254946027</v>
      </c>
      <c r="E2" s="297"/>
      <c r="F2" s="183"/>
      <c r="G2" s="183"/>
      <c r="H2" s="182"/>
    </row>
    <row r="3" spans="1:26" ht="15.75" x14ac:dyDescent="0.25">
      <c r="A3" s="296" t="s">
        <v>80</v>
      </c>
      <c r="B3" s="296"/>
      <c r="C3" s="296"/>
      <c r="D3" s="297" t="s">
        <v>83</v>
      </c>
      <c r="E3" s="297"/>
      <c r="F3" s="183"/>
      <c r="G3" s="183"/>
      <c r="H3" s="182"/>
    </row>
    <row r="4" spans="1:26" ht="15.75" x14ac:dyDescent="0.25">
      <c r="A4" s="296"/>
      <c r="B4" s="296"/>
      <c r="C4" s="296"/>
      <c r="D4" s="183"/>
      <c r="E4" s="183"/>
      <c r="F4" s="184"/>
      <c r="G4" s="183"/>
      <c r="H4" s="182"/>
    </row>
    <row r="5" spans="1:26" ht="15.75" x14ac:dyDescent="0.25">
      <c r="A5" s="280" t="s">
        <v>139</v>
      </c>
      <c r="B5" s="28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185"/>
      <c r="S5" s="185"/>
      <c r="T5" s="185"/>
      <c r="U5" s="185"/>
      <c r="V5" s="185"/>
      <c r="W5" s="185"/>
      <c r="X5" s="185"/>
      <c r="Y5" s="185"/>
      <c r="Z5" s="185"/>
    </row>
    <row r="6" spans="1:26" ht="15.75" x14ac:dyDescent="0.25">
      <c r="A6" s="186"/>
      <c r="B6" s="186"/>
      <c r="C6" s="186"/>
      <c r="D6" s="186"/>
      <c r="E6" s="186"/>
      <c r="F6" s="186" t="str">
        <f>+PSUELDOS!K2</f>
        <v>Correspondiente al mes:</v>
      </c>
      <c r="G6" s="186"/>
      <c r="H6" s="186"/>
      <c r="I6" s="186" t="str">
        <f>+PSUELDOS!P2</f>
        <v>FEBRERO</v>
      </c>
      <c r="J6" s="186"/>
      <c r="K6" s="186">
        <f>+PSUELDOS!R2</f>
        <v>2017</v>
      </c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</row>
    <row r="7" spans="1:26" ht="16.5" customHeight="1" x14ac:dyDescent="0.25">
      <c r="A7" s="281" t="s">
        <v>78</v>
      </c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186"/>
      <c r="S7" s="186"/>
      <c r="T7" s="186"/>
      <c r="U7" s="186"/>
      <c r="V7" s="186"/>
      <c r="W7" s="186"/>
      <c r="X7" s="186"/>
      <c r="Y7" s="186"/>
      <c r="Z7" s="186"/>
    </row>
    <row r="8" spans="1:26" ht="16.5" customHeight="1" thickBot="1" x14ac:dyDescent="0.3">
      <c r="A8" s="187"/>
      <c r="B8" s="187"/>
      <c r="C8" s="187"/>
      <c r="D8" s="187"/>
      <c r="E8" s="187"/>
      <c r="F8" s="187"/>
      <c r="G8" s="188"/>
      <c r="H8" s="182"/>
    </row>
    <row r="9" spans="1:26" ht="26.25" customHeight="1" thickBot="1" x14ac:dyDescent="0.25">
      <c r="A9" s="282" t="s">
        <v>122</v>
      </c>
      <c r="B9" s="285" t="s">
        <v>123</v>
      </c>
      <c r="C9" s="285" t="s">
        <v>124</v>
      </c>
      <c r="D9" s="285" t="s">
        <v>33</v>
      </c>
      <c r="E9" s="285" t="s">
        <v>2</v>
      </c>
      <c r="F9" s="285" t="s">
        <v>125</v>
      </c>
      <c r="G9" s="285" t="s">
        <v>126</v>
      </c>
      <c r="H9" s="270" t="s">
        <v>127</v>
      </c>
      <c r="I9" s="288"/>
      <c r="J9" s="288"/>
      <c r="K9" s="288"/>
      <c r="L9" s="289"/>
      <c r="M9" s="290" t="s">
        <v>128</v>
      </c>
      <c r="N9" s="292" t="s">
        <v>129</v>
      </c>
      <c r="O9" s="289"/>
      <c r="P9" s="293" t="s">
        <v>130</v>
      </c>
      <c r="Q9" s="293" t="s">
        <v>131</v>
      </c>
    </row>
    <row r="10" spans="1:26" ht="39.75" customHeight="1" x14ac:dyDescent="0.2">
      <c r="A10" s="283"/>
      <c r="B10" s="286"/>
      <c r="C10" s="286"/>
      <c r="D10" s="286"/>
      <c r="E10" s="286"/>
      <c r="F10" s="286"/>
      <c r="G10" s="286"/>
      <c r="H10" s="293" t="s">
        <v>132</v>
      </c>
      <c r="I10" s="270" t="s">
        <v>133</v>
      </c>
      <c r="J10" s="278"/>
      <c r="K10" s="270" t="s">
        <v>134</v>
      </c>
      <c r="L10" s="278"/>
      <c r="M10" s="291"/>
      <c r="N10" s="293" t="s">
        <v>135</v>
      </c>
      <c r="O10" s="270" t="s">
        <v>136</v>
      </c>
      <c r="P10" s="294"/>
      <c r="Q10" s="294"/>
    </row>
    <row r="11" spans="1:26" s="189" customFormat="1" ht="36" customHeight="1" thickBot="1" x14ac:dyDescent="0.25">
      <c r="A11" s="284"/>
      <c r="B11" s="287"/>
      <c r="C11" s="287"/>
      <c r="D11" s="287"/>
      <c r="E11" s="287"/>
      <c r="F11" s="287"/>
      <c r="G11" s="287"/>
      <c r="H11" s="295"/>
      <c r="I11" s="271"/>
      <c r="J11" s="279"/>
      <c r="K11" s="271"/>
      <c r="L11" s="279"/>
      <c r="M11" s="291"/>
      <c r="N11" s="295"/>
      <c r="O11" s="271"/>
      <c r="P11" s="294"/>
      <c r="Q11" s="294"/>
    </row>
    <row r="12" spans="1:26" ht="15.75" customHeight="1" x14ac:dyDescent="0.25">
      <c r="A12" s="190"/>
      <c r="B12" s="190"/>
      <c r="C12" s="190"/>
      <c r="D12" s="190"/>
      <c r="E12" s="190"/>
      <c r="F12" s="190"/>
      <c r="G12" s="190"/>
      <c r="H12" s="191">
        <v>0.1</v>
      </c>
      <c r="I12" s="272">
        <v>4.7100000000000003E-2</v>
      </c>
      <c r="J12" s="273"/>
      <c r="K12" s="274">
        <v>0.02</v>
      </c>
      <c r="L12" s="275"/>
      <c r="M12" s="291"/>
      <c r="N12" s="192">
        <v>8.3299999999999999E-2</v>
      </c>
      <c r="O12" s="192">
        <v>8.3299999999999999E-2</v>
      </c>
      <c r="P12" s="294"/>
      <c r="Q12" s="294"/>
    </row>
    <row r="13" spans="1:26" s="200" customFormat="1" ht="45" customHeight="1" x14ac:dyDescent="0.2">
      <c r="A13" s="201">
        <v>1</v>
      </c>
      <c r="B13" s="194" t="str">
        <f>+PSUELDOS!C12</f>
        <v>E-13509198</v>
      </c>
      <c r="C13" s="194" t="str">
        <f>+PSUELDOS!D12</f>
        <v>Coviella Vasconcelos Marlene de las Mercedes</v>
      </c>
      <c r="D13" s="194" t="str">
        <f>+PSUELDOS!H12</f>
        <v>Coodinadora de Marketing</v>
      </c>
      <c r="E13" s="195">
        <f>+PSUELDOS!I12</f>
        <v>42675</v>
      </c>
      <c r="F13" s="193">
        <f>+PSUELDOS!L12</f>
        <v>30</v>
      </c>
      <c r="G13" s="196">
        <f>+PSUELDOS!U12</f>
        <v>7383</v>
      </c>
      <c r="H13" s="197">
        <f t="shared" ref="H13:H17" si="0">G13*$H$12</f>
        <v>738.30000000000007</v>
      </c>
      <c r="I13" s="198">
        <f t="shared" ref="I13:I17" si="1">G13*$I$12</f>
        <v>347.73930000000001</v>
      </c>
      <c r="J13" s="202" t="s">
        <v>137</v>
      </c>
      <c r="K13" s="198">
        <f t="shared" ref="K13:K17" si="2">G13*$K$12</f>
        <v>147.66</v>
      </c>
      <c r="L13" s="202" t="s">
        <v>137</v>
      </c>
      <c r="M13" s="202">
        <f t="shared" ref="M13" si="3">SUM(H13:L13)</f>
        <v>1233.6993000000002</v>
      </c>
      <c r="N13" s="203">
        <f t="shared" ref="N13:N17" si="4">+G13/12</f>
        <v>615.25</v>
      </c>
      <c r="O13" s="204">
        <f t="shared" ref="O13:O17" si="5">G13/12</f>
        <v>615.25</v>
      </c>
      <c r="P13" s="204">
        <f t="shared" ref="P13" si="6">N13+O13</f>
        <v>1230.5</v>
      </c>
      <c r="Q13" s="204">
        <f t="shared" ref="Q13" si="7">M13+P13</f>
        <v>2464.1993000000002</v>
      </c>
    </row>
    <row r="14" spans="1:26" s="200" customFormat="1" ht="45" customHeight="1" x14ac:dyDescent="0.2">
      <c r="A14" s="201">
        <f t="shared" ref="A14:A18" si="8">+A13+1</f>
        <v>2</v>
      </c>
      <c r="B14" s="194" t="str">
        <f>+PSUELDOS!C13</f>
        <v>10157272-E</v>
      </c>
      <c r="C14" s="194" t="str">
        <f>+PSUELDOS!D13</f>
        <v>Alena Guerra Dagner</v>
      </c>
      <c r="D14" s="194" t="str">
        <f>+PSUELDOS!H13</f>
        <v>Técnico Sistemas</v>
      </c>
      <c r="E14" s="195">
        <f>+PSUELDOS!I13</f>
        <v>42522</v>
      </c>
      <c r="F14" s="193">
        <f>+PSUELDOS!L13</f>
        <v>30</v>
      </c>
      <c r="G14" s="196">
        <f>+PSUELDOS!U13</f>
        <v>3500</v>
      </c>
      <c r="H14" s="197">
        <f t="shared" si="0"/>
        <v>350</v>
      </c>
      <c r="I14" s="198">
        <f t="shared" si="1"/>
        <v>164.85000000000002</v>
      </c>
      <c r="J14" s="198" t="s">
        <v>137</v>
      </c>
      <c r="K14" s="198">
        <f t="shared" si="2"/>
        <v>70</v>
      </c>
      <c r="L14" s="198" t="s">
        <v>137</v>
      </c>
      <c r="M14" s="198">
        <f>SUM(H14:L14)</f>
        <v>584.85</v>
      </c>
      <c r="N14" s="199">
        <f t="shared" si="4"/>
        <v>291.66666666666669</v>
      </c>
      <c r="O14" s="197">
        <f t="shared" si="5"/>
        <v>291.66666666666669</v>
      </c>
      <c r="P14" s="197">
        <f>N14+O14</f>
        <v>583.33333333333337</v>
      </c>
      <c r="Q14" s="197">
        <f>M14+P14</f>
        <v>1168.1833333333334</v>
      </c>
    </row>
    <row r="15" spans="1:26" s="200" customFormat="1" ht="45" customHeight="1" x14ac:dyDescent="0.2">
      <c r="A15" s="201">
        <f t="shared" si="8"/>
        <v>3</v>
      </c>
      <c r="B15" s="194" t="str">
        <f>+PSUELDOS!C14</f>
        <v>4281563 LP</v>
      </c>
      <c r="C15" s="194" t="str">
        <f>+PSUELDOS!D14</f>
        <v>Paula Luisa Rivas Quispe</v>
      </c>
      <c r="D15" s="194" t="str">
        <f>+PSUELDOS!H14</f>
        <v>Auxliar Oficina</v>
      </c>
      <c r="E15" s="195">
        <f>+PSUELDOS!I14</f>
        <v>42675</v>
      </c>
      <c r="F15" s="193">
        <f>+PSUELDOS!L14</f>
        <v>30</v>
      </c>
      <c r="G15" s="196">
        <f>+PSUELDOS!U14</f>
        <v>2637.55</v>
      </c>
      <c r="H15" s="197">
        <f t="shared" si="0"/>
        <v>263.75500000000005</v>
      </c>
      <c r="I15" s="198">
        <f t="shared" si="1"/>
        <v>124.22860500000002</v>
      </c>
      <c r="J15" s="202" t="s">
        <v>137</v>
      </c>
      <c r="K15" s="198">
        <f t="shared" si="2"/>
        <v>52.751000000000005</v>
      </c>
      <c r="L15" s="202" t="s">
        <v>137</v>
      </c>
      <c r="M15" s="202">
        <f>SUM(H15:L15)</f>
        <v>440.7346050000001</v>
      </c>
      <c r="N15" s="203">
        <f t="shared" si="4"/>
        <v>219.79583333333335</v>
      </c>
      <c r="O15" s="204">
        <f t="shared" si="5"/>
        <v>219.79583333333335</v>
      </c>
      <c r="P15" s="204">
        <f>N15+O15</f>
        <v>439.5916666666667</v>
      </c>
      <c r="Q15" s="204">
        <f>M15+P15</f>
        <v>880.3262716666668</v>
      </c>
    </row>
    <row r="16" spans="1:26" s="200" customFormat="1" ht="45" customHeight="1" x14ac:dyDescent="0.2">
      <c r="A16" s="201">
        <f t="shared" si="8"/>
        <v>4</v>
      </c>
      <c r="B16" s="194" t="str">
        <f>+PSUELDOS!C15</f>
        <v>4551814 SC</v>
      </c>
      <c r="C16" s="194" t="str">
        <f>+PSUELDOS!D15</f>
        <v>Mancilla Surubi Mercedes</v>
      </c>
      <c r="D16" s="194" t="str">
        <f>+PSUELDOS!H15</f>
        <v>Auxliar Oficina</v>
      </c>
      <c r="E16" s="195">
        <f>+PSUELDOS!I15</f>
        <v>42675</v>
      </c>
      <c r="F16" s="193">
        <f>+PSUELDOS!L15</f>
        <v>30</v>
      </c>
      <c r="G16" s="196">
        <f>+PSUELDOS!U15</f>
        <v>2023.3700000000001</v>
      </c>
      <c r="H16" s="197">
        <f t="shared" si="0"/>
        <v>202.33700000000002</v>
      </c>
      <c r="I16" s="198">
        <f t="shared" si="1"/>
        <v>95.300727000000009</v>
      </c>
      <c r="J16" s="202" t="s">
        <v>137</v>
      </c>
      <c r="K16" s="198">
        <f t="shared" si="2"/>
        <v>40.467400000000005</v>
      </c>
      <c r="L16" s="202" t="s">
        <v>137</v>
      </c>
      <c r="M16" s="202">
        <f t="shared" ref="M16" si="9">SUM(H16:L16)</f>
        <v>338.10512700000004</v>
      </c>
      <c r="N16" s="203">
        <f t="shared" si="4"/>
        <v>168.61416666666668</v>
      </c>
      <c r="O16" s="204">
        <f t="shared" si="5"/>
        <v>168.61416666666668</v>
      </c>
      <c r="P16" s="204">
        <f t="shared" ref="P16" si="10">N16+O16</f>
        <v>337.22833333333335</v>
      </c>
      <c r="Q16" s="204">
        <f t="shared" ref="Q16" si="11">M16+P16</f>
        <v>675.33346033333339</v>
      </c>
    </row>
    <row r="17" spans="1:17" s="200" customFormat="1" ht="45" customHeight="1" x14ac:dyDescent="0.2">
      <c r="A17" s="201">
        <f t="shared" si="8"/>
        <v>5</v>
      </c>
      <c r="B17" s="194" t="str">
        <f>+PSUELDOS!C16</f>
        <v>4322964 LP</v>
      </c>
      <c r="C17" s="194" t="str">
        <f>+PSUELDOS!D16</f>
        <v>Luque Huanca Alfredo</v>
      </c>
      <c r="D17" s="194" t="str">
        <f>+PSUELDOS!H16</f>
        <v>Auxliar Oficina</v>
      </c>
      <c r="E17" s="195">
        <f>+PSUELDOS!I16</f>
        <v>42675</v>
      </c>
      <c r="F17" s="193">
        <f>+PSUELDOS!L16</f>
        <v>30</v>
      </c>
      <c r="G17" s="196">
        <f>+PSUELDOS!U16</f>
        <v>3784</v>
      </c>
      <c r="H17" s="197">
        <f t="shared" si="0"/>
        <v>378.40000000000003</v>
      </c>
      <c r="I17" s="198">
        <f t="shared" si="1"/>
        <v>178.22640000000001</v>
      </c>
      <c r="J17" s="202" t="s">
        <v>137</v>
      </c>
      <c r="K17" s="198">
        <f t="shared" si="2"/>
        <v>75.680000000000007</v>
      </c>
      <c r="L17" s="202" t="s">
        <v>137</v>
      </c>
      <c r="M17" s="202">
        <f>SUM(H17:L17)</f>
        <v>632.30640000000017</v>
      </c>
      <c r="N17" s="203">
        <f t="shared" si="4"/>
        <v>315.33333333333331</v>
      </c>
      <c r="O17" s="204">
        <f t="shared" si="5"/>
        <v>315.33333333333331</v>
      </c>
      <c r="P17" s="204">
        <f>N17+O17</f>
        <v>630.66666666666663</v>
      </c>
      <c r="Q17" s="204">
        <f>M17+P17</f>
        <v>1262.9730666666669</v>
      </c>
    </row>
    <row r="18" spans="1:17" s="200" customFormat="1" ht="45" customHeight="1" x14ac:dyDescent="0.2">
      <c r="A18" s="201">
        <f t="shared" si="8"/>
        <v>6</v>
      </c>
      <c r="B18" s="194" t="str">
        <f>+PSUELDOS!C17</f>
        <v>4693042 SC</v>
      </c>
      <c r="C18" s="194" t="str">
        <f>+PSUELDOS!D17</f>
        <v>Eliana Maricela Quispe Loayza</v>
      </c>
      <c r="D18" s="194" t="str">
        <f>+PSUELDOS!H17</f>
        <v>Contadora</v>
      </c>
      <c r="E18" s="195">
        <f>+PSUELDOS!I17</f>
        <v>42856</v>
      </c>
      <c r="F18" s="193">
        <f>+PSUELDOS!L17</f>
        <v>30</v>
      </c>
      <c r="G18" s="196">
        <f>+PSUELDOS!U17</f>
        <v>2000.0000000000002</v>
      </c>
      <c r="H18" s="197">
        <f t="shared" ref="H18" si="12">G18*$H$12</f>
        <v>200.00000000000003</v>
      </c>
      <c r="I18" s="198">
        <f t="shared" ref="I18" si="13">G18*$I$12</f>
        <v>94.200000000000017</v>
      </c>
      <c r="J18" s="202" t="s">
        <v>137</v>
      </c>
      <c r="K18" s="198">
        <f t="shared" ref="K18" si="14">G18*$K$12</f>
        <v>40.000000000000007</v>
      </c>
      <c r="L18" s="202" t="s">
        <v>137</v>
      </c>
      <c r="M18" s="202">
        <f>SUM(H18:L18)</f>
        <v>334.20000000000005</v>
      </c>
      <c r="N18" s="203">
        <f t="shared" ref="N18" si="15">+G18/12</f>
        <v>166.66666666666669</v>
      </c>
      <c r="O18" s="204">
        <f t="shared" ref="O18" si="16">G18/12</f>
        <v>166.66666666666669</v>
      </c>
      <c r="P18" s="204">
        <f>N18+O18</f>
        <v>333.33333333333337</v>
      </c>
      <c r="Q18" s="204">
        <f>M18+P18</f>
        <v>667.53333333333342</v>
      </c>
    </row>
    <row r="19" spans="1:17" s="200" customFormat="1" ht="19.5" customHeight="1" thickBot="1" x14ac:dyDescent="0.25">
      <c r="A19" s="205"/>
      <c r="B19" s="205"/>
      <c r="C19" s="205"/>
      <c r="D19" s="205"/>
      <c r="E19" s="206"/>
      <c r="F19" s="205"/>
      <c r="G19" s="205"/>
      <c r="H19" s="207"/>
    </row>
    <row r="20" spans="1:17" ht="23.25" customHeight="1" thickBot="1" x14ac:dyDescent="0.25">
      <c r="A20" s="276" t="s">
        <v>138</v>
      </c>
      <c r="B20" s="277"/>
      <c r="C20" s="277"/>
      <c r="D20" s="277"/>
      <c r="E20" s="277"/>
      <c r="F20" s="277"/>
      <c r="G20" s="277"/>
      <c r="H20" s="208">
        <f t="shared" ref="H20:Q20" si="17">SUM(H13:H18)</f>
        <v>2132.7920000000004</v>
      </c>
      <c r="I20" s="208">
        <f t="shared" si="17"/>
        <v>1004.5450320000002</v>
      </c>
      <c r="J20" s="208">
        <f t="shared" si="17"/>
        <v>0</v>
      </c>
      <c r="K20" s="208">
        <f t="shared" si="17"/>
        <v>426.55840000000001</v>
      </c>
      <c r="L20" s="208">
        <f t="shared" si="17"/>
        <v>0</v>
      </c>
      <c r="M20" s="208">
        <f t="shared" si="17"/>
        <v>3563.8954320000003</v>
      </c>
      <c r="N20" s="208">
        <f t="shared" si="17"/>
        <v>1777.3266666666668</v>
      </c>
      <c r="O20" s="208">
        <f t="shared" si="17"/>
        <v>1777.3266666666668</v>
      </c>
      <c r="P20" s="208">
        <f t="shared" si="17"/>
        <v>3554.6533333333336</v>
      </c>
      <c r="Q20" s="208">
        <f t="shared" si="17"/>
        <v>7118.5487653333339</v>
      </c>
    </row>
    <row r="21" spans="1:17" ht="15" x14ac:dyDescent="0.2">
      <c r="A21" s="184"/>
      <c r="B21" s="184"/>
      <c r="C21" s="184"/>
      <c r="D21" s="184"/>
      <c r="E21" s="184"/>
      <c r="F21" s="184"/>
      <c r="G21" s="183"/>
      <c r="H21" s="182"/>
    </row>
    <row r="22" spans="1:17" ht="15" x14ac:dyDescent="0.2">
      <c r="A22" s="184"/>
      <c r="B22" s="184"/>
      <c r="C22" s="184"/>
      <c r="D22" s="184"/>
      <c r="E22" s="184"/>
      <c r="F22" s="184"/>
      <c r="G22" s="183"/>
      <c r="H22" s="182"/>
      <c r="L22" s="209"/>
      <c r="M22" s="209"/>
    </row>
    <row r="23" spans="1:17" ht="15" x14ac:dyDescent="0.2">
      <c r="A23" s="184"/>
      <c r="B23" s="184"/>
      <c r="C23" s="184"/>
      <c r="D23" s="184"/>
      <c r="E23" s="184"/>
      <c r="F23" s="184"/>
      <c r="G23" s="183"/>
      <c r="H23" s="182"/>
      <c r="I23" s="209"/>
    </row>
    <row r="24" spans="1:17" ht="15" x14ac:dyDescent="0.2">
      <c r="A24" s="184"/>
      <c r="B24" s="184"/>
      <c r="C24" s="184"/>
      <c r="D24" s="184"/>
      <c r="E24" s="184"/>
      <c r="F24" s="184"/>
      <c r="G24" s="183"/>
      <c r="H24" s="182"/>
    </row>
    <row r="25" spans="1:17" ht="15" x14ac:dyDescent="0.2">
      <c r="A25" s="184"/>
      <c r="B25" s="184"/>
      <c r="C25" s="184"/>
      <c r="D25" s="184"/>
      <c r="E25" s="184"/>
      <c r="F25" s="184"/>
      <c r="G25" s="183"/>
      <c r="H25" s="182"/>
    </row>
    <row r="26" spans="1:17" ht="15" x14ac:dyDescent="0.2">
      <c r="A26" s="184"/>
      <c r="B26" s="184"/>
      <c r="C26" s="184"/>
      <c r="D26" s="184"/>
      <c r="E26" s="184"/>
      <c r="F26" s="184"/>
      <c r="G26" s="183"/>
      <c r="H26" s="182"/>
    </row>
    <row r="27" spans="1:17" ht="15" x14ac:dyDescent="0.2">
      <c r="A27" s="184"/>
      <c r="B27" s="184"/>
      <c r="C27" s="184"/>
      <c r="D27" s="184"/>
      <c r="E27" s="184"/>
      <c r="F27" s="184"/>
      <c r="G27" s="183"/>
      <c r="H27" s="182"/>
    </row>
    <row r="28" spans="1:17" ht="15" x14ac:dyDescent="0.2">
      <c r="A28" s="184"/>
      <c r="B28" s="184"/>
      <c r="C28" s="184"/>
      <c r="D28" s="184"/>
      <c r="E28" s="184"/>
      <c r="F28" s="184"/>
      <c r="G28" s="183"/>
      <c r="H28" s="182"/>
    </row>
  </sheetData>
  <mergeCells count="28">
    <mergeCell ref="A4:C4"/>
    <mergeCell ref="A1:C1"/>
    <mergeCell ref="A2:C2"/>
    <mergeCell ref="D2:E2"/>
    <mergeCell ref="A3:C3"/>
    <mergeCell ref="D3:E3"/>
    <mergeCell ref="A5:Q5"/>
    <mergeCell ref="A7:Q7"/>
    <mergeCell ref="A9:A11"/>
    <mergeCell ref="B9:B11"/>
    <mergeCell ref="C9:C11"/>
    <mergeCell ref="D9:D11"/>
    <mergeCell ref="E9:E11"/>
    <mergeCell ref="F9:F11"/>
    <mergeCell ref="G9:G11"/>
    <mergeCell ref="H9:L9"/>
    <mergeCell ref="M9:M12"/>
    <mergeCell ref="N9:O9"/>
    <mergeCell ref="P9:P12"/>
    <mergeCell ref="Q9:Q12"/>
    <mergeCell ref="H10:H11"/>
    <mergeCell ref="N10:N11"/>
    <mergeCell ref="O10:O11"/>
    <mergeCell ref="I12:J12"/>
    <mergeCell ref="K12:L12"/>
    <mergeCell ref="A20:G20"/>
    <mergeCell ref="I10:J11"/>
    <mergeCell ref="K10:L11"/>
  </mergeCells>
  <pageMargins left="0.39370078740157483" right="0.39370078740157483" top="0.74803149606299213" bottom="0.74803149606299213" header="0.31496062992125984" footer="0.31496062992125984"/>
  <pageSetup scale="5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view="pageBreakPreview" zoomScaleSheetLayoutView="100" workbookViewId="0">
      <selection activeCell="B14" sqref="B14"/>
    </sheetView>
  </sheetViews>
  <sheetFormatPr baseColWidth="10" defaultRowHeight="12.75" x14ac:dyDescent="0.2"/>
  <cols>
    <col min="1" max="1" width="3.7109375" style="143" bestFit="1" customWidth="1"/>
    <col min="2" max="2" width="30.140625" style="145" customWidth="1"/>
    <col min="3" max="5" width="8.7109375" style="145" customWidth="1"/>
    <col min="6" max="6" width="8.7109375" style="146" customWidth="1"/>
    <col min="7" max="10" width="8.7109375" style="145" customWidth="1"/>
    <col min="11" max="11" width="11.7109375" style="143" customWidth="1"/>
    <col min="12" max="12" width="8.140625" style="143" bestFit="1" customWidth="1"/>
    <col min="13" max="13" width="7.7109375" style="143" customWidth="1"/>
    <col min="14" max="15" width="9.7109375" style="145" customWidth="1"/>
    <col min="16" max="16" width="9.7109375" style="146" customWidth="1"/>
    <col min="17" max="17" width="9.7109375" style="145" customWidth="1"/>
    <col min="18" max="16384" width="11.42578125" style="142"/>
  </cols>
  <sheetData>
    <row r="2" spans="1:18" ht="20.25" x14ac:dyDescent="0.3">
      <c r="A2" s="300" t="s">
        <v>116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</row>
    <row r="3" spans="1:18" ht="20.25" x14ac:dyDescent="0.3">
      <c r="A3" s="179"/>
      <c r="B3" s="179"/>
      <c r="C3" s="179"/>
      <c r="D3" s="142"/>
      <c r="E3" s="179" t="s">
        <v>117</v>
      </c>
      <c r="F3" s="179"/>
      <c r="G3" s="179"/>
      <c r="H3" s="179"/>
      <c r="I3" s="142"/>
      <c r="J3" s="179" t="s">
        <v>151</v>
      </c>
      <c r="K3" s="179"/>
      <c r="L3" s="179">
        <f>+PSUELDOS!R2</f>
        <v>2017</v>
      </c>
      <c r="M3" s="179"/>
      <c r="N3" s="179"/>
      <c r="O3" s="179"/>
      <c r="P3" s="179"/>
      <c r="Q3" s="179"/>
    </row>
    <row r="4" spans="1:18" x14ac:dyDescent="0.2">
      <c r="A4" s="301" t="s">
        <v>118</v>
      </c>
      <c r="B4" s="301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</row>
    <row r="5" spans="1:18" x14ac:dyDescent="0.2">
      <c r="B5" s="144" t="s">
        <v>88</v>
      </c>
      <c r="H5" s="147"/>
      <c r="I5" s="148" t="s">
        <v>150</v>
      </c>
      <c r="J5" s="148"/>
      <c r="K5" s="212">
        <v>2.2259799999999998</v>
      </c>
      <c r="L5" s="223"/>
      <c r="M5" s="145"/>
      <c r="O5" s="149"/>
    </row>
    <row r="6" spans="1:18" ht="15" x14ac:dyDescent="0.2">
      <c r="B6" s="144" t="s">
        <v>89</v>
      </c>
      <c r="C6" s="297"/>
      <c r="D6" s="297"/>
      <c r="E6" s="144"/>
      <c r="H6" s="147"/>
      <c r="I6" s="148" t="s">
        <v>152</v>
      </c>
      <c r="J6" s="148"/>
      <c r="K6" s="212">
        <v>0</v>
      </c>
      <c r="L6" s="215"/>
      <c r="M6" s="223"/>
    </row>
    <row r="7" spans="1:18" ht="13.5" thickBot="1" x14ac:dyDescent="0.25"/>
    <row r="8" spans="1:18" ht="13.5" thickBot="1" x14ac:dyDescent="0.25">
      <c r="A8" s="150">
        <v>1</v>
      </c>
      <c r="B8" s="151">
        <v>2</v>
      </c>
      <c r="C8" s="151">
        <v>3</v>
      </c>
      <c r="D8" s="151">
        <v>4</v>
      </c>
      <c r="E8" s="151">
        <v>5</v>
      </c>
      <c r="F8" s="152">
        <v>6</v>
      </c>
      <c r="G8" s="151">
        <v>7</v>
      </c>
      <c r="H8" s="151">
        <v>8</v>
      </c>
      <c r="I8" s="151">
        <v>9</v>
      </c>
      <c r="J8" s="151">
        <v>10</v>
      </c>
      <c r="K8" s="150">
        <v>11</v>
      </c>
      <c r="L8" s="150">
        <v>12</v>
      </c>
      <c r="M8" s="150">
        <v>13</v>
      </c>
      <c r="N8" s="151">
        <v>14</v>
      </c>
      <c r="O8" s="151">
        <v>15</v>
      </c>
      <c r="P8" s="152">
        <v>16</v>
      </c>
      <c r="Q8" s="151">
        <v>17</v>
      </c>
    </row>
    <row r="9" spans="1:18" s="143" customFormat="1" ht="23.25" customHeight="1" thickBot="1" x14ac:dyDescent="0.25">
      <c r="A9" s="302" t="s">
        <v>90</v>
      </c>
      <c r="B9" s="153" t="s">
        <v>91</v>
      </c>
      <c r="C9" s="153" t="s">
        <v>92</v>
      </c>
      <c r="D9" s="153" t="s">
        <v>93</v>
      </c>
      <c r="E9" s="153" t="s">
        <v>94</v>
      </c>
      <c r="F9" s="154" t="s">
        <v>95</v>
      </c>
      <c r="G9" s="153" t="s">
        <v>96</v>
      </c>
      <c r="H9" s="155">
        <v>0.13</v>
      </c>
      <c r="I9" s="304" t="s">
        <v>97</v>
      </c>
      <c r="J9" s="305"/>
      <c r="K9" s="306" t="s">
        <v>98</v>
      </c>
      <c r="L9" s="307"/>
      <c r="M9" s="307"/>
      <c r="N9" s="153" t="s">
        <v>99</v>
      </c>
      <c r="O9" s="153" t="s">
        <v>100</v>
      </c>
      <c r="P9" s="154" t="s">
        <v>101</v>
      </c>
      <c r="Q9" s="153" t="s">
        <v>102</v>
      </c>
      <c r="R9" s="156"/>
    </row>
    <row r="10" spans="1:18" s="143" customFormat="1" ht="13.5" thickBot="1" x14ac:dyDescent="0.25">
      <c r="A10" s="303"/>
      <c r="B10" s="157" t="s">
        <v>103</v>
      </c>
      <c r="C10" s="157" t="s">
        <v>104</v>
      </c>
      <c r="D10" s="157" t="s">
        <v>105</v>
      </c>
      <c r="E10" s="157" t="s">
        <v>105</v>
      </c>
      <c r="F10" s="158">
        <v>0.13</v>
      </c>
      <c r="G10" s="157">
        <v>110</v>
      </c>
      <c r="H10" s="157" t="s">
        <v>106</v>
      </c>
      <c r="I10" s="159" t="s">
        <v>107</v>
      </c>
      <c r="J10" s="159" t="s">
        <v>108</v>
      </c>
      <c r="K10" s="160" t="s">
        <v>109</v>
      </c>
      <c r="L10" s="161" t="s">
        <v>110</v>
      </c>
      <c r="M10" s="162" t="s">
        <v>111</v>
      </c>
      <c r="N10" s="157" t="s">
        <v>108</v>
      </c>
      <c r="O10" s="157" t="s">
        <v>112</v>
      </c>
      <c r="P10" s="163" t="s">
        <v>113</v>
      </c>
      <c r="Q10" s="157" t="s">
        <v>114</v>
      </c>
      <c r="R10" s="156"/>
    </row>
    <row r="11" spans="1:18" x14ac:dyDescent="0.2">
      <c r="A11" s="164"/>
      <c r="B11" s="165"/>
      <c r="C11" s="165"/>
      <c r="D11" s="165"/>
      <c r="E11" s="165"/>
      <c r="F11" s="166"/>
      <c r="G11" s="165"/>
      <c r="H11" s="165"/>
      <c r="I11" s="165"/>
      <c r="J11" s="165"/>
      <c r="K11" s="164"/>
      <c r="L11" s="164"/>
      <c r="M11" s="164"/>
      <c r="N11" s="165"/>
      <c r="O11" s="165"/>
      <c r="P11" s="167"/>
      <c r="Q11" s="165"/>
    </row>
    <row r="12" spans="1:18" s="173" customFormat="1" ht="24" customHeight="1" x14ac:dyDescent="0.2">
      <c r="A12" s="168">
        <v>1</v>
      </c>
      <c r="B12" s="169" t="str">
        <f>+'Aportes 16'!C13</f>
        <v>Coviella Vasconcelos Marlene de las Mercedes</v>
      </c>
      <c r="C12" s="170">
        <f>+PSUELDOS!U12-PSUELDOS!V12-PSUELDOS!W12</f>
        <v>6444.6207000000004</v>
      </c>
      <c r="D12" s="170">
        <v>4000</v>
      </c>
      <c r="E12" s="170">
        <f>C12-D12</f>
        <v>2444.6207000000004</v>
      </c>
      <c r="F12" s="171">
        <f t="shared" ref="F12:F16" si="0">+E12*0.13</f>
        <v>317.80069100000009</v>
      </c>
      <c r="G12" s="170">
        <v>0</v>
      </c>
      <c r="H12" s="170">
        <f t="shared" ref="H12:H16" si="1">D12*13%</f>
        <v>520</v>
      </c>
      <c r="I12" s="170">
        <f>IF(F12&gt;(G12+H12),F12-G12-H12,0)</f>
        <v>0</v>
      </c>
      <c r="J12" s="170">
        <f t="shared" ref="J12" si="2">IF(F12&gt;(G12+H12),0,H12+G12-F12)</f>
        <v>202.19930899999991</v>
      </c>
      <c r="K12" s="172">
        <v>0</v>
      </c>
      <c r="L12" s="170">
        <f t="shared" ref="L12:L16" si="3">K12*($K$6/$K$5-1)</f>
        <v>0</v>
      </c>
      <c r="M12" s="170">
        <f t="shared" ref="M12:M16" si="4">K12+L12</f>
        <v>0</v>
      </c>
      <c r="N12" s="170">
        <f t="shared" ref="N12:N16" si="5">J12+M12</f>
        <v>202.19930899999991</v>
      </c>
      <c r="O12" s="170">
        <f>IF((I12&gt;N12),N12,I12)</f>
        <v>0</v>
      </c>
      <c r="P12" s="171">
        <f t="shared" ref="P12:P16" si="6">IF(I12&gt;O12,I12-O12,0)</f>
        <v>0</v>
      </c>
      <c r="Q12" s="170">
        <f t="shared" ref="Q12:Q16" si="7">N12-O12</f>
        <v>202.19930899999991</v>
      </c>
    </row>
    <row r="13" spans="1:18" s="173" customFormat="1" ht="24" customHeight="1" x14ac:dyDescent="0.2">
      <c r="A13" s="168">
        <f t="shared" ref="A13:A17" si="8">+A12+1</f>
        <v>2</v>
      </c>
      <c r="B13" s="169" t="str">
        <f>+'Aportes 16'!C14</f>
        <v>Alena Guerra Dagner</v>
      </c>
      <c r="C13" s="170">
        <f>+PSUELDOS!U13-PSUELDOS!V13-PSUELDOS!W13</f>
        <v>3055.15</v>
      </c>
      <c r="D13" s="170">
        <v>4000</v>
      </c>
      <c r="E13" s="170">
        <f>C13-D13</f>
        <v>-944.84999999999991</v>
      </c>
      <c r="F13" s="171">
        <f t="shared" si="0"/>
        <v>-122.83049999999999</v>
      </c>
      <c r="G13" s="170">
        <v>0</v>
      </c>
      <c r="H13" s="170">
        <f t="shared" si="1"/>
        <v>520</v>
      </c>
      <c r="I13" s="170">
        <f>IF(F13&gt;(G13+H13),F13-G13-H13,0)</f>
        <v>0</v>
      </c>
      <c r="J13" s="170">
        <f>IF(F13&gt;(G13+H13),0,H13+G13-F13)</f>
        <v>642.83050000000003</v>
      </c>
      <c r="K13" s="172">
        <v>0</v>
      </c>
      <c r="L13" s="170">
        <f t="shared" si="3"/>
        <v>0</v>
      </c>
      <c r="M13" s="170">
        <f t="shared" si="4"/>
        <v>0</v>
      </c>
      <c r="N13" s="170">
        <f t="shared" si="5"/>
        <v>642.83050000000003</v>
      </c>
      <c r="O13" s="170">
        <f>IF((I13&gt;N13),N13,I13)</f>
        <v>0</v>
      </c>
      <c r="P13" s="171">
        <f t="shared" si="6"/>
        <v>0</v>
      </c>
      <c r="Q13" s="170">
        <f t="shared" si="7"/>
        <v>642.83050000000003</v>
      </c>
    </row>
    <row r="14" spans="1:18" s="173" customFormat="1" ht="24" customHeight="1" x14ac:dyDescent="0.2">
      <c r="A14" s="168">
        <f t="shared" si="8"/>
        <v>3</v>
      </c>
      <c r="B14" s="169" t="str">
        <f>+'Aportes 16'!C15</f>
        <v>Paula Luisa Rivas Quispe</v>
      </c>
      <c r="C14" s="170">
        <f>+PSUELDOS!U14-PSUELDOS!V14-PSUELDOS!W14</f>
        <v>2302.317395</v>
      </c>
      <c r="D14" s="170">
        <v>4000</v>
      </c>
      <c r="E14" s="170">
        <f t="shared" ref="E14:E16" si="9">C14-D14</f>
        <v>-1697.682605</v>
      </c>
      <c r="F14" s="171">
        <f t="shared" si="0"/>
        <v>-220.69873865</v>
      </c>
      <c r="G14" s="170">
        <v>0</v>
      </c>
      <c r="H14" s="170">
        <f t="shared" si="1"/>
        <v>520</v>
      </c>
      <c r="I14" s="170">
        <f t="shared" ref="I14" si="10">IF(F14&gt;(G14+H14),F14-G14-H14,0)</f>
        <v>0</v>
      </c>
      <c r="J14" s="170">
        <f t="shared" ref="J14:J16" si="11">IF(F14&gt;(G14+H14),0,H14+G14-F14)</f>
        <v>740.69873865</v>
      </c>
      <c r="K14" s="172">
        <v>0</v>
      </c>
      <c r="L14" s="170">
        <f t="shared" si="3"/>
        <v>0</v>
      </c>
      <c r="M14" s="170">
        <f t="shared" si="4"/>
        <v>0</v>
      </c>
      <c r="N14" s="170">
        <f t="shared" si="5"/>
        <v>740.69873865</v>
      </c>
      <c r="O14" s="170">
        <f t="shared" ref="O14" si="12">IF((I14&gt;N14),N14,I14)</f>
        <v>0</v>
      </c>
      <c r="P14" s="171">
        <f t="shared" si="6"/>
        <v>0</v>
      </c>
      <c r="Q14" s="170">
        <f t="shared" si="7"/>
        <v>740.69873865</v>
      </c>
      <c r="R14" s="173" t="s">
        <v>115</v>
      </c>
    </row>
    <row r="15" spans="1:18" s="173" customFormat="1" ht="24" customHeight="1" x14ac:dyDescent="0.2">
      <c r="A15" s="168">
        <f t="shared" si="8"/>
        <v>4</v>
      </c>
      <c r="B15" s="169" t="str">
        <f>+'Aportes 16'!C16</f>
        <v>Mancilla Surubi Mercedes</v>
      </c>
      <c r="C15" s="170">
        <f>+PSUELDOS!U15-PSUELDOS!V15-PSUELDOS!W15</f>
        <v>1766.1996730000001</v>
      </c>
      <c r="D15" s="170">
        <v>4000</v>
      </c>
      <c r="E15" s="170">
        <f t="shared" si="9"/>
        <v>-2233.8003269999999</v>
      </c>
      <c r="F15" s="171">
        <f t="shared" si="0"/>
        <v>-290.39404251000002</v>
      </c>
      <c r="G15" s="170">
        <v>0</v>
      </c>
      <c r="H15" s="170">
        <f t="shared" si="1"/>
        <v>520</v>
      </c>
      <c r="I15" s="170">
        <f>IF(F15&gt;(G15+H15),F15-G15-H15,0)</f>
        <v>0</v>
      </c>
      <c r="J15" s="170">
        <f t="shared" si="11"/>
        <v>810.39404250999996</v>
      </c>
      <c r="K15" s="172">
        <v>0</v>
      </c>
      <c r="L15" s="170">
        <f t="shared" si="3"/>
        <v>0</v>
      </c>
      <c r="M15" s="170">
        <f t="shared" si="4"/>
        <v>0</v>
      </c>
      <c r="N15" s="170">
        <f t="shared" si="5"/>
        <v>810.39404250999996</v>
      </c>
      <c r="O15" s="170">
        <f>IF((I15&gt;N15),N15,I15)</f>
        <v>0</v>
      </c>
      <c r="P15" s="171">
        <f t="shared" si="6"/>
        <v>0</v>
      </c>
      <c r="Q15" s="170">
        <f t="shared" si="7"/>
        <v>810.39404250999996</v>
      </c>
    </row>
    <row r="16" spans="1:18" s="173" customFormat="1" ht="24" customHeight="1" x14ac:dyDescent="0.2">
      <c r="A16" s="168">
        <f t="shared" si="8"/>
        <v>5</v>
      </c>
      <c r="B16" s="169" t="str">
        <f>+'Aportes 16'!C17</f>
        <v>Luque Huanca Alfredo</v>
      </c>
      <c r="C16" s="170">
        <f>+PSUELDOS!U16-PSUELDOS!V16-PSUELDOS!W16</f>
        <v>3303.0536000000002</v>
      </c>
      <c r="D16" s="170">
        <v>4000</v>
      </c>
      <c r="E16" s="170">
        <f t="shared" si="9"/>
        <v>-696.94639999999981</v>
      </c>
      <c r="F16" s="171">
        <f t="shared" si="0"/>
        <v>-90.603031999999985</v>
      </c>
      <c r="G16" s="170">
        <v>0</v>
      </c>
      <c r="H16" s="170">
        <f t="shared" si="1"/>
        <v>520</v>
      </c>
      <c r="I16" s="170">
        <f t="shared" ref="I16" si="13">IF(F16&gt;(G16+H16),F16-G16-H16,0)</f>
        <v>0</v>
      </c>
      <c r="J16" s="170">
        <f t="shared" si="11"/>
        <v>610.60303199999998</v>
      </c>
      <c r="K16" s="172">
        <v>0</v>
      </c>
      <c r="L16" s="170">
        <f t="shared" si="3"/>
        <v>0</v>
      </c>
      <c r="M16" s="170">
        <f t="shared" si="4"/>
        <v>0</v>
      </c>
      <c r="N16" s="170">
        <f t="shared" si="5"/>
        <v>610.60303199999998</v>
      </c>
      <c r="O16" s="170">
        <f t="shared" ref="O16" si="14">IF((I16&gt;N16),N16,I16)</f>
        <v>0</v>
      </c>
      <c r="P16" s="171">
        <f t="shared" si="6"/>
        <v>0</v>
      </c>
      <c r="Q16" s="170">
        <f t="shared" si="7"/>
        <v>610.60303199999998</v>
      </c>
    </row>
    <row r="17" spans="1:17" s="173" customFormat="1" ht="24" customHeight="1" thickBot="1" x14ac:dyDescent="0.25">
      <c r="A17" s="168">
        <f t="shared" si="8"/>
        <v>6</v>
      </c>
      <c r="B17" s="169" t="str">
        <f>+'Aportes 16'!C18</f>
        <v>Eliana Maricela Quispe Loayza</v>
      </c>
      <c r="C17" s="170">
        <f>+PSUELDOS!U17-PSUELDOS!V17-PSUELDOS!W17</f>
        <v>1745.8000000000002</v>
      </c>
      <c r="D17" s="170">
        <v>4000</v>
      </c>
      <c r="E17" s="170">
        <f t="shared" ref="E17" si="15">C17-D17</f>
        <v>-2254.1999999999998</v>
      </c>
      <c r="F17" s="171">
        <f t="shared" ref="F17" si="16">+E17*0.13</f>
        <v>-293.04599999999999</v>
      </c>
      <c r="G17" s="170">
        <v>1</v>
      </c>
      <c r="H17" s="170">
        <f t="shared" ref="H17" si="17">D17*13%</f>
        <v>520</v>
      </c>
      <c r="I17" s="170">
        <f t="shared" ref="I17" si="18">IF(F17&gt;(G17+H17),F17-G17-H17,0)</f>
        <v>0</v>
      </c>
      <c r="J17" s="170">
        <f t="shared" ref="J17" si="19">IF(F17&gt;(G17+H17),0,H17+G17-F17)</f>
        <v>814.04600000000005</v>
      </c>
      <c r="K17" s="172">
        <v>1</v>
      </c>
      <c r="L17" s="170">
        <f t="shared" ref="L17" si="20">K17*($K$6/$K$5-1)</f>
        <v>-1</v>
      </c>
      <c r="M17" s="170">
        <f t="shared" ref="M17" si="21">K17+L17</f>
        <v>0</v>
      </c>
      <c r="N17" s="170">
        <f t="shared" ref="N17" si="22">J17+M17</f>
        <v>814.04600000000005</v>
      </c>
      <c r="O17" s="170">
        <f t="shared" ref="O17" si="23">IF((I17&gt;N17),N17,I17)</f>
        <v>0</v>
      </c>
      <c r="P17" s="171">
        <f t="shared" ref="P17" si="24">IF(I17&gt;O17,I17-O17,0)</f>
        <v>0</v>
      </c>
      <c r="Q17" s="170">
        <f t="shared" ref="Q17" si="25">N17-O17</f>
        <v>814.04600000000005</v>
      </c>
    </row>
    <row r="18" spans="1:17" s="173" customFormat="1" ht="24" customHeight="1" thickBot="1" x14ac:dyDescent="0.25">
      <c r="A18" s="298" t="s">
        <v>77</v>
      </c>
      <c r="B18" s="299"/>
      <c r="C18" s="174">
        <f t="shared" ref="C18:Q18" si="26">SUM(C12:C17)</f>
        <v>18617.141368000001</v>
      </c>
      <c r="D18" s="174">
        <f t="shared" si="26"/>
        <v>24000</v>
      </c>
      <c r="E18" s="174">
        <f t="shared" si="26"/>
        <v>-5382.8586319999995</v>
      </c>
      <c r="F18" s="174">
        <f t="shared" si="26"/>
        <v>-699.77162215999988</v>
      </c>
      <c r="G18" s="174">
        <f t="shared" si="26"/>
        <v>1</v>
      </c>
      <c r="H18" s="174">
        <f t="shared" si="26"/>
        <v>3120</v>
      </c>
      <c r="I18" s="174">
        <f t="shared" si="26"/>
        <v>0</v>
      </c>
      <c r="J18" s="174">
        <f t="shared" si="26"/>
        <v>3820.7716221600003</v>
      </c>
      <c r="K18" s="174">
        <f t="shared" si="26"/>
        <v>1</v>
      </c>
      <c r="L18" s="174">
        <f t="shared" si="26"/>
        <v>-1</v>
      </c>
      <c r="M18" s="174">
        <f t="shared" si="26"/>
        <v>0</v>
      </c>
      <c r="N18" s="174">
        <f t="shared" si="26"/>
        <v>3820.7716221600003</v>
      </c>
      <c r="O18" s="174">
        <f t="shared" si="26"/>
        <v>0</v>
      </c>
      <c r="P18" s="174">
        <f t="shared" si="26"/>
        <v>0</v>
      </c>
      <c r="Q18" s="174">
        <f t="shared" si="26"/>
        <v>3820.7716221600003</v>
      </c>
    </row>
    <row r="20" spans="1:17" x14ac:dyDescent="0.2">
      <c r="A20" s="156"/>
      <c r="B20" s="175"/>
      <c r="C20" s="175"/>
      <c r="D20" s="175"/>
      <c r="E20" s="175"/>
      <c r="F20" s="176"/>
      <c r="G20" s="175"/>
      <c r="H20" s="175"/>
      <c r="I20" s="175"/>
    </row>
    <row r="21" spans="1:17" x14ac:dyDescent="0.2">
      <c r="A21" s="156"/>
      <c r="B21" s="175"/>
      <c r="C21" s="175"/>
      <c r="D21" s="177"/>
      <c r="E21" s="177"/>
      <c r="F21" s="178"/>
      <c r="G21" s="177"/>
      <c r="H21" s="177"/>
      <c r="I21" s="175"/>
    </row>
    <row r="22" spans="1:17" x14ac:dyDescent="0.2">
      <c r="A22" s="156"/>
      <c r="B22" s="175"/>
      <c r="C22" s="175"/>
      <c r="D22" s="175"/>
      <c r="E22" s="175"/>
      <c r="F22" s="176"/>
      <c r="G22" s="175"/>
      <c r="H22" s="175"/>
      <c r="I22" s="175"/>
    </row>
  </sheetData>
  <mergeCells count="7">
    <mergeCell ref="A18:B18"/>
    <mergeCell ref="A2:Q2"/>
    <mergeCell ref="A4:Q4"/>
    <mergeCell ref="C6:D6"/>
    <mergeCell ref="A9:A10"/>
    <mergeCell ref="I9:J9"/>
    <mergeCell ref="K9:M9"/>
  </mergeCells>
  <pageMargins left="0.93933070866141732" right="0.35433070866141736" top="0.78740157480314965" bottom="0.78740157480314965" header="0" footer="0"/>
  <pageSetup paperSize="9"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PSUELDOS</vt:lpstr>
      <vt:lpstr>Boletas</vt:lpstr>
      <vt:lpstr>Aportes 16</vt:lpstr>
      <vt:lpstr>RC-IVA</vt:lpstr>
      <vt:lpstr>Boletas!Área_de_impresión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TEOMA</dc:creator>
  <cp:lastModifiedBy>dagner</cp:lastModifiedBy>
  <cp:lastPrinted>2018-04-02T14:22:28Z</cp:lastPrinted>
  <dcterms:created xsi:type="dcterms:W3CDTF">2008-09-03T13:30:03Z</dcterms:created>
  <dcterms:modified xsi:type="dcterms:W3CDTF">2018-04-02T14:31:03Z</dcterms:modified>
</cp:coreProperties>
</file>