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6600" windowWidth="2280" windowHeight="1155" tabRatio="847" firstSheet="13" activeTab="14"/>
  </bookViews>
  <sheets>
    <sheet name="取締役会説明（購入決議）" sheetId="24" r:id="rId1"/>
    <sheet name="取締役会説明（売却決議）" sheetId="39" r:id="rId2"/>
    <sheet name="取締役会説明（購入報告）" sheetId="44" r:id="rId3"/>
    <sheet name="取締役会説明（売却報告）" sheetId="42" r:id="rId4"/>
    <sheet name="購入稟議書" sheetId="35" r:id="rId5"/>
    <sheet name="売却稟議書" sheetId="38" r:id="rId6"/>
    <sheet name="事業計画予実表" sheetId="22" r:id="rId7"/>
    <sheet name="事業計画書（事業決定時）" sheetId="36" r:id="rId8"/>
    <sheet name="基本情報" sheetId="3" r:id="rId9"/>
    <sheet name="CF（SFF保有時）" sheetId="45" r:id="rId10"/>
    <sheet name="物件概要書（購入）" sheetId="1" r:id="rId11"/>
    <sheet name="物件概要書（売却）" sheetId="41" r:id="rId12"/>
    <sheet name="収支計算表（販売資料）" sheetId="46" r:id="rId13"/>
    <sheet name="RN予算計画書" sheetId="34" r:id="rId14"/>
    <sheet name="事業計画書（現行）" sheetId="26" r:id="rId15"/>
    <sheet name="収支計算表（見込）計画1" sheetId="17" r:id="rId16"/>
    <sheet name="収支計算表（下限）計画2" sheetId="18" r:id="rId17"/>
    <sheet name="収支計算表（リスク値・購入時)計画3" sheetId="27" r:id="rId18"/>
    <sheet name="収支計算表（チャレンジ）計画4" sheetId="28" r:id="rId19"/>
    <sheet name="売買価格按分(購入)" sheetId="20" r:id="rId20"/>
    <sheet name="売買価格按分(売却)" sheetId="23" r:id="rId21"/>
  </sheets>
  <externalReferences>
    <externalReference r:id="rId22"/>
  </externalReferences>
  <definedNames>
    <definedName name="_1ＤＡ2_" localSheetId="6" hidden="1">{"Actual",#N/A,FALSE,"(価格)";"Market",#N/A,FALSE,"(価格)";"Plan",#N/A,FALSE,"(価格)"}</definedName>
    <definedName name="_2ＤＡ2_" localSheetId="20" hidden="1">{"Actual",#N/A,FALSE,"(価格)";"Market",#N/A,FALSE,"(価格)";"Plan",#N/A,FALSE,"(価格)"}</definedName>
    <definedName name="_3ＤＡ2_" localSheetId="12" hidden="1">{"Actual",#N/A,FALSE,"(価格)";"Market",#N/A,FALSE,"(価格)";"Plan",#N/A,FALSE,"(価格)"}</definedName>
    <definedName name="_3ＤＡ2_" hidden="1">{"Actual",#N/A,FALSE,"(価格)";"Market",#N/A,FALSE,"(価格)";"Plan",#N/A,FALSE,"(価格)"}</definedName>
    <definedName name="_ＤＡ2" localSheetId="6" hidden="1">{"Actual",#N/A,FALSE,"(価格)";"Market",#N/A,FALSE,"(価格)";"Plan",#N/A,FALSE,"(価格)"}</definedName>
    <definedName name="_ＤＡ2" localSheetId="12" hidden="1">{"Actual",#N/A,FALSE,"(価格)";"Market",#N/A,FALSE,"(価格)";"Plan",#N/A,FALSE,"(価格)"}</definedName>
    <definedName name="_ＤＡ2" localSheetId="20" hidden="1">{"Actual",#N/A,FALSE,"(価格)";"Market",#N/A,FALSE,"(価格)";"Plan",#N/A,FALSE,"(価格)"}</definedName>
    <definedName name="_ＤＡ2" hidden="1">{"Actual",#N/A,FALSE,"(価格)";"Market",#N/A,FALSE,"(価格)";"Plan",#N/A,FALSE,"(価格)"}</definedName>
    <definedName name="_Fill" localSheetId="12" hidden="1">#REF!</definedName>
    <definedName name="_Fill" hidden="1">#REF!</definedName>
    <definedName name="_Key1" localSheetId="7" hidden="1">#REF!</definedName>
    <definedName name="_Key1" localSheetId="0" hidden="1">#REF!</definedName>
    <definedName name="_Key1" localSheetId="2" hidden="1">#REF!</definedName>
    <definedName name="_Key1" localSheetId="1" hidden="1">#REF!</definedName>
    <definedName name="_Key1" localSheetId="18" hidden="1">#REF!</definedName>
    <definedName name="_Key1" localSheetId="17" hidden="1">#REF!</definedName>
    <definedName name="_Key1" localSheetId="12" hidden="1">#REF!</definedName>
    <definedName name="_Key1" localSheetId="5" hidden="1">#REF!</definedName>
    <definedName name="_Key1" localSheetId="11" hidden="1">#REF!</definedName>
    <definedName name="_Key1" hidden="1">#REF!</definedName>
    <definedName name="_Key2" localSheetId="7" hidden="1">#REF!</definedName>
    <definedName name="_Key2" localSheetId="0" hidden="1">#REF!</definedName>
    <definedName name="_Key2" localSheetId="2" hidden="1">#REF!</definedName>
    <definedName name="_Key2" localSheetId="1" hidden="1">#REF!</definedName>
    <definedName name="_Key2" localSheetId="18" hidden="1">#REF!</definedName>
    <definedName name="_Key2" localSheetId="17" hidden="1">#REF!</definedName>
    <definedName name="_Key2" localSheetId="12" hidden="1">#REF!</definedName>
    <definedName name="_Key2" localSheetId="5" hidden="1">#REF!</definedName>
    <definedName name="_Key2" localSheetId="11" hidden="1">#REF!</definedName>
    <definedName name="_Key2" hidden="1">#REF!</definedName>
    <definedName name="_ｍｔｂ2" localSheetId="6" hidden="1">{"ｹﾝﾄ（M)",#N/A,FALSE,"収支・日割";"ｹﾝﾄ（RD)",#N/A,FALSE,"収支・日割";"ｹﾝﾄ（PMC)",#N/A,FALSE,"収支・日割"}</definedName>
    <definedName name="_ｍｔｂ2" localSheetId="12" hidden="1">{"ｹﾝﾄ（M)",#N/A,FALSE,"収支・日割";"ｹﾝﾄ（RD)",#N/A,FALSE,"収支・日割";"ｹﾝﾄ（PMC)",#N/A,FALSE,"収支・日割"}</definedName>
    <definedName name="_ｍｔｂ2" localSheetId="20" hidden="1">{"ｹﾝﾄ（M)",#N/A,FALSE,"収支・日割";"ｹﾝﾄ（RD)",#N/A,FALSE,"収支・日割";"ｹﾝﾄ（PMC)",#N/A,FALSE,"収支・日割"}</definedName>
    <definedName name="_ｍｔｂ2" hidden="1">{"ｹﾝﾄ（M)",#N/A,FALSE,"収支・日割";"ｹﾝﾄ（RD)",#N/A,FALSE,"収支・日割";"ｹﾝﾄ（PMC)",#N/A,FALSE,"収支・日割"}</definedName>
    <definedName name="_mtb3" localSheetId="6" hidden="1">{#N/A,#N/A,FALSE,"１";#N/A,#N/A,FALSE,"２";#N/A,#N/A,FALSE,"３";#N/A,#N/A,FALSE,"４"}</definedName>
    <definedName name="_mtb3" localSheetId="12" hidden="1">{#N/A,#N/A,FALSE,"１";#N/A,#N/A,FALSE,"２";#N/A,#N/A,FALSE,"３";#N/A,#N/A,FALSE,"４"}</definedName>
    <definedName name="_mtb3" localSheetId="20" hidden="1">{#N/A,#N/A,FALSE,"１";#N/A,#N/A,FALSE,"２";#N/A,#N/A,FALSE,"３";#N/A,#N/A,FALSE,"４"}</definedName>
    <definedName name="_mtb3" hidden="1">{#N/A,#N/A,FALSE,"１";#N/A,#N/A,FALSE,"２";#N/A,#N/A,FALSE,"３";#N/A,#N/A,FALSE,"４"}</definedName>
    <definedName name="_ｍｔｂ5" localSheetId="6" hidden="1">{#N/A,#N/A,FALSE,"１";#N/A,#N/A,FALSE,"２";#N/A,#N/A,FALSE,"３";#N/A,#N/A,FALSE,"４"}</definedName>
    <definedName name="_ｍｔｂ5" localSheetId="12" hidden="1">{#N/A,#N/A,FALSE,"１";#N/A,#N/A,FALSE,"２";#N/A,#N/A,FALSE,"３";#N/A,#N/A,FALSE,"４"}</definedName>
    <definedName name="_ｍｔｂ5" localSheetId="20" hidden="1">{#N/A,#N/A,FALSE,"１";#N/A,#N/A,FALSE,"２";#N/A,#N/A,FALSE,"３";#N/A,#N/A,FALSE,"４"}</definedName>
    <definedName name="_ｍｔｂ5" hidden="1">{#N/A,#N/A,FALSE,"１";#N/A,#N/A,FALSE,"２";#N/A,#N/A,FALSE,"３";#N/A,#N/A,FALSE,"４"}</definedName>
    <definedName name="_Order1" hidden="1">255</definedName>
    <definedName name="_Order2" hidden="1">0</definedName>
    <definedName name="_Sort" hidden="1">'[1]#REF'!$B$11:$H$11</definedName>
    <definedName name="」" localSheetId="7" hidden="1">#REF!</definedName>
    <definedName name="」" localSheetId="2" hidden="1">#REF!</definedName>
    <definedName name="」" localSheetId="1" hidden="1">#REF!</definedName>
    <definedName name="」" localSheetId="12" hidden="1">#REF!</definedName>
    <definedName name="」" localSheetId="5" hidden="1">#REF!</definedName>
    <definedName name="」" localSheetId="11" hidden="1">#REF!</definedName>
    <definedName name="」" hidden="1">#REF!</definedName>
    <definedName name="Access_Button" hidden="1">"ＴＰ総括表_ビルデータ_List"</definedName>
    <definedName name="AccessDatabase" hidden="1">"E:\Ｔ・PROJECT\ＴＰ総括表.mdb"</definedName>
    <definedName name="anscount" hidden="1">3</definedName>
    <definedName name="AS2DocOpenMode" hidden="1">"AS2DocumentEdit"</definedName>
    <definedName name="ｂ" localSheetId="9" hidden="1">{"MonthlyRentRoll",#N/A,FALSE,"RentRoll"}</definedName>
    <definedName name="ｂ" localSheetId="6" hidden="1">{"MonthlyRentRoll",#N/A,FALSE,"RentRoll"}</definedName>
    <definedName name="ｂ" localSheetId="12" hidden="1">{"MonthlyRentRoll",#N/A,FALSE,"RentRoll"}</definedName>
    <definedName name="ｂ" localSheetId="20" hidden="1">{"MonthlyRentRoll",#N/A,FALSE,"RentRoll"}</definedName>
    <definedName name="ｂ" hidden="1">{"MonthlyRentRoll",#N/A,FALSE,"RentRoll"}</definedName>
    <definedName name="dsd" localSheetId="6" hidden="1">{"Actual",#N/A,FALSE,"(価格)";"Market",#N/A,FALSE,"(価格)";"Plan",#N/A,FALSE,"(価格)"}</definedName>
    <definedName name="dsd" localSheetId="12" hidden="1">{"Actual",#N/A,FALSE,"(価格)";"Market",#N/A,FALSE,"(価格)";"Plan",#N/A,FALSE,"(価格)"}</definedName>
    <definedName name="dsd" localSheetId="20" hidden="1">{"Actual",#N/A,FALSE,"(価格)";"Market",#N/A,FALSE,"(価格)";"Plan",#N/A,FALSE,"(価格)"}</definedName>
    <definedName name="dsd" hidden="1">{"Actual",#N/A,FALSE,"(価格)";"Market",#N/A,FALSE,"(価格)";"Plan",#N/A,FALSE,"(価格)"}</definedName>
    <definedName name="ELV" localSheetId="6" hidden="1">{"AnnualRentRoll",#N/A,FALSE,"RentRoll"}</definedName>
    <definedName name="ELV" localSheetId="12" hidden="1">{"AnnualRentRoll",#N/A,FALSE,"RentRoll"}</definedName>
    <definedName name="ELV" localSheetId="20" hidden="1">{"AnnualRentRoll",#N/A,FALSE,"RentRoll"}</definedName>
    <definedName name="ELV" hidden="1">{"AnnualRentRoll",#N/A,FALSE,"RentRoll"}</definedName>
    <definedName name="fafa" localSheetId="6" hidden="1">{"AnnualRentRoll",#N/A,FALSE,"RentRoll"}</definedName>
    <definedName name="fafa" localSheetId="12" hidden="1">{"AnnualRentRoll",#N/A,FALSE,"RentRoll"}</definedName>
    <definedName name="fafa" localSheetId="20" hidden="1">{"AnnualRentRoll",#N/A,FALSE,"RentRoll"}</definedName>
    <definedName name="fafa" hidden="1">{"AnnualRentRoll",#N/A,FALSE,"RentRoll"}</definedName>
    <definedName name="iiii" localSheetId="6" hidden="1">{"gain",#N/A,FALSE,"Focus"}</definedName>
    <definedName name="iiii" localSheetId="12" hidden="1">{"gain",#N/A,FALSE,"Focus"}</definedName>
    <definedName name="iiii" localSheetId="20" hidden="1">{"gain",#N/A,FALSE,"Focus"}</definedName>
    <definedName name="iiii" hidden="1">{"gain",#N/A,FALSE,"Focus"}</definedName>
    <definedName name="ｋｋｋ" localSheetId="6" hidden="1">{"summary",#N/A,TRUE,"Focus";"interestexpense",#N/A,TRUE,"Focus";"interestincome",#N/A,TRUE,"Focus";"dividend",#N/A,TRUE,"Focus";"feeincome",#N/A,TRUE,"Focus";"gain",#N/A,TRUE,"Focus"}</definedName>
    <definedName name="ｋｋｋ" localSheetId="12" hidden="1">{"summary",#N/A,TRUE,"Focus";"interestexpense",#N/A,TRUE,"Focus";"interestincome",#N/A,TRUE,"Focus";"dividend",#N/A,TRUE,"Focus";"feeincome",#N/A,TRUE,"Focus";"gain",#N/A,TRUE,"Focus"}</definedName>
    <definedName name="ｋｋｋ" localSheetId="20" hidden="1">{"summary",#N/A,TRUE,"Focus";"interestexpense",#N/A,TRUE,"Focus";"interestincome",#N/A,TRUE,"Focus";"dividend",#N/A,TRUE,"Focus";"feeincome",#N/A,TRUE,"Focus";"gain",#N/A,TRUE,"Focus"}</definedName>
    <definedName name="ｋｋｋ" hidden="1">{"summary",#N/A,TRUE,"Focus";"interestexpense",#N/A,TRUE,"Focus";"interestincome",#N/A,TRUE,"Focus";"dividend",#N/A,TRUE,"Focus";"feeincome",#N/A,TRUE,"Focus";"gain",#N/A,TRUE,"Focus"}</definedName>
    <definedName name="M" localSheetId="6" hidden="1">{"Actual",#N/A,FALSE,"(価格)";"Market",#N/A,FALSE,"(価格)";"Plan",#N/A,FALSE,"(価格)"}</definedName>
    <definedName name="M" localSheetId="12" hidden="1">{"Actual",#N/A,FALSE,"(価格)";"Market",#N/A,FALSE,"(価格)";"Plan",#N/A,FALSE,"(価格)"}</definedName>
    <definedName name="M" localSheetId="20" hidden="1">{"Actual",#N/A,FALSE,"(価格)";"Market",#N/A,FALSE,"(価格)";"Plan",#N/A,FALSE,"(価格)"}</definedName>
    <definedName name="M" hidden="1">{"Actual",#N/A,FALSE,"(価格)";"Market",#N/A,FALSE,"(価格)";"Plan",#N/A,FALSE,"(価格)"}</definedName>
    <definedName name="ｍｍｎ" localSheetId="6" hidden="1">{"ｹﾝﾄ（M)",#N/A,FALSE,"収支・日割";"ｹﾝﾄ（RD)",#N/A,FALSE,"収支・日割";"ｹﾝﾄ（PMC)",#N/A,FALSE,"収支・日割"}</definedName>
    <definedName name="ｍｍｎ" localSheetId="12" hidden="1">{"ｹﾝﾄ（M)",#N/A,FALSE,"収支・日割";"ｹﾝﾄ（RD)",#N/A,FALSE,"収支・日割";"ｹﾝﾄ（PMC)",#N/A,FALSE,"収支・日割"}</definedName>
    <definedName name="ｍｍｎ" localSheetId="20" hidden="1">{"ｹﾝﾄ（M)",#N/A,FALSE,"収支・日割";"ｹﾝﾄ（RD)",#N/A,FALSE,"収支・日割";"ｹﾝﾄ（PMC)",#N/A,FALSE,"収支・日割"}</definedName>
    <definedName name="ｍｍｎ" hidden="1">{"ｹﾝﾄ（M)",#N/A,FALSE,"収支・日割";"ｹﾝﾄ（RD)",#N/A,FALSE,"収支・日割";"ｹﾝﾄ（PMC)",#N/A,FALSE,"収支・日割"}</definedName>
    <definedName name="ｍｍｒ" localSheetId="6" hidden="1">{#N/A,#N/A,FALSE,"１";#N/A,#N/A,FALSE,"２";#N/A,#N/A,FALSE,"３";#N/A,#N/A,FALSE,"４"}</definedName>
    <definedName name="ｍｍｒ" localSheetId="12" hidden="1">{#N/A,#N/A,FALSE,"１";#N/A,#N/A,FALSE,"２";#N/A,#N/A,FALSE,"３";#N/A,#N/A,FALSE,"４"}</definedName>
    <definedName name="ｍｍｒ" localSheetId="20" hidden="1">{#N/A,#N/A,FALSE,"１";#N/A,#N/A,FALSE,"２";#N/A,#N/A,FALSE,"３";#N/A,#N/A,FALSE,"４"}</definedName>
    <definedName name="ｍｍｒ" hidden="1">{#N/A,#N/A,FALSE,"１";#N/A,#N/A,FALSE,"２";#N/A,#N/A,FALSE,"３";#N/A,#N/A,FALSE,"４"}</definedName>
    <definedName name="mtb" localSheetId="6" hidden="1">{"Actual",#N/A,FALSE,"(価格)";"Market",#N/A,FALSE,"(価格)";"Plan",#N/A,FALSE,"(価格)"}</definedName>
    <definedName name="mtb" localSheetId="12" hidden="1">{"Actual",#N/A,FALSE,"(価格)";"Market",#N/A,FALSE,"(価格)";"Plan",#N/A,FALSE,"(価格)"}</definedName>
    <definedName name="mtb" localSheetId="20" hidden="1">{"Actual",#N/A,FALSE,"(価格)";"Market",#N/A,FALSE,"(価格)";"Plan",#N/A,FALSE,"(価格)"}</definedName>
    <definedName name="mtb" hidden="1">{"Actual",#N/A,FALSE,"(価格)";"Market",#N/A,FALSE,"(価格)";"Plan",#N/A,FALSE,"(価格)"}</definedName>
    <definedName name="ｍｔｂｖ" localSheetId="6" hidden="1">{"Actual",#N/A,FALSE,"(価格)";"Market",#N/A,FALSE,"(価格)";"Plan",#N/A,FALSE,"(価格)"}</definedName>
    <definedName name="ｍｔｂｖ" localSheetId="12" hidden="1">{"Actual",#N/A,FALSE,"(価格)";"Market",#N/A,FALSE,"(価格)";"Plan",#N/A,FALSE,"(価格)"}</definedName>
    <definedName name="ｍｔｂｖ" localSheetId="20" hidden="1">{"Actual",#N/A,FALSE,"(価格)";"Market",#N/A,FALSE,"(価格)";"Plan",#N/A,FALSE,"(価格)"}</definedName>
    <definedName name="ｍｔｂｖ" hidden="1">{"Actual",#N/A,FALSE,"(価格)";"Market",#N/A,FALSE,"(価格)";"Plan",#N/A,FALSE,"(価格)"}</definedName>
    <definedName name="ｍｔｂｘ" localSheetId="6" hidden="1">{"ｹﾝﾄ（M)",#N/A,FALSE,"収支・日割";"ｹﾝﾄ（RD)",#N/A,FALSE,"収支・日割";"ｹﾝﾄ（PMC)",#N/A,FALSE,"収支・日割"}</definedName>
    <definedName name="ｍｔｂｘ" localSheetId="12" hidden="1">{"ｹﾝﾄ（M)",#N/A,FALSE,"収支・日割";"ｹﾝﾄ（RD)",#N/A,FALSE,"収支・日割";"ｹﾝﾄ（PMC)",#N/A,FALSE,"収支・日割"}</definedName>
    <definedName name="ｍｔｂｘ" localSheetId="20" hidden="1">{"ｹﾝﾄ（M)",#N/A,FALSE,"収支・日割";"ｹﾝﾄ（RD)",#N/A,FALSE,"収支・日割";"ｹﾝﾄ（PMC)",#N/A,FALSE,"収支・日割"}</definedName>
    <definedName name="ｍｔｂｘ" hidden="1">{"ｹﾝﾄ（M)",#N/A,FALSE,"収支・日割";"ｹﾝﾄ（RD)",#N/A,FALSE,"収支・日割";"ｹﾝﾄ（PMC)",#N/A,FALSE,"収支・日割"}</definedName>
    <definedName name="oo" localSheetId="6" hidden="1">{"ｹﾝﾄ（M)",#N/A,FALSE,"収支・日割";"ｹﾝﾄ（RD)",#N/A,FALSE,"収支・日割";"ｹﾝﾄ（PMC)",#N/A,FALSE,"収支・日割"}</definedName>
    <definedName name="oo" localSheetId="12" hidden="1">{"ｹﾝﾄ（M)",#N/A,FALSE,"収支・日割";"ｹﾝﾄ（RD)",#N/A,FALSE,"収支・日割";"ｹﾝﾄ（PMC)",#N/A,FALSE,"収支・日割"}</definedName>
    <definedName name="oo" localSheetId="20" hidden="1">{"ｹﾝﾄ（M)",#N/A,FALSE,"収支・日割";"ｹﾝﾄ（RD)",#N/A,FALSE,"収支・日割";"ｹﾝﾄ（PMC)",#N/A,FALSE,"収支・日割"}</definedName>
    <definedName name="oo" hidden="1">{"ｹﾝﾄ（M)",#N/A,FALSE,"収支・日割";"ｹﾝﾄ（RD)",#N/A,FALSE,"収支・日割";"ｹﾝﾄ（PMC)",#N/A,FALSE,"収支・日割"}</definedName>
    <definedName name="_xlnm.Print_Area" localSheetId="9">'CF（SFF保有時）'!$A$1:$AE$70</definedName>
    <definedName name="_xlnm.Print_Area" localSheetId="13">RN予算計画書!$A$1:$J$45</definedName>
    <definedName name="_xlnm.Print_Area" localSheetId="4">購入稟議書!$A$1:$K$52</definedName>
    <definedName name="_xlnm.Print_Area" localSheetId="14">'事業計画書（現行）'!$A$1:$Y$66</definedName>
    <definedName name="_xlnm.Print_Area" localSheetId="7">'事業計画書（事業決定時）'!$A$1:$Y$66</definedName>
    <definedName name="_xlnm.Print_Area" localSheetId="0">'取締役会説明（購入決議）'!$A$2:$K$33</definedName>
    <definedName name="_xlnm.Print_Area" localSheetId="2">'取締役会説明（購入報告）'!$A$2:$S$28</definedName>
    <definedName name="_xlnm.Print_Area" localSheetId="1">'取締役会説明（売却決議）'!$A$2:$K$33</definedName>
    <definedName name="_xlnm.Print_Area" localSheetId="3">'取締役会説明（売却報告）'!$A$2:$S$28</definedName>
    <definedName name="_xlnm.Print_Area" localSheetId="18">'収支計算表（チャレンジ）計画4'!$A$1:$S$56</definedName>
    <definedName name="_xlnm.Print_Area" localSheetId="17">'収支計算表（リスク値・購入時)計画3'!$A$1:$S$55</definedName>
    <definedName name="_xlnm.Print_Area" localSheetId="16">'収支計算表（下限）計画2'!$A$1:$S$55</definedName>
    <definedName name="_xlnm.Print_Area" localSheetId="15">'収支計算表（見込）計画1'!$A$1:$S$55</definedName>
    <definedName name="_xlnm.Print_Area" localSheetId="12">'収支計算表（販売資料）'!$A$1:$S$52</definedName>
    <definedName name="_xlnm.Print_Area" localSheetId="5">売却稟議書!$A$1:$K$50</definedName>
    <definedName name="_xlnm.Print_Area" localSheetId="10">'物件概要書（購入）'!$A$1:$K$50</definedName>
    <definedName name="_xlnm.Print_Area" localSheetId="11">'物件概要書（売却）'!$A$1:$K$50</definedName>
    <definedName name="qqqqqqq" localSheetId="6" hidden="1">{"ｹﾝﾄ（M)",#N/A,FALSE,"収支・日割";"ｹﾝﾄ（RD)",#N/A,FALSE,"収支・日割";"ｹﾝﾄ（PMC)",#N/A,FALSE,"収支・日割"}</definedName>
    <definedName name="qqqqqqq" localSheetId="12" hidden="1">{"ｹﾝﾄ（M)",#N/A,FALSE,"収支・日割";"ｹﾝﾄ（RD)",#N/A,FALSE,"収支・日割";"ｹﾝﾄ（PMC)",#N/A,FALSE,"収支・日割"}</definedName>
    <definedName name="qqqqqqq" localSheetId="20" hidden="1">{"ｹﾝﾄ（M)",#N/A,FALSE,"収支・日割";"ｹﾝﾄ（RD)",#N/A,FALSE,"収支・日割";"ｹﾝﾄ（PMC)",#N/A,FALSE,"収支・日割"}</definedName>
    <definedName name="qqqqqqq" hidden="1">{"ｹﾝﾄ（M)",#N/A,FALSE,"収支・日割";"ｹﾝﾄ（RD)",#N/A,FALSE,"収支・日割";"ｹﾝﾄ（PMC)",#N/A,FALSE,"収支・日割"}</definedName>
    <definedName name="qsq" localSheetId="6" hidden="1">{"Actual",#N/A,FALSE,"(価格)";"Market",#N/A,FALSE,"(価格)";"Plan",#N/A,FALSE,"(価格)"}</definedName>
    <definedName name="qsq" localSheetId="12" hidden="1">{"Actual",#N/A,FALSE,"(価格)";"Market",#N/A,FALSE,"(価格)";"Plan",#N/A,FALSE,"(価格)"}</definedName>
    <definedName name="qsq" localSheetId="20" hidden="1">{"Actual",#N/A,FALSE,"(価格)";"Market",#N/A,FALSE,"(価格)";"Plan",#N/A,FALSE,"(価格)"}</definedName>
    <definedName name="qsq" hidden="1">{"Actual",#N/A,FALSE,"(価格)";"Market",#N/A,FALSE,"(価格)";"Plan",#N/A,FALSE,"(価格)"}</definedName>
    <definedName name="ｓ" localSheetId="12" hidden="1">#REF!</definedName>
    <definedName name="ｓ" hidden="1">#REF!</definedName>
    <definedName name="sadd" localSheetId="9" hidden="1">{"MonthlyRentRoll",#N/A,FALSE,"RentRoll"}</definedName>
    <definedName name="sadd" localSheetId="6" hidden="1">{"MonthlyRentRoll",#N/A,FALSE,"RentRoll"}</definedName>
    <definedName name="sadd" localSheetId="12" hidden="1">{"MonthlyRentRoll",#N/A,FALSE,"RentRoll"}</definedName>
    <definedName name="sadd" localSheetId="20" hidden="1">{"MonthlyRentRoll",#N/A,FALSE,"RentRoll"}</definedName>
    <definedName name="sadd" hidden="1">{"MonthlyRentRoll",#N/A,FALSE,"RentRoll"}</definedName>
    <definedName name="saddd" localSheetId="9" hidden="1">{"AnnualRentRoll",#N/A,FALSE,"RentRoll"}</definedName>
    <definedName name="saddd" localSheetId="6" hidden="1">{"AnnualRentRoll",#N/A,FALSE,"RentRoll"}</definedName>
    <definedName name="saddd" localSheetId="12" hidden="1">{"AnnualRentRoll",#N/A,FALSE,"RentRoll"}</definedName>
    <definedName name="saddd" localSheetId="20" hidden="1">{"AnnualRentRoll",#N/A,FALSE,"RentRoll"}</definedName>
    <definedName name="saddd" hidden="1">{"AnnualRentRoll",#N/A,FALSE,"RentRoll"}</definedName>
    <definedName name="saddddd" localSheetId="9" hidden="1">{"AnnualRentRoll",#N/A,FALSE,"RentRoll"}</definedName>
    <definedName name="saddddd" localSheetId="6" hidden="1">{"AnnualRentRoll",#N/A,FALSE,"RentRoll"}</definedName>
    <definedName name="saddddd" localSheetId="12" hidden="1">{"AnnualRentRoll",#N/A,FALSE,"RentRoll"}</definedName>
    <definedName name="saddddd" localSheetId="20" hidden="1">{"AnnualRentRoll",#N/A,FALSE,"RentRoll"}</definedName>
    <definedName name="saddddd" hidden="1">{"AnnualRentRoll",#N/A,FALSE,"RentRoll"}</definedName>
    <definedName name="sadddddddd" localSheetId="9" hidden="1">{#N/A,#N/A,FALSE,"ExitStratigy"}</definedName>
    <definedName name="sadddddddd" localSheetId="6" hidden="1">{#N/A,#N/A,FALSE,"ExitStratigy"}</definedName>
    <definedName name="sadddddddd" localSheetId="12" hidden="1">{#N/A,#N/A,FALSE,"ExitStratigy"}</definedName>
    <definedName name="sadddddddd" localSheetId="20" hidden="1">{#N/A,#N/A,FALSE,"ExitStratigy"}</definedName>
    <definedName name="sadddddddd" hidden="1">{#N/A,#N/A,FALSE,"ExitStratigy"}</definedName>
    <definedName name="sadddddddddd" localSheetId="9" hidden="1">{#N/A,#N/A,FALSE,"LoanAssumptions"}</definedName>
    <definedName name="sadddddddddd" localSheetId="6" hidden="1">{#N/A,#N/A,FALSE,"LoanAssumptions"}</definedName>
    <definedName name="sadddddddddd" localSheetId="12" hidden="1">{#N/A,#N/A,FALSE,"LoanAssumptions"}</definedName>
    <definedName name="sadddddddddd" localSheetId="20" hidden="1">{#N/A,#N/A,FALSE,"LoanAssumptions"}</definedName>
    <definedName name="sadddddddddd" hidden="1">{#N/A,#N/A,FALSE,"LoanAssumptions"}</definedName>
    <definedName name="saddddddddddddd" localSheetId="9" hidden="1">{#N/A,#N/A,FALSE,"OperatingAssumptions"}</definedName>
    <definedName name="saddddddddddddd" localSheetId="6" hidden="1">{#N/A,#N/A,FALSE,"OperatingAssumptions"}</definedName>
    <definedName name="saddddddddddddd" localSheetId="12" hidden="1">{#N/A,#N/A,FALSE,"OperatingAssumptions"}</definedName>
    <definedName name="saddddddddddddd" localSheetId="20" hidden="1">{#N/A,#N/A,FALSE,"OperatingAssumptions"}</definedName>
    <definedName name="saddddddddddddd" hidden="1">{#N/A,#N/A,FALSE,"OperatingAssumptions"}</definedName>
    <definedName name="sadddddddddddddddddd" localSheetId="9" hidden="1">{#N/A,#N/A,FALSE,"OperatingAssumptions"}</definedName>
    <definedName name="sadddddddddddddddddd" localSheetId="6" hidden="1">{#N/A,#N/A,FALSE,"OperatingAssumptions"}</definedName>
    <definedName name="sadddddddddddddddddd" localSheetId="12" hidden="1">{#N/A,#N/A,FALSE,"OperatingAssumptions"}</definedName>
    <definedName name="sadddddddddddddddddd" localSheetId="20" hidden="1">{#N/A,#N/A,FALSE,"OperatingAssumptions"}</definedName>
    <definedName name="sadddddddddddddddddd" hidden="1">{#N/A,#N/A,FALSE,"OperatingAssumptions"}</definedName>
    <definedName name="sgsgs" localSheetId="6" hidden="1">{"MonthlyRentRoll",#N/A,FALSE,"RentRoll"}</definedName>
    <definedName name="sgsgs" localSheetId="12" hidden="1">{"MonthlyRentRoll",#N/A,FALSE,"RentRoll"}</definedName>
    <definedName name="sgsgs" localSheetId="20" hidden="1">{"MonthlyRentRoll",#N/A,FALSE,"RentRoll"}</definedName>
    <definedName name="sgsgs" hidden="1">{"MonthlyRentRoll",#N/A,FALSE,"RentRoll"}</definedName>
    <definedName name="ｓｓｓ" localSheetId="9" hidden="1">{"MonthlyRentRoll",#N/A,FALSE,"RentRoll"}</definedName>
    <definedName name="ｓｓｓ" localSheetId="6" hidden="1">{"MonthlyRentRoll",#N/A,FALSE,"RentRoll"}</definedName>
    <definedName name="ｓｓｓ" localSheetId="12" hidden="1">{"MonthlyRentRoll",#N/A,FALSE,"RentRoll"}</definedName>
    <definedName name="ｓｓｓ" localSheetId="20" hidden="1">{"MonthlyRentRoll",#N/A,FALSE,"RentRoll"}</definedName>
    <definedName name="ｓｓｓ" hidden="1">{"MonthlyRentRoll",#N/A,FALSE,"RentRoll"}</definedName>
    <definedName name="ｓｓｓｓ" localSheetId="6" hidden="1">{"MonthlyRentRoll",#N/A,FALSE,"RentRoll"}</definedName>
    <definedName name="ｓｓｓｓ" localSheetId="12" hidden="1">{"MonthlyRentRoll",#N/A,FALSE,"RentRoll"}</definedName>
    <definedName name="ｓｓｓｓ" localSheetId="20" hidden="1">{"MonthlyRentRoll",#N/A,FALSE,"RentRoll"}</definedName>
    <definedName name="ｓｓｓｓ" hidden="1">{"MonthlyRentRoll",#N/A,FALSE,"RentRoll"}</definedName>
    <definedName name="ttt" localSheetId="6" hidden="1">{#N/A,#N/A,FALSE,"１";#N/A,#N/A,FALSE,"２";#N/A,#N/A,FALSE,"３";#N/A,#N/A,FALSE,"４"}</definedName>
    <definedName name="ttt" localSheetId="12" hidden="1">{#N/A,#N/A,FALSE,"１";#N/A,#N/A,FALSE,"２";#N/A,#N/A,FALSE,"３";#N/A,#N/A,FALSE,"４"}</definedName>
    <definedName name="ttt" localSheetId="20" hidden="1">{#N/A,#N/A,FALSE,"１";#N/A,#N/A,FALSE,"２";#N/A,#N/A,FALSE,"３";#N/A,#N/A,FALSE,"４"}</definedName>
    <definedName name="ttt" hidden="1">{#N/A,#N/A,FALSE,"１";#N/A,#N/A,FALSE,"２";#N/A,#N/A,FALSE,"３";#N/A,#N/A,FALSE,"４"}</definedName>
    <definedName name="tttttt" localSheetId="6" hidden="1">{"ｹﾝﾄ（M)",#N/A,FALSE,"収支・日割";"ｹﾝﾄ（RD)",#N/A,FALSE,"収支・日割";"ｹﾝﾄ（PMC)",#N/A,FALSE,"収支・日割"}</definedName>
    <definedName name="tttttt" localSheetId="12" hidden="1">{"ｹﾝﾄ（M)",#N/A,FALSE,"収支・日割";"ｹﾝﾄ（RD)",#N/A,FALSE,"収支・日割";"ｹﾝﾄ（PMC)",#N/A,FALSE,"収支・日割"}</definedName>
    <definedName name="tttttt" localSheetId="20" hidden="1">{"ｹﾝﾄ（M)",#N/A,FALSE,"収支・日割";"ｹﾝﾄ（RD)",#N/A,FALSE,"収支・日割";"ｹﾝﾄ（PMC)",#N/A,FALSE,"収支・日割"}</definedName>
    <definedName name="tttttt" hidden="1">{"ｹﾝﾄ（M)",#N/A,FALSE,"収支・日割";"ｹﾝﾄ（RD)",#N/A,FALSE,"収支・日割";"ｹﾝﾄ（PMC)",#N/A,FALSE,"収支・日割"}</definedName>
    <definedName name="w" localSheetId="6" hidden="1">{#N/A,#N/A,FALSE,"１";#N/A,#N/A,FALSE,"２";#N/A,#N/A,FALSE,"３";#N/A,#N/A,FALSE,"４"}</definedName>
    <definedName name="w" localSheetId="12" hidden="1">{#N/A,#N/A,FALSE,"１";#N/A,#N/A,FALSE,"２";#N/A,#N/A,FALSE,"３";#N/A,#N/A,FALSE,"４"}</definedName>
    <definedName name="w" localSheetId="20" hidden="1">{#N/A,#N/A,FALSE,"１";#N/A,#N/A,FALSE,"２";#N/A,#N/A,FALSE,"３";#N/A,#N/A,FALSE,"４"}</definedName>
    <definedName name="w" hidden="1">{#N/A,#N/A,FALSE,"１";#N/A,#N/A,FALSE,"２";#N/A,#N/A,FALSE,"３";#N/A,#N/A,FALSE,"４"}</definedName>
    <definedName name="werwe" localSheetId="6" hidden="1">{"Actual",#N/A,FALSE,"(価格)";"Market",#N/A,FALSE,"(価格)";"Plan",#N/A,FALSE,"(価格)"}</definedName>
    <definedName name="werwe" localSheetId="12" hidden="1">{"Actual",#N/A,FALSE,"(価格)";"Market",#N/A,FALSE,"(価格)";"Plan",#N/A,FALSE,"(価格)"}</definedName>
    <definedName name="werwe" localSheetId="20" hidden="1">{"Actual",#N/A,FALSE,"(価格)";"Market",#N/A,FALSE,"(価格)";"Plan",#N/A,FALSE,"(価格)"}</definedName>
    <definedName name="werwe" hidden="1">{"Actual",#N/A,FALSE,"(価格)";"Market",#N/A,FALSE,"(価格)";"Plan",#N/A,FALSE,"(価格)"}</definedName>
    <definedName name="werwer" localSheetId="6" hidden="1">{"Actual",#N/A,FALSE,"(価格)";"Market",#N/A,FALSE,"(価格)";"Plan",#N/A,FALSE,"(価格)"}</definedName>
    <definedName name="werwer" localSheetId="12" hidden="1">{"Actual",#N/A,FALSE,"(価格)";"Market",#N/A,FALSE,"(価格)";"Plan",#N/A,FALSE,"(価格)"}</definedName>
    <definedName name="werwer" localSheetId="20" hidden="1">{"Actual",#N/A,FALSE,"(価格)";"Market",#N/A,FALSE,"(価格)";"Plan",#N/A,FALSE,"(価格)"}</definedName>
    <definedName name="werwer" hidden="1">{"Actual",#N/A,FALSE,"(価格)";"Market",#N/A,FALSE,"(価格)";"Plan",#N/A,FALSE,"(価格)"}</definedName>
    <definedName name="werwerwe" localSheetId="6" hidden="1">{"ｹﾝﾄ（M)",#N/A,FALSE,"収支・日割";"ｹﾝﾄ（RD)",#N/A,FALSE,"収支・日割";"ｹﾝﾄ（PMC)",#N/A,FALSE,"収支・日割"}</definedName>
    <definedName name="werwerwe" localSheetId="12" hidden="1">{"ｹﾝﾄ（M)",#N/A,FALSE,"収支・日割";"ｹﾝﾄ（RD)",#N/A,FALSE,"収支・日割";"ｹﾝﾄ（PMC)",#N/A,FALSE,"収支・日割"}</definedName>
    <definedName name="werwerwe" localSheetId="20" hidden="1">{"ｹﾝﾄ（M)",#N/A,FALSE,"収支・日割";"ｹﾝﾄ（RD)",#N/A,FALSE,"収支・日割";"ｹﾝﾄ（PMC)",#N/A,FALSE,"収支・日割"}</definedName>
    <definedName name="werwerwe" hidden="1">{"ｹﾝﾄ（M)",#N/A,FALSE,"収支・日割";"ｹﾝﾄ（RD)",#N/A,FALSE,"収支・日割";"ｹﾝﾄ（PMC)",#N/A,FALSE,"収支・日割"}</definedName>
    <definedName name="wet" localSheetId="6" hidden="1">{"Actual",#N/A,FALSE,"(価格)";"Market",#N/A,FALSE,"(価格)";"Plan",#N/A,FALSE,"(価格)"}</definedName>
    <definedName name="wet" localSheetId="12" hidden="1">{"Actual",#N/A,FALSE,"(価格)";"Market",#N/A,FALSE,"(価格)";"Plan",#N/A,FALSE,"(価格)"}</definedName>
    <definedName name="wet" localSheetId="20" hidden="1">{"Actual",#N/A,FALSE,"(価格)";"Market",#N/A,FALSE,"(価格)";"Plan",#N/A,FALSE,"(価格)"}</definedName>
    <definedName name="wet" hidden="1">{"Actual",#N/A,FALSE,"(価格)";"Market",#N/A,FALSE,"(価格)";"Plan",#N/A,FALSE,"(価格)"}</definedName>
    <definedName name="wetwtwe" localSheetId="6" hidden="1">{#N/A,#N/A,FALSE,"１";#N/A,#N/A,FALSE,"２";#N/A,#N/A,FALSE,"３";#N/A,#N/A,FALSE,"４"}</definedName>
    <definedName name="wetwtwe" localSheetId="12" hidden="1">{#N/A,#N/A,FALSE,"１";#N/A,#N/A,FALSE,"２";#N/A,#N/A,FALSE,"３";#N/A,#N/A,FALSE,"４"}</definedName>
    <definedName name="wetwtwe" localSheetId="20" hidden="1">{#N/A,#N/A,FALSE,"１";#N/A,#N/A,FALSE,"２";#N/A,#N/A,FALSE,"３";#N/A,#N/A,FALSE,"４"}</definedName>
    <definedName name="wetwtwe" hidden="1">{#N/A,#N/A,FALSE,"１";#N/A,#N/A,FALSE,"２";#N/A,#N/A,FALSE,"３";#N/A,#N/A,FALSE,"４"}</definedName>
    <definedName name="wqeqw" localSheetId="6" hidden="1">{#N/A,#N/A,FALSE,"１";#N/A,#N/A,FALSE,"２";#N/A,#N/A,FALSE,"３";#N/A,#N/A,FALSE,"４"}</definedName>
    <definedName name="wqeqw" localSheetId="12" hidden="1">{#N/A,#N/A,FALSE,"１";#N/A,#N/A,FALSE,"２";#N/A,#N/A,FALSE,"３";#N/A,#N/A,FALSE,"４"}</definedName>
    <definedName name="wqeqw" localSheetId="20" hidden="1">{#N/A,#N/A,FALSE,"１";#N/A,#N/A,FALSE,"２";#N/A,#N/A,FALSE,"３";#N/A,#N/A,FALSE,"４"}</definedName>
    <definedName name="wqeqw" hidden="1">{#N/A,#N/A,FALSE,"１";#N/A,#N/A,FALSE,"２";#N/A,#N/A,FALSE,"３";#N/A,#N/A,FALSE,"４"}</definedName>
    <definedName name="wqrqw" localSheetId="6" hidden="1">{#N/A,#N/A,FALSE,"１";#N/A,#N/A,FALSE,"２";#N/A,#N/A,FALSE,"３";#N/A,#N/A,FALSE,"４"}</definedName>
    <definedName name="wqrqw" localSheetId="12" hidden="1">{#N/A,#N/A,FALSE,"１";#N/A,#N/A,FALSE,"２";#N/A,#N/A,FALSE,"３";#N/A,#N/A,FALSE,"４"}</definedName>
    <definedName name="wqrqw" localSheetId="20" hidden="1">{#N/A,#N/A,FALSE,"１";#N/A,#N/A,FALSE,"２";#N/A,#N/A,FALSE,"３";#N/A,#N/A,FALSE,"４"}</definedName>
    <definedName name="wqrqw" hidden="1">{#N/A,#N/A,FALSE,"１";#N/A,#N/A,FALSE,"２";#N/A,#N/A,FALSE,"３";#N/A,#N/A,FALSE,"４"}</definedName>
    <definedName name="wrn.AnnualRentRoll" localSheetId="9" hidden="1">{"AnnualRentRoll",#N/A,FALSE,"RentRoll"}</definedName>
    <definedName name="wrn.AnnualRentRoll" localSheetId="6" hidden="1">{"AnnualRentRoll",#N/A,FALSE,"RentRoll"}</definedName>
    <definedName name="wrn.AnnualRentRoll" localSheetId="12" hidden="1">{"AnnualRentRoll",#N/A,FALSE,"RentRoll"}</definedName>
    <definedName name="wrn.AnnualRentRoll" localSheetId="20" hidden="1">{"AnnualRentRoll",#N/A,FALSE,"RentRoll"}</definedName>
    <definedName name="wrn.AnnualRentRoll" hidden="1">{"AnnualRentRoll",#N/A,FALSE,"RentRoll"}</definedName>
    <definedName name="wrn.AnnualRentRoll." localSheetId="9" hidden="1">{"AnnualRentRoll",#N/A,FALSE,"RentRoll"}</definedName>
    <definedName name="wrn.AnnualRentRoll." localSheetId="6" hidden="1">{"AnnualRentRoll",#N/A,FALSE,"RentRoll"}</definedName>
    <definedName name="wrn.AnnualRentRoll." localSheetId="12" hidden="1">{"AnnualRentRoll",#N/A,FALSE,"RentRoll"}</definedName>
    <definedName name="wrn.AnnualRentRoll." localSheetId="20" hidden="1">{"AnnualRentRoll",#N/A,FALSE,"RentRoll"}</definedName>
    <definedName name="wrn.AnnualRentRoll." hidden="1">{"AnnualRentRoll",#N/A,FALSE,"RentRoll"}</definedName>
    <definedName name="wrn.ExitAndSalesAssumptions." localSheetId="9" hidden="1">{#N/A,#N/A,FALSE,"ExitStratigy"}</definedName>
    <definedName name="wrn.ExitAndSalesAssumptions." localSheetId="6" hidden="1">{#N/A,#N/A,FALSE,"ExitStratigy"}</definedName>
    <definedName name="wrn.ExitAndSalesAssumptions." localSheetId="12" hidden="1">{#N/A,#N/A,FALSE,"ExitStratigy"}</definedName>
    <definedName name="wrn.ExitAndSalesAssumptions." localSheetId="20" hidden="1">{#N/A,#N/A,FALSE,"ExitStratigy"}</definedName>
    <definedName name="wrn.ExitAndSalesAssumptions." hidden="1">{#N/A,#N/A,FALSE,"ExitStratigy"}</definedName>
    <definedName name="wrn.gain." localSheetId="6" hidden="1">{"gain",#N/A,FALSE,"Focus"}</definedName>
    <definedName name="wrn.gain." localSheetId="12" hidden="1">{"gain",#N/A,FALSE,"Focus"}</definedName>
    <definedName name="wrn.gain." localSheetId="20" hidden="1">{"gain",#N/A,FALSE,"Focus"}</definedName>
    <definedName name="wrn.gain." hidden="1">{"gain",#N/A,FALSE,"Focus"}</definedName>
    <definedName name="wrn.LoanInformation." localSheetId="9" hidden="1">{#N/A,#N/A,FALSE,"LoanAssumptions"}</definedName>
    <definedName name="wrn.LoanInformation." localSheetId="6" hidden="1">{#N/A,#N/A,FALSE,"LoanAssumptions"}</definedName>
    <definedName name="wrn.LoanInformation." localSheetId="12" hidden="1">{#N/A,#N/A,FALSE,"LoanAssumptions"}</definedName>
    <definedName name="wrn.LoanInformation." localSheetId="20" hidden="1">{#N/A,#N/A,FALSE,"LoanAssumptions"}</definedName>
    <definedName name="wrn.LoanInformation." hidden="1">{#N/A,#N/A,FALSE,"LoanAssumptions"}</definedName>
    <definedName name="wrn.MonthlyRentRoll." localSheetId="9" hidden="1">{"MonthlyRentRoll",#N/A,FALSE,"RentRoll"}</definedName>
    <definedName name="wrn.MonthlyRentRoll." localSheetId="6" hidden="1">{"MonthlyRentRoll",#N/A,FALSE,"RentRoll"}</definedName>
    <definedName name="wrn.MonthlyRentRoll." localSheetId="12" hidden="1">{"MonthlyRentRoll",#N/A,FALSE,"RentRoll"}</definedName>
    <definedName name="wrn.MonthlyRentRoll." localSheetId="20" hidden="1">{"MonthlyRentRoll",#N/A,FALSE,"RentRoll"}</definedName>
    <definedName name="wrn.MonthlyRentRoll." hidden="1">{"MonthlyRentRoll",#N/A,FALSE,"RentRoll"}</definedName>
    <definedName name="wrn.OperatingAssumtions." localSheetId="9" hidden="1">{#N/A,#N/A,FALSE,"OperatingAssumptions"}</definedName>
    <definedName name="wrn.OperatingAssumtions." localSheetId="6" hidden="1">{#N/A,#N/A,FALSE,"OperatingAssumptions"}</definedName>
    <definedName name="wrn.OperatingAssumtions." localSheetId="12" hidden="1">{#N/A,#N/A,FALSE,"OperatingAssumptions"}</definedName>
    <definedName name="wrn.OperatingAssumtions." localSheetId="20" hidden="1">{#N/A,#N/A,FALSE,"OperatingAssumptions"}</definedName>
    <definedName name="wrn.OperatingAssumtions." hidden="1">{#N/A,#N/A,FALSE,"OperatingAssumptions"}</definedName>
    <definedName name="wrn.pond." localSheetId="6" hidden="1">{"pond1",#N/A,FALSE,"Focus";"pond2",#N/A,FALSE,"Focus"}</definedName>
    <definedName name="wrn.pond." localSheetId="12" hidden="1">{"pond1",#N/A,FALSE,"Focus";"pond2",#N/A,FALSE,"Focus"}</definedName>
    <definedName name="wrn.pond." localSheetId="20" hidden="1">{"pond1",#N/A,FALSE,"Focus";"pond2",#N/A,FALSE,"Focus"}</definedName>
    <definedName name="wrn.pond." hidden="1">{"pond1",#N/A,FALSE,"Focus";"pond2",#N/A,FALSE,"Focus"}</definedName>
    <definedName name="wrn.Presentation." localSheetId="9" hidden="1">{#N/A,#N/A,TRUE,"Summary";"AnnualRentRoll",#N/A,TRUE,"RentRoll";#N/A,#N/A,TRUE,"ExitStratigy";#N/A,#N/A,TRUE,"OperatingAssumptions"}</definedName>
    <definedName name="wrn.Presentation." localSheetId="6" hidden="1">{#N/A,#N/A,TRUE,"Summary";"AnnualRentRoll",#N/A,TRUE,"RentRoll";#N/A,#N/A,TRUE,"ExitStratigy";#N/A,#N/A,TRUE,"OperatingAssumptions"}</definedName>
    <definedName name="wrn.Presentation." localSheetId="12" hidden="1">{#N/A,#N/A,TRUE,"Summary";"AnnualRentRoll",#N/A,TRUE,"RentRoll";#N/A,#N/A,TRUE,"ExitStratigy";#N/A,#N/A,TRUE,"OperatingAssumptions"}</definedName>
    <definedName name="wrn.Presentation." localSheetId="20" hidden="1">{#N/A,#N/A,TRUE,"Summary";"AnnualRentRoll",#N/A,TRUE,"RentRoll";#N/A,#N/A,TRUE,"ExitStratigy";#N/A,#N/A,TRUE,"OperatingAssumptions"}</definedName>
    <definedName name="wrn.Presentation." hidden="1">{#N/A,#N/A,TRUE,"Summary";"AnnualRentRoll",#N/A,TRUE,"RentRoll";#N/A,#N/A,TRUE,"ExitStratigy";#N/A,#N/A,TRUE,"OperatingAssumptions"}</definedName>
    <definedName name="wrn.Print." localSheetId="9" hidden="1">{"View1",#N/A,FALSE,"Sheet1";"View2",#N/A,FALSE,"Sheet1"}</definedName>
    <definedName name="wrn.Print." localSheetId="6" hidden="1">{"View1",#N/A,FALSE,"Sheet1";"View2",#N/A,FALSE,"Sheet1"}</definedName>
    <definedName name="wrn.Print." localSheetId="12" hidden="1">{"View1",#N/A,FALSE,"Sheet1";"View2",#N/A,FALSE,"Sheet1"}</definedName>
    <definedName name="wrn.Print." localSheetId="20" hidden="1">{"View1",#N/A,FALSE,"Sheet1";"View2",#N/A,FALSE,"Sheet1"}</definedName>
    <definedName name="wrn.Print." hidden="1">{"View1",#N/A,FALSE,"Sheet1";"View2",#N/A,FALSE,"Sheet1"}</definedName>
    <definedName name="wrn.PropertyInformation." localSheetId="9" hidden="1">{#N/A,#N/A,FALSE,"PropertyInfo"}</definedName>
    <definedName name="wrn.PropertyInformation." localSheetId="6" hidden="1">{#N/A,#N/A,FALSE,"PropertyInfo"}</definedName>
    <definedName name="wrn.PropertyInformation." localSheetId="12" hidden="1">{#N/A,#N/A,FALSE,"PropertyInfo"}</definedName>
    <definedName name="wrn.PropertyInformation." localSheetId="20" hidden="1">{#N/A,#N/A,FALSE,"PropertyInfo"}</definedName>
    <definedName name="wrn.PropertyInformation." hidden="1">{#N/A,#N/A,FALSE,"PropertyInfo"}</definedName>
    <definedName name="wrn.RECONCILIATION." localSheetId="6" hidden="1">{"REC1",#N/A,FALSE,"Focus";"REC2",#N/A,FALSE,"Focus";"REC3",#N/A,FALSE,"Focus";"REC4",#N/A,FALSE,"Focus"}</definedName>
    <definedName name="wrn.RECONCILIATION." localSheetId="12" hidden="1">{"REC1",#N/A,FALSE,"Focus";"REC2",#N/A,FALSE,"Focus";"REC3",#N/A,FALSE,"Focus";"REC4",#N/A,FALSE,"Focus"}</definedName>
    <definedName name="wrn.RECONCILIATION." localSheetId="20" hidden="1">{"REC1",#N/A,FALSE,"Focus";"REC2",#N/A,FALSE,"Focus";"REC3",#N/A,FALSE,"Focus";"REC4",#N/A,FALSE,"Focus"}</definedName>
    <definedName name="wrn.RECONCILIATION." hidden="1">{"REC1",#N/A,FALSE,"Focus";"REC2",#N/A,FALSE,"Focus";"REC3",#N/A,FALSE,"Focus";"REC4",#N/A,FALSE,"Focus"}</definedName>
    <definedName name="wrn.Summary." localSheetId="9" hidden="1">{#N/A,#N/A,FALSE,"Summary"}</definedName>
    <definedName name="wrn.Summary." localSheetId="6" hidden="1">{#N/A,#N/A,FALSE,"Summary"}</definedName>
    <definedName name="wrn.Summary." localSheetId="12" hidden="1">{#N/A,#N/A,FALSE,"Summary"}</definedName>
    <definedName name="wrn.Summary." localSheetId="20" hidden="1">{#N/A,#N/A,FALSE,"Summary"}</definedName>
    <definedName name="wrn.Summary." hidden="1">{#N/A,#N/A,FALSE,"Summary"}</definedName>
    <definedName name="wrn.ｱﾛｰ." localSheetId="6" hidden="1">{"Actual",#N/A,FALSE,"(価格)";"Market",#N/A,FALSE,"(価格)";"Plan",#N/A,FALSE,"(価格)"}</definedName>
    <definedName name="wrn.ｱﾛｰ." localSheetId="12" hidden="1">{"Actual",#N/A,FALSE,"(価格)";"Market",#N/A,FALSE,"(価格)";"Plan",#N/A,FALSE,"(価格)"}</definedName>
    <definedName name="wrn.ｱﾛｰ." localSheetId="20" hidden="1">{"Actual",#N/A,FALSE,"(価格)";"Market",#N/A,FALSE,"(価格)";"Plan",#N/A,FALSE,"(価格)"}</definedName>
    <definedName name="wrn.ｱﾛｰ." hidden="1">{"Actual",#N/A,FALSE,"(価格)";"Market",#N/A,FALSE,"(価格)";"Plan",#N/A,FALSE,"(価格)"}</definedName>
    <definedName name="wrn.ｹﾝﾄ." localSheetId="6" hidden="1">{"ｹﾝﾄ（M)",#N/A,FALSE,"収支・日割";"ｹﾝﾄ（RD)",#N/A,FALSE,"収支・日割";"ｹﾝﾄ（PMC)",#N/A,FALSE,"収支・日割"}</definedName>
    <definedName name="wrn.ｹﾝﾄ." localSheetId="12" hidden="1">{"ｹﾝﾄ（M)",#N/A,FALSE,"収支・日割";"ｹﾝﾄ（RD)",#N/A,FALSE,"収支・日割";"ｹﾝﾄ（PMC)",#N/A,FALSE,"収支・日割"}</definedName>
    <definedName name="wrn.ｹﾝﾄ." localSheetId="20" hidden="1">{"ｹﾝﾄ（M)",#N/A,FALSE,"収支・日割";"ｹﾝﾄ（RD)",#N/A,FALSE,"収支・日割";"ｹﾝﾄ（PMC)",#N/A,FALSE,"収支・日割"}</definedName>
    <definedName name="wrn.ｹﾝﾄ." hidden="1">{"ｹﾝﾄ（M)",#N/A,FALSE,"収支・日割";"ｹﾝﾄ（RD)",#N/A,FALSE,"収支・日割";"ｹﾝﾄ（PMC)",#N/A,FALSE,"収支・日割"}</definedName>
    <definedName name="wrn.重説." localSheetId="6" hidden="1">{#N/A,#N/A,FALSE,"１";#N/A,#N/A,FALSE,"２";#N/A,#N/A,FALSE,"３";#N/A,#N/A,FALSE,"４"}</definedName>
    <definedName name="wrn.重説." localSheetId="12" hidden="1">{#N/A,#N/A,FALSE,"１";#N/A,#N/A,FALSE,"２";#N/A,#N/A,FALSE,"３";#N/A,#N/A,FALSE,"４"}</definedName>
    <definedName name="wrn.重説." localSheetId="20" hidden="1">{#N/A,#N/A,FALSE,"１";#N/A,#N/A,FALSE,"２";#N/A,#N/A,FALSE,"３";#N/A,#N/A,FALSE,"４"}</definedName>
    <definedName name="wrn.重説." hidden="1">{#N/A,#N/A,FALSE,"１";#N/A,#N/A,FALSE,"２";#N/A,#N/A,FALSE,"３";#N/A,#N/A,FALSE,"４"}</definedName>
    <definedName name="wrwr" localSheetId="6" hidden="1">{"ｹﾝﾄ（M)",#N/A,FALSE,"収支・日割";"ｹﾝﾄ（RD)",#N/A,FALSE,"収支・日割";"ｹﾝﾄ（PMC)",#N/A,FALSE,"収支・日割"}</definedName>
    <definedName name="wrwr" localSheetId="12" hidden="1">{"ｹﾝﾄ（M)",#N/A,FALSE,"収支・日割";"ｹﾝﾄ（RD)",#N/A,FALSE,"収支・日割";"ｹﾝﾄ（PMC)",#N/A,FALSE,"収支・日割"}</definedName>
    <definedName name="wrwr" localSheetId="20" hidden="1">{"ｹﾝﾄ（M)",#N/A,FALSE,"収支・日割";"ｹﾝﾄ（RD)",#N/A,FALSE,"収支・日割";"ｹﾝﾄ（PMC)",#N/A,FALSE,"収支・日割"}</definedName>
    <definedName name="wrwr" hidden="1">{"ｹﾝﾄ（M)",#N/A,FALSE,"収支・日割";"ｹﾝﾄ（RD)",#N/A,FALSE,"収支・日割";"ｹﾝﾄ（PMC)",#N/A,FALSE,"収支・日割"}</definedName>
    <definedName name="あああああ" localSheetId="6" hidden="1">{"MonthlyRentRoll",#N/A,FALSE,"RentRoll"}</definedName>
    <definedName name="あああああ" localSheetId="12" hidden="1">{"MonthlyRentRoll",#N/A,FALSE,"RentRoll"}</definedName>
    <definedName name="あああああ" localSheetId="20" hidden="1">{"MonthlyRentRoll",#N/A,FALSE,"RentRoll"}</definedName>
    <definedName name="あああああ" hidden="1">{"MonthlyRentRoll",#N/A,FALSE,"RentRoll"}</definedName>
    <definedName name="がががが" localSheetId="6" hidden="1">{#N/A,#N/A,FALSE,"ExitStratigy"}</definedName>
    <definedName name="がががが" localSheetId="12" hidden="1">{#N/A,#N/A,FALSE,"ExitStratigy"}</definedName>
    <definedName name="がががが" localSheetId="20" hidden="1">{#N/A,#N/A,FALSE,"ExitStratigy"}</definedName>
    <definedName name="がががが" hidden="1">{#N/A,#N/A,FALSE,"ExitStratigy"}</definedName>
    <definedName name="とりあえず" localSheetId="7" hidden="1">#REF!</definedName>
    <definedName name="とりあえず" localSheetId="0" hidden="1">#REF!</definedName>
    <definedName name="とりあえず" localSheetId="2" hidden="1">#REF!</definedName>
    <definedName name="とりあえず" localSheetId="1" hidden="1">#REF!</definedName>
    <definedName name="とりあえず" localSheetId="18" hidden="1">#REF!</definedName>
    <definedName name="とりあえず" localSheetId="17" hidden="1">#REF!</definedName>
    <definedName name="とりあえず" localSheetId="12" hidden="1">#REF!</definedName>
    <definedName name="とりあえず" localSheetId="5" hidden="1">#REF!</definedName>
    <definedName name="とりあえず" localSheetId="11" hidden="1">#REF!</definedName>
    <definedName name="とりあえず" hidden="1">#REF!</definedName>
    <definedName name="宮崎" localSheetId="6" hidden="1">{#N/A,#N/A,FALSE,"ExitStratigy"}</definedName>
    <definedName name="宮崎" localSheetId="12" hidden="1">{#N/A,#N/A,FALSE,"ExitStratigy"}</definedName>
    <definedName name="宮崎" localSheetId="20" hidden="1">{#N/A,#N/A,FALSE,"ExitStratigy"}</definedName>
    <definedName name="宮崎" hidden="1">{#N/A,#N/A,FALSE,"ExitStratigy"}</definedName>
    <definedName name="元" localSheetId="12" hidden="1">#REF!</definedName>
    <definedName name="元" hidden="1">#REF!</definedName>
    <definedName name="作業中" localSheetId="6" hidden="1">{"summary",#N/A,TRUE,"Focus";"interestexpense",#N/A,TRUE,"Focus";"interestincome",#N/A,TRUE,"Focus";"dividend",#N/A,TRUE,"Focus";"feeincome",#N/A,TRUE,"Focus";"gain",#N/A,TRUE,"Focus"}</definedName>
    <definedName name="作業中" localSheetId="12" hidden="1">{"summary",#N/A,TRUE,"Focus";"interestexpense",#N/A,TRUE,"Focus";"interestincome",#N/A,TRUE,"Focus";"dividend",#N/A,TRUE,"Focus";"feeincome",#N/A,TRUE,"Focus";"gain",#N/A,TRUE,"Focus"}</definedName>
    <definedName name="作業中" localSheetId="20" hidden="1">{"summary",#N/A,TRUE,"Focus";"interestexpense",#N/A,TRUE,"Focus";"interestincome",#N/A,TRUE,"Focus";"dividend",#N/A,TRUE,"Focus";"feeincome",#N/A,TRUE,"Focus";"gain",#N/A,TRUE,"Focus"}</definedName>
    <definedName name="作業中" hidden="1">{"summary",#N/A,TRUE,"Focus";"interestexpense",#N/A,TRUE,"Focus";"interestincome",#N/A,TRUE,"Focus";"dividend",#N/A,TRUE,"Focus";"feeincome",#N/A,TRUE,"Focus";"gain",#N/A,TRUE,"Focus"}</definedName>
    <definedName name="信託" localSheetId="6" hidden="1">{"summary",#N/A,TRUE,"Focus";"interestexpense",#N/A,TRUE,"Focus";"interestincome",#N/A,TRUE,"Focus";"dividend",#N/A,TRUE,"Focus";"feeincome",#N/A,TRUE,"Focus";"gain",#N/A,TRUE,"Focus"}</definedName>
    <definedName name="信託" localSheetId="12" hidden="1">{"summary",#N/A,TRUE,"Focus";"interestexpense",#N/A,TRUE,"Focus";"interestincome",#N/A,TRUE,"Focus";"dividend",#N/A,TRUE,"Focus";"feeincome",#N/A,TRUE,"Focus";"gain",#N/A,TRUE,"Focus"}</definedName>
    <definedName name="信託" localSheetId="20" hidden="1">{"summary",#N/A,TRUE,"Focus";"interestexpense",#N/A,TRUE,"Focus";"interestincome",#N/A,TRUE,"Focus";"dividend",#N/A,TRUE,"Focus";"feeincome",#N/A,TRUE,"Focus";"gain",#N/A,TRUE,"Focus"}</definedName>
    <definedName name="信託" hidden="1">{"summary",#N/A,TRUE,"Focus";"interestexpense",#N/A,TRUE,"Focus";"interestincome",#N/A,TRUE,"Focus";"dividend",#N/A,TRUE,"Focus";"feeincome",#N/A,TRUE,"Focus";"gain",#N/A,TRUE,"Focus"}</definedName>
    <definedName name="入金明細" localSheetId="6" hidden="1">{"pond1",#N/A,FALSE,"Focus";"pond2",#N/A,FALSE,"Focus"}</definedName>
    <definedName name="入金明細" localSheetId="12" hidden="1">{"pond1",#N/A,FALSE,"Focus";"pond2",#N/A,FALSE,"Focus"}</definedName>
    <definedName name="入金明細" localSheetId="20" hidden="1">{"pond1",#N/A,FALSE,"Focus";"pond2",#N/A,FALSE,"Focus"}</definedName>
    <definedName name="入金明細" hidden="1">{"pond1",#N/A,FALSE,"Focus";"pond2",#N/A,FALSE,"Focus"}</definedName>
    <definedName name="入力済" localSheetId="9" hidden="1">{"MonthlyRentRoll",#N/A,FALSE,"RentRoll"}</definedName>
    <definedName name="入力済" localSheetId="6" hidden="1">{"MonthlyRentRoll",#N/A,FALSE,"RentRoll"}</definedName>
    <definedName name="入力済" localSheetId="12" hidden="1">{"MonthlyRentRoll",#N/A,FALSE,"RentRoll"}</definedName>
    <definedName name="入力済" localSheetId="20" hidden="1">{"MonthlyRentRoll",#N/A,FALSE,"RentRoll"}</definedName>
    <definedName name="入力済" hidden="1">{"MonthlyRentRoll",#N/A,FALSE,"RentRoll"}</definedName>
    <definedName name="敷金明細" localSheetId="6" hidden="1">{"summary",#N/A,TRUE,"Focus";"interestexpense",#N/A,TRUE,"Focus";"interestincome",#N/A,TRUE,"Focus";"dividend",#N/A,TRUE,"Focus";"feeincome",#N/A,TRUE,"Focus";"gain",#N/A,TRUE,"Focus"}</definedName>
    <definedName name="敷金明細" localSheetId="12" hidden="1">{"summary",#N/A,TRUE,"Focus";"interestexpense",#N/A,TRUE,"Focus";"interestincome",#N/A,TRUE,"Focus";"dividend",#N/A,TRUE,"Focus";"feeincome",#N/A,TRUE,"Focus";"gain",#N/A,TRUE,"Focus"}</definedName>
    <definedName name="敷金明細" localSheetId="20" hidden="1">{"summary",#N/A,TRUE,"Focus";"interestexpense",#N/A,TRUE,"Focus";"interestincome",#N/A,TRUE,"Focus";"dividend",#N/A,TRUE,"Focus";"feeincome",#N/A,TRUE,"Focus";"gain",#N/A,TRUE,"Focus"}</definedName>
    <definedName name="敷金明細" hidden="1">{"summary",#N/A,TRUE,"Focus";"interestexpense",#N/A,TRUE,"Focus";"interestincome",#N/A,TRUE,"Focus";"dividend",#N/A,TRUE,"Focus";"feeincome",#N/A,TRUE,"Focus";"gain",#N/A,TRUE,"Focus"}</definedName>
    <definedName name="別表" localSheetId="6" hidden="1">{"REC1",#N/A,FALSE,"Focus";"REC2",#N/A,FALSE,"Focus";"REC3",#N/A,FALSE,"Focus";"REC4",#N/A,FALSE,"Focus"}</definedName>
    <definedName name="別表" localSheetId="12" hidden="1">{"REC1",#N/A,FALSE,"Focus";"REC2",#N/A,FALSE,"Focus";"REC3",#N/A,FALSE,"Focus";"REC4",#N/A,FALSE,"Focus"}</definedName>
    <definedName name="別表" localSheetId="20" hidden="1">{"REC1",#N/A,FALSE,"Focus";"REC2",#N/A,FALSE,"Focus";"REC3",#N/A,FALSE,"Focus";"REC4",#N/A,FALSE,"Focus"}</definedName>
    <definedName name="別表" hidden="1">{"REC1",#N/A,FALSE,"Focus";"REC2",#N/A,FALSE,"Focus";"REC3",#N/A,FALSE,"Focus";"REC4",#N/A,FALSE,"Focus"}</definedName>
    <definedName name="別表１" localSheetId="6" hidden="1">{"gain",#N/A,FALSE,"Focus"}</definedName>
    <definedName name="別表１" localSheetId="12" hidden="1">{"gain",#N/A,FALSE,"Focus"}</definedName>
    <definedName name="別表１" localSheetId="20" hidden="1">{"gain",#N/A,FALSE,"Focus"}</definedName>
    <definedName name="別表１" hidden="1">{"gain",#N/A,FALSE,"Focus"}</definedName>
    <definedName name="別表１賃料" localSheetId="6" hidden="1">{"REC1",#N/A,FALSE,"Focus";"REC2",#N/A,FALSE,"Focus";"REC3",#N/A,FALSE,"Focus";"REC4",#N/A,FALSE,"Focus"}</definedName>
    <definedName name="別表１賃料" localSheetId="12" hidden="1">{"REC1",#N/A,FALSE,"Focus";"REC2",#N/A,FALSE,"Focus";"REC3",#N/A,FALSE,"Focus";"REC4",#N/A,FALSE,"Focus"}</definedName>
    <definedName name="別表１賃料" localSheetId="20" hidden="1">{"REC1",#N/A,FALSE,"Focus";"REC2",#N/A,FALSE,"Focus";"REC3",#N/A,FALSE,"Focus";"REC4",#N/A,FALSE,"Focus"}</definedName>
    <definedName name="別表１賃料" hidden="1">{"REC1",#N/A,FALSE,"Focus";"REC2",#N/A,FALSE,"Focus";"REC3",#N/A,FALSE,"Focus";"REC4",#N/A,FALSE,"Focus"}</definedName>
    <definedName name="別表１賃料明細" localSheetId="6" hidden="1">{"summary",#N/A,TRUE,"Focus";"interestexpense",#N/A,TRUE,"Focus";"interestincome",#N/A,TRUE,"Focus";"dividend",#N/A,TRUE,"Focus";"feeincome",#N/A,TRUE,"Focus";"gain",#N/A,TRUE,"Focus"}</definedName>
    <definedName name="別表１賃料明細" localSheetId="12" hidden="1">{"summary",#N/A,TRUE,"Focus";"interestexpense",#N/A,TRUE,"Focus";"interestincome",#N/A,TRUE,"Focus";"dividend",#N/A,TRUE,"Focus";"feeincome",#N/A,TRUE,"Focus";"gain",#N/A,TRUE,"Focus"}</definedName>
    <definedName name="別表１賃料明細" localSheetId="20" hidden="1">{"summary",#N/A,TRUE,"Focus";"interestexpense",#N/A,TRUE,"Focus";"interestincome",#N/A,TRUE,"Focus";"dividend",#N/A,TRUE,"Focus";"feeincome",#N/A,TRUE,"Focus";"gain",#N/A,TRUE,"Focus"}</definedName>
    <definedName name="別表１賃料明細" hidden="1">{"summary",#N/A,TRUE,"Focus";"interestexpense",#N/A,TRUE,"Focus";"interestincome",#N/A,TRUE,"Focus";"dividend",#N/A,TRUE,"Focus";"feeincome",#N/A,TRUE,"Focus";"gain",#N/A,TRUE,"Focus"}</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1" i="34" l="1"/>
  <c r="C44" i="28"/>
  <c r="C45" i="28"/>
  <c r="C43" i="28"/>
  <c r="G35" i="28"/>
  <c r="E36" i="28"/>
  <c r="E35" i="28"/>
  <c r="F26" i="28"/>
  <c r="E21" i="28"/>
  <c r="E25" i="28"/>
  <c r="D26" i="28"/>
  <c r="F26" i="17"/>
  <c r="E26" i="17"/>
  <c r="D26" i="17"/>
  <c r="D28" i="17"/>
  <c r="E28" i="17" s="1"/>
  <c r="E26" i="18"/>
  <c r="D26" i="18"/>
  <c r="D28" i="18"/>
  <c r="E28" i="18" s="1"/>
  <c r="G28" i="18" s="1"/>
  <c r="F26" i="18"/>
  <c r="F28" i="18"/>
  <c r="K28" i="27"/>
  <c r="J28" i="27"/>
  <c r="D28" i="27"/>
  <c r="F28" i="27"/>
  <c r="G35" i="18"/>
  <c r="G36" i="27"/>
  <c r="E36" i="17"/>
  <c r="G36" i="17" s="1"/>
  <c r="D38" i="18"/>
  <c r="E36" i="18"/>
  <c r="E35" i="18"/>
  <c r="E38" i="18" s="1"/>
  <c r="E36" i="27"/>
  <c r="E35" i="27"/>
  <c r="G35" i="27" s="1"/>
  <c r="D38" i="27"/>
  <c r="D37" i="27" s="1"/>
  <c r="D27" i="17" l="1"/>
  <c r="E27" i="17" s="1"/>
  <c r="D27" i="18"/>
  <c r="C45" i="18"/>
  <c r="F38" i="18"/>
  <c r="E38" i="27"/>
  <c r="F38" i="27" s="1"/>
  <c r="F9" i="26"/>
  <c r="K45" i="28"/>
  <c r="K44" i="28"/>
  <c r="K45" i="27"/>
  <c r="K44" i="27"/>
  <c r="K45" i="18"/>
  <c r="K44" i="18"/>
  <c r="E37" i="27" l="1"/>
  <c r="F37" i="27" s="1"/>
  <c r="C45" i="27"/>
  <c r="K46" i="18"/>
  <c r="K47" i="18"/>
  <c r="K44" i="17"/>
  <c r="K46" i="17" s="1"/>
  <c r="K45" i="17"/>
  <c r="K47" i="17" s="1"/>
  <c r="M77" i="18" l="1"/>
  <c r="L77" i="18"/>
  <c r="K77" i="18"/>
  <c r="J77" i="18"/>
  <c r="N72" i="18"/>
  <c r="M72" i="18"/>
  <c r="L72" i="18"/>
  <c r="K72" i="18"/>
  <c r="N66" i="18"/>
  <c r="M66" i="18"/>
  <c r="L66" i="18"/>
  <c r="K66" i="18"/>
  <c r="J66" i="18"/>
  <c r="G47" i="18"/>
  <c r="C47" i="18"/>
  <c r="C46" i="18"/>
  <c r="M44" i="18"/>
  <c r="M45" i="18" s="1"/>
  <c r="M46" i="18" s="1"/>
  <c r="M47" i="18" s="1"/>
  <c r="M48" i="18" s="1"/>
  <c r="M49" i="18" s="1"/>
  <c r="M50" i="18" s="1"/>
  <c r="M51" i="18" s="1"/>
  <c r="M52" i="18" s="1"/>
  <c r="K48" i="18"/>
  <c r="G43" i="18"/>
  <c r="C12" i="18"/>
  <c r="G36" i="18"/>
  <c r="G38" i="18" s="1"/>
  <c r="C11" i="18"/>
  <c r="I26" i="18"/>
  <c r="K26" i="18" s="1"/>
  <c r="E25" i="18"/>
  <c r="I25" i="18" s="1"/>
  <c r="K25" i="18" s="1"/>
  <c r="K24" i="18"/>
  <c r="E24" i="18"/>
  <c r="H24" i="18" s="1"/>
  <c r="K23" i="18"/>
  <c r="E23" i="18"/>
  <c r="H23" i="18" s="1"/>
  <c r="H28" i="18" s="1"/>
  <c r="E22" i="18"/>
  <c r="I22" i="18" s="1"/>
  <c r="K22" i="18" s="1"/>
  <c r="E21" i="18"/>
  <c r="I21" i="18" s="1"/>
  <c r="K21" i="18" s="1"/>
  <c r="E20" i="18"/>
  <c r="I20" i="18" s="1"/>
  <c r="K20" i="18" s="1"/>
  <c r="S15" i="18"/>
  <c r="C13" i="18"/>
  <c r="C10" i="18"/>
  <c r="K54" i="18" s="1"/>
  <c r="C9" i="18"/>
  <c r="C8" i="18"/>
  <c r="K52" i="18" s="1"/>
  <c r="C7" i="18"/>
  <c r="F6" i="18"/>
  <c r="E6" i="18"/>
  <c r="B6" i="18"/>
  <c r="F5" i="18"/>
  <c r="E5" i="18"/>
  <c r="B5" i="18"/>
  <c r="F4" i="18"/>
  <c r="E4" i="18"/>
  <c r="B4" i="18"/>
  <c r="B3" i="18"/>
  <c r="A1" i="18"/>
  <c r="I28" i="18" l="1"/>
  <c r="C44" i="18"/>
  <c r="H27" i="18"/>
  <c r="E10" i="18"/>
  <c r="G51" i="18" s="1"/>
  <c r="F25" i="18"/>
  <c r="L25" i="18" s="1"/>
  <c r="F21" i="18"/>
  <c r="L21" i="18" s="1"/>
  <c r="D37" i="18"/>
  <c r="D31" i="18" s="1"/>
  <c r="E37" i="18"/>
  <c r="F23" i="18"/>
  <c r="L23" i="18" s="1"/>
  <c r="J43" i="18"/>
  <c r="J44" i="18" s="1"/>
  <c r="E8" i="18"/>
  <c r="L52" i="18" s="1"/>
  <c r="E27" i="18"/>
  <c r="C54" i="18"/>
  <c r="G37" i="18"/>
  <c r="E11" i="18"/>
  <c r="F20" i="18"/>
  <c r="J21" i="18"/>
  <c r="F22" i="18"/>
  <c r="F24" i="18"/>
  <c r="J25" i="18" l="1"/>
  <c r="I27" i="18"/>
  <c r="G11" i="18"/>
  <c r="F37" i="18"/>
  <c r="J23" i="18"/>
  <c r="J45" i="18"/>
  <c r="J47" i="18" s="1"/>
  <c r="J46" i="18"/>
  <c r="J48" i="18" s="1"/>
  <c r="D16" i="18"/>
  <c r="J26" i="18"/>
  <c r="J28" i="18" s="1"/>
  <c r="L26" i="18"/>
  <c r="J22" i="18"/>
  <c r="L22" i="18"/>
  <c r="J24" i="18"/>
  <c r="L24" i="18"/>
  <c r="J20" i="18"/>
  <c r="L20" i="18"/>
  <c r="C46" i="28"/>
  <c r="C46" i="27"/>
  <c r="C46" i="17"/>
  <c r="L28" i="18" l="1"/>
  <c r="L27" i="18" s="1"/>
  <c r="F27" i="18"/>
  <c r="C43" i="18"/>
  <c r="K28" i="18"/>
  <c r="C49" i="18"/>
  <c r="E26" i="28"/>
  <c r="I26" i="28" s="1"/>
  <c r="K26" i="28" s="1"/>
  <c r="E23" i="28"/>
  <c r="H23" i="28" s="1"/>
  <c r="E22" i="28"/>
  <c r="I22" i="28" s="1"/>
  <c r="K22" i="28" s="1"/>
  <c r="E20" i="28"/>
  <c r="I20" i="28" s="1"/>
  <c r="K20" i="28" s="1"/>
  <c r="D26" i="27"/>
  <c r="E26" i="27" s="1"/>
  <c r="I26" i="27" s="1"/>
  <c r="K26" i="27" s="1"/>
  <c r="D25" i="27"/>
  <c r="E25" i="27" s="1"/>
  <c r="I25" i="27" s="1"/>
  <c r="K25" i="27" s="1"/>
  <c r="D24" i="27"/>
  <c r="E24" i="27" s="1"/>
  <c r="H24" i="27" s="1"/>
  <c r="D23" i="27"/>
  <c r="D22" i="27"/>
  <c r="E22" i="27" s="1"/>
  <c r="I22" i="27" s="1"/>
  <c r="K22" i="27" s="1"/>
  <c r="D21" i="27"/>
  <c r="D20" i="27"/>
  <c r="M77" i="28"/>
  <c r="L77" i="28"/>
  <c r="K77" i="28"/>
  <c r="J77" i="28"/>
  <c r="N72" i="28"/>
  <c r="M72" i="28"/>
  <c r="L72" i="28"/>
  <c r="K72" i="28"/>
  <c r="N66" i="28"/>
  <c r="M66" i="28"/>
  <c r="L66" i="28"/>
  <c r="K66" i="28"/>
  <c r="J66" i="28"/>
  <c r="G47" i="28"/>
  <c r="C47" i="28"/>
  <c r="M44" i="28"/>
  <c r="M45" i="28" s="1"/>
  <c r="M46" i="28" s="1"/>
  <c r="M47" i="28" s="1"/>
  <c r="M48" i="28" s="1"/>
  <c r="M49" i="28" s="1"/>
  <c r="M50" i="28" s="1"/>
  <c r="M51" i="28" s="1"/>
  <c r="M52" i="28" s="1"/>
  <c r="G43" i="28"/>
  <c r="E38" i="28"/>
  <c r="D38" i="28"/>
  <c r="C12" i="28" s="1"/>
  <c r="G36" i="28"/>
  <c r="G38" i="28" s="1"/>
  <c r="F25" i="28"/>
  <c r="J25" i="28" s="1"/>
  <c r="K24" i="28"/>
  <c r="E24" i="28"/>
  <c r="H24" i="28" s="1"/>
  <c r="K23" i="28"/>
  <c r="I21" i="28"/>
  <c r="K21" i="28" s="1"/>
  <c r="S15" i="28"/>
  <c r="C13" i="28"/>
  <c r="C10" i="28"/>
  <c r="K54" i="28" s="1"/>
  <c r="C9" i="28"/>
  <c r="E8" i="28"/>
  <c r="C8" i="28"/>
  <c r="K52" i="28" s="1"/>
  <c r="C7" i="28"/>
  <c r="F6" i="28"/>
  <c r="E6" i="28"/>
  <c r="B6" i="28"/>
  <c r="F5" i="28"/>
  <c r="E5" i="28"/>
  <c r="B5" i="28"/>
  <c r="F4" i="28"/>
  <c r="E4" i="28"/>
  <c r="B4" i="28"/>
  <c r="B3" i="28"/>
  <c r="A1" i="28"/>
  <c r="M77" i="27"/>
  <c r="L77" i="27"/>
  <c r="K77" i="27"/>
  <c r="J77" i="27"/>
  <c r="N72" i="27"/>
  <c r="M72" i="27"/>
  <c r="L72" i="27"/>
  <c r="K72" i="27"/>
  <c r="N66" i="27"/>
  <c r="M66" i="27"/>
  <c r="L66" i="27"/>
  <c r="K66" i="27"/>
  <c r="J66" i="27"/>
  <c r="G47" i="27"/>
  <c r="C47" i="27"/>
  <c r="M44" i="27"/>
  <c r="M45" i="27" s="1"/>
  <c r="M46" i="27" s="1"/>
  <c r="M47" i="27" s="1"/>
  <c r="M48" i="27" s="1"/>
  <c r="M49" i="27" s="1"/>
  <c r="M50" i="27" s="1"/>
  <c r="M51" i="27" s="1"/>
  <c r="M52" i="27" s="1"/>
  <c r="G43" i="27"/>
  <c r="G38" i="27"/>
  <c r="K24" i="27"/>
  <c r="K23" i="27"/>
  <c r="E23" i="27"/>
  <c r="F23" i="27" s="1"/>
  <c r="L23" i="27" s="1"/>
  <c r="E21" i="27"/>
  <c r="F21" i="27" s="1"/>
  <c r="S15" i="27"/>
  <c r="C13" i="27"/>
  <c r="C10" i="27"/>
  <c r="K54" i="27" s="1"/>
  <c r="C9" i="27"/>
  <c r="C8" i="27"/>
  <c r="E8" i="27" s="1"/>
  <c r="C7" i="27"/>
  <c r="F6" i="27"/>
  <c r="E6" i="27"/>
  <c r="B6" i="27"/>
  <c r="F5" i="27"/>
  <c r="E5" i="27"/>
  <c r="B5" i="27"/>
  <c r="F4" i="27"/>
  <c r="E4" i="27"/>
  <c r="B4" i="27"/>
  <c r="B3" i="27"/>
  <c r="A1" i="27"/>
  <c r="J27" i="18" l="1"/>
  <c r="G27" i="18"/>
  <c r="K27" i="18" s="1"/>
  <c r="K52" i="27"/>
  <c r="J43" i="27" s="1"/>
  <c r="J44" i="27" s="1"/>
  <c r="J46" i="27" s="1"/>
  <c r="D31" i="27"/>
  <c r="C53" i="18"/>
  <c r="C55" i="18" s="1"/>
  <c r="D49" i="18"/>
  <c r="N47" i="18"/>
  <c r="N52" i="18"/>
  <c r="N49" i="18"/>
  <c r="N45" i="18"/>
  <c r="N51" i="18"/>
  <c r="N50" i="18"/>
  <c r="N43" i="18"/>
  <c r="N48" i="18"/>
  <c r="N46" i="18"/>
  <c r="N44" i="18"/>
  <c r="G44" i="18"/>
  <c r="F16" i="18"/>
  <c r="I25" i="28"/>
  <c r="K25" i="28" s="1"/>
  <c r="C12" i="27"/>
  <c r="H23" i="27"/>
  <c r="J23" i="27" s="1"/>
  <c r="E20" i="27"/>
  <c r="I20" i="27" s="1"/>
  <c r="K20" i="27" s="1"/>
  <c r="H28" i="28"/>
  <c r="H27" i="28" s="1"/>
  <c r="F21" i="28"/>
  <c r="J21" i="28" s="1"/>
  <c r="F23" i="28"/>
  <c r="L23" i="28" s="1"/>
  <c r="D28" i="28"/>
  <c r="E28" i="28" s="1"/>
  <c r="E11" i="28" s="1"/>
  <c r="L21" i="27"/>
  <c r="J21" i="27"/>
  <c r="I21" i="27"/>
  <c r="K21" i="27" s="1"/>
  <c r="F25" i="27"/>
  <c r="L25" i="27" s="1"/>
  <c r="L52" i="28"/>
  <c r="J43" i="28"/>
  <c r="J44" i="28" s="1"/>
  <c r="G37" i="28"/>
  <c r="C54" i="28"/>
  <c r="L25" i="28"/>
  <c r="F20" i="28"/>
  <c r="F22" i="28"/>
  <c r="F24" i="28"/>
  <c r="F38" i="28"/>
  <c r="D37" i="28"/>
  <c r="D31" i="28" s="1"/>
  <c r="E37" i="28"/>
  <c r="E10" i="28"/>
  <c r="G51" i="28" s="1"/>
  <c r="G37" i="27"/>
  <c r="C54" i="27"/>
  <c r="J45" i="27"/>
  <c r="J47" i="27" s="1"/>
  <c r="F22" i="27"/>
  <c r="F24" i="27"/>
  <c r="F26" i="27"/>
  <c r="E10" i="27"/>
  <c r="G51" i="27" s="1"/>
  <c r="E28" i="27" l="1"/>
  <c r="G28" i="27" s="1"/>
  <c r="G49" i="18"/>
  <c r="G55" i="18" s="1"/>
  <c r="L52" i="27"/>
  <c r="C11" i="27"/>
  <c r="H28" i="27"/>
  <c r="H27" i="27" s="1"/>
  <c r="F20" i="27"/>
  <c r="J20" i="27" s="1"/>
  <c r="D27" i="27"/>
  <c r="J23" i="28"/>
  <c r="L21" i="28"/>
  <c r="F28" i="28"/>
  <c r="G28" i="28" s="1"/>
  <c r="I28" i="28"/>
  <c r="F37" i="28"/>
  <c r="C11" i="28"/>
  <c r="D27" i="28" s="1"/>
  <c r="J25" i="27"/>
  <c r="J22" i="28"/>
  <c r="L22" i="28"/>
  <c r="J26" i="28"/>
  <c r="L26" i="28"/>
  <c r="L20" i="28"/>
  <c r="J20" i="28"/>
  <c r="J45" i="28"/>
  <c r="J47" i="28" s="1"/>
  <c r="J46" i="28"/>
  <c r="L24" i="28"/>
  <c r="J24" i="28"/>
  <c r="G11" i="28"/>
  <c r="K46" i="28"/>
  <c r="K47" i="28"/>
  <c r="L22" i="27"/>
  <c r="J22" i="27"/>
  <c r="J48" i="27"/>
  <c r="L26" i="27"/>
  <c r="J26" i="27"/>
  <c r="K47" i="27"/>
  <c r="K46" i="27"/>
  <c r="L24" i="27"/>
  <c r="J24" i="27"/>
  <c r="E11" i="27" l="1"/>
  <c r="G11" i="27" s="1"/>
  <c r="C43" i="27"/>
  <c r="C49" i="27" s="1"/>
  <c r="M36" i="26" s="1"/>
  <c r="F27" i="27"/>
  <c r="D16" i="27"/>
  <c r="E27" i="27"/>
  <c r="I27" i="27" s="1"/>
  <c r="I28" i="27"/>
  <c r="L20" i="27"/>
  <c r="L28" i="27" s="1"/>
  <c r="G53" i="18"/>
  <c r="P43" i="18" s="1"/>
  <c r="C44" i="27"/>
  <c r="K48" i="27"/>
  <c r="J28" i="28"/>
  <c r="E27" i="28"/>
  <c r="I27" i="28" s="1"/>
  <c r="D16" i="28"/>
  <c r="L28" i="28"/>
  <c r="K48" i="28"/>
  <c r="J48" i="28"/>
  <c r="K28" i="28"/>
  <c r="C49" i="28"/>
  <c r="M46" i="26" s="1"/>
  <c r="F27" i="28"/>
  <c r="F16" i="28" s="1"/>
  <c r="G45" i="27"/>
  <c r="G27" i="27" l="1"/>
  <c r="F16" i="27"/>
  <c r="P45" i="18"/>
  <c r="P47" i="18"/>
  <c r="P44" i="18"/>
  <c r="P50" i="18"/>
  <c r="P51" i="18"/>
  <c r="H53" i="18"/>
  <c r="P49" i="18"/>
  <c r="P52" i="18"/>
  <c r="P46" i="18"/>
  <c r="P48" i="18"/>
  <c r="G45" i="28"/>
  <c r="N48" i="28"/>
  <c r="N46" i="28"/>
  <c r="N44" i="28"/>
  <c r="G44" i="28"/>
  <c r="N50" i="28"/>
  <c r="D49" i="28"/>
  <c r="N47" i="28"/>
  <c r="N45" i="28"/>
  <c r="N52" i="28"/>
  <c r="N49" i="28"/>
  <c r="N51" i="28"/>
  <c r="N43" i="28"/>
  <c r="J27" i="28"/>
  <c r="G27" i="28"/>
  <c r="K27" i="28" s="1"/>
  <c r="C53" i="28"/>
  <c r="C55" i="28" s="1"/>
  <c r="L27" i="28"/>
  <c r="C53" i="27"/>
  <c r="C55" i="27" s="1"/>
  <c r="L27" i="27"/>
  <c r="N48" i="27"/>
  <c r="N46" i="27"/>
  <c r="N44" i="27"/>
  <c r="G44" i="27"/>
  <c r="G49" i="27" s="1"/>
  <c r="G55" i="27" s="1"/>
  <c r="D49" i="27"/>
  <c r="N47" i="27"/>
  <c r="N45" i="27"/>
  <c r="N51" i="27"/>
  <c r="N50" i="27"/>
  <c r="N43" i="27"/>
  <c r="N52" i="27"/>
  <c r="N49" i="27"/>
  <c r="K27" i="27"/>
  <c r="J27" i="27"/>
  <c r="G49" i="28" l="1"/>
  <c r="G55" i="28" s="1"/>
  <c r="G53" i="27"/>
  <c r="P47" i="27" s="1"/>
  <c r="G53" i="28" l="1"/>
  <c r="H53" i="28" s="1"/>
  <c r="H53" i="27"/>
  <c r="P49" i="27"/>
  <c r="P43" i="27"/>
  <c r="P44" i="27"/>
  <c r="P52" i="27"/>
  <c r="P50" i="27"/>
  <c r="P46" i="27"/>
  <c r="P45" i="27"/>
  <c r="P51" i="27"/>
  <c r="P48" i="27"/>
  <c r="P49" i="28" l="1"/>
  <c r="P45" i="28"/>
  <c r="M47" i="26"/>
  <c r="P52" i="28"/>
  <c r="P47" i="28"/>
  <c r="P46" i="28"/>
  <c r="P43" i="28"/>
  <c r="P44" i="28"/>
  <c r="P48" i="28"/>
  <c r="P51" i="28"/>
  <c r="P50" i="28"/>
  <c r="E20" i="17"/>
  <c r="G43" i="17" l="1"/>
  <c r="E22" i="17" l="1"/>
  <c r="F22" i="17" s="1"/>
  <c r="L22" i="17" s="1"/>
  <c r="E25" i="17"/>
  <c r="F25" i="17" s="1"/>
  <c r="L25" i="17" s="1"/>
  <c r="L26" i="17"/>
  <c r="E24" i="17"/>
  <c r="F24" i="17" s="1"/>
  <c r="L24" i="17" s="1"/>
  <c r="E21" i="17"/>
  <c r="F21" i="17" s="1"/>
  <c r="L21" i="17" s="1"/>
  <c r="F20" i="17"/>
  <c r="A1" i="17"/>
  <c r="L20" i="17" l="1"/>
  <c r="H32" i="35"/>
  <c r="E34" i="35" l="1"/>
  <c r="B40" i="35" l="1"/>
  <c r="D10" i="26" l="1"/>
  <c r="F16" i="36" l="1"/>
  <c r="F14" i="36"/>
  <c r="E23" i="35" l="1"/>
  <c r="D37" i="35"/>
  <c r="D29" i="35"/>
  <c r="D28" i="35"/>
  <c r="D25" i="35"/>
  <c r="C15" i="35"/>
  <c r="D20" i="35"/>
  <c r="D21" i="35"/>
  <c r="E21" i="35"/>
  <c r="D22" i="35"/>
  <c r="E24" i="35"/>
  <c r="H25" i="35"/>
  <c r="D26" i="35"/>
  <c r="E27" i="35"/>
  <c r="I27" i="35"/>
  <c r="G29" i="35"/>
  <c r="J29" i="35"/>
  <c r="D30" i="35"/>
  <c r="G30" i="35"/>
  <c r="D31" i="35"/>
  <c r="E32" i="35"/>
  <c r="E33" i="35"/>
  <c r="D35" i="35"/>
  <c r="D36" i="35"/>
  <c r="B41" i="35"/>
  <c r="C10" i="17" l="1"/>
  <c r="K54" i="17" l="1"/>
  <c r="M58" i="26"/>
  <c r="D50" i="26" l="1"/>
  <c r="A67" i="34"/>
  <c r="B67" i="34"/>
  <c r="C67" i="34"/>
  <c r="D67" i="34"/>
  <c r="A68" i="34"/>
  <c r="B68" i="34"/>
  <c r="C68" i="34"/>
  <c r="D68" i="34"/>
  <c r="E19" i="34"/>
  <c r="F19" i="34" s="1"/>
  <c r="G19" i="34" s="1"/>
  <c r="E13" i="34"/>
  <c r="F13" i="34" s="1"/>
  <c r="G13" i="34" s="1"/>
  <c r="E24" i="34"/>
  <c r="F24" i="34" s="1"/>
  <c r="G24" i="34" s="1"/>
  <c r="E22" i="34"/>
  <c r="F22" i="34" s="1"/>
  <c r="G22" i="34" s="1"/>
  <c r="E23" i="34"/>
  <c r="F23" i="34" s="1"/>
  <c r="G23" i="34" s="1"/>
  <c r="E20" i="34"/>
  <c r="F20" i="34" s="1"/>
  <c r="G20" i="34" s="1"/>
  <c r="F14" i="34"/>
  <c r="G14" i="34" s="1"/>
  <c r="E12" i="34"/>
  <c r="F12" i="34" s="1"/>
  <c r="G12" i="34" s="1"/>
  <c r="E11" i="34"/>
  <c r="F11" i="34" s="1"/>
  <c r="G11" i="34" s="1"/>
  <c r="E10" i="34"/>
  <c r="E9" i="34"/>
  <c r="E8" i="34"/>
  <c r="E7" i="34"/>
  <c r="F6" i="17" l="1"/>
  <c r="E6" i="17"/>
  <c r="B6" i="17"/>
  <c r="I26" i="17"/>
  <c r="H24" i="17"/>
  <c r="J24" i="17" s="1"/>
  <c r="E23" i="17"/>
  <c r="G47" i="17"/>
  <c r="D52" i="26"/>
  <c r="J25" i="17"/>
  <c r="I25" i="17"/>
  <c r="K23" i="17"/>
  <c r="J22" i="17"/>
  <c r="J20" i="17"/>
  <c r="C7" i="1"/>
  <c r="C10" i="1"/>
  <c r="H23" i="17" l="1"/>
  <c r="H28" i="17" s="1"/>
  <c r="F23" i="17"/>
  <c r="I20" i="17"/>
  <c r="K20" i="17" s="1"/>
  <c r="J21" i="17"/>
  <c r="J26" i="17"/>
  <c r="I21" i="17"/>
  <c r="K21" i="17" s="1"/>
  <c r="K26" i="17"/>
  <c r="I22" i="17"/>
  <c r="K22" i="17" s="1"/>
  <c r="K24" i="17"/>
  <c r="K25" i="17"/>
  <c r="N9" i="42"/>
  <c r="N9" i="44"/>
  <c r="H27" i="17" l="1"/>
  <c r="I27" i="17" s="1"/>
  <c r="I28" i="17"/>
  <c r="L23" i="17"/>
  <c r="L28" i="17" s="1"/>
  <c r="L27" i="17" s="1"/>
  <c r="F28" i="17"/>
  <c r="C43" i="17"/>
  <c r="J23" i="17"/>
  <c r="J28" i="17" s="1"/>
  <c r="D38" i="34"/>
  <c r="D93" i="34"/>
  <c r="B93" i="34"/>
  <c r="A93" i="34"/>
  <c r="D91" i="34"/>
  <c r="B91" i="34"/>
  <c r="A91" i="34"/>
  <c r="D90" i="34"/>
  <c r="B90" i="34"/>
  <c r="A90" i="34"/>
  <c r="D89" i="34"/>
  <c r="B89" i="34"/>
  <c r="A89" i="34"/>
  <c r="D88" i="34"/>
  <c r="B88" i="34"/>
  <c r="A88" i="34"/>
  <c r="D87" i="34"/>
  <c r="B87" i="34"/>
  <c r="A87" i="34"/>
  <c r="D86" i="34"/>
  <c r="C86" i="34"/>
  <c r="B86" i="34"/>
  <c r="A86" i="34"/>
  <c r="D85" i="34"/>
  <c r="C85" i="34"/>
  <c r="B85" i="34"/>
  <c r="A85" i="34"/>
  <c r="D84" i="34"/>
  <c r="C84" i="34"/>
  <c r="B84" i="34"/>
  <c r="A84" i="34"/>
  <c r="D83" i="34"/>
  <c r="B83" i="34"/>
  <c r="A83" i="34"/>
  <c r="D82" i="34"/>
  <c r="B82" i="34"/>
  <c r="A82" i="34"/>
  <c r="D81" i="34"/>
  <c r="B81" i="34"/>
  <c r="A81" i="34"/>
  <c r="D80" i="34"/>
  <c r="B80" i="34"/>
  <c r="A80" i="34"/>
  <c r="D79" i="34"/>
  <c r="B79" i="34"/>
  <c r="A79" i="34"/>
  <c r="D71" i="34"/>
  <c r="D69" i="34"/>
  <c r="D66" i="34"/>
  <c r="D65" i="34"/>
  <c r="D64" i="34"/>
  <c r="D63" i="34"/>
  <c r="D62" i="34"/>
  <c r="D61" i="34"/>
  <c r="D60" i="34"/>
  <c r="D59" i="34"/>
  <c r="D58" i="34"/>
  <c r="D57" i="34"/>
  <c r="D56" i="34"/>
  <c r="D55" i="34"/>
  <c r="F27" i="17" l="1"/>
  <c r="G28" i="17"/>
  <c r="K28" i="17" s="1"/>
  <c r="D39" i="34"/>
  <c r="D41" i="34" s="1"/>
  <c r="G27" i="17" l="1"/>
  <c r="K27" i="17" s="1"/>
  <c r="J27" i="17"/>
  <c r="R11" i="46"/>
  <c r="R12" i="46"/>
  <c r="R13" i="46"/>
  <c r="R14" i="46"/>
  <c r="R15" i="46"/>
  <c r="R16" i="46"/>
  <c r="R17" i="46"/>
  <c r="R9" i="46"/>
  <c r="R10" i="46"/>
  <c r="A2" i="46"/>
  <c r="G28" i="46"/>
  <c r="G30" i="46"/>
  <c r="J35" i="46"/>
  <c r="A37" i="46"/>
  <c r="A36" i="46"/>
  <c r="H26" i="46"/>
  <c r="H25" i="46"/>
  <c r="E27" i="46"/>
  <c r="E28" i="46"/>
  <c r="E29" i="46"/>
  <c r="E30" i="46"/>
  <c r="E25" i="46"/>
  <c r="E26" i="46"/>
  <c r="C30" i="46"/>
  <c r="A26" i="46"/>
  <c r="A27" i="46"/>
  <c r="A28" i="46"/>
  <c r="A29" i="46"/>
  <c r="A30" i="46"/>
  <c r="A25" i="46"/>
  <c r="Q11" i="46"/>
  <c r="Q12" i="46"/>
  <c r="Q13" i="46"/>
  <c r="Q14" i="46"/>
  <c r="Q15" i="46"/>
  <c r="Q16" i="46"/>
  <c r="Q17" i="46"/>
  <c r="Q9" i="46"/>
  <c r="Q10" i="46"/>
  <c r="P17" i="46"/>
  <c r="O17" i="46"/>
  <c r="N17" i="46"/>
  <c r="P16" i="46"/>
  <c r="O16" i="46"/>
  <c r="N16" i="46"/>
  <c r="P15" i="46"/>
  <c r="O15" i="46"/>
  <c r="P14" i="46"/>
  <c r="O14" i="46"/>
  <c r="N14" i="46"/>
  <c r="N15" i="46"/>
  <c r="N11" i="46"/>
  <c r="O11" i="46"/>
  <c r="P11" i="46"/>
  <c r="N12" i="46"/>
  <c r="O12" i="46"/>
  <c r="P12" i="46"/>
  <c r="N13" i="46"/>
  <c r="O13" i="46"/>
  <c r="P13" i="46"/>
  <c r="O10" i="46"/>
  <c r="P10" i="46"/>
  <c r="N10" i="46"/>
  <c r="L11" i="46"/>
  <c r="L14" i="46"/>
  <c r="L16" i="46"/>
  <c r="L17" i="46"/>
  <c r="L9" i="46"/>
  <c r="L10" i="46"/>
  <c r="H9" i="46"/>
  <c r="H11" i="46"/>
  <c r="G12" i="46"/>
  <c r="I12" i="46"/>
  <c r="G13" i="46"/>
  <c r="I13" i="46"/>
  <c r="H14" i="46"/>
  <c r="G15" i="46"/>
  <c r="I15" i="46"/>
  <c r="H16" i="46"/>
  <c r="H17" i="46"/>
  <c r="H10" i="46"/>
  <c r="D11" i="46"/>
  <c r="E11" i="46" s="1"/>
  <c r="D12" i="46"/>
  <c r="E12" i="46" s="1"/>
  <c r="D13" i="46"/>
  <c r="E13" i="46" s="1"/>
  <c r="D14" i="46"/>
  <c r="E14" i="46" s="1"/>
  <c r="D15" i="46"/>
  <c r="E15" i="46" s="1"/>
  <c r="D16" i="46"/>
  <c r="E16" i="46" s="1"/>
  <c r="D17" i="46"/>
  <c r="E17" i="46" s="1"/>
  <c r="D9" i="46"/>
  <c r="E9" i="46" s="1"/>
  <c r="D10" i="46"/>
  <c r="E10" i="46" s="1"/>
  <c r="M49" i="46"/>
  <c r="M50" i="46" s="1"/>
  <c r="M43" i="46" s="1"/>
  <c r="M41" i="46"/>
  <c r="O38" i="46"/>
  <c r="S4" i="46"/>
  <c r="M42" i="46" l="1"/>
  <c r="K13" i="46"/>
  <c r="K15" i="46"/>
  <c r="K12" i="46"/>
  <c r="O30" i="46"/>
  <c r="D19" i="46"/>
  <c r="E15" i="42"/>
  <c r="D25" i="38"/>
  <c r="E19" i="46" l="1"/>
  <c r="D18" i="46"/>
  <c r="D5" i="46" l="1"/>
  <c r="E18" i="46"/>
  <c r="D28" i="44" l="1"/>
  <c r="D18" i="24" l="1"/>
  <c r="D16" i="39"/>
  <c r="F12" i="42"/>
  <c r="AG4" i="45" l="1"/>
  <c r="E39" i="45"/>
  <c r="E50" i="45" s="1"/>
  <c r="G43" i="45"/>
  <c r="F43" i="45" s="1"/>
  <c r="E33" i="45"/>
  <c r="E29" i="45"/>
  <c r="E22" i="45"/>
  <c r="F12" i="45"/>
  <c r="G12" i="45" s="1"/>
  <c r="H12" i="45" s="1"/>
  <c r="I12" i="45" s="1"/>
  <c r="J12" i="45" s="1"/>
  <c r="K12" i="45" s="1"/>
  <c r="L12" i="45" s="1"/>
  <c r="M12" i="45" s="1"/>
  <c r="N12" i="45" s="1"/>
  <c r="O12" i="45" s="1"/>
  <c r="P12" i="45" s="1"/>
  <c r="Q12" i="45" s="1"/>
  <c r="R12" i="45" s="1"/>
  <c r="S12" i="45" s="1"/>
  <c r="T12" i="45" s="1"/>
  <c r="U12" i="45" s="1"/>
  <c r="V12" i="45" s="1"/>
  <c r="W12" i="45" s="1"/>
  <c r="X12" i="45" s="1"/>
  <c r="Y12" i="45" s="1"/>
  <c r="Z12" i="45" s="1"/>
  <c r="AA12" i="45" s="1"/>
  <c r="AB12" i="45" s="1"/>
  <c r="AC12" i="45" s="1"/>
  <c r="AD12" i="45" s="1"/>
  <c r="AG3" i="45"/>
  <c r="A1" i="45"/>
  <c r="E73" i="45"/>
  <c r="D73" i="45"/>
  <c r="G62" i="45"/>
  <c r="H62" i="45" s="1"/>
  <c r="I62" i="45" s="1"/>
  <c r="J62" i="45" s="1"/>
  <c r="K62" i="45" s="1"/>
  <c r="L62" i="45" s="1"/>
  <c r="M62" i="45" s="1"/>
  <c r="N62" i="45" s="1"/>
  <c r="O62" i="45" s="1"/>
  <c r="P62" i="45" s="1"/>
  <c r="Q62" i="45" s="1"/>
  <c r="R62" i="45" s="1"/>
  <c r="S62" i="45" s="1"/>
  <c r="T62" i="45" s="1"/>
  <c r="U62" i="45" s="1"/>
  <c r="V62" i="45" s="1"/>
  <c r="W62" i="45" s="1"/>
  <c r="X62" i="45" s="1"/>
  <c r="Y62" i="45" s="1"/>
  <c r="Z62" i="45" s="1"/>
  <c r="AA62" i="45" s="1"/>
  <c r="AB62" i="45" s="1"/>
  <c r="AC62" i="45" s="1"/>
  <c r="AD62" i="45" s="1"/>
  <c r="E45" i="45"/>
  <c r="AE44" i="45"/>
  <c r="AE42" i="45"/>
  <c r="H36" i="45"/>
  <c r="D31" i="45"/>
  <c r="X27" i="45"/>
  <c r="Y27" i="45"/>
  <c r="Z27" i="45" s="1"/>
  <c r="AA27" i="45" s="1"/>
  <c r="AB27" i="45" s="1"/>
  <c r="AC27" i="45" s="1"/>
  <c r="AD27" i="45" s="1"/>
  <c r="X25" i="45"/>
  <c r="Y25" i="45" s="1"/>
  <c r="Z25" i="45" s="1"/>
  <c r="AA25" i="45" s="1"/>
  <c r="AB25" i="45" s="1"/>
  <c r="AC25" i="45" s="1"/>
  <c r="AD25" i="45" s="1"/>
  <c r="G21" i="45"/>
  <c r="G20" i="45"/>
  <c r="H20" i="45" s="1"/>
  <c r="I20" i="45" s="1"/>
  <c r="J20" i="45" s="1"/>
  <c r="K20" i="45" s="1"/>
  <c r="L20" i="45" s="1"/>
  <c r="M20" i="45" s="1"/>
  <c r="N20" i="45" s="1"/>
  <c r="O20" i="45" s="1"/>
  <c r="P20" i="45" s="1"/>
  <c r="Q20" i="45" s="1"/>
  <c r="R20" i="45" s="1"/>
  <c r="S20" i="45" s="1"/>
  <c r="T20" i="45" s="1"/>
  <c r="U20" i="45" s="1"/>
  <c r="V20" i="45" s="1"/>
  <c r="W20" i="45" s="1"/>
  <c r="X20" i="45" s="1"/>
  <c r="Y20" i="45" s="1"/>
  <c r="Z20" i="45" s="1"/>
  <c r="AA20" i="45" s="1"/>
  <c r="AB20" i="45" s="1"/>
  <c r="AC20" i="45" s="1"/>
  <c r="AD20" i="45" s="1"/>
  <c r="G19" i="45"/>
  <c r="H19" i="45" s="1"/>
  <c r="I19" i="45" s="1"/>
  <c r="J19" i="45" s="1"/>
  <c r="K19" i="45" s="1"/>
  <c r="L19" i="45" s="1"/>
  <c r="M19" i="45" s="1"/>
  <c r="N19" i="45" s="1"/>
  <c r="O19" i="45" s="1"/>
  <c r="P19" i="45" s="1"/>
  <c r="Q19" i="45" s="1"/>
  <c r="R19" i="45" s="1"/>
  <c r="S19" i="45" s="1"/>
  <c r="T19" i="45" s="1"/>
  <c r="U19" i="45" s="1"/>
  <c r="V19" i="45" s="1"/>
  <c r="W19" i="45" s="1"/>
  <c r="X19" i="45" s="1"/>
  <c r="Y19" i="45" s="1"/>
  <c r="Z19" i="45" s="1"/>
  <c r="AA19" i="45" s="1"/>
  <c r="AB19" i="45" s="1"/>
  <c r="AC19" i="45" s="1"/>
  <c r="AD19" i="45" s="1"/>
  <c r="G17" i="45"/>
  <c r="H17" i="45" s="1"/>
  <c r="I17" i="45" s="1"/>
  <c r="J17" i="45" s="1"/>
  <c r="K17" i="45" s="1"/>
  <c r="L17" i="45" s="1"/>
  <c r="M17" i="45" s="1"/>
  <c r="N17" i="45" s="1"/>
  <c r="O17" i="45" s="1"/>
  <c r="P17" i="45" s="1"/>
  <c r="Q17" i="45" s="1"/>
  <c r="R17" i="45" s="1"/>
  <c r="S17" i="45" s="1"/>
  <c r="T17" i="45" s="1"/>
  <c r="U17" i="45" s="1"/>
  <c r="V17" i="45" s="1"/>
  <c r="W17" i="45" s="1"/>
  <c r="X17" i="45" s="1"/>
  <c r="Y17" i="45" s="1"/>
  <c r="Z17" i="45" s="1"/>
  <c r="AA17" i="45" s="1"/>
  <c r="AB17" i="45" s="1"/>
  <c r="AC17" i="45" s="1"/>
  <c r="AD17" i="45" s="1"/>
  <c r="AE16" i="45"/>
  <c r="AE15" i="45"/>
  <c r="AE14" i="45"/>
  <c r="G11" i="45"/>
  <c r="H11" i="45" s="1"/>
  <c r="G9" i="45"/>
  <c r="H9" i="45" s="1"/>
  <c r="I9" i="45" s="1"/>
  <c r="J9" i="45" s="1"/>
  <c r="K9" i="45" s="1"/>
  <c r="L9" i="45" s="1"/>
  <c r="M9" i="45" s="1"/>
  <c r="N9" i="45" s="1"/>
  <c r="O9" i="45" s="1"/>
  <c r="P9" i="45" s="1"/>
  <c r="Q9" i="45" s="1"/>
  <c r="R9" i="45" s="1"/>
  <c r="S9" i="45" s="1"/>
  <c r="T9" i="45" s="1"/>
  <c r="U9" i="45" s="1"/>
  <c r="V9" i="45" s="1"/>
  <c r="W9" i="45" s="1"/>
  <c r="X9" i="45" s="1"/>
  <c r="Y9" i="45" s="1"/>
  <c r="Z9" i="45" s="1"/>
  <c r="AA9" i="45" s="1"/>
  <c r="AB9" i="45" s="1"/>
  <c r="AC9" i="45" s="1"/>
  <c r="AD9" i="45" s="1"/>
  <c r="AE5" i="45"/>
  <c r="D27" i="44"/>
  <c r="N26" i="44"/>
  <c r="D26" i="44"/>
  <c r="N25" i="44"/>
  <c r="D25" i="44"/>
  <c r="K24" i="44"/>
  <c r="G24" i="44"/>
  <c r="D24" i="44"/>
  <c r="E20" i="44"/>
  <c r="K19" i="44"/>
  <c r="G19" i="44"/>
  <c r="D19" i="44"/>
  <c r="E15" i="44"/>
  <c r="N13" i="44"/>
  <c r="D13" i="44"/>
  <c r="F12" i="44"/>
  <c r="D11" i="44"/>
  <c r="D4" i="44"/>
  <c r="E14" i="44"/>
  <c r="D10" i="44"/>
  <c r="E9" i="44"/>
  <c r="E8" i="44"/>
  <c r="D7" i="44"/>
  <c r="Q3" i="44"/>
  <c r="D4" i="42"/>
  <c r="D28" i="42"/>
  <c r="D27" i="42"/>
  <c r="D26" i="42"/>
  <c r="N26" i="42"/>
  <c r="N25" i="42"/>
  <c r="K24" i="42"/>
  <c r="G24" i="42"/>
  <c r="E20" i="42"/>
  <c r="K19" i="42"/>
  <c r="G19" i="42"/>
  <c r="D19" i="42"/>
  <c r="D14" i="42"/>
  <c r="D13" i="42"/>
  <c r="D11" i="42"/>
  <c r="D10" i="42"/>
  <c r="E9" i="42"/>
  <c r="E8" i="42"/>
  <c r="D7" i="42"/>
  <c r="Q3" i="42"/>
  <c r="K53" i="22"/>
  <c r="I58" i="22"/>
  <c r="I62" i="22"/>
  <c r="I28" i="22"/>
  <c r="I23" i="22"/>
  <c r="G47" i="22"/>
  <c r="I43" i="22"/>
  <c r="I44" i="22"/>
  <c r="G43" i="22"/>
  <c r="G44" i="22"/>
  <c r="G42" i="22"/>
  <c r="I42" i="22"/>
  <c r="G58" i="22"/>
  <c r="G60" i="22"/>
  <c r="G62" i="22"/>
  <c r="K62" i="22" s="1"/>
  <c r="G55" i="22"/>
  <c r="G56" i="22"/>
  <c r="F56" i="22"/>
  <c r="F55" i="22"/>
  <c r="G52" i="22"/>
  <c r="G54" i="22" s="1"/>
  <c r="F47" i="22"/>
  <c r="F43" i="22"/>
  <c r="F44" i="22"/>
  <c r="F42" i="22"/>
  <c r="F41" i="22"/>
  <c r="F24" i="22"/>
  <c r="F25" i="22"/>
  <c r="F26" i="22"/>
  <c r="F27" i="22"/>
  <c r="F28" i="22"/>
  <c r="F23" i="22"/>
  <c r="G32" i="22"/>
  <c r="G33" i="22"/>
  <c r="G34" i="22"/>
  <c r="G31" i="22"/>
  <c r="F37" i="22"/>
  <c r="F38" i="22"/>
  <c r="F39" i="22"/>
  <c r="F32" i="22"/>
  <c r="F33" i="22"/>
  <c r="F34" i="22"/>
  <c r="F35" i="22"/>
  <c r="F36" i="22"/>
  <c r="F31" i="22"/>
  <c r="F30" i="22"/>
  <c r="G27" i="22"/>
  <c r="G28" i="22"/>
  <c r="G26" i="22"/>
  <c r="G23" i="22"/>
  <c r="K23" i="22" s="1"/>
  <c r="G22" i="22"/>
  <c r="C4" i="1"/>
  <c r="O49" i="41"/>
  <c r="N49" i="41"/>
  <c r="D42" i="41"/>
  <c r="D41" i="41"/>
  <c r="F39" i="41"/>
  <c r="D30" i="41"/>
  <c r="J29" i="41"/>
  <c r="D29" i="41"/>
  <c r="J28" i="41"/>
  <c r="D28" i="41"/>
  <c r="D27" i="41"/>
  <c r="J26" i="41"/>
  <c r="D26" i="41"/>
  <c r="J25" i="41"/>
  <c r="D25" i="41"/>
  <c r="J24" i="41"/>
  <c r="D24" i="41"/>
  <c r="F22" i="41"/>
  <c r="D21" i="41"/>
  <c r="D20" i="41"/>
  <c r="D19" i="41"/>
  <c r="D18" i="41"/>
  <c r="I17" i="41"/>
  <c r="D17" i="41"/>
  <c r="F16" i="41"/>
  <c r="F15" i="41"/>
  <c r="H39" i="41" s="1"/>
  <c r="J14" i="41"/>
  <c r="D14" i="41"/>
  <c r="J13" i="41"/>
  <c r="D13" i="41"/>
  <c r="K12" i="41"/>
  <c r="G12" i="41"/>
  <c r="C12" i="41"/>
  <c r="K11" i="41"/>
  <c r="G11" i="41"/>
  <c r="C11" i="41"/>
  <c r="K10" i="41"/>
  <c r="G10" i="41"/>
  <c r="C10" i="41"/>
  <c r="K9" i="41"/>
  <c r="G9" i="41"/>
  <c r="C9" i="41"/>
  <c r="K8" i="41"/>
  <c r="G8" i="41"/>
  <c r="C8" i="41"/>
  <c r="K7" i="41"/>
  <c r="G7" i="41"/>
  <c r="C7" i="41"/>
  <c r="D6" i="41"/>
  <c r="D5" i="41"/>
  <c r="C4" i="41"/>
  <c r="O49" i="1"/>
  <c r="N49" i="1"/>
  <c r="G5" i="26"/>
  <c r="J4" i="24" s="1"/>
  <c r="F39" i="1"/>
  <c r="C26" i="24"/>
  <c r="D18" i="1"/>
  <c r="I17" i="1"/>
  <c r="C11" i="1"/>
  <c r="G11" i="1"/>
  <c r="K11" i="1"/>
  <c r="C12" i="1"/>
  <c r="G12" i="1"/>
  <c r="K12" i="1"/>
  <c r="C9" i="1"/>
  <c r="G9" i="1"/>
  <c r="K9" i="1"/>
  <c r="G10" i="1"/>
  <c r="K10" i="1"/>
  <c r="C29" i="39"/>
  <c r="C28" i="39"/>
  <c r="C27" i="39"/>
  <c r="C21" i="39"/>
  <c r="C19" i="39"/>
  <c r="C17" i="39"/>
  <c r="C15" i="39"/>
  <c r="C7" i="39"/>
  <c r="F14" i="39"/>
  <c r="D13" i="39"/>
  <c r="D12" i="39"/>
  <c r="F11" i="39"/>
  <c r="D10" i="39"/>
  <c r="D9" i="39"/>
  <c r="J2" i="39"/>
  <c r="C29" i="24"/>
  <c r="C28" i="24"/>
  <c r="C27" i="24"/>
  <c r="C21" i="24"/>
  <c r="C19" i="24"/>
  <c r="C17" i="24"/>
  <c r="C15" i="24"/>
  <c r="C7" i="24"/>
  <c r="B39" i="38"/>
  <c r="B38" i="38"/>
  <c r="D35" i="38"/>
  <c r="D34" i="38"/>
  <c r="H32" i="38"/>
  <c r="E32" i="38"/>
  <c r="D27" i="38"/>
  <c r="H33" i="38"/>
  <c r="D30" i="38"/>
  <c r="I28" i="38"/>
  <c r="E28" i="38"/>
  <c r="D26" i="38"/>
  <c r="E24" i="38"/>
  <c r="E23" i="38"/>
  <c r="D22" i="38"/>
  <c r="E21" i="38"/>
  <c r="D21" i="38"/>
  <c r="D20" i="38"/>
  <c r="C15" i="38"/>
  <c r="C25" i="24"/>
  <c r="B3" i="23"/>
  <c r="B4" i="23"/>
  <c r="B3" i="20"/>
  <c r="B4" i="20"/>
  <c r="B3" i="17"/>
  <c r="B4" i="17"/>
  <c r="E4" i="17"/>
  <c r="F4" i="17"/>
  <c r="B5" i="17"/>
  <c r="E5" i="17"/>
  <c r="F5" i="17"/>
  <c r="C7" i="17"/>
  <c r="C8" i="17"/>
  <c r="K52" i="17" s="1"/>
  <c r="J43" i="17" s="1"/>
  <c r="J44" i="17" s="1"/>
  <c r="C9" i="17"/>
  <c r="C13" i="17"/>
  <c r="S15" i="17"/>
  <c r="I9" i="46"/>
  <c r="F9" i="46"/>
  <c r="F11" i="46"/>
  <c r="F12" i="46"/>
  <c r="F13" i="46"/>
  <c r="H13" i="46"/>
  <c r="F14" i="46"/>
  <c r="I14" i="46"/>
  <c r="H15" i="46"/>
  <c r="F15" i="46"/>
  <c r="I16" i="46"/>
  <c r="F16" i="46"/>
  <c r="D38" i="17"/>
  <c r="M44" i="17"/>
  <c r="M45" i="17" s="1"/>
  <c r="M46" i="17" s="1"/>
  <c r="M47" i="17" s="1"/>
  <c r="M48" i="17" s="1"/>
  <c r="M49" i="17" s="1"/>
  <c r="M50" i="17" s="1"/>
  <c r="M51" i="17" s="1"/>
  <c r="M52" i="17" s="1"/>
  <c r="C28" i="46"/>
  <c r="C47" i="17"/>
  <c r="C29" i="46" s="1"/>
  <c r="J66" i="17"/>
  <c r="K66" i="17"/>
  <c r="L66" i="17"/>
  <c r="M66" i="17"/>
  <c r="N66" i="17"/>
  <c r="K72" i="17"/>
  <c r="L72" i="17"/>
  <c r="M72" i="17"/>
  <c r="N72" i="17"/>
  <c r="J77" i="17"/>
  <c r="K77" i="17"/>
  <c r="L77" i="17"/>
  <c r="M77" i="17"/>
  <c r="Q1" i="26"/>
  <c r="A3" i="26"/>
  <c r="A5" i="26"/>
  <c r="B10" i="26"/>
  <c r="B11" i="26" s="1"/>
  <c r="B12" i="26" s="1"/>
  <c r="B13" i="26" s="1"/>
  <c r="B14" i="26" s="1"/>
  <c r="B15" i="26" s="1"/>
  <c r="B16" i="26" s="1"/>
  <c r="B17" i="26" s="1"/>
  <c r="B20" i="26" s="1"/>
  <c r="B33" i="26" s="1"/>
  <c r="B34" i="26" s="1"/>
  <c r="B35" i="26" s="1"/>
  <c r="B36" i="26" s="1"/>
  <c r="B37" i="26" s="1"/>
  <c r="B38" i="26" s="1"/>
  <c r="B39" i="26" s="1"/>
  <c r="B40" i="26" s="1"/>
  <c r="B41" i="26" s="1"/>
  <c r="B44" i="26" s="1"/>
  <c r="B45" i="26" s="1"/>
  <c r="B46" i="26" s="1"/>
  <c r="B47" i="26" s="1"/>
  <c r="B50" i="26" s="1"/>
  <c r="B51" i="26" s="1"/>
  <c r="B52" i="26" s="1"/>
  <c r="B53" i="26" s="1"/>
  <c r="B54" i="26" s="1"/>
  <c r="B55" i="26" s="1"/>
  <c r="B56" i="26" s="1"/>
  <c r="B57" i="26" s="1"/>
  <c r="K13" i="26" s="1"/>
  <c r="K15" i="26" s="1"/>
  <c r="K16" i="26" s="1"/>
  <c r="K17" i="26" s="1"/>
  <c r="K18" i="26" s="1"/>
  <c r="K19" i="26" s="1"/>
  <c r="K20" i="26" s="1"/>
  <c r="K21" i="26" s="1"/>
  <c r="K23" i="26" s="1"/>
  <c r="K25" i="26" s="1"/>
  <c r="K26" i="26" s="1"/>
  <c r="K27" i="26" s="1"/>
  <c r="K28" i="26" s="1"/>
  <c r="K29" i="26" s="1"/>
  <c r="K30" i="26" s="1"/>
  <c r="K31" i="26" s="1"/>
  <c r="K33" i="26" s="1"/>
  <c r="K35" i="26" s="1"/>
  <c r="K36" i="26" s="1"/>
  <c r="K37" i="26" s="1"/>
  <c r="K38" i="26" s="1"/>
  <c r="K39" i="26" s="1"/>
  <c r="K40" i="26" s="1"/>
  <c r="K41" i="26" s="1"/>
  <c r="K43" i="26" s="1"/>
  <c r="K45" i="26" s="1"/>
  <c r="K46" i="26" s="1"/>
  <c r="K47" i="26" s="1"/>
  <c r="K48" i="26" s="1"/>
  <c r="K49" i="26" s="1"/>
  <c r="K50" i="26" s="1"/>
  <c r="K51" i="26" s="1"/>
  <c r="B62" i="26" s="1"/>
  <c r="B63" i="26" s="1"/>
  <c r="B64" i="26" s="1"/>
  <c r="B65" i="26" s="1"/>
  <c r="K62" i="26" s="1"/>
  <c r="K63" i="26" s="1"/>
  <c r="K64" i="26" s="1"/>
  <c r="K65" i="26" s="1"/>
  <c r="I26" i="22"/>
  <c r="M15" i="26"/>
  <c r="I47" i="22" s="1"/>
  <c r="F16" i="26"/>
  <c r="M25" i="26"/>
  <c r="I31" i="22"/>
  <c r="I32" i="22"/>
  <c r="I33" i="22"/>
  <c r="M35" i="26"/>
  <c r="I34" i="22"/>
  <c r="M45" i="26"/>
  <c r="C52" i="26"/>
  <c r="F57" i="22" s="1"/>
  <c r="C53" i="26"/>
  <c r="F58" i="22" s="1"/>
  <c r="C54" i="26"/>
  <c r="F59" i="22" s="1"/>
  <c r="N54" i="26"/>
  <c r="O54" i="26" s="1"/>
  <c r="P54" i="26" s="1"/>
  <c r="C55" i="26"/>
  <c r="F60" i="22" s="1"/>
  <c r="N55" i="26"/>
  <c r="O55" i="26" s="1"/>
  <c r="P55" i="26" s="1"/>
  <c r="P58" i="26" s="1"/>
  <c r="C56" i="26"/>
  <c r="F61" i="22" s="1"/>
  <c r="C57" i="26"/>
  <c r="F62" i="22" s="1"/>
  <c r="N57" i="26"/>
  <c r="O57" i="26" s="1"/>
  <c r="I57" i="22"/>
  <c r="D2" i="34"/>
  <c r="D3" i="34"/>
  <c r="J3" i="34"/>
  <c r="F7" i="34"/>
  <c r="F8" i="34"/>
  <c r="C80" i="34" s="1"/>
  <c r="F9" i="34"/>
  <c r="F10" i="34"/>
  <c r="C83" i="34"/>
  <c r="E15" i="34"/>
  <c r="F15" i="34" s="1"/>
  <c r="E16" i="34"/>
  <c r="E17" i="34"/>
  <c r="F17" i="34" s="1"/>
  <c r="E18" i="34"/>
  <c r="F18" i="34" s="1"/>
  <c r="C90" i="34" s="1"/>
  <c r="E21" i="34"/>
  <c r="F21" i="34" s="1"/>
  <c r="C91" i="34" s="1"/>
  <c r="F25" i="34"/>
  <c r="G35" i="22" s="1"/>
  <c r="F26" i="34"/>
  <c r="D38" i="26" s="1"/>
  <c r="I36" i="22" s="1"/>
  <c r="F27" i="34"/>
  <c r="G37" i="22" s="1"/>
  <c r="F28" i="34"/>
  <c r="D40" i="26" s="1"/>
  <c r="I38" i="22" s="1"/>
  <c r="F29" i="34"/>
  <c r="G39" i="22" s="1"/>
  <c r="D31" i="34"/>
  <c r="A55" i="34"/>
  <c r="B55" i="34"/>
  <c r="C55" i="34"/>
  <c r="A56" i="34"/>
  <c r="B56" i="34"/>
  <c r="C56" i="34"/>
  <c r="A57" i="34"/>
  <c r="B57" i="34"/>
  <c r="C57" i="34"/>
  <c r="A58" i="34"/>
  <c r="B58" i="34"/>
  <c r="C58" i="34"/>
  <c r="A59" i="34"/>
  <c r="B59" i="34"/>
  <c r="C59" i="34"/>
  <c r="A60" i="34"/>
  <c r="B60" i="34"/>
  <c r="C60" i="34"/>
  <c r="A61" i="34"/>
  <c r="B61" i="34"/>
  <c r="C61" i="34"/>
  <c r="A62" i="34"/>
  <c r="B62" i="34"/>
  <c r="C62" i="34"/>
  <c r="A63" i="34"/>
  <c r="B63" i="34"/>
  <c r="C63" i="34"/>
  <c r="A64" i="34"/>
  <c r="B64" i="34"/>
  <c r="C64" i="34"/>
  <c r="A65" i="34"/>
  <c r="B65" i="34"/>
  <c r="C65" i="34"/>
  <c r="A66" i="34"/>
  <c r="B66" i="34"/>
  <c r="C66" i="34"/>
  <c r="A69" i="34"/>
  <c r="B69" i="34"/>
  <c r="C69" i="34"/>
  <c r="A71" i="34"/>
  <c r="B71" i="34"/>
  <c r="C71" i="34"/>
  <c r="D5" i="1"/>
  <c r="D6" i="1"/>
  <c r="G7" i="1"/>
  <c r="K7" i="1"/>
  <c r="C8" i="1"/>
  <c r="G8" i="1"/>
  <c r="K8" i="1"/>
  <c r="D13" i="1"/>
  <c r="J13" i="1"/>
  <c r="D14" i="1"/>
  <c r="J14" i="1"/>
  <c r="F15" i="1"/>
  <c r="H39" i="1" s="1"/>
  <c r="F16" i="1"/>
  <c r="D17" i="1"/>
  <c r="D19" i="1"/>
  <c r="D20" i="1"/>
  <c r="D21" i="1"/>
  <c r="F22" i="1"/>
  <c r="D24" i="1"/>
  <c r="J24" i="1"/>
  <c r="D25" i="1"/>
  <c r="J25" i="1"/>
  <c r="D26" i="1"/>
  <c r="J26" i="1"/>
  <c r="D27" i="1"/>
  <c r="D28" i="1"/>
  <c r="J28" i="1"/>
  <c r="D29" i="1"/>
  <c r="J29" i="1"/>
  <c r="D30" i="1"/>
  <c r="D41" i="1"/>
  <c r="D42" i="1"/>
  <c r="E17" i="22"/>
  <c r="E20" i="22" s="1"/>
  <c r="E21" i="22" s="1"/>
  <c r="E22" i="22" s="1"/>
  <c r="E23" i="22" s="1"/>
  <c r="E24" i="22" s="1"/>
  <c r="E25" i="22" s="1"/>
  <c r="E26" i="22" s="1"/>
  <c r="E27" i="22" s="1"/>
  <c r="E28" i="22" s="1"/>
  <c r="E30" i="22" s="1"/>
  <c r="E31" i="22" s="1"/>
  <c r="E32" i="22" s="1"/>
  <c r="E33" i="22" s="1"/>
  <c r="E34" i="22" s="1"/>
  <c r="E35" i="22" s="1"/>
  <c r="E36" i="22" s="1"/>
  <c r="E37" i="22" s="1"/>
  <c r="E38" i="22" s="1"/>
  <c r="E39" i="22" s="1"/>
  <c r="E41" i="22" s="1"/>
  <c r="E42" i="22" s="1"/>
  <c r="E43" i="22" s="1"/>
  <c r="E44" i="22" s="1"/>
  <c r="E46" i="22" s="1"/>
  <c r="E47" i="22" s="1"/>
  <c r="E52" i="22" s="1"/>
  <c r="E53" i="22" s="1"/>
  <c r="E55" i="22" s="1"/>
  <c r="E56" i="22" s="1"/>
  <c r="E57" i="22" s="1"/>
  <c r="E58" i="22" s="1"/>
  <c r="E59" i="22" s="1"/>
  <c r="E60" i="22" s="1"/>
  <c r="E61" i="22" s="1"/>
  <c r="E62" i="22" s="1"/>
  <c r="G2" i="22"/>
  <c r="H4" i="22"/>
  <c r="H5" i="22"/>
  <c r="I6" i="22"/>
  <c r="J6" i="22" s="1"/>
  <c r="I7" i="22"/>
  <c r="J7" i="22" s="1"/>
  <c r="H8" i="22"/>
  <c r="H9" i="22"/>
  <c r="I10" i="22"/>
  <c r="J10" i="22" s="1"/>
  <c r="J2" i="24"/>
  <c r="D9" i="24"/>
  <c r="D10" i="24"/>
  <c r="F11" i="24"/>
  <c r="D12" i="24"/>
  <c r="D13" i="24"/>
  <c r="F14" i="24"/>
  <c r="C1" i="3"/>
  <c r="I4" i="35" s="1"/>
  <c r="E20" i="3"/>
  <c r="G21" i="35" s="1"/>
  <c r="E21" i="3"/>
  <c r="I16" i="41" s="1"/>
  <c r="E30" i="3"/>
  <c r="E31" i="3"/>
  <c r="I17" i="46"/>
  <c r="D55" i="26"/>
  <c r="I60" i="22" s="1"/>
  <c r="I11" i="46"/>
  <c r="H12" i="46"/>
  <c r="I10" i="46"/>
  <c r="G10" i="46"/>
  <c r="I11" i="45"/>
  <c r="J11" i="45" s="1"/>
  <c r="AE20" i="45"/>
  <c r="H21" i="45"/>
  <c r="I21" i="45" s="1"/>
  <c r="J21" i="45" s="1"/>
  <c r="K21" i="45" s="1"/>
  <c r="L21" i="45" s="1"/>
  <c r="M21" i="45" s="1"/>
  <c r="N21" i="45" s="1"/>
  <c r="O21" i="45" s="1"/>
  <c r="P21" i="45" s="1"/>
  <c r="Q21" i="45" s="1"/>
  <c r="R21" i="45" s="1"/>
  <c r="S21" i="45" s="1"/>
  <c r="T21" i="45" s="1"/>
  <c r="U21" i="45" s="1"/>
  <c r="V21" i="45" s="1"/>
  <c r="W21" i="45" s="1"/>
  <c r="X21" i="45" s="1"/>
  <c r="Y21" i="45" s="1"/>
  <c r="Z21" i="45" s="1"/>
  <c r="AA21" i="45" s="1"/>
  <c r="AB21" i="45" s="1"/>
  <c r="AC21" i="45" s="1"/>
  <c r="AD21" i="45" s="1"/>
  <c r="E10" i="17"/>
  <c r="G51" i="17" s="1"/>
  <c r="C82" i="34" l="1"/>
  <c r="F31" i="34"/>
  <c r="J45" i="17"/>
  <c r="J47" i="17" s="1"/>
  <c r="J46" i="17"/>
  <c r="N58" i="26"/>
  <c r="H43" i="45"/>
  <c r="I43" i="45" s="1"/>
  <c r="J43" i="45" s="1"/>
  <c r="K43" i="45" s="1"/>
  <c r="L43" i="45" s="1"/>
  <c r="M43" i="45" s="1"/>
  <c r="N43" i="45" s="1"/>
  <c r="O43" i="45" s="1"/>
  <c r="P43" i="45" s="1"/>
  <c r="Q43" i="45" s="1"/>
  <c r="R43" i="45" s="1"/>
  <c r="S43" i="45" s="1"/>
  <c r="T43" i="45" s="1"/>
  <c r="U43" i="45" s="1"/>
  <c r="V43" i="45" s="1"/>
  <c r="W43" i="45" s="1"/>
  <c r="X43" i="45" s="1"/>
  <c r="Y43" i="45" s="1"/>
  <c r="Z43" i="45" s="1"/>
  <c r="AA43" i="45" s="1"/>
  <c r="K47" i="22"/>
  <c r="I16" i="1"/>
  <c r="AE19" i="45"/>
  <c r="J39" i="41"/>
  <c r="O21" i="26"/>
  <c r="G23" i="35"/>
  <c r="E8" i="17"/>
  <c r="L52" i="17" s="1"/>
  <c r="L36" i="46" s="1"/>
  <c r="AG5" i="45"/>
  <c r="E11" i="17"/>
  <c r="G11" i="17" s="1"/>
  <c r="C11" i="17"/>
  <c r="C32" i="3" s="1"/>
  <c r="E32" i="3" s="1"/>
  <c r="K44" i="22"/>
  <c r="AE21" i="45"/>
  <c r="B27" i="46"/>
  <c r="C12" i="17"/>
  <c r="O58" i="26"/>
  <c r="I55" i="22"/>
  <c r="K55" i="22" s="1"/>
  <c r="I22" i="22"/>
  <c r="K22" i="22" s="1"/>
  <c r="N14" i="42"/>
  <c r="G18" i="34"/>
  <c r="C87" i="34"/>
  <c r="G15" i="34"/>
  <c r="G10" i="34"/>
  <c r="J39" i="1"/>
  <c r="D37" i="17"/>
  <c r="K60" i="22"/>
  <c r="AE12" i="45"/>
  <c r="J13" i="46"/>
  <c r="H19" i="46"/>
  <c r="I19" i="46" s="1"/>
  <c r="E33" i="3"/>
  <c r="F13" i="18" s="1"/>
  <c r="L54" i="18" s="1"/>
  <c r="G14" i="46"/>
  <c r="K14" i="46" s="1"/>
  <c r="G11" i="46"/>
  <c r="K11" i="46" s="1"/>
  <c r="G9" i="46"/>
  <c r="K9" i="46" s="1"/>
  <c r="L15" i="46"/>
  <c r="M15" i="46" s="1"/>
  <c r="I14" i="24"/>
  <c r="I14" i="39"/>
  <c r="I22" i="41"/>
  <c r="I22" i="1"/>
  <c r="G23" i="38"/>
  <c r="K11" i="45"/>
  <c r="L11" i="45" s="1"/>
  <c r="M11" i="45" s="1"/>
  <c r="N11" i="45" s="1"/>
  <c r="O11" i="45" s="1"/>
  <c r="P11" i="45" s="1"/>
  <c r="Q11" i="45" s="1"/>
  <c r="R11" i="45" s="1"/>
  <c r="S11" i="45" s="1"/>
  <c r="T11" i="45" s="1"/>
  <c r="U11" i="45" s="1"/>
  <c r="V11" i="45" s="1"/>
  <c r="W11" i="45" s="1"/>
  <c r="X11" i="45" s="1"/>
  <c r="Y11" i="45" s="1"/>
  <c r="Z11" i="45" s="1"/>
  <c r="AA11" i="45" s="1"/>
  <c r="AB11" i="45" s="1"/>
  <c r="AC11" i="45" s="1"/>
  <c r="AD11" i="45" s="1"/>
  <c r="C73" i="34"/>
  <c r="E31" i="34"/>
  <c r="F16" i="34"/>
  <c r="D43" i="34" s="1"/>
  <c r="E41" i="34" s="1"/>
  <c r="D25" i="42"/>
  <c r="C26" i="39"/>
  <c r="E33" i="38"/>
  <c r="N56" i="26"/>
  <c r="O56" i="26" s="1"/>
  <c r="P56" i="26" s="1"/>
  <c r="F21" i="26"/>
  <c r="L12" i="46"/>
  <c r="M12" i="46" s="1"/>
  <c r="G38" i="22"/>
  <c r="K38" i="22" s="1"/>
  <c r="G28" i="34"/>
  <c r="C93" i="34"/>
  <c r="C79" i="34"/>
  <c r="G7" i="34"/>
  <c r="C25" i="39"/>
  <c r="D32" i="38"/>
  <c r="D24" i="42"/>
  <c r="D56" i="26"/>
  <c r="I61" i="22" s="1"/>
  <c r="D51" i="26"/>
  <c r="F10" i="46"/>
  <c r="F19" i="46" s="1"/>
  <c r="C89" i="34"/>
  <c r="G17" i="34"/>
  <c r="G16" i="46"/>
  <c r="K16" i="46" s="1"/>
  <c r="K10" i="46"/>
  <c r="G36" i="22"/>
  <c r="K36" i="22" s="1"/>
  <c r="G26" i="34"/>
  <c r="D20" i="26"/>
  <c r="C81" i="34"/>
  <c r="F17" i="46"/>
  <c r="D37" i="26"/>
  <c r="I35" i="22" s="1"/>
  <c r="K35" i="22" s="1"/>
  <c r="G61" i="22"/>
  <c r="G29" i="46"/>
  <c r="K31" i="22"/>
  <c r="K32" i="22"/>
  <c r="G29" i="34"/>
  <c r="G27" i="34"/>
  <c r="G25" i="34"/>
  <c r="G21" i="34"/>
  <c r="G8" i="34"/>
  <c r="J16" i="46"/>
  <c r="M16" i="46"/>
  <c r="J11" i="46"/>
  <c r="M11" i="46"/>
  <c r="G24" i="22"/>
  <c r="G25" i="22"/>
  <c r="Q18" i="26"/>
  <c r="G9" i="42"/>
  <c r="G9" i="44"/>
  <c r="I39" i="22"/>
  <c r="K39" i="22" s="1"/>
  <c r="D39" i="26"/>
  <c r="I37" i="22" s="1"/>
  <c r="K37" i="22" s="1"/>
  <c r="G25" i="46"/>
  <c r="G33" i="46" s="1"/>
  <c r="J15" i="46"/>
  <c r="J14" i="46"/>
  <c r="M14" i="46"/>
  <c r="J9" i="46"/>
  <c r="M9" i="46"/>
  <c r="J36" i="46"/>
  <c r="K26" i="22"/>
  <c r="K33" i="22"/>
  <c r="K58" i="22"/>
  <c r="K42" i="22"/>
  <c r="I36" i="45"/>
  <c r="F45" i="45" s="1"/>
  <c r="K34" i="22"/>
  <c r="K43" i="22"/>
  <c r="G9" i="34"/>
  <c r="D29" i="38"/>
  <c r="G29" i="38" s="1"/>
  <c r="I52" i="22"/>
  <c r="I54" i="22" s="1"/>
  <c r="J53" i="22" s="1"/>
  <c r="J12" i="46"/>
  <c r="F18" i="45"/>
  <c r="Q2" i="42"/>
  <c r="I4" i="38"/>
  <c r="E51" i="45"/>
  <c r="K28" i="22"/>
  <c r="Q41" i="26"/>
  <c r="G8" i="42"/>
  <c r="I15" i="41"/>
  <c r="I15" i="1"/>
  <c r="G21" i="38"/>
  <c r="I11" i="39"/>
  <c r="G8" i="44"/>
  <c r="O19" i="26"/>
  <c r="I11" i="24"/>
  <c r="I27" i="22"/>
  <c r="J4" i="39"/>
  <c r="Q31" i="26"/>
  <c r="Q51" i="26"/>
  <c r="Q2" i="44"/>
  <c r="F4" i="45"/>
  <c r="G4" i="45" s="1"/>
  <c r="H4" i="45" s="1"/>
  <c r="I4" i="45" s="1"/>
  <c r="J4" i="45" s="1"/>
  <c r="K4" i="45" s="1"/>
  <c r="L4" i="45" s="1"/>
  <c r="M4" i="45" s="1"/>
  <c r="N4" i="45" s="1"/>
  <c r="O4" i="45" s="1"/>
  <c r="P4" i="45" s="1"/>
  <c r="Q4" i="45" s="1"/>
  <c r="R4" i="45" s="1"/>
  <c r="S4" i="45" s="1"/>
  <c r="T4" i="45" s="1"/>
  <c r="U4" i="45" s="1"/>
  <c r="V4" i="45" s="1"/>
  <c r="W4" i="45" s="1"/>
  <c r="X4" i="45" s="1"/>
  <c r="Y4" i="45" s="1"/>
  <c r="Z4" i="45" s="1"/>
  <c r="AA4" i="45" s="1"/>
  <c r="AB4" i="45" s="1"/>
  <c r="AC4" i="45" s="1"/>
  <c r="AD4" i="45" s="1"/>
  <c r="F13" i="28" l="1"/>
  <c r="L54" i="28" s="1"/>
  <c r="Z46" i="45"/>
  <c r="D10" i="20"/>
  <c r="F15" i="20" s="1"/>
  <c r="J25" i="46"/>
  <c r="F13" i="27"/>
  <c r="L54" i="27" s="1"/>
  <c r="F38" i="1"/>
  <c r="F38" i="41"/>
  <c r="D10" i="23"/>
  <c r="F15" i="23" s="1"/>
  <c r="K40" i="41"/>
  <c r="Q38" i="26"/>
  <c r="Q28" i="26"/>
  <c r="Q48" i="26"/>
  <c r="J26" i="46"/>
  <c r="I11" i="22"/>
  <c r="J11" i="22" s="1"/>
  <c r="K40" i="1"/>
  <c r="F46" i="45"/>
  <c r="F50" i="45"/>
  <c r="F29" i="45" s="1"/>
  <c r="E41" i="26"/>
  <c r="I56" i="22"/>
  <c r="K56" i="22" s="1"/>
  <c r="D42" i="26"/>
  <c r="J52" i="22"/>
  <c r="E42" i="26"/>
  <c r="F20" i="26"/>
  <c r="D21" i="26"/>
  <c r="I30" i="22"/>
  <c r="I40" i="22" s="1"/>
  <c r="G31" i="34"/>
  <c r="D31" i="17"/>
  <c r="D16" i="17"/>
  <c r="F23" i="41"/>
  <c r="C44" i="17"/>
  <c r="C26" i="46" s="1"/>
  <c r="F23" i="1"/>
  <c r="H18" i="46"/>
  <c r="I18" i="46" s="1"/>
  <c r="K61" i="22"/>
  <c r="F66" i="45"/>
  <c r="K52" i="22"/>
  <c r="H21" i="24"/>
  <c r="M17" i="46"/>
  <c r="J17" i="46"/>
  <c r="P25" i="46" s="1"/>
  <c r="J10" i="46"/>
  <c r="J19" i="46" s="1"/>
  <c r="M10" i="46"/>
  <c r="G57" i="22"/>
  <c r="G59" i="22"/>
  <c r="G17" i="46"/>
  <c r="K17" i="46" s="1"/>
  <c r="K54" i="22"/>
  <c r="C88" i="34"/>
  <c r="C95" i="34" s="1"/>
  <c r="G16" i="34"/>
  <c r="AE11" i="45"/>
  <c r="AB43" i="45"/>
  <c r="AA46" i="45"/>
  <c r="G30" i="22"/>
  <c r="L13" i="46"/>
  <c r="C53" i="17"/>
  <c r="F16" i="17"/>
  <c r="D44" i="26" s="1"/>
  <c r="F18" i="46"/>
  <c r="G19" i="46"/>
  <c r="K19" i="46" s="1"/>
  <c r="P24" i="46"/>
  <c r="G18" i="45"/>
  <c r="H18" i="45" s="1"/>
  <c r="I18" i="45" s="1"/>
  <c r="J18" i="45" s="1"/>
  <c r="K18" i="45" s="1"/>
  <c r="L18" i="45" s="1"/>
  <c r="M18" i="45" s="1"/>
  <c r="N18" i="45" s="1"/>
  <c r="O18" i="45" s="1"/>
  <c r="P18" i="45" s="1"/>
  <c r="Q18" i="45" s="1"/>
  <c r="R18" i="45" s="1"/>
  <c r="S18" i="45" s="1"/>
  <c r="T18" i="45" s="1"/>
  <c r="U18" i="45" s="1"/>
  <c r="V18" i="45" s="1"/>
  <c r="W18" i="45" s="1"/>
  <c r="X18" i="45" s="1"/>
  <c r="Y18" i="45" s="1"/>
  <c r="Z18" i="45" s="1"/>
  <c r="AA18" i="45" s="1"/>
  <c r="AB18" i="45" s="1"/>
  <c r="AC18" i="45" s="1"/>
  <c r="AD18" i="45" s="1"/>
  <c r="V35" i="26"/>
  <c r="Q21" i="26"/>
  <c r="I23" i="41"/>
  <c r="I23" i="1"/>
  <c r="V45" i="26"/>
  <c r="V25" i="26"/>
  <c r="K27" i="22"/>
  <c r="F13" i="17"/>
  <c r="J29" i="46" l="1"/>
  <c r="J27" i="46"/>
  <c r="J28" i="46"/>
  <c r="L54" i="17"/>
  <c r="G45" i="45"/>
  <c r="G50" i="45" s="1"/>
  <c r="G29" i="45" s="1"/>
  <c r="K34" i="45"/>
  <c r="D74" i="45" s="1"/>
  <c r="D75" i="45" s="1"/>
  <c r="O16" i="26"/>
  <c r="O46" i="26"/>
  <c r="E48" i="26"/>
  <c r="Q26" i="46"/>
  <c r="O31" i="46" s="1"/>
  <c r="O32" i="46" s="1"/>
  <c r="O33" i="46" s="1"/>
  <c r="O43" i="46" s="1"/>
  <c r="AC43" i="45"/>
  <c r="AB46" i="45"/>
  <c r="K57" i="22"/>
  <c r="G63" i="22"/>
  <c r="G17" i="22"/>
  <c r="G20" i="22"/>
  <c r="E34" i="45"/>
  <c r="G21" i="22"/>
  <c r="E36" i="45"/>
  <c r="H34" i="45"/>
  <c r="F82" i="45" s="1"/>
  <c r="G82" i="45" s="1"/>
  <c r="H82" i="45" s="1"/>
  <c r="I82" i="45" s="1"/>
  <c r="J82" i="45" s="1"/>
  <c r="K82" i="45" s="1"/>
  <c r="L82" i="45" s="1"/>
  <c r="M82" i="45" s="1"/>
  <c r="N82" i="45" s="1"/>
  <c r="O82" i="45" s="1"/>
  <c r="P82" i="45" s="1"/>
  <c r="Q82" i="45" s="1"/>
  <c r="R82" i="45" s="1"/>
  <c r="S82" i="45" s="1"/>
  <c r="T82" i="45" s="1"/>
  <c r="U82" i="45" s="1"/>
  <c r="V82" i="45" s="1"/>
  <c r="W82" i="45" s="1"/>
  <c r="X82" i="45" s="1"/>
  <c r="Y82" i="45" s="1"/>
  <c r="Z82" i="45" s="1"/>
  <c r="AA82" i="45" s="1"/>
  <c r="AB82" i="45" s="1"/>
  <c r="AC82" i="45" s="1"/>
  <c r="AD82" i="45" s="1"/>
  <c r="D31" i="1"/>
  <c r="K30" i="22"/>
  <c r="G40" i="22"/>
  <c r="E37" i="45"/>
  <c r="G6" i="45"/>
  <c r="H6" i="45" s="1"/>
  <c r="I6" i="45" s="1"/>
  <c r="J6" i="45" s="1"/>
  <c r="K6" i="45" s="1"/>
  <c r="L6" i="45" s="1"/>
  <c r="M6" i="45" s="1"/>
  <c r="N6" i="45" s="1"/>
  <c r="O6" i="45" s="1"/>
  <c r="P6" i="45" s="1"/>
  <c r="Q6" i="45" s="1"/>
  <c r="R6" i="45" s="1"/>
  <c r="S6" i="45" s="1"/>
  <c r="T6" i="45" s="1"/>
  <c r="U6" i="45" s="1"/>
  <c r="V6" i="45" s="1"/>
  <c r="W6" i="45" s="1"/>
  <c r="X6" i="45" s="1"/>
  <c r="Y6" i="45" s="1"/>
  <c r="Z6" i="45" s="1"/>
  <c r="AA6" i="45" s="1"/>
  <c r="AB6" i="45" s="1"/>
  <c r="AC6" i="45" s="1"/>
  <c r="AD6" i="45" s="1"/>
  <c r="F6" i="45"/>
  <c r="F22" i="45" s="1"/>
  <c r="C25" i="46"/>
  <c r="M13" i="46"/>
  <c r="L19" i="46"/>
  <c r="L18" i="46" s="1"/>
  <c r="J18" i="46"/>
  <c r="G18" i="46"/>
  <c r="K18" i="46" s="1"/>
  <c r="AE18" i="45"/>
  <c r="H45" i="45"/>
  <c r="H46" i="45" s="1"/>
  <c r="G66" i="45"/>
  <c r="V15" i="26"/>
  <c r="J30" i="46" l="1"/>
  <c r="J48" i="17"/>
  <c r="F8" i="26"/>
  <c r="O14" i="26"/>
  <c r="O13" i="26" s="1"/>
  <c r="F17" i="26"/>
  <c r="F17" i="36"/>
  <c r="F18" i="36" s="1"/>
  <c r="I34" i="35" s="1"/>
  <c r="E38" i="45"/>
  <c r="F49" i="45" s="1"/>
  <c r="G49" i="45" s="1"/>
  <c r="G46" i="45"/>
  <c r="F52" i="45"/>
  <c r="G52" i="45" s="1"/>
  <c r="H52" i="45" s="1"/>
  <c r="I52" i="45" s="1"/>
  <c r="J52" i="45" s="1"/>
  <c r="K52" i="45" s="1"/>
  <c r="L52" i="45" s="1"/>
  <c r="M52" i="45" s="1"/>
  <c r="N52" i="45" s="1"/>
  <c r="O52" i="45" s="1"/>
  <c r="P52" i="45" s="1"/>
  <c r="Q52" i="45" s="1"/>
  <c r="R52" i="45" s="1"/>
  <c r="S52" i="45" s="1"/>
  <c r="T52" i="45" s="1"/>
  <c r="U52" i="45" s="1"/>
  <c r="V52" i="45" s="1"/>
  <c r="W52" i="45" s="1"/>
  <c r="X52" i="45" s="1"/>
  <c r="Y52" i="45" s="1"/>
  <c r="Z52" i="45" s="1"/>
  <c r="AA52" i="45" s="1"/>
  <c r="AB52" i="45" s="1"/>
  <c r="AC52" i="45" s="1"/>
  <c r="AD52" i="45" s="1"/>
  <c r="I35" i="45"/>
  <c r="O42" i="46"/>
  <c r="O41" i="46"/>
  <c r="E35" i="45"/>
  <c r="D76" i="45"/>
  <c r="D79" i="45" s="1"/>
  <c r="F25" i="45" s="1"/>
  <c r="G16" i="22"/>
  <c r="G18" i="22" s="1"/>
  <c r="H40" i="22" s="1"/>
  <c r="AC46" i="45"/>
  <c r="AD43" i="45"/>
  <c r="I41" i="22"/>
  <c r="G29" i="22"/>
  <c r="G64" i="22"/>
  <c r="F26" i="45"/>
  <c r="F33" i="45"/>
  <c r="K40" i="22"/>
  <c r="G22" i="45"/>
  <c r="C36" i="46"/>
  <c r="H50" i="45"/>
  <c r="H66" i="45"/>
  <c r="F27" i="45"/>
  <c r="K25" i="46" l="1"/>
  <c r="D8" i="20"/>
  <c r="B14" i="20" s="1"/>
  <c r="F14" i="20" s="1"/>
  <c r="F16" i="20" s="1"/>
  <c r="J38" i="1"/>
  <c r="D8" i="23"/>
  <c r="B14" i="23" s="1"/>
  <c r="F14" i="23" s="1"/>
  <c r="F16" i="23" s="1"/>
  <c r="J38" i="41"/>
  <c r="K27" i="46"/>
  <c r="Q49" i="26"/>
  <c r="Q50" i="26" s="1"/>
  <c r="V44" i="26" s="1"/>
  <c r="O44" i="26"/>
  <c r="O42" i="26" s="1"/>
  <c r="N42" i="26" s="1"/>
  <c r="V46" i="26" s="1"/>
  <c r="O34" i="26"/>
  <c r="O33" i="26" s="1"/>
  <c r="O39" i="26" s="1"/>
  <c r="D14" i="26"/>
  <c r="I25" i="22" s="1"/>
  <c r="K25" i="22" s="1"/>
  <c r="D13" i="26"/>
  <c r="I24" i="22" s="1"/>
  <c r="K24" i="22" s="1"/>
  <c r="O24" i="26"/>
  <c r="O23" i="26" s="1"/>
  <c r="O31" i="26" s="1"/>
  <c r="Q39" i="26"/>
  <c r="Q40" i="26" s="1"/>
  <c r="V34" i="26" s="1"/>
  <c r="Q29" i="26"/>
  <c r="Q30" i="26" s="1"/>
  <c r="V24" i="26" s="1"/>
  <c r="Q19" i="26"/>
  <c r="Q20" i="26" s="1"/>
  <c r="V14" i="26" s="1"/>
  <c r="G30" i="38"/>
  <c r="H25" i="38"/>
  <c r="H21" i="39"/>
  <c r="O12" i="26"/>
  <c r="N12" i="26" s="1"/>
  <c r="D31" i="41"/>
  <c r="B19" i="23"/>
  <c r="J37" i="45"/>
  <c r="E85" i="45" s="1"/>
  <c r="E84" i="45" s="1"/>
  <c r="F51" i="45"/>
  <c r="O17" i="26"/>
  <c r="F19" i="26"/>
  <c r="O27" i="26"/>
  <c r="O37" i="26"/>
  <c r="O47" i="26"/>
  <c r="G35" i="1"/>
  <c r="E35" i="1" s="1"/>
  <c r="E47" i="26"/>
  <c r="D48" i="26"/>
  <c r="H22" i="45"/>
  <c r="I22" i="45" s="1"/>
  <c r="H21" i="22"/>
  <c r="H17" i="22"/>
  <c r="H20" i="22"/>
  <c r="H63" i="22"/>
  <c r="H29" i="22"/>
  <c r="G41" i="22"/>
  <c r="K41" i="22" s="1"/>
  <c r="H16" i="22"/>
  <c r="H18" i="22" s="1"/>
  <c r="F18" i="44"/>
  <c r="F18" i="42"/>
  <c r="H49" i="45"/>
  <c r="I49" i="45" s="1"/>
  <c r="J49" i="45" s="1"/>
  <c r="K49" i="45" s="1"/>
  <c r="L49" i="45" s="1"/>
  <c r="M49" i="45" s="1"/>
  <c r="N49" i="45" s="1"/>
  <c r="O49" i="45" s="1"/>
  <c r="P49" i="45" s="1"/>
  <c r="Q49" i="45" s="1"/>
  <c r="R49" i="45" s="1"/>
  <c r="S49" i="45" s="1"/>
  <c r="T49" i="45" s="1"/>
  <c r="U49" i="45" s="1"/>
  <c r="V49" i="45" s="1"/>
  <c r="W49" i="45" s="1"/>
  <c r="X49" i="45" s="1"/>
  <c r="Y49" i="45" s="1"/>
  <c r="Z49" i="45" s="1"/>
  <c r="AA49" i="45" s="1"/>
  <c r="AB49" i="45" s="1"/>
  <c r="AC49" i="45" s="1"/>
  <c r="AD49" i="45" s="1"/>
  <c r="G51" i="45"/>
  <c r="AD46" i="45"/>
  <c r="AE43" i="45"/>
  <c r="H23" i="22"/>
  <c r="J37" i="22"/>
  <c r="H39" i="22"/>
  <c r="H28" i="22"/>
  <c r="H36" i="22"/>
  <c r="H60" i="22"/>
  <c r="J56" i="22"/>
  <c r="H38" i="22"/>
  <c r="J36" i="22"/>
  <c r="J26" i="22"/>
  <c r="H61" i="22"/>
  <c r="H26" i="22"/>
  <c r="H52" i="22"/>
  <c r="J33" i="22"/>
  <c r="H33" i="22"/>
  <c r="H27" i="22"/>
  <c r="H37" i="22"/>
  <c r="J39" i="22"/>
  <c r="H42" i="22"/>
  <c r="J38" i="22"/>
  <c r="J34" i="22"/>
  <c r="J57" i="22"/>
  <c r="H22" i="22"/>
  <c r="H47" i="22"/>
  <c r="J44" i="22"/>
  <c r="J43" i="22"/>
  <c r="J60" i="22"/>
  <c r="H31" i="22"/>
  <c r="J31" i="22"/>
  <c r="H54" i="22"/>
  <c r="G46" i="22"/>
  <c r="J32" i="22"/>
  <c r="J28" i="22"/>
  <c r="H35" i="22"/>
  <c r="H55" i="22"/>
  <c r="J62" i="22"/>
  <c r="H43" i="22"/>
  <c r="J23" i="22"/>
  <c r="J55" i="22"/>
  <c r="H34" i="22"/>
  <c r="H44" i="22"/>
  <c r="H24" i="22"/>
  <c r="J58" i="22"/>
  <c r="H25" i="22"/>
  <c r="H56" i="22"/>
  <c r="J42" i="22"/>
  <c r="H62" i="22"/>
  <c r="J35" i="22"/>
  <c r="J61" i="22"/>
  <c r="H32" i="22"/>
  <c r="H53" i="22"/>
  <c r="J54" i="22"/>
  <c r="H58" i="22"/>
  <c r="J22" i="22"/>
  <c r="J30" i="22"/>
  <c r="J27" i="22"/>
  <c r="H59" i="22"/>
  <c r="H30" i="22"/>
  <c r="H57" i="22"/>
  <c r="G26" i="45"/>
  <c r="H26" i="45" s="1"/>
  <c r="I26" i="45" s="1"/>
  <c r="J26" i="45" s="1"/>
  <c r="K26" i="45" s="1"/>
  <c r="L26" i="45" s="1"/>
  <c r="M26" i="45" s="1"/>
  <c r="N26" i="45" s="1"/>
  <c r="O26" i="45" s="1"/>
  <c r="P26" i="45" s="1"/>
  <c r="Q26" i="45" s="1"/>
  <c r="R26" i="45" s="1"/>
  <c r="S26" i="45" s="1"/>
  <c r="T26" i="45" s="1"/>
  <c r="U26" i="45" s="1"/>
  <c r="V26" i="45" s="1"/>
  <c r="W26" i="45" s="1"/>
  <c r="X26" i="45" s="1"/>
  <c r="Y26" i="45" s="1"/>
  <c r="Z26" i="45" s="1"/>
  <c r="AA26" i="45" s="1"/>
  <c r="AB26" i="45" s="1"/>
  <c r="AC26" i="45" s="1"/>
  <c r="AD26" i="45" s="1"/>
  <c r="AE26" i="45" s="1"/>
  <c r="I45" i="45"/>
  <c r="I50" i="45" s="1"/>
  <c r="H29" i="45"/>
  <c r="I45" i="22"/>
  <c r="J41" i="22"/>
  <c r="F64" i="45"/>
  <c r="G25" i="45"/>
  <c r="G27" i="45"/>
  <c r="H27" i="45" s="1"/>
  <c r="I27" i="45" s="1"/>
  <c r="J27" i="45" s="1"/>
  <c r="K27" i="45" s="1"/>
  <c r="L27" i="45" s="1"/>
  <c r="M27" i="45" s="1"/>
  <c r="N27" i="45" s="1"/>
  <c r="O27" i="45" s="1"/>
  <c r="P27" i="45" s="1"/>
  <c r="Q27" i="45" s="1"/>
  <c r="R27" i="45" s="1"/>
  <c r="S27" i="45" s="1"/>
  <c r="T27" i="45" s="1"/>
  <c r="U27" i="45" s="1"/>
  <c r="V27" i="45" s="1"/>
  <c r="I46" i="45" l="1"/>
  <c r="O29" i="26"/>
  <c r="K26" i="46"/>
  <c r="K29" i="46"/>
  <c r="J25" i="22"/>
  <c r="J24" i="22"/>
  <c r="M37" i="26"/>
  <c r="M39" i="26" s="1"/>
  <c r="O32" i="26"/>
  <c r="N32" i="26" s="1"/>
  <c r="V36" i="26" s="1"/>
  <c r="O41" i="26"/>
  <c r="O43" i="26"/>
  <c r="M48" i="26" s="1"/>
  <c r="M38" i="26"/>
  <c r="O22" i="26"/>
  <c r="N22" i="26" s="1"/>
  <c r="V26" i="26" s="1"/>
  <c r="I17" i="22"/>
  <c r="K17" i="22" s="1"/>
  <c r="I16" i="22"/>
  <c r="V16" i="26"/>
  <c r="B21" i="23"/>
  <c r="F21" i="23" s="1"/>
  <c r="B26" i="23" s="1"/>
  <c r="F26" i="23" s="1"/>
  <c r="B30" i="23" s="1"/>
  <c r="B22" i="23"/>
  <c r="F22" i="23" s="1"/>
  <c r="B32" i="23" s="1"/>
  <c r="E86" i="45"/>
  <c r="E87" i="45" s="1"/>
  <c r="E88" i="45" s="1"/>
  <c r="E89" i="45" s="1"/>
  <c r="E90" i="45" s="1"/>
  <c r="E91" i="45" s="1"/>
  <c r="E92" i="45" s="1"/>
  <c r="E93" i="45" s="1"/>
  <c r="E94" i="45" s="1"/>
  <c r="E95" i="45" s="1"/>
  <c r="E96" i="45" s="1"/>
  <c r="E97" i="45" s="1"/>
  <c r="E98" i="45" s="1"/>
  <c r="E99" i="45" s="1"/>
  <c r="E100" i="45" s="1"/>
  <c r="E101" i="45" s="1"/>
  <c r="E102" i="45" s="1"/>
  <c r="E103" i="45" s="1"/>
  <c r="E104" i="45" s="1"/>
  <c r="E105" i="45" s="1"/>
  <c r="E106" i="45" s="1"/>
  <c r="E107" i="45" s="1"/>
  <c r="E108" i="45" s="1"/>
  <c r="E109" i="45" s="1"/>
  <c r="E110" i="45" s="1"/>
  <c r="E111" i="45" s="1"/>
  <c r="F14" i="26"/>
  <c r="B19" i="20"/>
  <c r="D11" i="26"/>
  <c r="D18" i="26" s="1"/>
  <c r="D65" i="26" s="1"/>
  <c r="I21" i="22"/>
  <c r="E19" i="26"/>
  <c r="I20" i="22" s="1"/>
  <c r="K28" i="46"/>
  <c r="H51" i="45"/>
  <c r="G48" i="22"/>
  <c r="H48" i="22" s="1"/>
  <c r="H46" i="22"/>
  <c r="H41" i="22"/>
  <c r="G45" i="22"/>
  <c r="K45" i="22" s="1"/>
  <c r="C23" i="24"/>
  <c r="F17" i="44"/>
  <c r="G43" i="34"/>
  <c r="F17" i="42"/>
  <c r="I29" i="45"/>
  <c r="J45" i="45"/>
  <c r="J46" i="45" s="1"/>
  <c r="I51" i="45"/>
  <c r="I66" i="45"/>
  <c r="J22" i="45"/>
  <c r="AE27" i="45"/>
  <c r="H25" i="45"/>
  <c r="G64" i="45"/>
  <c r="K48" i="17" l="1"/>
  <c r="K30" i="46"/>
  <c r="O51" i="26"/>
  <c r="O49" i="26"/>
  <c r="M49" i="26"/>
  <c r="J17" i="22"/>
  <c r="F23" i="23"/>
  <c r="I18" i="22"/>
  <c r="K16" i="22"/>
  <c r="K18" i="22" s="1"/>
  <c r="J16" i="22"/>
  <c r="D62" i="26"/>
  <c r="F18" i="26" s="1"/>
  <c r="B29" i="23"/>
  <c r="B34" i="23" s="1"/>
  <c r="D34" i="23" s="1"/>
  <c r="K21" i="22"/>
  <c r="J21" i="22"/>
  <c r="D64" i="26"/>
  <c r="P65" i="26"/>
  <c r="E65" i="26"/>
  <c r="F65" i="26" s="1"/>
  <c r="M50" i="26"/>
  <c r="M51" i="26" s="1"/>
  <c r="K20" i="22"/>
  <c r="I29" i="22"/>
  <c r="J20" i="22"/>
  <c r="B21" i="20"/>
  <c r="B22" i="20"/>
  <c r="B32" i="20" s="1"/>
  <c r="H45" i="22"/>
  <c r="G49" i="22"/>
  <c r="C22" i="24"/>
  <c r="F16" i="44"/>
  <c r="F16" i="42"/>
  <c r="J66" i="45"/>
  <c r="J50" i="45"/>
  <c r="J29" i="45" s="1"/>
  <c r="K22" i="45"/>
  <c r="H64" i="45"/>
  <c r="I25" i="45"/>
  <c r="U65" i="26" l="1"/>
  <c r="I46" i="22"/>
  <c r="J40" i="22"/>
  <c r="J18" i="22"/>
  <c r="J47" i="22"/>
  <c r="J45" i="22"/>
  <c r="G27" i="46"/>
  <c r="F13" i="45"/>
  <c r="F23" i="45" s="1"/>
  <c r="D54" i="26"/>
  <c r="I59" i="22" s="1"/>
  <c r="E62" i="26"/>
  <c r="F62" i="26" s="1"/>
  <c r="F22" i="42"/>
  <c r="C23" i="39"/>
  <c r="M20" i="26"/>
  <c r="M21" i="26" s="1"/>
  <c r="G31" i="38" s="1"/>
  <c r="M40" i="26"/>
  <c r="M41" i="26" s="1"/>
  <c r="E64" i="26"/>
  <c r="F64" i="26" s="1"/>
  <c r="U64" i="26"/>
  <c r="P64" i="26"/>
  <c r="B26" i="20"/>
  <c r="F23" i="20"/>
  <c r="J29" i="22"/>
  <c r="K29" i="22"/>
  <c r="K16" i="42"/>
  <c r="H22" i="24"/>
  <c r="K16" i="44"/>
  <c r="H49" i="22"/>
  <c r="G50" i="22"/>
  <c r="G36" i="1"/>
  <c r="E36" i="1" s="1"/>
  <c r="K45" i="45"/>
  <c r="K66" i="45" s="1"/>
  <c r="J51" i="45"/>
  <c r="L22" i="45"/>
  <c r="J25" i="45"/>
  <c r="I64" i="45"/>
  <c r="K46" i="45" l="1"/>
  <c r="G13" i="45"/>
  <c r="G23" i="45" s="1"/>
  <c r="J46" i="22"/>
  <c r="I48" i="22"/>
  <c r="K46" i="22"/>
  <c r="E58" i="26"/>
  <c r="M65" i="26" s="1"/>
  <c r="N65" i="26" s="1"/>
  <c r="O65" i="26" s="1"/>
  <c r="E57" i="26"/>
  <c r="M64" i="26" s="1"/>
  <c r="N64" i="26" s="1"/>
  <c r="O64" i="26" s="1"/>
  <c r="D58" i="26"/>
  <c r="M62" i="26" s="1"/>
  <c r="N62" i="26" s="1"/>
  <c r="O62" i="26" s="1"/>
  <c r="E56" i="26"/>
  <c r="D31" i="38"/>
  <c r="F21" i="42"/>
  <c r="K21" i="42"/>
  <c r="H22" i="39"/>
  <c r="C22" i="39"/>
  <c r="K59" i="22"/>
  <c r="I63" i="22"/>
  <c r="J59" i="22"/>
  <c r="F26" i="20"/>
  <c r="B30" i="20" s="1"/>
  <c r="K50" i="45"/>
  <c r="K29" i="45" s="1"/>
  <c r="J18" i="42"/>
  <c r="J18" i="44"/>
  <c r="M22" i="45"/>
  <c r="K25" i="45"/>
  <c r="J64" i="45"/>
  <c r="H13" i="45" l="1"/>
  <c r="H23" i="45" s="1"/>
  <c r="J48" i="22"/>
  <c r="K48" i="22"/>
  <c r="I49" i="22"/>
  <c r="B29" i="20"/>
  <c r="B34" i="20" s="1"/>
  <c r="D34" i="20" s="1"/>
  <c r="K63" i="22"/>
  <c r="I64" i="22"/>
  <c r="K64" i="22" s="1"/>
  <c r="J63" i="22"/>
  <c r="L45" i="45"/>
  <c r="L46" i="45" s="1"/>
  <c r="K51" i="45"/>
  <c r="N22" i="45"/>
  <c r="K64" i="45"/>
  <c r="L25" i="45"/>
  <c r="I13" i="45" l="1"/>
  <c r="I23" i="45" s="1"/>
  <c r="K49" i="22"/>
  <c r="J49" i="22"/>
  <c r="I50" i="22"/>
  <c r="K50" i="22" s="1"/>
  <c r="L50" i="45"/>
  <c r="M45" i="45" s="1"/>
  <c r="L66" i="45"/>
  <c r="L29" i="45"/>
  <c r="O22" i="45"/>
  <c r="L64" i="45"/>
  <c r="M25" i="45"/>
  <c r="J13" i="45" l="1"/>
  <c r="K13" i="45" s="1"/>
  <c r="L51" i="45"/>
  <c r="M50" i="45"/>
  <c r="M66" i="45"/>
  <c r="M46" i="45"/>
  <c r="P22" i="45"/>
  <c r="M64" i="45"/>
  <c r="N25" i="45"/>
  <c r="J23" i="45" l="1"/>
  <c r="L13" i="45"/>
  <c r="K23" i="45"/>
  <c r="N45" i="45"/>
  <c r="N46" i="45" s="1"/>
  <c r="M29" i="45"/>
  <c r="M51" i="45"/>
  <c r="Q22" i="45"/>
  <c r="O25" i="45"/>
  <c r="N64" i="45"/>
  <c r="M13" i="45" l="1"/>
  <c r="L23" i="45"/>
  <c r="N50" i="45"/>
  <c r="N66" i="45"/>
  <c r="R22" i="45"/>
  <c r="P25" i="45"/>
  <c r="O64" i="45"/>
  <c r="N13" i="45" l="1"/>
  <c r="M23" i="45"/>
  <c r="O45" i="45"/>
  <c r="O46" i="45" s="1"/>
  <c r="N29" i="45"/>
  <c r="N51" i="45"/>
  <c r="S22" i="45"/>
  <c r="Q25" i="45"/>
  <c r="P64" i="45"/>
  <c r="O13" i="45" l="1"/>
  <c r="N23" i="45"/>
  <c r="O50" i="45"/>
  <c r="O66" i="45"/>
  <c r="T22" i="45"/>
  <c r="R25" i="45"/>
  <c r="Q64" i="45"/>
  <c r="P13" i="45" l="1"/>
  <c r="O23" i="45"/>
  <c r="O29" i="45"/>
  <c r="P45" i="45"/>
  <c r="P46" i="45" s="1"/>
  <c r="O51" i="45"/>
  <c r="U22" i="45"/>
  <c r="R64" i="45"/>
  <c r="S25" i="45"/>
  <c r="Q13" i="45" l="1"/>
  <c r="P23" i="45"/>
  <c r="P66" i="45"/>
  <c r="P50" i="45"/>
  <c r="Q45" i="45" s="1"/>
  <c r="Q46" i="45" s="1"/>
  <c r="V22" i="45"/>
  <c r="T25" i="45"/>
  <c r="S64" i="45"/>
  <c r="R13" i="45" l="1"/>
  <c r="Q23" i="45"/>
  <c r="P51" i="45"/>
  <c r="P29" i="45"/>
  <c r="Q66" i="45"/>
  <c r="Q50" i="45"/>
  <c r="W22" i="45"/>
  <c r="T64" i="45"/>
  <c r="U25" i="45"/>
  <c r="S13" i="45" l="1"/>
  <c r="R23" i="45"/>
  <c r="R45" i="45"/>
  <c r="R46" i="45" s="1"/>
  <c r="Q51" i="45"/>
  <c r="Q29" i="45"/>
  <c r="X22" i="45"/>
  <c r="V25" i="45"/>
  <c r="U64" i="45"/>
  <c r="T13" i="45" l="1"/>
  <c r="S23" i="45"/>
  <c r="R50" i="45"/>
  <c r="R66" i="45"/>
  <c r="Y22" i="45"/>
  <c r="V64" i="45"/>
  <c r="AE25" i="45"/>
  <c r="U13" i="45" l="1"/>
  <c r="T23" i="45"/>
  <c r="S45" i="45"/>
  <c r="S46" i="45" s="1"/>
  <c r="R51" i="45"/>
  <c r="R29" i="45"/>
  <c r="Z22" i="45"/>
  <c r="W64" i="45"/>
  <c r="V13" i="45" l="1"/>
  <c r="U23" i="45"/>
  <c r="S66" i="45"/>
  <c r="S50" i="45"/>
  <c r="T45" i="45" s="1"/>
  <c r="T46" i="45" s="1"/>
  <c r="AA22" i="45"/>
  <c r="X64" i="45"/>
  <c r="W13" i="45" l="1"/>
  <c r="V23" i="45"/>
  <c r="S51" i="45"/>
  <c r="T50" i="45"/>
  <c r="U45" i="45" s="1"/>
  <c r="U46" i="45" s="1"/>
  <c r="S29" i="45"/>
  <c r="T66" i="45"/>
  <c r="U66" i="45" s="1"/>
  <c r="V66" i="45" s="1"/>
  <c r="W66" i="45" s="1"/>
  <c r="X66" i="45" s="1"/>
  <c r="Y66" i="45" s="1"/>
  <c r="Z66" i="45" s="1"/>
  <c r="AA66" i="45" s="1"/>
  <c r="AB66" i="45" s="1"/>
  <c r="AC66" i="45" s="1"/>
  <c r="AD66" i="45" s="1"/>
  <c r="AB22" i="45"/>
  <c r="Y64" i="45"/>
  <c r="X13" i="45" l="1"/>
  <c r="W23" i="45"/>
  <c r="T29" i="45"/>
  <c r="U50" i="45"/>
  <c r="U29" i="45" s="1"/>
  <c r="T51" i="45"/>
  <c r="AC22" i="45"/>
  <c r="Z64" i="45"/>
  <c r="Y13" i="45" l="1"/>
  <c r="X23" i="45"/>
  <c r="V45" i="45"/>
  <c r="V46" i="45" s="1"/>
  <c r="U51" i="45"/>
  <c r="AD22" i="45"/>
  <c r="AA64" i="45"/>
  <c r="Z13" i="45" l="1"/>
  <c r="Y23" i="45"/>
  <c r="V50" i="45"/>
  <c r="V51" i="45" s="1"/>
  <c r="W45" i="45"/>
  <c r="W46" i="45" s="1"/>
  <c r="AB64" i="45"/>
  <c r="AA13" i="45" l="1"/>
  <c r="Z23" i="45"/>
  <c r="V29" i="45"/>
  <c r="W50" i="45"/>
  <c r="AC64" i="45"/>
  <c r="AB13" i="45" l="1"/>
  <c r="AA23" i="45"/>
  <c r="W29" i="45"/>
  <c r="W51" i="45"/>
  <c r="X45" i="45"/>
  <c r="X50" i="45" s="1"/>
  <c r="AD64" i="45"/>
  <c r="AC13" i="45" l="1"/>
  <c r="AB23" i="45"/>
  <c r="X46" i="45"/>
  <c r="Y45" i="45"/>
  <c r="AE45" i="45" s="1"/>
  <c r="X51" i="45"/>
  <c r="X29" i="45"/>
  <c r="AD13" i="45" l="1"/>
  <c r="AC23" i="45"/>
  <c r="Y50" i="45"/>
  <c r="Y46" i="45"/>
  <c r="AE46" i="45" s="1"/>
  <c r="AE13" i="45" l="1"/>
  <c r="AD23" i="45"/>
  <c r="Z50" i="45"/>
  <c r="Y51" i="45"/>
  <c r="Y29" i="45"/>
  <c r="AE23" i="45" l="1"/>
  <c r="Z29" i="45"/>
  <c r="Z51" i="45"/>
  <c r="AA50" i="45"/>
  <c r="AA51" i="45" l="1"/>
  <c r="AB50" i="45"/>
  <c r="AA29" i="45"/>
  <c r="AB51" i="45" l="1"/>
  <c r="AB29" i="45"/>
  <c r="AC50" i="45"/>
  <c r="AC29" i="45" l="1"/>
  <c r="AC51" i="45"/>
  <c r="AD50" i="45"/>
  <c r="AD51" i="45" l="1"/>
  <c r="AD29" i="45"/>
  <c r="AE29" i="45" l="1"/>
  <c r="M26" i="26" l="1"/>
  <c r="M28" i="26" s="1"/>
  <c r="O26" i="26"/>
  <c r="E46" i="26" l="1"/>
  <c r="D63" i="26" s="1"/>
  <c r="F23" i="44"/>
  <c r="E24" i="24"/>
  <c r="M27" i="26" l="1"/>
  <c r="M29" i="26" s="1"/>
  <c r="F22" i="44"/>
  <c r="M30" i="26"/>
  <c r="M31" i="26" s="1"/>
  <c r="E63" i="26"/>
  <c r="F63" i="26" s="1"/>
  <c r="M63" i="26"/>
  <c r="N63" i="26" s="1"/>
  <c r="O63" i="26" s="1"/>
  <c r="P63" i="26"/>
  <c r="J23" i="44"/>
  <c r="G24" i="24"/>
  <c r="U63" i="26" l="1"/>
  <c r="F21" i="44"/>
  <c r="K21" i="44"/>
  <c r="O36" i="26" l="1"/>
  <c r="E35" i="17"/>
  <c r="G35" i="17" l="1"/>
  <c r="G38" i="17" s="1"/>
  <c r="E38" i="17"/>
  <c r="E37" i="17"/>
  <c r="F37" i="17" s="1"/>
  <c r="C45" i="17" l="1"/>
  <c r="F38" i="17"/>
  <c r="C54" i="17"/>
  <c r="G37" i="17"/>
  <c r="C27" i="46"/>
  <c r="C31" i="46" s="1"/>
  <c r="G7" i="45"/>
  <c r="F7" i="45"/>
  <c r="C49" i="17"/>
  <c r="C37" i="46" l="1"/>
  <c r="C38" i="46" s="1"/>
  <c r="C55" i="17"/>
  <c r="N52" i="17"/>
  <c r="G44" i="17"/>
  <c r="N50" i="17"/>
  <c r="N46" i="17"/>
  <c r="N45" i="17"/>
  <c r="N51" i="17"/>
  <c r="N48" i="17"/>
  <c r="N43" i="17"/>
  <c r="N49" i="17"/>
  <c r="M16" i="26"/>
  <c r="D49" i="17"/>
  <c r="N44" i="17"/>
  <c r="F8" i="45"/>
  <c r="F10" i="45" s="1"/>
  <c r="N47" i="17"/>
  <c r="G8" i="45"/>
  <c r="H8" i="45" s="1"/>
  <c r="I8" i="45" s="1"/>
  <c r="J8" i="45" s="1"/>
  <c r="K8" i="45" s="1"/>
  <c r="L8" i="45" s="1"/>
  <c r="M8" i="45" s="1"/>
  <c r="N8" i="45" s="1"/>
  <c r="O8" i="45" s="1"/>
  <c r="P8" i="45" s="1"/>
  <c r="Q8" i="45" s="1"/>
  <c r="R8" i="45" s="1"/>
  <c r="S8" i="45" s="1"/>
  <c r="T8" i="45" s="1"/>
  <c r="U8" i="45" s="1"/>
  <c r="V8" i="45" s="1"/>
  <c r="W8" i="45" s="1"/>
  <c r="X8" i="45" s="1"/>
  <c r="Y8" i="45" s="1"/>
  <c r="Z8" i="45" s="1"/>
  <c r="AA8" i="45" s="1"/>
  <c r="AB8" i="45" s="1"/>
  <c r="AC8" i="45" s="1"/>
  <c r="AD8" i="45" s="1"/>
  <c r="H7" i="45"/>
  <c r="N49" i="46"/>
  <c r="P49" i="46"/>
  <c r="Q49" i="46" s="1"/>
  <c r="N48" i="46"/>
  <c r="P48" i="46" s="1"/>
  <c r="Q48" i="46" s="1"/>
  <c r="N50" i="46"/>
  <c r="D31" i="46"/>
  <c r="P50" i="46"/>
  <c r="Q50" i="46" s="1"/>
  <c r="F24" i="45" l="1"/>
  <c r="G10" i="45"/>
  <c r="G24" i="45" s="1"/>
  <c r="G49" i="17"/>
  <c r="G26" i="46"/>
  <c r="G31" i="46" s="1"/>
  <c r="AE8" i="45"/>
  <c r="G35" i="41"/>
  <c r="E35" i="41" s="1"/>
  <c r="P62" i="26"/>
  <c r="M18" i="26"/>
  <c r="H10" i="45"/>
  <c r="H24" i="45" s="1"/>
  <c r="H28" i="45" s="1"/>
  <c r="H30" i="45" s="1"/>
  <c r="I7" i="45"/>
  <c r="G55" i="17" l="1"/>
  <c r="G53" i="17"/>
  <c r="J7" i="45"/>
  <c r="I10" i="45"/>
  <c r="I24" i="45" s="1"/>
  <c r="I28" i="45" s="1"/>
  <c r="I30" i="45" s="1"/>
  <c r="H31" i="45"/>
  <c r="H32" i="45" s="1"/>
  <c r="H40" i="45" s="1"/>
  <c r="H41" i="45" s="1"/>
  <c r="H47" i="45" s="1"/>
  <c r="H111" i="45" s="1"/>
  <c r="F28" i="45"/>
  <c r="G37" i="46"/>
  <c r="G35" i="46"/>
  <c r="G28" i="45"/>
  <c r="G30" i="45" s="1"/>
  <c r="F59" i="45"/>
  <c r="F23" i="42"/>
  <c r="E24" i="39"/>
  <c r="I31" i="45" l="1"/>
  <c r="I32" i="45" s="1"/>
  <c r="I40" i="45" s="1"/>
  <c r="I41" i="45" s="1"/>
  <c r="I47" i="45" s="1"/>
  <c r="I111" i="45" s="1"/>
  <c r="O49" i="46"/>
  <c r="H36" i="46"/>
  <c r="O48" i="46"/>
  <c r="O50" i="46"/>
  <c r="F30" i="45"/>
  <c r="H110" i="45"/>
  <c r="H85" i="45"/>
  <c r="H84" i="45" s="1"/>
  <c r="H109" i="45"/>
  <c r="H108" i="45" s="1"/>
  <c r="H107" i="45" s="1"/>
  <c r="H106" i="45" s="1"/>
  <c r="H105" i="45" s="1"/>
  <c r="H104" i="45" s="1"/>
  <c r="H103" i="45" s="1"/>
  <c r="H102" i="45" s="1"/>
  <c r="H101" i="45" s="1"/>
  <c r="H100" i="45" s="1"/>
  <c r="H99" i="45" s="1"/>
  <c r="H98" i="45" s="1"/>
  <c r="H97" i="45" s="1"/>
  <c r="H96" i="45" s="1"/>
  <c r="H95" i="45" s="1"/>
  <c r="H94" i="45" s="1"/>
  <c r="H93" i="45" s="1"/>
  <c r="H92" i="45" s="1"/>
  <c r="H91" i="45" s="1"/>
  <c r="H90" i="45" s="1"/>
  <c r="H89" i="45" s="1"/>
  <c r="F63" i="45"/>
  <c r="G59" i="45"/>
  <c r="G31" i="45"/>
  <c r="G32" i="45" s="1"/>
  <c r="G40" i="45" s="1"/>
  <c r="G41" i="45" s="1"/>
  <c r="G47" i="45" s="1"/>
  <c r="G111" i="45" s="1"/>
  <c r="J10" i="45"/>
  <c r="K7" i="45"/>
  <c r="P49" i="17"/>
  <c r="P52" i="17"/>
  <c r="P43" i="17"/>
  <c r="P46" i="17"/>
  <c r="H53" i="17"/>
  <c r="P44" i="17"/>
  <c r="P45" i="17"/>
  <c r="G44" i="34"/>
  <c r="M17" i="26"/>
  <c r="P51" i="17"/>
  <c r="P47" i="17"/>
  <c r="P48" i="17"/>
  <c r="P50" i="17"/>
  <c r="G109" i="45" l="1"/>
  <c r="G108" i="45" s="1"/>
  <c r="G107" i="45" s="1"/>
  <c r="G106" i="45" s="1"/>
  <c r="G105" i="45" s="1"/>
  <c r="G104" i="45" s="1"/>
  <c r="G103" i="45" s="1"/>
  <c r="G102" i="45" s="1"/>
  <c r="G101" i="45" s="1"/>
  <c r="G100" i="45" s="1"/>
  <c r="G99" i="45" s="1"/>
  <c r="G98" i="45" s="1"/>
  <c r="G97" i="45" s="1"/>
  <c r="G96" i="45" s="1"/>
  <c r="G95" i="45" s="1"/>
  <c r="G94" i="45" s="1"/>
  <c r="G93" i="45" s="1"/>
  <c r="G92" i="45" s="1"/>
  <c r="G91" i="45" s="1"/>
  <c r="G90" i="45" s="1"/>
  <c r="G89" i="45" s="1"/>
  <c r="G88" i="45" s="1"/>
  <c r="G85" i="45"/>
  <c r="G84" i="45" s="1"/>
  <c r="G110" i="45"/>
  <c r="G63" i="45"/>
  <c r="H59" i="45"/>
  <c r="I85" i="45"/>
  <c r="I84" i="45" s="1"/>
  <c r="I110" i="45"/>
  <c r="I109" i="45"/>
  <c r="I108" i="45" s="1"/>
  <c r="I107" i="45" s="1"/>
  <c r="I106" i="45" s="1"/>
  <c r="I105" i="45" s="1"/>
  <c r="I104" i="45" s="1"/>
  <c r="I103" i="45" s="1"/>
  <c r="I102" i="45" s="1"/>
  <c r="I101" i="45" s="1"/>
  <c r="I100" i="45" s="1"/>
  <c r="I99" i="45" s="1"/>
  <c r="I98" i="45" s="1"/>
  <c r="I97" i="45" s="1"/>
  <c r="I96" i="45" s="1"/>
  <c r="I95" i="45" s="1"/>
  <c r="I94" i="45" s="1"/>
  <c r="I93" i="45" s="1"/>
  <c r="I92" i="45" s="1"/>
  <c r="I91" i="45" s="1"/>
  <c r="I90" i="45" s="1"/>
  <c r="F31" i="45"/>
  <c r="F32" i="45" s="1"/>
  <c r="F65" i="45"/>
  <c r="F86" i="45"/>
  <c r="M19" i="26"/>
  <c r="G36" i="41"/>
  <c r="E36" i="41" s="1"/>
  <c r="U62" i="26"/>
  <c r="K10" i="45"/>
  <c r="K24" i="45" s="1"/>
  <c r="K28" i="45" s="1"/>
  <c r="K30" i="45" s="1"/>
  <c r="L7" i="45"/>
  <c r="J24" i="45"/>
  <c r="J30" i="38" l="1"/>
  <c r="G24" i="39"/>
  <c r="J23" i="42"/>
  <c r="H63" i="45"/>
  <c r="I59" i="45"/>
  <c r="L10" i="45"/>
  <c r="M7" i="45"/>
  <c r="G87" i="45"/>
  <c r="G65" i="45"/>
  <c r="F40" i="45"/>
  <c r="K31" i="45"/>
  <c r="K32" i="45" s="1"/>
  <c r="K40" i="45" s="1"/>
  <c r="K41" i="45" s="1"/>
  <c r="K47" i="45" s="1"/>
  <c r="K111" i="45" s="1"/>
  <c r="J28" i="45"/>
  <c r="K110" i="45" l="1"/>
  <c r="K109" i="45"/>
  <c r="K108" i="45" s="1"/>
  <c r="K107" i="45" s="1"/>
  <c r="K106" i="45" s="1"/>
  <c r="K105" i="45" s="1"/>
  <c r="K104" i="45" s="1"/>
  <c r="K103" i="45" s="1"/>
  <c r="K102" i="45" s="1"/>
  <c r="K101" i="45" s="1"/>
  <c r="K100" i="45" s="1"/>
  <c r="K99" i="45" s="1"/>
  <c r="K98" i="45" s="1"/>
  <c r="K97" i="45" s="1"/>
  <c r="K96" i="45" s="1"/>
  <c r="K95" i="45" s="1"/>
  <c r="K94" i="45" s="1"/>
  <c r="K93" i="45" s="1"/>
  <c r="K92" i="45" s="1"/>
  <c r="K85" i="45"/>
  <c r="K84" i="45" s="1"/>
  <c r="L24" i="45"/>
  <c r="F41" i="45"/>
  <c r="I63" i="45"/>
  <c r="J59" i="45"/>
  <c r="J30" i="45"/>
  <c r="M10" i="45"/>
  <c r="M24" i="45" s="1"/>
  <c r="M28" i="45" s="1"/>
  <c r="M30" i="45" s="1"/>
  <c r="N7" i="45"/>
  <c r="H65" i="45"/>
  <c r="H88" i="45"/>
  <c r="I65" i="45" l="1"/>
  <c r="I89" i="45"/>
  <c r="N10" i="45"/>
  <c r="O7" i="45"/>
  <c r="F47" i="45"/>
  <c r="L28" i="45"/>
  <c r="M31" i="45"/>
  <c r="M32" i="45" s="1"/>
  <c r="M40" i="45" s="1"/>
  <c r="M41" i="45" s="1"/>
  <c r="M47" i="45" s="1"/>
  <c r="M111" i="45" s="1"/>
  <c r="J31" i="45"/>
  <c r="J32" i="45" s="1"/>
  <c r="J63" i="45"/>
  <c r="K59" i="45"/>
  <c r="M85" i="45" l="1"/>
  <c r="M84" i="45" s="1"/>
  <c r="M110" i="45"/>
  <c r="M109" i="45"/>
  <c r="M108" i="45" s="1"/>
  <c r="M107" i="45" s="1"/>
  <c r="M106" i="45" s="1"/>
  <c r="M105" i="45" s="1"/>
  <c r="M104" i="45" s="1"/>
  <c r="M103" i="45" s="1"/>
  <c r="M102" i="45" s="1"/>
  <c r="M101" i="45" s="1"/>
  <c r="M100" i="45" s="1"/>
  <c r="M99" i="45" s="1"/>
  <c r="M98" i="45" s="1"/>
  <c r="M97" i="45" s="1"/>
  <c r="M96" i="45" s="1"/>
  <c r="M95" i="45" s="1"/>
  <c r="M94" i="45" s="1"/>
  <c r="K63" i="45"/>
  <c r="L59" i="45"/>
  <c r="F56" i="45"/>
  <c r="F55" i="45"/>
  <c r="G55" i="45" s="1"/>
  <c r="H55" i="45" s="1"/>
  <c r="I55" i="45" s="1"/>
  <c r="F48" i="45"/>
  <c r="F54" i="45"/>
  <c r="G54" i="45" s="1"/>
  <c r="H54" i="45" s="1"/>
  <c r="I54" i="45" s="1"/>
  <c r="F111" i="45"/>
  <c r="L30" i="45"/>
  <c r="J90" i="45"/>
  <c r="J65" i="45"/>
  <c r="J40" i="45"/>
  <c r="P7" i="45"/>
  <c r="O10" i="45"/>
  <c r="O24" i="45" s="1"/>
  <c r="O28" i="45" s="1"/>
  <c r="O30" i="45" s="1"/>
  <c r="N24" i="45"/>
  <c r="O31" i="45" l="1"/>
  <c r="O32" i="45" s="1"/>
  <c r="O40" i="45" s="1"/>
  <c r="O41" i="45" s="1"/>
  <c r="O47" i="45" s="1"/>
  <c r="O111" i="45" s="1"/>
  <c r="L31" i="45"/>
  <c r="L32" i="45" s="1"/>
  <c r="P10" i="45"/>
  <c r="P24" i="45" s="1"/>
  <c r="P28" i="45" s="1"/>
  <c r="P30" i="45" s="1"/>
  <c r="Q7" i="45"/>
  <c r="F110" i="45"/>
  <c r="F85" i="45"/>
  <c r="F109" i="45"/>
  <c r="K91" i="45"/>
  <c r="K65" i="45"/>
  <c r="J41" i="45"/>
  <c r="N28" i="45"/>
  <c r="G56" i="45"/>
  <c r="F57" i="45"/>
  <c r="L63" i="45"/>
  <c r="M59" i="45"/>
  <c r="G48" i="45"/>
  <c r="F67" i="45"/>
  <c r="F68" i="45" s="1"/>
  <c r="H48" i="45" l="1"/>
  <c r="G67" i="45"/>
  <c r="G68" i="45" s="1"/>
  <c r="P31" i="45"/>
  <c r="P32" i="45" s="1"/>
  <c r="P40" i="45" s="1"/>
  <c r="P41" i="45" s="1"/>
  <c r="P47" i="45" s="1"/>
  <c r="P111" i="45" s="1"/>
  <c r="L40" i="45"/>
  <c r="L65" i="45"/>
  <c r="L92" i="45"/>
  <c r="H56" i="45"/>
  <c r="G57" i="45"/>
  <c r="F108" i="45"/>
  <c r="J47" i="45"/>
  <c r="Q10" i="45"/>
  <c r="Q24" i="45" s="1"/>
  <c r="Q28" i="45" s="1"/>
  <c r="Q30" i="45" s="1"/>
  <c r="R7" i="45"/>
  <c r="M63" i="45"/>
  <c r="N59" i="45"/>
  <c r="F84" i="45"/>
  <c r="O110" i="45"/>
  <c r="O85" i="45"/>
  <c r="O84" i="45" s="1"/>
  <c r="O109" i="45"/>
  <c r="O108" i="45" s="1"/>
  <c r="O107" i="45" s="1"/>
  <c r="O106" i="45" s="1"/>
  <c r="O105" i="45" s="1"/>
  <c r="O104" i="45" s="1"/>
  <c r="O103" i="45" s="1"/>
  <c r="O102" i="45" s="1"/>
  <c r="O101" i="45" s="1"/>
  <c r="O100" i="45" s="1"/>
  <c r="O99" i="45" s="1"/>
  <c r="O98" i="45" s="1"/>
  <c r="O97" i="45" s="1"/>
  <c r="O96" i="45" s="1"/>
  <c r="N30" i="45"/>
  <c r="P109" i="45" l="1"/>
  <c r="P108" i="45" s="1"/>
  <c r="P107" i="45" s="1"/>
  <c r="P106" i="45" s="1"/>
  <c r="P105" i="45" s="1"/>
  <c r="P104" i="45" s="1"/>
  <c r="P103" i="45" s="1"/>
  <c r="P102" i="45" s="1"/>
  <c r="P101" i="45" s="1"/>
  <c r="P100" i="45" s="1"/>
  <c r="P99" i="45" s="1"/>
  <c r="P98" i="45" s="1"/>
  <c r="P97" i="45" s="1"/>
  <c r="P110" i="45"/>
  <c r="P85" i="45"/>
  <c r="P84" i="45" s="1"/>
  <c r="J111" i="45"/>
  <c r="J55" i="45"/>
  <c r="K55" i="45" s="1"/>
  <c r="J54" i="45"/>
  <c r="K54" i="45" s="1"/>
  <c r="F107" i="45"/>
  <c r="H57" i="45"/>
  <c r="I56" i="45"/>
  <c r="Q31" i="45"/>
  <c r="Q32" i="45" s="1"/>
  <c r="Q40" i="45" s="1"/>
  <c r="Q41" i="45" s="1"/>
  <c r="Q47" i="45" s="1"/>
  <c r="Q111" i="45" s="1"/>
  <c r="N31" i="45"/>
  <c r="N32" i="45" s="1"/>
  <c r="N63" i="45"/>
  <c r="O59" i="45"/>
  <c r="L41" i="45"/>
  <c r="M65" i="45"/>
  <c r="M93" i="45"/>
  <c r="R10" i="45"/>
  <c r="R24" i="45" s="1"/>
  <c r="R28" i="45" s="1"/>
  <c r="S7" i="45"/>
  <c r="I48" i="45"/>
  <c r="H67" i="45"/>
  <c r="H68" i="45" s="1"/>
  <c r="N40" i="45" l="1"/>
  <c r="Q109" i="45"/>
  <c r="Q108" i="45" s="1"/>
  <c r="Q107" i="45" s="1"/>
  <c r="Q106" i="45" s="1"/>
  <c r="Q105" i="45" s="1"/>
  <c r="Q104" i="45" s="1"/>
  <c r="Q103" i="45" s="1"/>
  <c r="Q102" i="45" s="1"/>
  <c r="Q101" i="45" s="1"/>
  <c r="Q100" i="45" s="1"/>
  <c r="Q99" i="45" s="1"/>
  <c r="Q98" i="45" s="1"/>
  <c r="Q110" i="45"/>
  <c r="Q85" i="45"/>
  <c r="Q84" i="45" s="1"/>
  <c r="R30" i="45"/>
  <c r="J110" i="45"/>
  <c r="J85" i="45"/>
  <c r="J109" i="45"/>
  <c r="J48" i="45"/>
  <c r="I67" i="45"/>
  <c r="I68" i="45" s="1"/>
  <c r="I57" i="45"/>
  <c r="J56" i="45"/>
  <c r="O63" i="45"/>
  <c r="P59" i="45"/>
  <c r="L47" i="45"/>
  <c r="L55" i="45" s="1"/>
  <c r="M55" i="45" s="1"/>
  <c r="S10" i="45"/>
  <c r="S24" i="45" s="1"/>
  <c r="S28" i="45" s="1"/>
  <c r="S30" i="45" s="1"/>
  <c r="T7" i="45"/>
  <c r="N94" i="45"/>
  <c r="N65" i="45"/>
  <c r="F106" i="45"/>
  <c r="J57" i="45" l="1"/>
  <c r="K56" i="45"/>
  <c r="K48" i="45"/>
  <c r="J67" i="45"/>
  <c r="J68" i="45" s="1"/>
  <c r="L111" i="45"/>
  <c r="S31" i="45"/>
  <c r="S32" i="45" s="1"/>
  <c r="S40" i="45" s="1"/>
  <c r="S41" i="45" s="1"/>
  <c r="S47" i="45" s="1"/>
  <c r="S111" i="45" s="1"/>
  <c r="P63" i="45"/>
  <c r="Q59" i="45"/>
  <c r="J84" i="45"/>
  <c r="U7" i="45"/>
  <c r="T10" i="45"/>
  <c r="T24" i="45" s="1"/>
  <c r="T28" i="45" s="1"/>
  <c r="T30" i="45" s="1"/>
  <c r="R31" i="45"/>
  <c r="R32" i="45" s="1"/>
  <c r="F105" i="45"/>
  <c r="L54" i="45"/>
  <c r="M54" i="45" s="1"/>
  <c r="J108" i="45"/>
  <c r="O95" i="45"/>
  <c r="O65" i="45"/>
  <c r="N41" i="45"/>
  <c r="S85" i="45" l="1"/>
  <c r="S84" i="45" s="1"/>
  <c r="S110" i="45"/>
  <c r="S109" i="45"/>
  <c r="S108" i="45" s="1"/>
  <c r="S107" i="45" s="1"/>
  <c r="S106" i="45" s="1"/>
  <c r="S105" i="45" s="1"/>
  <c r="S104" i="45" s="1"/>
  <c r="S103" i="45" s="1"/>
  <c r="S102" i="45" s="1"/>
  <c r="S101" i="45" s="1"/>
  <c r="S100" i="45" s="1"/>
  <c r="R40" i="45"/>
  <c r="F104" i="45"/>
  <c r="L48" i="45"/>
  <c r="K67" i="45"/>
  <c r="K68" i="45" s="1"/>
  <c r="T31" i="45"/>
  <c r="T32" i="45" s="1"/>
  <c r="T40" i="45" s="1"/>
  <c r="T41" i="45" s="1"/>
  <c r="T47" i="45" s="1"/>
  <c r="T111" i="45" s="1"/>
  <c r="N47" i="45"/>
  <c r="N54" i="45" s="1"/>
  <c r="O54" i="45" s="1"/>
  <c r="P54" i="45" s="1"/>
  <c r="Q54" i="45" s="1"/>
  <c r="K57" i="45"/>
  <c r="L56" i="45"/>
  <c r="J107" i="45"/>
  <c r="V7" i="45"/>
  <c r="U10" i="45"/>
  <c r="U24" i="45" s="1"/>
  <c r="U28" i="45" s="1"/>
  <c r="U30" i="45" s="1"/>
  <c r="L110" i="45"/>
  <c r="L109" i="45"/>
  <c r="L85" i="45"/>
  <c r="Q63" i="45"/>
  <c r="R59" i="45"/>
  <c r="P96" i="45"/>
  <c r="P65" i="45"/>
  <c r="M56" i="45" l="1"/>
  <c r="L57" i="45"/>
  <c r="L84" i="45"/>
  <c r="L108" i="45"/>
  <c r="F103" i="45"/>
  <c r="U31" i="45"/>
  <c r="U32" i="45" s="1"/>
  <c r="U40" i="45" s="1"/>
  <c r="U41" i="45" s="1"/>
  <c r="U47" i="45" s="1"/>
  <c r="U111" i="45" s="1"/>
  <c r="N111" i="45"/>
  <c r="N55" i="45"/>
  <c r="O55" i="45" s="1"/>
  <c r="P55" i="45" s="1"/>
  <c r="Q55" i="45" s="1"/>
  <c r="T110" i="45"/>
  <c r="T85" i="45"/>
  <c r="T84" i="45" s="1"/>
  <c r="T109" i="45"/>
  <c r="T108" i="45" s="1"/>
  <c r="T107" i="45" s="1"/>
  <c r="T106" i="45" s="1"/>
  <c r="T105" i="45" s="1"/>
  <c r="T104" i="45" s="1"/>
  <c r="T103" i="45" s="1"/>
  <c r="T102" i="45" s="1"/>
  <c r="T101" i="45" s="1"/>
  <c r="R41" i="45"/>
  <c r="R63" i="45"/>
  <c r="S59" i="45"/>
  <c r="W7" i="45"/>
  <c r="V10" i="45"/>
  <c r="V24" i="45" s="1"/>
  <c r="V28" i="45" s="1"/>
  <c r="V30" i="45" s="1"/>
  <c r="Q97" i="45"/>
  <c r="Q65" i="45"/>
  <c r="J106" i="45"/>
  <c r="M48" i="45"/>
  <c r="L67" i="45"/>
  <c r="L68" i="45" s="1"/>
  <c r="V31" i="45" l="1"/>
  <c r="V32" i="45" s="1"/>
  <c r="V40" i="45" s="1"/>
  <c r="V41" i="45" s="1"/>
  <c r="V47" i="45" s="1"/>
  <c r="V111" i="45" s="1"/>
  <c r="F102" i="45"/>
  <c r="W10" i="45"/>
  <c r="W24" i="45" s="1"/>
  <c r="W28" i="45" s="1"/>
  <c r="W30" i="45" s="1"/>
  <c r="X7" i="45"/>
  <c r="S63" i="45"/>
  <c r="T59" i="45"/>
  <c r="R98" i="45"/>
  <c r="R65" i="45"/>
  <c r="J105" i="45"/>
  <c r="R47" i="45"/>
  <c r="L107" i="45"/>
  <c r="U85" i="45"/>
  <c r="U84" i="45" s="1"/>
  <c r="U110" i="45"/>
  <c r="U109" i="45"/>
  <c r="U108" i="45" s="1"/>
  <c r="U107" i="45" s="1"/>
  <c r="U106" i="45" s="1"/>
  <c r="U105" i="45" s="1"/>
  <c r="U104" i="45" s="1"/>
  <c r="U103" i="45" s="1"/>
  <c r="U102" i="45" s="1"/>
  <c r="N48" i="45"/>
  <c r="M67" i="45"/>
  <c r="M68" i="45" s="1"/>
  <c r="N110" i="45"/>
  <c r="N109" i="45"/>
  <c r="N85" i="45"/>
  <c r="N56" i="45"/>
  <c r="M57" i="45"/>
  <c r="O48" i="45" l="1"/>
  <c r="N67" i="45"/>
  <c r="N68" i="45" s="1"/>
  <c r="R111" i="45"/>
  <c r="R54" i="45"/>
  <c r="S54" i="45" s="1"/>
  <c r="T54" i="45" s="1"/>
  <c r="U54" i="45" s="1"/>
  <c r="V54" i="45" s="1"/>
  <c r="Y7" i="45"/>
  <c r="X10" i="45"/>
  <c r="X24" i="45" s="1"/>
  <c r="X28" i="45" s="1"/>
  <c r="X30" i="45" s="1"/>
  <c r="T63" i="45"/>
  <c r="U59" i="45"/>
  <c r="N57" i="45"/>
  <c r="O56" i="45"/>
  <c r="J104" i="45"/>
  <c r="L106" i="45"/>
  <c r="V85" i="45"/>
  <c r="V84" i="45" s="1"/>
  <c r="V110" i="45"/>
  <c r="V109" i="45"/>
  <c r="V108" i="45" s="1"/>
  <c r="V107" i="45" s="1"/>
  <c r="V106" i="45" s="1"/>
  <c r="V105" i="45" s="1"/>
  <c r="V104" i="45" s="1"/>
  <c r="V103" i="45" s="1"/>
  <c r="S65" i="45"/>
  <c r="S99" i="45"/>
  <c r="W31" i="45"/>
  <c r="W32" i="45" s="1"/>
  <c r="W40" i="45" s="1"/>
  <c r="W41" i="45" s="1"/>
  <c r="W47" i="45" s="1"/>
  <c r="W111" i="45" s="1"/>
  <c r="F101" i="45"/>
  <c r="N84" i="45"/>
  <c r="N108" i="45"/>
  <c r="R55" i="45"/>
  <c r="S55" i="45" s="1"/>
  <c r="T55" i="45" s="1"/>
  <c r="U55" i="45" s="1"/>
  <c r="V55" i="45" s="1"/>
  <c r="W55" i="45" l="1"/>
  <c r="W110" i="45"/>
  <c r="W85" i="45"/>
  <c r="W84" i="45" s="1"/>
  <c r="W109" i="45"/>
  <c r="W108" i="45" s="1"/>
  <c r="W107" i="45" s="1"/>
  <c r="W106" i="45" s="1"/>
  <c r="W105" i="45" s="1"/>
  <c r="W104" i="45" s="1"/>
  <c r="Y10" i="45"/>
  <c r="Y24" i="45" s="1"/>
  <c r="Y28" i="45" s="1"/>
  <c r="Y30" i="45" s="1"/>
  <c r="Z7" i="45"/>
  <c r="T100" i="45"/>
  <c r="T65" i="45"/>
  <c r="N107" i="45"/>
  <c r="J103" i="45"/>
  <c r="P56" i="45"/>
  <c r="O57" i="45"/>
  <c r="W54" i="45"/>
  <c r="X31" i="45"/>
  <c r="X32" i="45" s="1"/>
  <c r="X40" i="45" s="1"/>
  <c r="X41" i="45" s="1"/>
  <c r="X47" i="45" s="1"/>
  <c r="X111" i="45" s="1"/>
  <c r="L105" i="45"/>
  <c r="R110" i="45"/>
  <c r="R109" i="45"/>
  <c r="R85" i="45"/>
  <c r="F100" i="45"/>
  <c r="U63" i="45"/>
  <c r="V59" i="45"/>
  <c r="P48" i="45"/>
  <c r="O67" i="45"/>
  <c r="O68" i="45" s="1"/>
  <c r="X54" i="45" l="1"/>
  <c r="X55" i="45"/>
  <c r="R108" i="45"/>
  <c r="P57" i="45"/>
  <c r="Q56" i="45"/>
  <c r="J102" i="45"/>
  <c r="U65" i="45"/>
  <c r="U101" i="45"/>
  <c r="R84" i="45"/>
  <c r="Y31" i="45"/>
  <c r="Y32" i="45" s="1"/>
  <c r="Y40" i="45" s="1"/>
  <c r="Y41" i="45" s="1"/>
  <c r="Y47" i="45" s="1"/>
  <c r="V63" i="45"/>
  <c r="W59" i="45"/>
  <c r="L104" i="45"/>
  <c r="X110" i="45"/>
  <c r="X85" i="45"/>
  <c r="X84" i="45" s="1"/>
  <c r="X109" i="45"/>
  <c r="X108" i="45" s="1"/>
  <c r="X107" i="45" s="1"/>
  <c r="X106" i="45" s="1"/>
  <c r="X105" i="45" s="1"/>
  <c r="N106" i="45"/>
  <c r="AA7" i="45"/>
  <c r="Z10" i="45"/>
  <c r="Z24" i="45" s="1"/>
  <c r="Z28" i="45" s="1"/>
  <c r="Z30" i="45" s="1"/>
  <c r="Q48" i="45"/>
  <c r="P67" i="45"/>
  <c r="P68" i="45" s="1"/>
  <c r="F99" i="45"/>
  <c r="Y111" i="45" l="1"/>
  <c r="Y54" i="45"/>
  <c r="Y55" i="45"/>
  <c r="N105" i="45"/>
  <c r="R48" i="45"/>
  <c r="Q67" i="45"/>
  <c r="Q68" i="45" s="1"/>
  <c r="W63" i="45"/>
  <c r="X59" i="45"/>
  <c r="V65" i="45"/>
  <c r="V102" i="45"/>
  <c r="F98" i="45"/>
  <c r="Z31" i="45"/>
  <c r="Z32" i="45" s="1"/>
  <c r="Z40" i="45" s="1"/>
  <c r="Z41" i="45" s="1"/>
  <c r="Z47" i="45" s="1"/>
  <c r="Z111" i="45" s="1"/>
  <c r="R107" i="45"/>
  <c r="J101" i="45"/>
  <c r="Q57" i="45"/>
  <c r="R56" i="45"/>
  <c r="L103" i="45"/>
  <c r="AA10" i="45"/>
  <c r="AA24" i="45" s="1"/>
  <c r="AA28" i="45" s="1"/>
  <c r="AA30" i="45" s="1"/>
  <c r="AB7" i="45"/>
  <c r="Z110" i="45" l="1"/>
  <c r="Z85" i="45"/>
  <c r="Z84" i="45" s="1"/>
  <c r="Z109" i="45"/>
  <c r="Z108" i="45" s="1"/>
  <c r="Z107" i="45" s="1"/>
  <c r="L102" i="45"/>
  <c r="W65" i="45"/>
  <c r="W103" i="45"/>
  <c r="Z55" i="45"/>
  <c r="Z54" i="45"/>
  <c r="R57" i="45"/>
  <c r="S56" i="45"/>
  <c r="F97" i="45"/>
  <c r="S48" i="45"/>
  <c r="R67" i="45"/>
  <c r="R68" i="45" s="1"/>
  <c r="N104" i="45"/>
  <c r="J100" i="45"/>
  <c r="AB10" i="45"/>
  <c r="AB24" i="45" s="1"/>
  <c r="AB28" i="45" s="1"/>
  <c r="AB30" i="45" s="1"/>
  <c r="AC7" i="45"/>
  <c r="AA31" i="45"/>
  <c r="AA32" i="45"/>
  <c r="AA40" i="45" s="1"/>
  <c r="AA41" i="45" s="1"/>
  <c r="AA47" i="45" s="1"/>
  <c r="AA111" i="45" s="1"/>
  <c r="R106" i="45"/>
  <c r="X63" i="45"/>
  <c r="Y59" i="45"/>
  <c r="Y109" i="45"/>
  <c r="Y108" i="45" s="1"/>
  <c r="Y107" i="45" s="1"/>
  <c r="Y106" i="45" s="1"/>
  <c r="Y85" i="45"/>
  <c r="Y84" i="45" s="1"/>
  <c r="Y110" i="45"/>
  <c r="T48" i="45" l="1"/>
  <c r="S67" i="45"/>
  <c r="S68" i="45" s="1"/>
  <c r="AD7" i="45"/>
  <c r="AD10" i="45" s="1"/>
  <c r="AC10" i="45"/>
  <c r="AC24" i="45" s="1"/>
  <c r="AC28" i="45" s="1"/>
  <c r="AC30" i="45" s="1"/>
  <c r="Y63" i="45"/>
  <c r="Z59" i="45"/>
  <c r="T56" i="45"/>
  <c r="S57" i="45"/>
  <c r="X65" i="45"/>
  <c r="X104" i="45"/>
  <c r="J99" i="45"/>
  <c r="AA109" i="45"/>
  <c r="AA108" i="45" s="1"/>
  <c r="AA110" i="45"/>
  <c r="AA85" i="45"/>
  <c r="AA84" i="45" s="1"/>
  <c r="F96" i="45"/>
  <c r="L101" i="45"/>
  <c r="AB31" i="45"/>
  <c r="AB32" i="45" s="1"/>
  <c r="AB40" i="45" s="1"/>
  <c r="AB41" i="45" s="1"/>
  <c r="AB47" i="45" s="1"/>
  <c r="AB111" i="45" s="1"/>
  <c r="AA54" i="45"/>
  <c r="R105" i="45"/>
  <c r="N103" i="45"/>
  <c r="AA55" i="45"/>
  <c r="R104" i="45" l="1"/>
  <c r="J98" i="45"/>
  <c r="AB110" i="45"/>
  <c r="AB109" i="45"/>
  <c r="AB85" i="45"/>
  <c r="AB84" i="45" s="1"/>
  <c r="AB55" i="45"/>
  <c r="AC31" i="45"/>
  <c r="AC32" i="45" s="1"/>
  <c r="AC40" i="45" s="1"/>
  <c r="AC41" i="45" s="1"/>
  <c r="AC47" i="45" s="1"/>
  <c r="AC111" i="45" s="1"/>
  <c r="AD24" i="45"/>
  <c r="AE10" i="45"/>
  <c r="AB54" i="45"/>
  <c r="Y105" i="45"/>
  <c r="X69" i="45" s="1"/>
  <c r="Y65" i="45"/>
  <c r="L100" i="45"/>
  <c r="N102" i="45"/>
  <c r="F95" i="45"/>
  <c r="U56" i="45"/>
  <c r="T57" i="45"/>
  <c r="Z63" i="45"/>
  <c r="AA59" i="45"/>
  <c r="U48" i="45"/>
  <c r="T67" i="45"/>
  <c r="T68" i="45" s="1"/>
  <c r="AC55" i="45" l="1"/>
  <c r="AC54" i="45"/>
  <c r="F94" i="45"/>
  <c r="V56" i="45"/>
  <c r="U57" i="45"/>
  <c r="V48" i="45"/>
  <c r="U67" i="45"/>
  <c r="U68" i="45" s="1"/>
  <c r="N101" i="45"/>
  <c r="AD28" i="45"/>
  <c r="AE24" i="45"/>
  <c r="J97" i="45"/>
  <c r="AA63" i="45"/>
  <c r="AB59" i="45"/>
  <c r="AC85" i="45"/>
  <c r="AC84" i="45" s="1"/>
  <c r="AC110" i="45"/>
  <c r="Z65" i="45"/>
  <c r="Z106" i="45"/>
  <c r="Y69" i="45" s="1"/>
  <c r="L99" i="45"/>
  <c r="R103" i="45"/>
  <c r="W69" i="45"/>
  <c r="R102" i="45" l="1"/>
  <c r="V69" i="45"/>
  <c r="L98" i="45"/>
  <c r="AC59" i="45"/>
  <c r="AB63" i="45"/>
  <c r="W48" i="45"/>
  <c r="V67" i="45"/>
  <c r="V68" i="45" s="1"/>
  <c r="AA65" i="45"/>
  <c r="AA107" i="45"/>
  <c r="Z69" i="45" s="1"/>
  <c r="N100" i="45"/>
  <c r="V57" i="45"/>
  <c r="W56" i="45"/>
  <c r="J96" i="45"/>
  <c r="F93" i="45"/>
  <c r="AD30" i="45"/>
  <c r="AE28" i="45"/>
  <c r="J95" i="45" l="1"/>
  <c r="W57" i="45"/>
  <c r="X56" i="45"/>
  <c r="L97" i="45"/>
  <c r="X48" i="45"/>
  <c r="W67" i="45"/>
  <c r="W68" i="45" s="1"/>
  <c r="AB108" i="45"/>
  <c r="AA69" i="45" s="1"/>
  <c r="AB65" i="45"/>
  <c r="AC63" i="45"/>
  <c r="AD59" i="45"/>
  <c r="AD31" i="45"/>
  <c r="AE31" i="45" s="1"/>
  <c r="AE30" i="45"/>
  <c r="N99" i="45"/>
  <c r="F92" i="45"/>
  <c r="R101" i="45"/>
  <c r="U69" i="45"/>
  <c r="AD32" i="45" l="1"/>
  <c r="AD40" i="45" s="1"/>
  <c r="N98" i="45"/>
  <c r="AE32" i="45"/>
  <c r="X57" i="45"/>
  <c r="Y56" i="45"/>
  <c r="Y48" i="45"/>
  <c r="X67" i="45"/>
  <c r="X68" i="45" s="1"/>
  <c r="R100" i="45"/>
  <c r="T69" i="45"/>
  <c r="L96" i="45"/>
  <c r="AC65" i="45"/>
  <c r="AC109" i="45"/>
  <c r="AB69" i="45" s="1"/>
  <c r="AD63" i="45"/>
  <c r="AE59" i="45"/>
  <c r="F91" i="45"/>
  <c r="J94" i="45"/>
  <c r="AD65" i="45" l="1"/>
  <c r="AD110" i="45"/>
  <c r="AC69" i="45" s="1"/>
  <c r="AE111" i="45"/>
  <c r="J93" i="45"/>
  <c r="F90" i="45"/>
  <c r="L95" i="45"/>
  <c r="AD41" i="45"/>
  <c r="AE40" i="45"/>
  <c r="Z48" i="45"/>
  <c r="Y67" i="45"/>
  <c r="Y68" i="45" s="1"/>
  <c r="Y57" i="45"/>
  <c r="Z56" i="45"/>
  <c r="R99" i="45"/>
  <c r="R69" i="45" s="1"/>
  <c r="S69" i="45"/>
  <c r="N97" i="45"/>
  <c r="Q69" i="45"/>
  <c r="Z57" i="45" l="1"/>
  <c r="AA56" i="45"/>
  <c r="AA48" i="45"/>
  <c r="Z67" i="45"/>
  <c r="Z68" i="45" s="1"/>
  <c r="J92" i="45"/>
  <c r="I69" i="45"/>
  <c r="F89" i="45"/>
  <c r="N96" i="45"/>
  <c r="P69" i="45"/>
  <c r="AD47" i="45"/>
  <c r="AE41" i="45"/>
  <c r="L94" i="45"/>
  <c r="H69" i="45" l="1"/>
  <c r="F88" i="45"/>
  <c r="AD111" i="45"/>
  <c r="AE47" i="45"/>
  <c r="AD55" i="45"/>
  <c r="AD54" i="45"/>
  <c r="AB48" i="45"/>
  <c r="AA67" i="45"/>
  <c r="AA68" i="45" s="1"/>
  <c r="N95" i="45"/>
  <c r="N69" i="45" s="1"/>
  <c r="O69" i="45"/>
  <c r="AB56" i="45"/>
  <c r="AA57" i="45"/>
  <c r="L93" i="45"/>
  <c r="L69" i="45" s="1"/>
  <c r="M69" i="45"/>
  <c r="J91" i="45"/>
  <c r="J69" i="45" s="1"/>
  <c r="K69" i="45"/>
  <c r="AC48" i="45" l="1"/>
  <c r="AB67" i="45"/>
  <c r="AB68" i="45" s="1"/>
  <c r="AB57" i="45"/>
  <c r="AC56" i="45"/>
  <c r="AD85" i="45"/>
  <c r="AD69" i="45"/>
  <c r="G69" i="45"/>
  <c r="F87" i="45"/>
  <c r="F69" i="45" s="1"/>
  <c r="AE69" i="45" l="1"/>
  <c r="AD84" i="45"/>
  <c r="AE84" i="45" s="1"/>
  <c r="AE85" i="45"/>
  <c r="AD56" i="45"/>
  <c r="AD57" i="45" s="1"/>
  <c r="AC57" i="45"/>
  <c r="AD48" i="45"/>
  <c r="AD67" i="45" s="1"/>
  <c r="AD68" i="45" s="1"/>
  <c r="AC67" i="45"/>
  <c r="AC68" i="45" s="1"/>
</calcChain>
</file>

<file path=xl/comments1.xml><?xml version="1.0" encoding="utf-8"?>
<comments xmlns="http://schemas.openxmlformats.org/spreadsheetml/2006/main">
  <authors>
    <author>小田 修平</author>
  </authors>
  <commentList>
    <comment ref="A2" authorId="0">
      <text>
        <r>
          <rPr>
            <sz val="9"/>
            <color indexed="81"/>
            <rFont val="ＭＳ Ｐゴシック"/>
            <family val="3"/>
            <charset val="128"/>
          </rPr>
          <t>番号は経営企画部に問い合わせてください</t>
        </r>
      </text>
    </comment>
  </commentList>
</comments>
</file>

<file path=xl/comments10.xml><?xml version="1.0" encoding="utf-8"?>
<comments xmlns="http://schemas.openxmlformats.org/spreadsheetml/2006/main">
  <authors>
    <author>小田 修平</author>
  </authors>
  <commentList>
    <comment ref="A5" authorId="0">
      <text>
        <r>
          <rPr>
            <b/>
            <u/>
            <sz val="9"/>
            <color indexed="10"/>
            <rFont val="ＭＳ ゴシック"/>
            <family val="3"/>
            <charset val="128"/>
          </rPr>
          <t>実際の用途を記載</t>
        </r>
      </text>
    </comment>
    <comment ref="E5" authorId="0">
      <text>
        <r>
          <rPr>
            <b/>
            <u/>
            <sz val="9"/>
            <color indexed="10"/>
            <rFont val="ＭＳ ゴシック"/>
            <family val="3"/>
            <charset val="128"/>
          </rPr>
          <t xml:space="preserve">「申込ベース」or「契約ベース」
契約済の場合は何も記載しない
</t>
        </r>
      </text>
    </comment>
    <comment ref="L7" authorId="0">
      <text>
        <r>
          <rPr>
            <b/>
            <u/>
            <sz val="9"/>
            <color indexed="10"/>
            <rFont val="ＭＳ ゴシック"/>
            <family val="3"/>
            <charset val="128"/>
          </rPr>
          <t>賃貸借契約に償却規定がある場合、償却済敷金を記載
※PMRと齟齬がある場合があるので注意！！</t>
        </r>
      </text>
    </comment>
    <comment ref="C10" authorId="0">
      <text>
        <r>
          <rPr>
            <b/>
            <u/>
            <sz val="9"/>
            <color indexed="10"/>
            <rFont val="ＭＳ ゴシック"/>
            <family val="3"/>
            <charset val="128"/>
          </rPr>
          <t xml:space="preserve">業種を記載する
</t>
        </r>
      </text>
    </comment>
    <comment ref="B12" authorId="0">
      <text>
        <r>
          <rPr>
            <b/>
            <u/>
            <sz val="9"/>
            <color indexed="10"/>
            <rFont val="ＭＳ ゴシック"/>
            <family val="3"/>
            <charset val="128"/>
          </rPr>
          <t>セットアップ（応接内装付）の場合は記載する</t>
        </r>
      </text>
    </comment>
    <comment ref="N15" authorId="0">
      <text>
        <r>
          <rPr>
            <b/>
            <u/>
            <sz val="9"/>
            <color indexed="10"/>
            <rFont val="ＭＳ ゴシック"/>
            <family val="3"/>
            <charset val="128"/>
          </rPr>
          <t>契約予定区画は、契約予定の条件・期間を入れる</t>
        </r>
      </text>
    </comment>
    <comment ref="S15" authorId="0">
      <text>
        <r>
          <rPr>
            <b/>
            <u/>
            <sz val="9"/>
            <color indexed="10"/>
            <rFont val="ＭＳ ゴシック"/>
            <family val="3"/>
            <charset val="128"/>
          </rPr>
          <t>募集条件でFRを予定している場合は記載する</t>
        </r>
      </text>
    </comment>
    <comment ref="M21" authorId="0">
      <text>
        <r>
          <rPr>
            <b/>
            <u/>
            <sz val="9"/>
            <color indexed="10"/>
            <rFont val="ＭＳ ゴシック"/>
            <family val="3"/>
            <charset val="128"/>
          </rPr>
          <t>ビル名を修正</t>
        </r>
      </text>
    </comment>
    <comment ref="I23" authorId="0">
      <text>
        <r>
          <rPr>
            <b/>
            <u/>
            <sz val="9"/>
            <color indexed="10"/>
            <rFont val="ＭＳ ゴシック"/>
            <family val="3"/>
            <charset val="128"/>
          </rPr>
          <t>評価証明　4/1、公課証明　5/1に更新</t>
        </r>
      </text>
    </comment>
    <comment ref="I34" authorId="0">
      <text>
        <r>
          <rPr>
            <b/>
            <u/>
            <sz val="9"/>
            <color indexed="10"/>
            <rFont val="ＭＳ ゴシック"/>
            <family val="3"/>
            <charset val="128"/>
          </rPr>
          <t>路線価　7/1に更新</t>
        </r>
      </text>
    </comment>
    <comment ref="M48" authorId="0">
      <text>
        <r>
          <rPr>
            <b/>
            <u/>
            <sz val="9"/>
            <color indexed="10"/>
            <rFont val="ＭＳ ゴシック"/>
            <family val="3"/>
            <charset val="128"/>
          </rPr>
          <t>ターゲット表面利回りを記入</t>
        </r>
      </text>
    </comment>
  </commentList>
</comments>
</file>

<file path=xl/comments11.xml><?xml version="1.0" encoding="utf-8"?>
<comments xmlns="http://schemas.openxmlformats.org/spreadsheetml/2006/main">
  <authors>
    <author>小田 修平</author>
  </authors>
  <commentList>
    <comment ref="B6" authorId="0">
      <text>
        <r>
          <rPr>
            <b/>
            <sz val="9"/>
            <color indexed="10"/>
            <rFont val="ＭＳ Ｐゴシック"/>
            <family val="3"/>
            <charset val="128"/>
          </rPr>
          <t>工事種別は変更しない！
外壁や空調設備など、更新済で工事不要の場合は、ゼロ円を入力し、
主な工事内容欄に「20●●年●月更新済」等の説明を記載する</t>
        </r>
      </text>
    </comment>
    <comment ref="E6" authorId="0">
      <text>
        <r>
          <rPr>
            <b/>
            <sz val="9"/>
            <color indexed="10"/>
            <rFont val="ＭＳ Ｐゴシック"/>
            <family val="3"/>
            <charset val="128"/>
          </rPr>
          <t>見込（予想）欄には、『見積もり取得前』であっても、
予想される金額を記載し、全体のコストコントロールを行う</t>
        </r>
      </text>
    </comment>
    <comment ref="H34" authorId="0">
      <text>
        <r>
          <rPr>
            <sz val="9"/>
            <color indexed="81"/>
            <rFont val="ＭＳ Ｐゴシック"/>
            <family val="3"/>
            <charset val="128"/>
          </rPr>
          <t>予算超過していない場合は空白でOK</t>
        </r>
      </text>
    </comment>
    <comment ref="B52" authorId="0">
      <text>
        <r>
          <rPr>
            <b/>
            <sz val="9"/>
            <color indexed="10"/>
            <rFont val="ＭＳ Ｐゴシック"/>
            <family val="3"/>
            <charset val="128"/>
          </rPr>
          <t>上部の工事種別の『行を増やした』場合は、下の行も増やす必要がある</t>
        </r>
      </text>
    </comment>
    <comment ref="B76" authorId="0">
      <text>
        <r>
          <rPr>
            <b/>
            <sz val="9"/>
            <color indexed="10"/>
            <rFont val="ＭＳ Ｐゴシック"/>
            <family val="3"/>
            <charset val="128"/>
          </rPr>
          <t>上部の工事種別の『行を増やした』場合は、下の行も増やす必要がある</t>
        </r>
      </text>
    </comment>
  </commentList>
</comments>
</file>

<file path=xl/comments12.xml><?xml version="1.0" encoding="utf-8"?>
<comments xmlns="http://schemas.openxmlformats.org/spreadsheetml/2006/main">
  <authors>
    <author>小田 修平</author>
  </authors>
  <commentList>
    <comment ref="F1" authorId="0">
      <text>
        <r>
          <rPr>
            <b/>
            <u/>
            <sz val="11"/>
            <color indexed="10"/>
            <rFont val="ＭＳ ゴシック"/>
            <family val="3"/>
            <charset val="128"/>
          </rPr>
          <t>事業開始後は現行RRとして数値をアップデート（販売資料用RRにリンクするデータです）</t>
        </r>
      </text>
    </comment>
  </commentList>
</comments>
</file>

<file path=xl/comments13.xml><?xml version="1.0" encoding="utf-8"?>
<comments xmlns="http://schemas.openxmlformats.org/spreadsheetml/2006/main">
  <authors>
    <author>小田 修平</author>
  </authors>
  <commentList>
    <comment ref="F1" authorId="0">
      <text>
        <r>
          <rPr>
            <b/>
            <u/>
            <sz val="11"/>
            <color indexed="10"/>
            <rFont val="ＭＳ ゴシック"/>
            <family val="3"/>
            <charset val="128"/>
          </rPr>
          <t>事業開始後は現行RRとして数値をアップデート（販売資料用RRにリンクするデータです）</t>
        </r>
      </text>
    </comment>
  </commentList>
</comments>
</file>

<file path=xl/comments14.xml><?xml version="1.0" encoding="utf-8"?>
<comments xmlns="http://schemas.openxmlformats.org/spreadsheetml/2006/main">
  <authors>
    <author>小田 修平</author>
  </authors>
  <commentList>
    <comment ref="F1" authorId="0">
      <text>
        <r>
          <rPr>
            <b/>
            <u/>
            <sz val="11"/>
            <color indexed="10"/>
            <rFont val="ＭＳ ゴシック"/>
            <family val="3"/>
            <charset val="128"/>
          </rPr>
          <t>事業開始後は現行RRとして数値をアップデート（販売資料用RRにリンクするデータです）</t>
        </r>
      </text>
    </comment>
  </commentList>
</comments>
</file>

<file path=xl/comments15.xml><?xml version="1.0" encoding="utf-8"?>
<comments xmlns="http://schemas.openxmlformats.org/spreadsheetml/2006/main">
  <authors>
    <author>小田 修平</author>
  </authors>
  <commentList>
    <comment ref="F1" authorId="0">
      <text>
        <r>
          <rPr>
            <b/>
            <u/>
            <sz val="11"/>
            <color indexed="10"/>
            <rFont val="ＭＳ ゴシック"/>
            <family val="3"/>
            <charset val="128"/>
          </rPr>
          <t>事業開始後は現行RRとして数値をアップデート（販売資料用RRにリンクするデータです）</t>
        </r>
      </text>
    </comment>
  </commentList>
</comments>
</file>

<file path=xl/comments16.xml><?xml version="1.0" encoding="utf-8"?>
<comments xmlns="http://schemas.openxmlformats.org/spreadsheetml/2006/main">
  <authors>
    <author>mag</author>
  </authors>
  <commentList>
    <comment ref="F22" authorId="0">
      <text>
        <r>
          <rPr>
            <b/>
            <sz val="9"/>
            <color indexed="81"/>
            <rFont val="ＭＳ Ｐゴシック"/>
            <family val="3"/>
            <charset val="128"/>
          </rPr>
          <t>小数第1位 
建物が3 土地が6なので合計が130,000,000となるよう土地に1を足す</t>
        </r>
      </text>
    </comment>
  </commentList>
</comments>
</file>

<file path=xl/comments17.xml><?xml version="1.0" encoding="utf-8"?>
<comments xmlns="http://schemas.openxmlformats.org/spreadsheetml/2006/main">
  <authors>
    <author>mag</author>
  </authors>
  <commentList>
    <comment ref="F22" authorId="0">
      <text>
        <r>
          <rPr>
            <b/>
            <sz val="9"/>
            <color indexed="81"/>
            <rFont val="ＭＳ Ｐゴシック"/>
            <family val="3"/>
            <charset val="128"/>
          </rPr>
          <t>小数第1位 
建物が3 土地が6なので合計が130,000,000となるよう土地に1を足す</t>
        </r>
      </text>
    </comment>
  </commentList>
</comments>
</file>

<file path=xl/comments2.xml><?xml version="1.0" encoding="utf-8"?>
<comments xmlns="http://schemas.openxmlformats.org/spreadsheetml/2006/main">
  <authors>
    <author>小田 修平</author>
  </authors>
  <commentList>
    <comment ref="A2" authorId="0">
      <text>
        <r>
          <rPr>
            <sz val="9"/>
            <color indexed="81"/>
            <rFont val="ＭＳ Ｐゴシック"/>
            <family val="3"/>
            <charset val="128"/>
          </rPr>
          <t>番号は経営企画部に問い合わせてください</t>
        </r>
      </text>
    </comment>
  </commentList>
</comments>
</file>

<file path=xl/comments3.xml><?xml version="1.0" encoding="utf-8"?>
<comments xmlns="http://schemas.openxmlformats.org/spreadsheetml/2006/main">
  <authors>
    <author>野間 沙織</author>
  </authors>
  <commentList>
    <comment ref="A2" authorId="0">
      <text>
        <r>
          <rPr>
            <sz val="18"/>
            <color indexed="81"/>
            <rFont val="Meiryo UI"/>
            <family val="3"/>
            <charset val="128"/>
          </rPr>
          <t>番号は経営企画部に問い合わせてください</t>
        </r>
      </text>
    </comment>
    <comment ref="L5" authorId="0">
      <text>
        <r>
          <rPr>
            <sz val="20"/>
            <color indexed="81"/>
            <rFont val="Meiryo UI"/>
            <family val="3"/>
            <charset val="128"/>
          </rPr>
          <t>①画像が重くなってしまったときは、
「書式」タブ⇒「図の圧縮」で圧縮してください。
②外観または地図が横向きの場合は表示が小さくなっても構いませんが、出来るだけ大きく表示できるよう、トリミングなどで調整してください。</t>
        </r>
      </text>
    </comment>
  </commentList>
</comments>
</file>

<file path=xl/comments4.xml><?xml version="1.0" encoding="utf-8"?>
<comments xmlns="http://schemas.openxmlformats.org/spreadsheetml/2006/main">
  <authors>
    <author>野間 沙織</author>
  </authors>
  <commentList>
    <comment ref="A2" authorId="0">
      <text>
        <r>
          <rPr>
            <sz val="18"/>
            <color indexed="81"/>
            <rFont val="Meiryo UI"/>
            <family val="3"/>
            <charset val="128"/>
          </rPr>
          <t>番号は経営企画部に問い合わせてください</t>
        </r>
      </text>
    </comment>
    <comment ref="L5" authorId="0">
      <text>
        <r>
          <rPr>
            <sz val="20"/>
            <color indexed="81"/>
            <rFont val="Meiryo UI"/>
            <family val="3"/>
            <charset val="128"/>
          </rPr>
          <t>①画像が重くなってしまったときは、
「書式」タブ⇒「図の圧縮」で圧縮してください。
②外観または地図が横向きの場合は表示が小さくなっても構いませんが、出来るだけ大きく表示できるよう、トリミングなどで調整してください。</t>
        </r>
      </text>
    </comment>
  </commentList>
</comments>
</file>

<file path=xl/comments5.xml><?xml version="1.0" encoding="utf-8"?>
<comments xmlns="http://schemas.openxmlformats.org/spreadsheetml/2006/main">
  <authors>
    <author>小田 修平</author>
  </authors>
  <commentList>
    <comment ref="C14" authorId="0">
      <text>
        <r>
          <rPr>
            <b/>
            <u/>
            <sz val="9"/>
            <color indexed="10"/>
            <rFont val="ＭＳ Ｐゴシック"/>
            <family val="3"/>
            <charset val="128"/>
          </rPr>
          <t>注意！！）売主が明け渡し猶予ではなく「リースバック」する場合、
事業決定及び売買契約締結（購入）、売主との賃貸借契約等締結とする</t>
        </r>
      </text>
    </comment>
  </commentList>
</comments>
</file>

<file path=xl/comments6.xml><?xml version="1.0" encoding="utf-8"?>
<comments xmlns="http://schemas.openxmlformats.org/spreadsheetml/2006/main">
  <authors>
    <author>noma-s</author>
  </authors>
  <commentList>
    <comment ref="I14" authorId="0">
      <text>
        <r>
          <rPr>
            <sz val="9"/>
            <color indexed="81"/>
            <rFont val="ＭＳ Ｐゴシック"/>
            <family val="3"/>
            <charset val="128"/>
          </rPr>
          <t>選択式です。
・事業計画変更稟議→「今回計画案」
・売却時→「売却時」</t>
        </r>
      </text>
    </comment>
  </commentList>
</comments>
</file>

<file path=xl/comments7.xml><?xml version="1.0" encoding="utf-8"?>
<comments xmlns="http://schemas.openxmlformats.org/spreadsheetml/2006/main">
  <authors>
    <author>oda-s</author>
    <author>小田 修平</author>
  </authors>
  <commentList>
    <comment ref="F7" authorId="0">
      <text>
        <r>
          <rPr>
            <b/>
            <sz val="8"/>
            <color indexed="81"/>
            <rFont val="ＭＳ ゴシック"/>
            <family val="3"/>
            <charset val="128"/>
          </rPr>
          <t>oda-s:</t>
        </r>
        <r>
          <rPr>
            <sz val="8"/>
            <color indexed="81"/>
            <rFont val="ＭＳ ゴシック"/>
            <family val="3"/>
            <charset val="128"/>
          </rPr>
          <t>75%稼動見込（現況100%稼動）</t>
        </r>
      </text>
    </comment>
    <comment ref="F20" authorId="0">
      <text>
        <r>
          <rPr>
            <b/>
            <sz val="8"/>
            <color indexed="81"/>
            <rFont val="ＭＳ ゴシック"/>
            <family val="3"/>
            <charset val="128"/>
          </rPr>
          <t>oda-s:</t>
        </r>
        <r>
          <rPr>
            <sz val="8"/>
            <color indexed="81"/>
            <rFont val="ＭＳ ゴシック"/>
            <family val="3"/>
            <charset val="128"/>
          </rPr>
          <t>毎年消耗品等を計上</t>
        </r>
      </text>
    </comment>
    <comment ref="E22" authorId="0">
      <text>
        <r>
          <rPr>
            <b/>
            <sz val="8"/>
            <color indexed="81"/>
            <rFont val="ＭＳ ゴシック"/>
            <family val="3"/>
            <charset val="128"/>
          </rPr>
          <t>oda-s:</t>
        </r>
        <r>
          <rPr>
            <sz val="8"/>
            <color indexed="81"/>
            <rFont val="ＭＳ ゴシック"/>
            <family val="3"/>
            <charset val="128"/>
          </rPr>
          <t>1/9（貸室数）*2　1年に1室入替（AD200%）</t>
        </r>
      </text>
    </comment>
    <comment ref="G43" authorId="0">
      <text>
        <r>
          <rPr>
            <sz val="8"/>
            <color indexed="81"/>
            <rFont val="ＭＳ ゴシック"/>
            <family val="3"/>
            <charset val="128"/>
          </rPr>
          <t xml:space="preserve">20年間に　　 </t>
        </r>
        <r>
          <rPr>
            <b/>
            <sz val="8"/>
            <color indexed="10"/>
            <rFont val="ＭＳ ゴシック"/>
            <family val="3"/>
            <charset val="128"/>
          </rPr>
          <t>4,500</t>
        </r>
        <r>
          <rPr>
            <sz val="8"/>
            <color indexed="81"/>
            <rFont val="ＭＳ ゴシック"/>
            <family val="3"/>
            <charset val="128"/>
          </rPr>
          <t xml:space="preserve">万円プール
  空調更新　 </t>
        </r>
        <r>
          <rPr>
            <b/>
            <sz val="8"/>
            <color indexed="10"/>
            <rFont val="ＭＳ ゴシック"/>
            <family val="3"/>
            <charset val="128"/>
          </rPr>
          <t>1,500</t>
        </r>
        <r>
          <rPr>
            <sz val="8"/>
            <color indexed="81"/>
            <rFont val="ＭＳ ゴシック"/>
            <family val="3"/>
            <charset val="128"/>
          </rPr>
          <t xml:space="preserve">万円
　EV更新　　 </t>
        </r>
        <r>
          <rPr>
            <b/>
            <sz val="8"/>
            <color indexed="10"/>
            <rFont val="ＭＳ ゴシック"/>
            <family val="3"/>
            <charset val="128"/>
          </rPr>
          <t>1,000</t>
        </r>
        <r>
          <rPr>
            <sz val="8"/>
            <color indexed="81"/>
            <rFont val="ＭＳ ゴシック"/>
            <family val="3"/>
            <charset val="128"/>
          </rPr>
          <t>万円
　外壁等　　</t>
        </r>
        <r>
          <rPr>
            <b/>
            <sz val="8"/>
            <color indexed="10"/>
            <rFont val="ＭＳ ゴシック"/>
            <family val="3"/>
            <charset val="128"/>
          </rPr>
          <t xml:space="preserve"> 1,000</t>
        </r>
        <r>
          <rPr>
            <sz val="8"/>
            <color indexed="81"/>
            <rFont val="ＭＳ ゴシック"/>
            <family val="3"/>
            <charset val="128"/>
          </rPr>
          <t xml:space="preserve">万円
　電気　　　   </t>
        </r>
        <r>
          <rPr>
            <b/>
            <sz val="8"/>
            <color indexed="10"/>
            <rFont val="ＭＳ ゴシック"/>
            <family val="3"/>
            <charset val="128"/>
          </rPr>
          <t>500</t>
        </r>
        <r>
          <rPr>
            <sz val="8"/>
            <color indexed="81"/>
            <rFont val="ＭＳ ゴシック"/>
            <family val="3"/>
            <charset val="128"/>
          </rPr>
          <t xml:space="preserve">万円
　給排水衛生   </t>
        </r>
        <r>
          <rPr>
            <b/>
            <sz val="8"/>
            <color indexed="10"/>
            <rFont val="ＭＳ ゴシック"/>
            <family val="3"/>
            <charset val="128"/>
          </rPr>
          <t>500</t>
        </r>
        <r>
          <rPr>
            <sz val="8"/>
            <color indexed="81"/>
            <rFont val="ＭＳ ゴシック"/>
            <family val="3"/>
            <charset val="128"/>
          </rPr>
          <t>万円</t>
        </r>
      </text>
    </comment>
    <comment ref="O45" authorId="1">
      <text>
        <r>
          <rPr>
            <sz val="8"/>
            <color indexed="81"/>
            <rFont val="ＭＳ ゴシック"/>
            <family val="3"/>
            <charset val="128"/>
          </rPr>
          <t>融資期間のみオレンジ
融資期間経過後の返済ピッチ残は黄色</t>
        </r>
      </text>
    </comment>
    <comment ref="T45" authorId="0">
      <text>
        <r>
          <rPr>
            <sz val="8"/>
            <color indexed="81"/>
            <rFont val="ＭＳ ゴシック"/>
            <family val="3"/>
            <charset val="128"/>
          </rPr>
          <t>《融資条件…lender候補：SMBC（ローン）》
　①融資額：35,000万円　
　②融資期間：10年
　③返済ピッチ：20年（テールベビー方式）
　④金利：1.05%（6month TIBOR+ｽﾌﾟﾚｯﾄﾞ)
　⑤ｱｯﾌﾟﾌﾛﾝﾄ：有（0.1%≒350千円）
　⑥コベナンツ：有（稼働率80％）</t>
        </r>
      </text>
    </comment>
    <comment ref="Y45" authorId="1">
      <text>
        <r>
          <rPr>
            <sz val="8"/>
            <color indexed="81"/>
            <rFont val="ＭＳ ゴシック"/>
            <family val="3"/>
            <charset val="128"/>
          </rPr>
          <t>返済ピッチに合わせて「左クリック＆DD」で数式を調整</t>
        </r>
      </text>
    </comment>
  </commentList>
</comments>
</file>

<file path=xl/comments8.xml><?xml version="1.0" encoding="utf-8"?>
<comments xmlns="http://schemas.openxmlformats.org/spreadsheetml/2006/main">
  <authors>
    <author>小田 修平</author>
  </authors>
  <commentList>
    <comment ref="H39" authorId="0">
      <text>
        <r>
          <rPr>
            <sz val="9"/>
            <color indexed="10"/>
            <rFont val="ＭＳ Ｐゴシック"/>
            <family val="3"/>
            <charset val="128"/>
          </rPr>
          <t>42条2項道路などのセットバック（道路提供）がある場合、
セットバック面積を除した面積としなければならない</t>
        </r>
      </text>
    </comment>
  </commentList>
</comments>
</file>

<file path=xl/comments9.xml><?xml version="1.0" encoding="utf-8"?>
<comments xmlns="http://schemas.openxmlformats.org/spreadsheetml/2006/main">
  <authors>
    <author>小田 修平</author>
  </authors>
  <commentList>
    <comment ref="H39" authorId="0">
      <text>
        <r>
          <rPr>
            <sz val="9"/>
            <color indexed="10"/>
            <rFont val="ＭＳ Ｐゴシック"/>
            <family val="3"/>
            <charset val="128"/>
          </rPr>
          <t>42条2項道路などのセットバック（道路提供）がある場合、
セットバック面積を除した面積としなければならない</t>
        </r>
      </text>
    </comment>
  </commentList>
</comments>
</file>

<file path=xl/sharedStrings.xml><?xml version="1.0" encoding="utf-8"?>
<sst xmlns="http://schemas.openxmlformats.org/spreadsheetml/2006/main" count="2401" uniqueCount="1206">
  <si>
    <t>築年月日</t>
    <rPh sb="0" eb="1">
      <t>チク</t>
    </rPh>
    <rPh sb="1" eb="2">
      <t>ネン</t>
    </rPh>
    <rPh sb="2" eb="3">
      <t>ゲツ</t>
    </rPh>
    <rPh sb="3" eb="4">
      <t>ヒ</t>
    </rPh>
    <phoneticPr fontId="4"/>
  </si>
  <si>
    <t>検査済証</t>
    <rPh sb="0" eb="2">
      <t>ケンサ</t>
    </rPh>
    <rPh sb="2" eb="3">
      <t>ズ</t>
    </rPh>
    <rPh sb="3" eb="4">
      <t>ショウ</t>
    </rPh>
    <phoneticPr fontId="4"/>
  </si>
  <si>
    <t>電気</t>
    <rPh sb="0" eb="2">
      <t>デンキ</t>
    </rPh>
    <phoneticPr fontId="4"/>
  </si>
  <si>
    <t>ガス</t>
    <phoneticPr fontId="4"/>
  </si>
  <si>
    <t>都市ガス</t>
    <rPh sb="0" eb="2">
      <t>トシ</t>
    </rPh>
    <phoneticPr fontId="4"/>
  </si>
  <si>
    <t>上水道</t>
    <rPh sb="0" eb="1">
      <t>ジョウ</t>
    </rPh>
    <rPh sb="1" eb="3">
      <t>スイドウ</t>
    </rPh>
    <phoneticPr fontId="4"/>
  </si>
  <si>
    <t>公営水道</t>
    <rPh sb="0" eb="2">
      <t>コウエイ</t>
    </rPh>
    <rPh sb="2" eb="4">
      <t>スイドウ</t>
    </rPh>
    <phoneticPr fontId="4"/>
  </si>
  <si>
    <t>下水道</t>
    <rPh sb="0" eb="3">
      <t>ゲスイドウ</t>
    </rPh>
    <phoneticPr fontId="4"/>
  </si>
  <si>
    <t>用途地域</t>
    <rPh sb="0" eb="2">
      <t>ヨウト</t>
    </rPh>
    <rPh sb="2" eb="4">
      <t>チイキ</t>
    </rPh>
    <phoneticPr fontId="4"/>
  </si>
  <si>
    <t>建蔽率</t>
    <rPh sb="0" eb="3">
      <t>ケンペイリツ</t>
    </rPh>
    <phoneticPr fontId="4"/>
  </si>
  <si>
    <t>容積率</t>
    <rPh sb="0" eb="2">
      <t>ヨウセキ</t>
    </rPh>
    <rPh sb="2" eb="3">
      <t>リツ</t>
    </rPh>
    <phoneticPr fontId="4"/>
  </si>
  <si>
    <t>防火指定</t>
    <rPh sb="0" eb="2">
      <t>ボウカ</t>
    </rPh>
    <rPh sb="2" eb="4">
      <t>シテイ</t>
    </rPh>
    <phoneticPr fontId="4"/>
  </si>
  <si>
    <t>引渡</t>
    <rPh sb="0" eb="2">
      <t>ヒキワタシ</t>
    </rPh>
    <phoneticPr fontId="4"/>
  </si>
  <si>
    <t>相談</t>
    <rPh sb="0" eb="2">
      <t>ソウダン</t>
    </rPh>
    <phoneticPr fontId="4"/>
  </si>
  <si>
    <t>高度指定</t>
    <rPh sb="0" eb="2">
      <t>コウド</t>
    </rPh>
    <rPh sb="2" eb="4">
      <t>シテイ</t>
    </rPh>
    <phoneticPr fontId="4"/>
  </si>
  <si>
    <t>その他</t>
    <rPh sb="2" eb="3">
      <t>タ</t>
    </rPh>
    <phoneticPr fontId="4"/>
  </si>
  <si>
    <t>設計会社</t>
    <rPh sb="0" eb="2">
      <t>セッケイ</t>
    </rPh>
    <rPh sb="2" eb="4">
      <t>ガイシャ</t>
    </rPh>
    <phoneticPr fontId="4"/>
  </si>
  <si>
    <t>施工会社</t>
    <rPh sb="0" eb="2">
      <t>セコウ</t>
    </rPh>
    <rPh sb="2" eb="4">
      <t>ガイシャ</t>
    </rPh>
    <phoneticPr fontId="4"/>
  </si>
  <si>
    <t>登記簿上</t>
    <rPh sb="0" eb="3">
      <t>トウキボ</t>
    </rPh>
    <rPh sb="3" eb="4">
      <t>ジョウ</t>
    </rPh>
    <phoneticPr fontId="4"/>
  </si>
  <si>
    <t>住居表示</t>
    <rPh sb="0" eb="2">
      <t>ジュウキョ</t>
    </rPh>
    <rPh sb="2" eb="4">
      <t>ヒョウジ</t>
    </rPh>
    <phoneticPr fontId="4"/>
  </si>
  <si>
    <t>延床面積</t>
    <rPh sb="0" eb="1">
      <t>ノ</t>
    </rPh>
    <rPh sb="1" eb="2">
      <t>ユカ</t>
    </rPh>
    <rPh sb="2" eb="4">
      <t>メンセキ</t>
    </rPh>
    <phoneticPr fontId="4"/>
  </si>
  <si>
    <r>
      <t xml:space="preserve"> </t>
    </r>
    <r>
      <rPr>
        <sz val="11"/>
        <rFont val="ＭＳ 明朝"/>
        <family val="1"/>
        <charset val="128"/>
      </rPr>
      <t>専有</t>
    </r>
    <rPh sb="1" eb="3">
      <t>センユウ</t>
    </rPh>
    <phoneticPr fontId="4"/>
  </si>
  <si>
    <t>　←自筆</t>
    <rPh sb="2" eb="4">
      <t>ジヒツ</t>
    </rPh>
    <phoneticPr fontId="4"/>
  </si>
  <si>
    <t>(</t>
    <phoneticPr fontId="4"/>
  </si>
  <si>
    <t>(</t>
    <phoneticPr fontId="4"/>
  </si>
  <si>
    <t xml:space="preserve"> </t>
    <phoneticPr fontId="4"/>
  </si>
  <si>
    <t>×</t>
    <phoneticPr fontId="4"/>
  </si>
  <si>
    <t>　</t>
    <phoneticPr fontId="4"/>
  </si>
  <si>
    <t>延床面積(占有)</t>
    <rPh sb="0" eb="1">
      <t>ノ</t>
    </rPh>
    <rPh sb="1" eb="2">
      <t>ユカ</t>
    </rPh>
    <rPh sb="2" eb="4">
      <t>メンセキ</t>
    </rPh>
    <rPh sb="5" eb="7">
      <t>センユウ</t>
    </rPh>
    <phoneticPr fontId="3"/>
  </si>
  <si>
    <t>坪</t>
    <rPh sb="0" eb="1">
      <t>ツボ</t>
    </rPh>
    <phoneticPr fontId="3"/>
  </si>
  <si>
    <t>建物代金</t>
  </si>
  <si>
    <t>土地代</t>
  </si>
  <si>
    <t>建物代</t>
  </si>
  <si>
    <t>仲介手数料（購入時）</t>
  </si>
  <si>
    <t>取得費　計</t>
  </si>
  <si>
    <t>物件名</t>
    <rPh sb="0" eb="2">
      <t>ブッケン</t>
    </rPh>
    <rPh sb="2" eb="3">
      <t>メイ</t>
    </rPh>
    <phoneticPr fontId="3"/>
  </si>
  <si>
    <t>土地</t>
    <rPh sb="0" eb="2">
      <t>トチ</t>
    </rPh>
    <phoneticPr fontId="3"/>
  </si>
  <si>
    <t>工事費　計</t>
  </si>
  <si>
    <t>建物</t>
    <rPh sb="0" eb="2">
      <t>タテモノ</t>
    </rPh>
    <phoneticPr fontId="3"/>
  </si>
  <si>
    <t>合計</t>
    <rPh sb="0" eb="2">
      <t>ゴウケイ</t>
    </rPh>
    <phoneticPr fontId="3"/>
  </si>
  <si>
    <t>期中運営費・販売費　計</t>
  </si>
  <si>
    <t>原価　合計</t>
  </si>
  <si>
    <t>土地代金</t>
  </si>
  <si>
    <t>備考</t>
    <rPh sb="0" eb="2">
      <t>ビコウ</t>
    </rPh>
    <phoneticPr fontId="3"/>
  </si>
  <si>
    <t>㎡</t>
    <phoneticPr fontId="3"/>
  </si>
  <si>
    <t>-</t>
    <phoneticPr fontId="3"/>
  </si>
  <si>
    <t>構造</t>
    <rPh sb="0" eb="2">
      <t>コウゾウ</t>
    </rPh>
    <phoneticPr fontId="3"/>
  </si>
  <si>
    <t>種類</t>
    <rPh sb="0" eb="2">
      <t>シュルイ</t>
    </rPh>
    <phoneticPr fontId="3"/>
  </si>
  <si>
    <t>■売上高</t>
    <rPh sb="1" eb="3">
      <t>ウリアゲ</t>
    </rPh>
    <rPh sb="3" eb="4">
      <t>ダカ</t>
    </rPh>
    <phoneticPr fontId="3"/>
  </si>
  <si>
    <t>項目</t>
  </si>
  <si>
    <t>金額（税抜）</t>
  </si>
  <si>
    <t>百分比</t>
  </si>
  <si>
    <t>売上高　合計</t>
  </si>
  <si>
    <t>■原価</t>
    <rPh sb="1" eb="3">
      <t>ゲンカ</t>
    </rPh>
    <phoneticPr fontId="3"/>
  </si>
  <si>
    <t>■物件概要</t>
    <rPh sb="1" eb="3">
      <t>ブッケン</t>
    </rPh>
    <rPh sb="3" eb="5">
      <t>ガイヨウ</t>
    </rPh>
    <phoneticPr fontId="3"/>
  </si>
  <si>
    <t>物件所在地</t>
    <rPh sb="0" eb="2">
      <t>ブッケン</t>
    </rPh>
    <rPh sb="2" eb="5">
      <t>ショザイチ</t>
    </rPh>
    <phoneticPr fontId="3"/>
  </si>
  <si>
    <t>（登記簿上）</t>
    <rPh sb="1" eb="4">
      <t>トウキボ</t>
    </rPh>
    <rPh sb="4" eb="5">
      <t>ジョウ</t>
    </rPh>
    <phoneticPr fontId="3"/>
  </si>
  <si>
    <t>路線</t>
    <rPh sb="0" eb="2">
      <t>ロセン</t>
    </rPh>
    <phoneticPr fontId="3"/>
  </si>
  <si>
    <t>駅名</t>
    <rPh sb="0" eb="1">
      <t>エキ</t>
    </rPh>
    <rPh sb="1" eb="2">
      <t>メイ</t>
    </rPh>
    <phoneticPr fontId="3"/>
  </si>
  <si>
    <t>時間</t>
    <rPh sb="0" eb="2">
      <t>ジカン</t>
    </rPh>
    <phoneticPr fontId="3"/>
  </si>
  <si>
    <t>築年数</t>
    <rPh sb="0" eb="1">
      <t>チク</t>
    </rPh>
    <rPh sb="1" eb="3">
      <t>ネンスウ</t>
    </rPh>
    <phoneticPr fontId="3"/>
  </si>
  <si>
    <t>（住居表示）</t>
    <rPh sb="1" eb="3">
      <t>ジュウキョ</t>
    </rPh>
    <rPh sb="3" eb="5">
      <t>ヒョウジ</t>
    </rPh>
    <phoneticPr fontId="3"/>
  </si>
  <si>
    <t>面積</t>
    <rPh sb="0" eb="2">
      <t>メンセキ</t>
    </rPh>
    <phoneticPr fontId="3"/>
  </si>
  <si>
    <t>公簿</t>
    <rPh sb="0" eb="1">
      <t>コウ</t>
    </rPh>
    <rPh sb="1" eb="2">
      <t>ボ</t>
    </rPh>
    <phoneticPr fontId="3"/>
  </si>
  <si>
    <t>実測</t>
    <rPh sb="0" eb="2">
      <t>ジッソク</t>
    </rPh>
    <phoneticPr fontId="3"/>
  </si>
  <si>
    <t>建物延面積</t>
    <rPh sb="0" eb="2">
      <t>タテモノ</t>
    </rPh>
    <rPh sb="2" eb="3">
      <t>ノ</t>
    </rPh>
    <rPh sb="3" eb="5">
      <t>メンセキ</t>
    </rPh>
    <phoneticPr fontId="3"/>
  </si>
  <si>
    <t>売却利益</t>
    <rPh sb="0" eb="2">
      <t>バイキャク</t>
    </rPh>
    <rPh sb="2" eb="4">
      <t>リエキ</t>
    </rPh>
    <phoneticPr fontId="3"/>
  </si>
  <si>
    <t>■賃貸収支</t>
    <rPh sb="1" eb="3">
      <t>チンタイ</t>
    </rPh>
    <rPh sb="3" eb="5">
      <t>シュウシ</t>
    </rPh>
    <phoneticPr fontId="3"/>
  </si>
  <si>
    <t>期間中賃料等収入</t>
  </si>
  <si>
    <t>建物再調達価格</t>
    <rPh sb="0" eb="2">
      <t>タテモノ</t>
    </rPh>
    <rPh sb="2" eb="5">
      <t>サイチョウタツ</t>
    </rPh>
    <rPh sb="5" eb="7">
      <t>カカク</t>
    </rPh>
    <phoneticPr fontId="3"/>
  </si>
  <si>
    <t>計</t>
    <rPh sb="0" eb="1">
      <t>ケイ</t>
    </rPh>
    <phoneticPr fontId="3"/>
  </si>
  <si>
    <t>賃貸原価　計</t>
  </si>
  <si>
    <t>土地</t>
  </si>
  <si>
    <t>台</t>
    <rPh sb="0" eb="1">
      <t>ダイ</t>
    </rPh>
    <phoneticPr fontId="3"/>
  </si>
  <si>
    <t>月額賃料</t>
  </si>
  <si>
    <t>月額共益費</t>
  </si>
  <si>
    <t>賃貸借期間</t>
  </si>
  <si>
    <t>契約開始日</t>
  </si>
  <si>
    <t>契約終了日</t>
  </si>
  <si>
    <t>金額</t>
  </si>
  <si>
    <t>評価額</t>
  </si>
  <si>
    <t>固資税課税標準額</t>
  </si>
  <si>
    <t>都計税課税標準額</t>
  </si>
  <si>
    <t>固定資産税</t>
  </si>
  <si>
    <t>都市計画税</t>
  </si>
  <si>
    <t>固都税合計</t>
  </si>
  <si>
    <t>所在</t>
    <phoneticPr fontId="3"/>
  </si>
  <si>
    <t>交通</t>
    <phoneticPr fontId="3"/>
  </si>
  <si>
    <t>地　　目：</t>
    <phoneticPr fontId="3"/>
  </si>
  <si>
    <t>公簿面積：</t>
    <rPh sb="0" eb="1">
      <t>コウ</t>
    </rPh>
    <rPh sb="1" eb="2">
      <t>ボ</t>
    </rPh>
    <rPh sb="2" eb="4">
      <t>メンセキ</t>
    </rPh>
    <phoneticPr fontId="3"/>
  </si>
  <si>
    <t>構　　造：</t>
    <phoneticPr fontId="3"/>
  </si>
  <si>
    <t>延床面積：</t>
    <rPh sb="0" eb="1">
      <t>ノ</t>
    </rPh>
    <rPh sb="1" eb="2">
      <t>ユカ</t>
    </rPh>
    <rPh sb="2" eb="4">
      <t>メンセキ</t>
    </rPh>
    <phoneticPr fontId="3"/>
  </si>
  <si>
    <t>賃貸面積：</t>
    <rPh sb="0" eb="2">
      <t>チンタイ</t>
    </rPh>
    <rPh sb="2" eb="4">
      <t>メンセキ</t>
    </rPh>
    <phoneticPr fontId="3"/>
  </si>
  <si>
    <t>駐車設備：</t>
    <rPh sb="0" eb="2">
      <t>チュウシャ</t>
    </rPh>
    <rPh sb="2" eb="4">
      <t>セツビ</t>
    </rPh>
    <phoneticPr fontId="3"/>
  </si>
  <si>
    <t>築　　年：</t>
    <phoneticPr fontId="3"/>
  </si>
  <si>
    <t>◆賃貸面積及び賃貸条件</t>
    <phoneticPr fontId="3"/>
  </si>
  <si>
    <t>事務所</t>
    <rPh sb="0" eb="2">
      <t>ジム</t>
    </rPh>
    <rPh sb="2" eb="3">
      <t>ショ</t>
    </rPh>
    <phoneticPr fontId="3"/>
  </si>
  <si>
    <t>稼働率</t>
    <rPh sb="0" eb="2">
      <t>カドウ</t>
    </rPh>
    <rPh sb="2" eb="3">
      <t>リツ</t>
    </rPh>
    <phoneticPr fontId="3"/>
  </si>
  <si>
    <t>フロア等</t>
    <rPh sb="3" eb="4">
      <t>トウ</t>
    </rPh>
    <phoneticPr fontId="3"/>
  </si>
  <si>
    <t>テナント名　</t>
    <rPh sb="4" eb="5">
      <t>メイ</t>
    </rPh>
    <phoneticPr fontId="3"/>
  </si>
  <si>
    <t>契約面積</t>
    <rPh sb="0" eb="2">
      <t>ケイヤク</t>
    </rPh>
    <phoneticPr fontId="3"/>
  </si>
  <si>
    <t>賃料＋共益費</t>
    <rPh sb="0" eb="2">
      <t>チンリョウ</t>
    </rPh>
    <rPh sb="3" eb="6">
      <t>キョウエキヒ</t>
    </rPh>
    <phoneticPr fontId="3"/>
  </si>
  <si>
    <t>敷金（保証金）</t>
    <rPh sb="0" eb="2">
      <t>シキキン</t>
    </rPh>
    <rPh sb="3" eb="6">
      <t>ホショウキン</t>
    </rPh>
    <phoneticPr fontId="3"/>
  </si>
  <si>
    <t>敷金月数</t>
    <rPh sb="0" eb="2">
      <t>シキキン</t>
    </rPh>
    <rPh sb="2" eb="3">
      <t>ツキ</t>
    </rPh>
    <rPh sb="3" eb="4">
      <t>スウ</t>
    </rPh>
    <phoneticPr fontId="3"/>
  </si>
  <si>
    <t>更新</t>
    <rPh sb="0" eb="2">
      <t>コウシン</t>
    </rPh>
    <phoneticPr fontId="3"/>
  </si>
  <si>
    <t>更新料</t>
    <rPh sb="0" eb="3">
      <t>コウシンリョウ</t>
    </rPh>
    <phoneticPr fontId="3"/>
  </si>
  <si>
    <t>坪単価</t>
    <rPh sb="0" eb="1">
      <t>ツボ</t>
    </rPh>
    <rPh sb="1" eb="3">
      <t>タンカ</t>
    </rPh>
    <phoneticPr fontId="3"/>
  </si>
  <si>
    <t>（年）</t>
    <rPh sb="1" eb="2">
      <t>ネン</t>
    </rPh>
    <phoneticPr fontId="3"/>
  </si>
  <si>
    <t>（月）</t>
    <rPh sb="1" eb="2">
      <t>ツキ</t>
    </rPh>
    <phoneticPr fontId="3"/>
  </si>
  <si>
    <t>-</t>
    <phoneticPr fontId="3"/>
  </si>
  <si>
    <t>稼動面積</t>
    <rPh sb="0" eb="2">
      <t>カドウ</t>
    </rPh>
    <rPh sb="2" eb="4">
      <t>メンセキ</t>
    </rPh>
    <phoneticPr fontId="3"/>
  </si>
  <si>
    <t>貸室面積</t>
    <rPh sb="0" eb="2">
      <t>カシシツ</t>
    </rPh>
    <rPh sb="2" eb="4">
      <t>メンセキ</t>
    </rPh>
    <phoneticPr fontId="3"/>
  </si>
  <si>
    <t>計</t>
    <phoneticPr fontId="3"/>
  </si>
  <si>
    <t>駐車場</t>
    <rPh sb="0" eb="2">
      <t>チュウシャ</t>
    </rPh>
    <rPh sb="2" eb="3">
      <t>ジョウ</t>
    </rPh>
    <phoneticPr fontId="3"/>
  </si>
  <si>
    <t>テナント名</t>
    <rPh sb="4" eb="5">
      <t>メイ</t>
    </rPh>
    <phoneticPr fontId="3"/>
  </si>
  <si>
    <t>契約台数</t>
    <rPh sb="0" eb="2">
      <t>ケイヤク</t>
    </rPh>
    <rPh sb="2" eb="4">
      <t>ダイスウ</t>
    </rPh>
    <phoneticPr fontId="3"/>
  </si>
  <si>
    <t>月額賃料</t>
    <phoneticPr fontId="3"/>
  </si>
  <si>
    <t>月額賃料／台</t>
    <rPh sb="5" eb="6">
      <t>ダイ</t>
    </rPh>
    <phoneticPr fontId="3"/>
  </si>
  <si>
    <t>敷金等（保証金）</t>
    <rPh sb="2" eb="3">
      <t>トウ</t>
    </rPh>
    <phoneticPr fontId="3"/>
  </si>
  <si>
    <t>台数単価</t>
    <rPh sb="0" eb="2">
      <t>ダイスウ</t>
    </rPh>
    <rPh sb="2" eb="4">
      <t>タンカ</t>
    </rPh>
    <phoneticPr fontId="3"/>
  </si>
  <si>
    <t>敷金月数</t>
    <rPh sb="0" eb="2">
      <t>シキキン</t>
    </rPh>
    <rPh sb="2" eb="4">
      <t>ツキスウ</t>
    </rPh>
    <phoneticPr fontId="3"/>
  </si>
  <si>
    <t>稼動台数</t>
    <rPh sb="0" eb="2">
      <t>カドウ</t>
    </rPh>
    <rPh sb="2" eb="4">
      <t>ダイスウ</t>
    </rPh>
    <phoneticPr fontId="3"/>
  </si>
  <si>
    <t>総台数</t>
    <rPh sb="0" eb="1">
      <t>ソウ</t>
    </rPh>
    <rPh sb="1" eb="3">
      <t>ダイスウ</t>
    </rPh>
    <phoneticPr fontId="3"/>
  </si>
  <si>
    <t>◆＜満室稼動想定＞年間収入</t>
    <rPh sb="2" eb="4">
      <t>マンシツ</t>
    </rPh>
    <rPh sb="4" eb="6">
      <t>カドウ</t>
    </rPh>
    <rPh sb="6" eb="7">
      <t>ソウ</t>
    </rPh>
    <rPh sb="7" eb="8">
      <t>サダム</t>
    </rPh>
    <rPh sb="9" eb="11">
      <t>ネンカン</t>
    </rPh>
    <phoneticPr fontId="3"/>
  </si>
  <si>
    <t>◆年間支出</t>
    <phoneticPr fontId="3"/>
  </si>
  <si>
    <t>◆概算評価額表</t>
    <rPh sb="1" eb="3">
      <t>ガイサン</t>
    </rPh>
    <rPh sb="3" eb="6">
      <t>ヒョウカガク</t>
    </rPh>
    <rPh sb="6" eb="7">
      <t>ヒョウ</t>
    </rPh>
    <phoneticPr fontId="3"/>
  </si>
  <si>
    <t>金額</t>
    <rPh sb="0" eb="2">
      <t>キンガク</t>
    </rPh>
    <phoneticPr fontId="3"/>
  </si>
  <si>
    <t>建物</t>
    <phoneticPr fontId="3"/>
  </si>
  <si>
    <t>償却資産税</t>
    <rPh sb="0" eb="2">
      <t>ショウキャク</t>
    </rPh>
    <rPh sb="2" eb="5">
      <t>シサンゼイ</t>
    </rPh>
    <phoneticPr fontId="3"/>
  </si>
  <si>
    <t>gross cap</t>
    <phoneticPr fontId="3"/>
  </si>
  <si>
    <t>exit price</t>
    <phoneticPr fontId="3"/>
  </si>
  <si>
    <t>net cap</t>
    <phoneticPr fontId="3"/>
  </si>
  <si>
    <t>貸室賃料</t>
    <rPh sb="0" eb="2">
      <t>カシシツ</t>
    </rPh>
    <rPh sb="2" eb="4">
      <t>チンリョウ</t>
    </rPh>
    <phoneticPr fontId="3"/>
  </si>
  <si>
    <t>貸室共益費</t>
    <rPh sb="0" eb="2">
      <t>カシシツ</t>
    </rPh>
    <rPh sb="2" eb="5">
      <t>キョウエキヒ</t>
    </rPh>
    <phoneticPr fontId="3"/>
  </si>
  <si>
    <t>駐車場</t>
    <rPh sb="0" eb="3">
      <t>チュウシャジョウ</t>
    </rPh>
    <phoneticPr fontId="3"/>
  </si>
  <si>
    <t>火災保険料・賠責保険料</t>
    <rPh sb="0" eb="2">
      <t>カサイ</t>
    </rPh>
    <rPh sb="6" eb="7">
      <t>バイ</t>
    </rPh>
    <rPh sb="7" eb="8">
      <t>セキ</t>
    </rPh>
    <rPh sb="8" eb="11">
      <t>ホケンリョウ</t>
    </rPh>
    <phoneticPr fontId="3"/>
  </si>
  <si>
    <t>自動販売機</t>
    <rPh sb="0" eb="2">
      <t>ジドウ</t>
    </rPh>
    <rPh sb="2" eb="5">
      <t>ハンバイキ</t>
    </rPh>
    <phoneticPr fontId="3"/>
  </si>
  <si>
    <t>safe</t>
    <phoneticPr fontId="3"/>
  </si>
  <si>
    <t>月額収入↓</t>
    <rPh sb="0" eb="2">
      <t>ゲツガク</t>
    </rPh>
    <rPh sb="2" eb="4">
      <t>シュウニュウ</t>
    </rPh>
    <phoneticPr fontId="3"/>
  </si>
  <si>
    <t>支出計 b</t>
    <rPh sb="0" eb="2">
      <t>シシュツ</t>
    </rPh>
    <rPh sb="2" eb="3">
      <t>ケイ</t>
    </rPh>
    <phoneticPr fontId="3"/>
  </si>
  <si>
    <t>target</t>
    <phoneticPr fontId="3"/>
  </si>
  <si>
    <t>収入計 a</t>
    <rPh sb="0" eb="2">
      <t>シュウニュウ</t>
    </rPh>
    <phoneticPr fontId="3"/>
  </si>
  <si>
    <t xml:space="preserve">月額管理費／坪 ⇒ </t>
    <rPh sb="0" eb="2">
      <t>ゲツガク</t>
    </rPh>
    <rPh sb="2" eb="5">
      <t>カンリヒ</t>
    </rPh>
    <rPh sb="6" eb="7">
      <t>ツボ</t>
    </rPh>
    <phoneticPr fontId="3"/>
  </si>
  <si>
    <t>◆＜満室稼動想定＞敷金</t>
    <rPh sb="2" eb="4">
      <t>マンシツ</t>
    </rPh>
    <rPh sb="4" eb="6">
      <t>カドウ</t>
    </rPh>
    <rPh sb="6" eb="7">
      <t>ソウ</t>
    </rPh>
    <rPh sb="7" eb="8">
      <t>サダム</t>
    </rPh>
    <rPh sb="9" eb="11">
      <t>シキキン</t>
    </rPh>
    <phoneticPr fontId="3"/>
  </si>
  <si>
    <t>月額NOI↓</t>
    <rPh sb="0" eb="2">
      <t>ゲツガク</t>
    </rPh>
    <phoneticPr fontId="3"/>
  </si>
  <si>
    <t>↓坪単価</t>
    <rPh sb="1" eb="2">
      <t>ツボ</t>
    </rPh>
    <rPh sb="2" eb="4">
      <t>タンカ</t>
    </rPh>
    <phoneticPr fontId="3"/>
  </si>
  <si>
    <t>NOI　 a－b</t>
    <phoneticPr fontId="3"/>
  </si>
  <si>
    <t>路線価額</t>
    <rPh sb="0" eb="2">
      <t>ロセン</t>
    </rPh>
    <rPh sb="2" eb="3">
      <t>カ</t>
    </rPh>
    <rPh sb="3" eb="4">
      <t>ガク</t>
    </rPh>
    <phoneticPr fontId="3"/>
  </si>
  <si>
    <t>貸室敷金</t>
    <rPh sb="0" eb="2">
      <t>カシシツ</t>
    </rPh>
    <rPh sb="2" eb="4">
      <t>シキキン</t>
    </rPh>
    <phoneticPr fontId="3"/>
  </si>
  <si>
    <t>再調達単価</t>
    <rPh sb="0" eb="3">
      <t>サイチョウタツ</t>
    </rPh>
    <rPh sb="3" eb="5">
      <t>タンカ</t>
    </rPh>
    <phoneticPr fontId="3"/>
  </si>
  <si>
    <t>↓残存価格</t>
    <rPh sb="1" eb="3">
      <t>ザンゾン</t>
    </rPh>
    <rPh sb="3" eb="5">
      <t>カカク</t>
    </rPh>
    <phoneticPr fontId="3"/>
  </si>
  <si>
    <t>駐車場敷金</t>
    <rPh sb="0" eb="3">
      <t>チュウシャジョウ</t>
    </rPh>
    <rPh sb="3" eb="5">
      <t>シキキン</t>
    </rPh>
    <phoneticPr fontId="3"/>
  </si>
  <si>
    <t>経費率  b／a</t>
    <phoneticPr fontId="3"/>
  </si>
  <si>
    <t>【土地】</t>
    <rPh sb="1" eb="3">
      <t>トチ</t>
    </rPh>
    <phoneticPr fontId="3"/>
  </si>
  <si>
    <t>【建物】</t>
    <rPh sb="1" eb="3">
      <t>タテモノ</t>
    </rPh>
    <phoneticPr fontId="3"/>
  </si>
  <si>
    <t>【償却資産】</t>
    <rPh sb="1" eb="3">
      <t>ショウキャク</t>
    </rPh>
    <rPh sb="3" eb="5">
      <t>シサン</t>
    </rPh>
    <phoneticPr fontId="3"/>
  </si>
  <si>
    <t>合計</t>
    <rPh sb="0" eb="2">
      <t>ゴウケイ</t>
    </rPh>
    <phoneticPr fontId="3"/>
  </si>
  <si>
    <t>差異</t>
    <rPh sb="0" eb="2">
      <t>サイ</t>
    </rPh>
    <phoneticPr fontId="3"/>
  </si>
  <si>
    <t>差異理由</t>
    <rPh sb="0" eb="2">
      <t>サイ</t>
    </rPh>
    <rPh sb="2" eb="4">
      <t>リユウ</t>
    </rPh>
    <phoneticPr fontId="3"/>
  </si>
  <si>
    <t>賃貸企画費　計</t>
    <phoneticPr fontId="3"/>
  </si>
  <si>
    <t>印紙代（売買契約）</t>
  </si>
  <si>
    <t>期間中水道光熱費</t>
  </si>
  <si>
    <t>賃貸収益　計</t>
  </si>
  <si>
    <t>★</t>
    <phoneticPr fontId="3"/>
  </si>
  <si>
    <t>104-1</t>
    <phoneticPr fontId="3"/>
  </si>
  <si>
    <t>×</t>
    <phoneticPr fontId="3"/>
  </si>
  <si>
    <t>＝</t>
    <phoneticPr fontId="3"/>
  </si>
  <si>
    <t>①</t>
    <phoneticPr fontId="3"/>
  </si>
  <si>
    <t>②</t>
    <phoneticPr fontId="3"/>
  </si>
  <si>
    <t>③</t>
    <phoneticPr fontId="3"/>
  </si>
  <si>
    <t>①／③</t>
    <phoneticPr fontId="3"/>
  </si>
  <si>
    <t>←</t>
    <phoneticPr fontId="3"/>
  </si>
  <si>
    <t>×</t>
    <phoneticPr fontId="3"/>
  </si>
  <si>
    <t>②／③</t>
    <phoneticPr fontId="3"/>
  </si>
  <si>
    <t>＝</t>
    <phoneticPr fontId="3"/>
  </si>
  <si>
    <t>×</t>
    <phoneticPr fontId="3"/>
  </si>
  <si>
    <t>8/108</t>
    <phoneticPr fontId="3"/>
  </si>
  <si>
    <t>＝</t>
    <phoneticPr fontId="3"/>
  </si>
  <si>
    <t xml:space="preserve"> </t>
    <phoneticPr fontId="3"/>
  </si>
  <si>
    <t>exit price</t>
    <phoneticPr fontId="3"/>
  </si>
  <si>
    <t>×</t>
    <phoneticPr fontId="3"/>
  </si>
  <si>
    <t>売買代金価格按分計算表</t>
    <rPh sb="0" eb="2">
      <t>バイバイ</t>
    </rPh>
    <rPh sb="2" eb="4">
      <t>ダイキン</t>
    </rPh>
    <rPh sb="4" eb="6">
      <t>カカク</t>
    </rPh>
    <rPh sb="6" eb="8">
      <t>アンブン</t>
    </rPh>
    <rPh sb="8" eb="10">
      <t>ケイサン</t>
    </rPh>
    <rPh sb="10" eb="11">
      <t>ヒョウ</t>
    </rPh>
    <phoneticPr fontId="3"/>
  </si>
  <si>
    <t>物件名称：</t>
    <rPh sb="0" eb="2">
      <t>ブッケン</t>
    </rPh>
    <rPh sb="2" eb="4">
      <t>メイショウ</t>
    </rPh>
    <phoneticPr fontId="3"/>
  </si>
  <si>
    <t>所在地：</t>
    <rPh sb="0" eb="3">
      <t>ショザイチ</t>
    </rPh>
    <phoneticPr fontId="3"/>
  </si>
  <si>
    <t>建物の固定資産税評価額</t>
    <rPh sb="0" eb="2">
      <t>タテモノ</t>
    </rPh>
    <rPh sb="3" eb="5">
      <t>コテイ</t>
    </rPh>
    <rPh sb="5" eb="7">
      <t>シサン</t>
    </rPh>
    <rPh sb="7" eb="8">
      <t>ゼイ</t>
    </rPh>
    <rPh sb="8" eb="10">
      <t>ヒョウカ</t>
    </rPh>
    <rPh sb="10" eb="11">
      <t>ガク</t>
    </rPh>
    <phoneticPr fontId="3"/>
  </si>
  <si>
    <t>土地の固定資産税評価額</t>
    <rPh sb="0" eb="2">
      <t>トチ</t>
    </rPh>
    <rPh sb="3" eb="5">
      <t>コテイ</t>
    </rPh>
    <rPh sb="5" eb="7">
      <t>シサン</t>
    </rPh>
    <rPh sb="7" eb="8">
      <t>ゼイ</t>
    </rPh>
    <rPh sb="8" eb="10">
      <t>ヒョウカ</t>
    </rPh>
    <rPh sb="10" eb="11">
      <t>ガク</t>
    </rPh>
    <phoneticPr fontId="3"/>
  </si>
  <si>
    <t>譲渡代金を固定資産税評価額で按分</t>
    <rPh sb="0" eb="2">
      <t>ジョウト</t>
    </rPh>
    <rPh sb="2" eb="4">
      <t>ダイキン</t>
    </rPh>
    <rPh sb="5" eb="7">
      <t>コテイ</t>
    </rPh>
    <rPh sb="7" eb="10">
      <t>シサンゼイ</t>
    </rPh>
    <rPh sb="10" eb="13">
      <t>ヒョウカガク</t>
    </rPh>
    <rPh sb="14" eb="16">
      <t>アンブン</t>
    </rPh>
    <phoneticPr fontId="3"/>
  </si>
  <si>
    <t>×</t>
    <phoneticPr fontId="3"/>
  </si>
  <si>
    <t>＝</t>
    <phoneticPr fontId="3"/>
  </si>
  <si>
    <t>①</t>
    <phoneticPr fontId="3"/>
  </si>
  <si>
    <t>②</t>
    <phoneticPr fontId="3"/>
  </si>
  <si>
    <t>③</t>
    <phoneticPr fontId="3"/>
  </si>
  <si>
    <t>譲渡代金（税込）</t>
    <rPh sb="0" eb="2">
      <t>ジョウト</t>
    </rPh>
    <rPh sb="2" eb="4">
      <t>ダイキン</t>
    </rPh>
    <rPh sb="5" eb="7">
      <t>ゼイコ</t>
    </rPh>
    <phoneticPr fontId="3"/>
  </si>
  <si>
    <t>①／③</t>
    <phoneticPr fontId="3"/>
  </si>
  <si>
    <t>←</t>
    <phoneticPr fontId="3"/>
  </si>
  <si>
    <t>税込</t>
    <rPh sb="0" eb="2">
      <t>ゼイコミ</t>
    </rPh>
    <phoneticPr fontId="3"/>
  </si>
  <si>
    <t>②／③</t>
    <phoneticPr fontId="3"/>
  </si>
  <si>
    <t>＝</t>
    <phoneticPr fontId="3"/>
  </si>
  <si>
    <t>消費税の計算</t>
    <rPh sb="0" eb="3">
      <t>ショウヒゼイ</t>
    </rPh>
    <rPh sb="4" eb="6">
      <t>ケイサン</t>
    </rPh>
    <phoneticPr fontId="3"/>
  </si>
  <si>
    <t>×</t>
    <phoneticPr fontId="3"/>
  </si>
  <si>
    <t>＝</t>
    <phoneticPr fontId="3"/>
  </si>
  <si>
    <t>按分の結果</t>
    <rPh sb="0" eb="2">
      <t>アンブン</t>
    </rPh>
    <rPh sb="3" eb="5">
      <t>ケッカ</t>
    </rPh>
    <phoneticPr fontId="3"/>
  </si>
  <si>
    <t>建物（税抜）</t>
    <rPh sb="0" eb="2">
      <t>タテモノ</t>
    </rPh>
    <rPh sb="3" eb="4">
      <t>ゼイ</t>
    </rPh>
    <rPh sb="4" eb="5">
      <t>ヌ</t>
    </rPh>
    <phoneticPr fontId="3"/>
  </si>
  <si>
    <t>消費税</t>
    <rPh sb="0" eb="3">
      <t>ショウヒゼイ</t>
    </rPh>
    <phoneticPr fontId="3"/>
  </si>
  <si>
    <t xml:space="preserve"> </t>
    <phoneticPr fontId="3"/>
  </si>
  <si>
    <t>　←税抜</t>
    <rPh sb="2" eb="3">
      <t>ゼイ</t>
    </rPh>
    <rPh sb="3" eb="4">
      <t>ヌ</t>
    </rPh>
    <phoneticPr fontId="3"/>
  </si>
  <si>
    <t>作成日</t>
    <rPh sb="0" eb="3">
      <t>サクセイビ</t>
    </rPh>
    <phoneticPr fontId="4"/>
  </si>
  <si>
    <t>物件名</t>
    <rPh sb="0" eb="2">
      <t>ブッケン</t>
    </rPh>
    <rPh sb="2" eb="3">
      <t>メイ</t>
    </rPh>
    <phoneticPr fontId="4"/>
  </si>
  <si>
    <t>所在（住居表示）</t>
    <rPh sb="0" eb="2">
      <t>ショザイ</t>
    </rPh>
    <rPh sb="3" eb="5">
      <t>ジュウキョ</t>
    </rPh>
    <rPh sb="5" eb="7">
      <t>ヒョウジ</t>
    </rPh>
    <phoneticPr fontId="4"/>
  </si>
  <si>
    <t>所在（登記簿）</t>
    <rPh sb="0" eb="2">
      <t>ショザイ</t>
    </rPh>
    <rPh sb="3" eb="6">
      <t>トウキボ</t>
    </rPh>
    <phoneticPr fontId="4"/>
  </si>
  <si>
    <t>地目</t>
    <rPh sb="0" eb="2">
      <t>チモク</t>
    </rPh>
    <phoneticPr fontId="4"/>
  </si>
  <si>
    <t>宅地</t>
    <rPh sb="0" eb="2">
      <t>タクチ</t>
    </rPh>
    <phoneticPr fontId="4"/>
  </si>
  <si>
    <t>現況</t>
    <rPh sb="0" eb="2">
      <t>ゲンキョウ</t>
    </rPh>
    <phoneticPr fontId="4"/>
  </si>
  <si>
    <t>権利</t>
    <rPh sb="0" eb="2">
      <t>ケンリ</t>
    </rPh>
    <phoneticPr fontId="4"/>
  </si>
  <si>
    <t>所有権</t>
  </si>
  <si>
    <t>公簿面積</t>
    <rPh sb="0" eb="1">
      <t>コウ</t>
    </rPh>
    <rPh sb="1" eb="2">
      <t>ボ</t>
    </rPh>
    <rPh sb="2" eb="4">
      <t>メンセキ</t>
    </rPh>
    <phoneticPr fontId="4"/>
  </si>
  <si>
    <t>㎡</t>
    <phoneticPr fontId="4"/>
  </si>
  <si>
    <t>坪</t>
    <rPh sb="0" eb="1">
      <t>ツボ</t>
    </rPh>
    <phoneticPr fontId="4"/>
  </si>
  <si>
    <t>㎡</t>
    <phoneticPr fontId="4"/>
  </si>
  <si>
    <t>実測面積</t>
    <rPh sb="0" eb="2">
      <t>ジッソク</t>
    </rPh>
    <rPh sb="2" eb="4">
      <t>メンセキ</t>
    </rPh>
    <phoneticPr fontId="4"/>
  </si>
  <si>
    <t>境界</t>
    <rPh sb="0" eb="2">
      <t>キョウカイ</t>
    </rPh>
    <phoneticPr fontId="4"/>
  </si>
  <si>
    <t>家屋番号</t>
    <rPh sb="0" eb="2">
      <t>カオク</t>
    </rPh>
    <rPh sb="2" eb="4">
      <t>バンゴウ</t>
    </rPh>
    <phoneticPr fontId="4"/>
  </si>
  <si>
    <t>建物構造</t>
    <rPh sb="0" eb="2">
      <t>タテモノ</t>
    </rPh>
    <rPh sb="2" eb="4">
      <t>コウゾウ</t>
    </rPh>
    <phoneticPr fontId="4"/>
  </si>
  <si>
    <t>種類</t>
    <rPh sb="0" eb="2">
      <t>シュルイ</t>
    </rPh>
    <phoneticPr fontId="4"/>
  </si>
  <si>
    <t>延床面積（登記簿）</t>
    <rPh sb="0" eb="1">
      <t>ノ</t>
    </rPh>
    <rPh sb="1" eb="4">
      <t>ユカメンセキ</t>
    </rPh>
    <rPh sb="5" eb="8">
      <t>トウキボ</t>
    </rPh>
    <phoneticPr fontId="4"/>
  </si>
  <si>
    <t>延床面積（建築確認）</t>
    <rPh sb="0" eb="1">
      <t>ノ</t>
    </rPh>
    <rPh sb="1" eb="4">
      <t>ユカメンセキ</t>
    </rPh>
    <rPh sb="5" eb="7">
      <t>ケンチク</t>
    </rPh>
    <rPh sb="7" eb="9">
      <t>カクニン</t>
    </rPh>
    <phoneticPr fontId="4"/>
  </si>
  <si>
    <t>原契約締結日</t>
    <rPh sb="0" eb="3">
      <t>ゲンケイヤク</t>
    </rPh>
    <rPh sb="3" eb="5">
      <t>テイケツ</t>
    </rPh>
    <rPh sb="5" eb="6">
      <t>ビ</t>
    </rPh>
    <phoneticPr fontId="3"/>
  </si>
  <si>
    <t>1F</t>
    <phoneticPr fontId="3"/>
  </si>
  <si>
    <t>事務所</t>
    <rPh sb="0" eb="2">
      <t>ジム</t>
    </rPh>
    <rPh sb="2" eb="3">
      <t>ショ</t>
    </rPh>
    <phoneticPr fontId="3"/>
  </si>
  <si>
    <t>水道光熱費</t>
    <rPh sb="0" eb="1">
      <t>スイ</t>
    </rPh>
    <rPh sb="1" eb="2">
      <t>ミチ</t>
    </rPh>
    <rPh sb="2" eb="5">
      <t>コウネツヒ</t>
    </rPh>
    <phoneticPr fontId="3"/>
  </si>
  <si>
    <t>その他（看板・アンテナ等）</t>
    <rPh sb="2" eb="3">
      <t>タ</t>
    </rPh>
    <rPh sb="4" eb="6">
      <t>カンバン</t>
    </rPh>
    <rPh sb="11" eb="12">
      <t>トウ</t>
    </rPh>
    <phoneticPr fontId="3"/>
  </si>
  <si>
    <t>水道光熱費</t>
    <rPh sb="0" eb="2">
      <t>スイドウ</t>
    </rPh>
    <rPh sb="2" eb="5">
      <t>コウネツヒ</t>
    </rPh>
    <phoneticPr fontId="3"/>
  </si>
  <si>
    <t>-</t>
    <phoneticPr fontId="3"/>
  </si>
  <si>
    <t>契約区画等</t>
    <rPh sb="0" eb="2">
      <t>ケイヤク</t>
    </rPh>
    <rPh sb="2" eb="4">
      <t>クカク</t>
    </rPh>
    <rPh sb="4" eb="5">
      <t>トウ</t>
    </rPh>
    <phoneticPr fontId="3"/>
  </si>
  <si>
    <t>その他（道路占有料等）</t>
    <rPh sb="2" eb="3">
      <t>タ</t>
    </rPh>
    <rPh sb="4" eb="6">
      <t>ドウロ</t>
    </rPh>
    <rPh sb="6" eb="8">
      <t>センユウ</t>
    </rPh>
    <rPh sb="8" eb="9">
      <t>リョウ</t>
    </rPh>
    <rPh sb="9" eb="10">
      <t>トウ</t>
    </rPh>
    <phoneticPr fontId="3"/>
  </si>
  <si>
    <t>【土地坪単価】</t>
    <rPh sb="1" eb="3">
      <t>トチ</t>
    </rPh>
    <rPh sb="3" eb="4">
      <t>ツボ</t>
    </rPh>
    <rPh sb="4" eb="6">
      <t>タンカ</t>
    </rPh>
    <phoneticPr fontId="3"/>
  </si>
  <si>
    <t>議案説明書</t>
    <rPh sb="0" eb="2">
      <t>ギアン</t>
    </rPh>
    <rPh sb="2" eb="5">
      <t>セツメイショ</t>
    </rPh>
    <phoneticPr fontId="133"/>
  </si>
  <si>
    <t>作成日</t>
    <rPh sb="0" eb="3">
      <t>サクセイビ</t>
    </rPh>
    <phoneticPr fontId="133"/>
  </si>
  <si>
    <t>所属部署</t>
    <rPh sb="0" eb="2">
      <t>ショゾク</t>
    </rPh>
    <rPh sb="2" eb="4">
      <t>ブショ</t>
    </rPh>
    <phoneticPr fontId="133"/>
  </si>
  <si>
    <t>担当者</t>
    <rPh sb="0" eb="3">
      <t>タントウシャ</t>
    </rPh>
    <phoneticPr fontId="133"/>
  </si>
  <si>
    <t>リプランニング事業部</t>
    <rPh sb="7" eb="9">
      <t>ジギョウ</t>
    </rPh>
    <rPh sb="9" eb="10">
      <t>ブ</t>
    </rPh>
    <phoneticPr fontId="133"/>
  </si>
  <si>
    <t>件名</t>
    <rPh sb="0" eb="2">
      <t>ケンメイ</t>
    </rPh>
    <phoneticPr fontId="4"/>
  </si>
  <si>
    <t>買　　　主</t>
    <rPh sb="0" eb="1">
      <t>カイ</t>
    </rPh>
    <rPh sb="4" eb="5">
      <t>シュ</t>
    </rPh>
    <phoneticPr fontId="4"/>
  </si>
  <si>
    <t>売　　　主</t>
    <rPh sb="0" eb="1">
      <t>バイ</t>
    </rPh>
    <rPh sb="4" eb="5">
      <t>シュ</t>
    </rPh>
    <phoneticPr fontId="4"/>
  </si>
  <si>
    <t>媒 介 業 者</t>
    <rPh sb="0" eb="1">
      <t>バイ</t>
    </rPh>
    <rPh sb="2" eb="3">
      <t>スケ</t>
    </rPh>
    <rPh sb="4" eb="5">
      <t>ギョウ</t>
    </rPh>
    <rPh sb="6" eb="7">
      <t>モノ</t>
    </rPh>
    <phoneticPr fontId="4"/>
  </si>
  <si>
    <t>事業正味利益</t>
    <rPh sb="0" eb="2">
      <t>ジギョウ</t>
    </rPh>
    <rPh sb="2" eb="4">
      <t>ショウミ</t>
    </rPh>
    <rPh sb="4" eb="6">
      <t>リエキ</t>
    </rPh>
    <phoneticPr fontId="133"/>
  </si>
  <si>
    <t>事 業 原 価</t>
    <rPh sb="0" eb="1">
      <t>コト</t>
    </rPh>
    <rPh sb="2" eb="3">
      <t>ギョウ</t>
    </rPh>
    <rPh sb="4" eb="5">
      <t>ハラ</t>
    </rPh>
    <rPh sb="6" eb="7">
      <t>アタイ</t>
    </rPh>
    <phoneticPr fontId="133"/>
  </si>
  <si>
    <t>事業正味利益率</t>
    <rPh sb="0" eb="2">
      <t>ジギョウ</t>
    </rPh>
    <rPh sb="2" eb="4">
      <t>ショウミ</t>
    </rPh>
    <rPh sb="4" eb="6">
      <t>リエキ</t>
    </rPh>
    <rPh sb="6" eb="7">
      <t>リツ</t>
    </rPh>
    <phoneticPr fontId="133"/>
  </si>
  <si>
    <t>売却時利回り</t>
    <rPh sb="0" eb="2">
      <t>バイキャク</t>
    </rPh>
    <rPh sb="2" eb="3">
      <t>ジ</t>
    </rPh>
    <rPh sb="3" eb="5">
      <t>リマワ</t>
    </rPh>
    <phoneticPr fontId="133"/>
  </si>
  <si>
    <t>事 業 期 間</t>
    <rPh sb="0" eb="1">
      <t>コト</t>
    </rPh>
    <rPh sb="2" eb="3">
      <t>ギョウ</t>
    </rPh>
    <rPh sb="4" eb="5">
      <t>キ</t>
    </rPh>
    <rPh sb="6" eb="7">
      <t>アイダ</t>
    </rPh>
    <phoneticPr fontId="133"/>
  </si>
  <si>
    <t>契　約　日</t>
    <rPh sb="0" eb="1">
      <t>チギリ</t>
    </rPh>
    <rPh sb="2" eb="3">
      <t>ヤク</t>
    </rPh>
    <rPh sb="4" eb="5">
      <t>ビ</t>
    </rPh>
    <phoneticPr fontId="133"/>
  </si>
  <si>
    <t>決　済　日</t>
    <rPh sb="0" eb="1">
      <t>ケッ</t>
    </rPh>
    <rPh sb="2" eb="3">
      <t>スミ</t>
    </rPh>
    <rPh sb="4" eb="5">
      <t>ビ</t>
    </rPh>
    <phoneticPr fontId="133"/>
  </si>
  <si>
    <t>決済条件等</t>
    <rPh sb="0" eb="2">
      <t>ケッサイ</t>
    </rPh>
    <rPh sb="2" eb="4">
      <t>ジョウケン</t>
    </rPh>
    <rPh sb="4" eb="5">
      <t>トウ</t>
    </rPh>
    <phoneticPr fontId="133"/>
  </si>
  <si>
    <t>【添付資料】</t>
    <rPh sb="1" eb="3">
      <t>テンプ</t>
    </rPh>
    <rPh sb="3" eb="5">
      <t>シリョウ</t>
    </rPh>
    <phoneticPr fontId="4"/>
  </si>
  <si>
    <t>物件名：</t>
    <rPh sb="0" eb="2">
      <t>ブッケン</t>
    </rPh>
    <rPh sb="2" eb="3">
      <t>メイ</t>
    </rPh>
    <phoneticPr fontId="3"/>
  </si>
  <si>
    <t>所在：</t>
    <rPh sb="0" eb="2">
      <t>ショザイ</t>
    </rPh>
    <phoneticPr fontId="3"/>
  </si>
  <si>
    <t>工事種別</t>
    <rPh sb="0" eb="2">
      <t>コウジ</t>
    </rPh>
    <rPh sb="2" eb="4">
      <t>シュベツ</t>
    </rPh>
    <phoneticPr fontId="3"/>
  </si>
  <si>
    <t>事業計画予算</t>
    <rPh sb="0" eb="2">
      <t>ジギョウ</t>
    </rPh>
    <rPh sb="2" eb="4">
      <t>ケイカク</t>
    </rPh>
    <rPh sb="4" eb="6">
      <t>ヨサン</t>
    </rPh>
    <phoneticPr fontId="3"/>
  </si>
  <si>
    <t>発注済金額</t>
    <rPh sb="0" eb="2">
      <t>ハッチュウ</t>
    </rPh>
    <rPh sb="2" eb="3">
      <t>ズ</t>
    </rPh>
    <rPh sb="3" eb="5">
      <t>キンガク</t>
    </rPh>
    <phoneticPr fontId="3"/>
  </si>
  <si>
    <t>RN費用計</t>
    <rPh sb="2" eb="4">
      <t>ヒヨウ</t>
    </rPh>
    <rPh sb="4" eb="5">
      <t>ケイ</t>
    </rPh>
    <phoneticPr fontId="3"/>
  </si>
  <si>
    <t>発注先</t>
    <rPh sb="0" eb="2">
      <t>ハッチュウ</t>
    </rPh>
    <rPh sb="2" eb="3">
      <t>サキ</t>
    </rPh>
    <phoneticPr fontId="3"/>
  </si>
  <si>
    <t>主な工事内容</t>
    <rPh sb="0" eb="1">
      <t>オモ</t>
    </rPh>
    <rPh sb="2" eb="4">
      <t>コウジ</t>
    </rPh>
    <rPh sb="4" eb="6">
      <t>ナイヨウ</t>
    </rPh>
    <phoneticPr fontId="3"/>
  </si>
  <si>
    <t>※税別</t>
    <rPh sb="1" eb="3">
      <t>ゼイベツ</t>
    </rPh>
    <phoneticPr fontId="3"/>
  </si>
  <si>
    <t>【当初計画項目】</t>
    <rPh sb="1" eb="3">
      <t>トウショ</t>
    </rPh>
    <rPh sb="3" eb="5">
      <t>ケイカク</t>
    </rPh>
    <rPh sb="5" eb="7">
      <t>コウモク</t>
    </rPh>
    <phoneticPr fontId="3"/>
  </si>
  <si>
    <t>RN工事予算　⇒　</t>
    <rPh sb="2" eb="4">
      <t>コウジ</t>
    </rPh>
    <rPh sb="4" eb="6">
      <t>ヨサン</t>
    </rPh>
    <phoneticPr fontId="3"/>
  </si>
  <si>
    <t>ビル運営管理費用（PM）</t>
    <rPh sb="2" eb="4">
      <t>ウンエイ</t>
    </rPh>
    <rPh sb="4" eb="6">
      <t>カンリ</t>
    </rPh>
    <rPh sb="6" eb="8">
      <t>ヒヨウ</t>
    </rPh>
    <phoneticPr fontId="3"/>
  </si>
  <si>
    <t>固定資産税・都市計画税等</t>
    <rPh sb="0" eb="2">
      <t>コテイ</t>
    </rPh>
    <rPh sb="2" eb="5">
      <t>シサンゼイ</t>
    </rPh>
    <rPh sb="6" eb="8">
      <t>トシ</t>
    </rPh>
    <rPh sb="8" eb="10">
      <t>ケイカク</t>
    </rPh>
    <rPh sb="10" eb="11">
      <t>ゼイ</t>
    </rPh>
    <rPh sb="11" eb="12">
      <t>トウ</t>
    </rPh>
    <phoneticPr fontId="3"/>
  </si>
  <si>
    <t>LTP</t>
    <phoneticPr fontId="3"/>
  </si>
  <si>
    <t>…D2</t>
    <phoneticPr fontId="3"/>
  </si>
  <si>
    <t>…D3</t>
    <phoneticPr fontId="133"/>
  </si>
  <si>
    <t>…C2</t>
    <phoneticPr fontId="3"/>
  </si>
  <si>
    <t>…C3</t>
  </si>
  <si>
    <t>…C4</t>
  </si>
  <si>
    <t>…D4</t>
  </si>
  <si>
    <t>建物付</t>
    <rPh sb="0" eb="2">
      <t>タテモノ</t>
    </rPh>
    <rPh sb="2" eb="3">
      <t>ヅケ</t>
    </rPh>
    <phoneticPr fontId="4"/>
  </si>
  <si>
    <t>予算実績値</t>
    <rPh sb="0" eb="2">
      <t>ヨサン</t>
    </rPh>
    <rPh sb="2" eb="4">
      <t>ジッセキ</t>
    </rPh>
    <rPh sb="4" eb="5">
      <t>チ</t>
    </rPh>
    <phoneticPr fontId="3"/>
  </si>
  <si>
    <t>外壁改修工事</t>
    <rPh sb="0" eb="2">
      <t>ガイヘキ</t>
    </rPh>
    <rPh sb="2" eb="4">
      <t>カイシュウ</t>
    </rPh>
    <rPh sb="4" eb="6">
      <t>コウジ</t>
    </rPh>
    <phoneticPr fontId="3"/>
  </si>
  <si>
    <t>エントランス</t>
    <phoneticPr fontId="3"/>
  </si>
  <si>
    <t>エントランス改修工事</t>
    <rPh sb="6" eb="8">
      <t>カイシュウ</t>
    </rPh>
    <rPh sb="8" eb="10">
      <t>コウジ</t>
    </rPh>
    <phoneticPr fontId="3"/>
  </si>
  <si>
    <t>⑤</t>
    <phoneticPr fontId="3"/>
  </si>
  <si>
    <t>⑥</t>
    <phoneticPr fontId="3"/>
  </si>
  <si>
    <t>⑦</t>
    <phoneticPr fontId="3"/>
  </si>
  <si>
    <t>⑧</t>
    <phoneticPr fontId="3"/>
  </si>
  <si>
    <t>⑨</t>
    <phoneticPr fontId="3"/>
  </si>
  <si>
    <t>屋上緑化</t>
    <rPh sb="0" eb="2">
      <t>オクジョウ</t>
    </rPh>
    <rPh sb="2" eb="4">
      <t>リョッカ</t>
    </rPh>
    <phoneticPr fontId="3"/>
  </si>
  <si>
    <t>⑩</t>
    <phoneticPr fontId="3"/>
  </si>
  <si>
    <t>【超過予算の回収】</t>
    <rPh sb="1" eb="3">
      <t>チョウカ</t>
    </rPh>
    <rPh sb="3" eb="5">
      <t>ヨサン</t>
    </rPh>
    <rPh sb="6" eb="8">
      <t>カイシュウ</t>
    </rPh>
    <phoneticPr fontId="3"/>
  </si>
  <si>
    <t>・・・</t>
    <phoneticPr fontId="3"/>
  </si>
  <si>
    <t>予算を超過いたしましたが全体で調整いたします。</t>
    <rPh sb="0" eb="2">
      <t>ヨサン</t>
    </rPh>
    <rPh sb="3" eb="5">
      <t>チョウカ</t>
    </rPh>
    <rPh sb="12" eb="14">
      <t>ゼンタイ</t>
    </rPh>
    <rPh sb="15" eb="17">
      <t>チョウセイ</t>
    </rPh>
    <phoneticPr fontId="3"/>
  </si>
  <si>
    <r>
      <t>　未発注工事分を含めると、全体予算を超過する見込みとなります。
　要因は、戦略的追加投資によるものであり、2-5F当初見込賃料@20,000に対して、計画の契約賃料は@21,000に変更しております。これにより、NOIは当初見込NOI：2,680万円に対し、修正計画NOI：2,813万円に上方修正しており、差額＋133万円÷CAP4％＝</t>
    </r>
    <r>
      <rPr>
        <u/>
        <sz val="9"/>
        <color indexed="10"/>
        <rFont val="ＭＳ ゴシック"/>
        <family val="3"/>
        <charset val="128"/>
      </rPr>
      <t>3,325万円の付加価値創出</t>
    </r>
    <r>
      <rPr>
        <sz val="9"/>
        <rFont val="ＭＳ ゴシック"/>
        <family val="3"/>
        <charset val="128"/>
      </rPr>
      <t>となります。
　以上より、計画を上方修正すべく、本件工事を発注させて頂きたいと思います。</t>
    </r>
    <rPh sb="1" eb="2">
      <t>ミ</t>
    </rPh>
    <rPh sb="2" eb="4">
      <t>ハッチュウ</t>
    </rPh>
    <rPh sb="4" eb="6">
      <t>コウジ</t>
    </rPh>
    <rPh sb="6" eb="7">
      <t>ブン</t>
    </rPh>
    <rPh sb="8" eb="9">
      <t>フク</t>
    </rPh>
    <rPh sb="13" eb="15">
      <t>ゼンタイ</t>
    </rPh>
    <rPh sb="15" eb="17">
      <t>ヨサン</t>
    </rPh>
    <rPh sb="18" eb="20">
      <t>チョウカ</t>
    </rPh>
    <rPh sb="22" eb="24">
      <t>ミコ</t>
    </rPh>
    <rPh sb="33" eb="35">
      <t>ヨウイン</t>
    </rPh>
    <rPh sb="37" eb="40">
      <t>センリャクテキ</t>
    </rPh>
    <rPh sb="40" eb="42">
      <t>ツイカ</t>
    </rPh>
    <rPh sb="42" eb="44">
      <t>トウシ</t>
    </rPh>
    <rPh sb="57" eb="59">
      <t>トウショ</t>
    </rPh>
    <rPh sb="59" eb="61">
      <t>ミコミ</t>
    </rPh>
    <rPh sb="61" eb="63">
      <t>チンリョウ</t>
    </rPh>
    <rPh sb="71" eb="72">
      <t>タイ</t>
    </rPh>
    <rPh sb="75" eb="77">
      <t>ケイカク</t>
    </rPh>
    <rPh sb="78" eb="80">
      <t>ケイヤク</t>
    </rPh>
    <rPh sb="80" eb="82">
      <t>チンリョウ</t>
    </rPh>
    <rPh sb="91" eb="93">
      <t>ヘンコウ</t>
    </rPh>
    <rPh sb="110" eb="112">
      <t>トウショ</t>
    </rPh>
    <rPh sb="112" eb="114">
      <t>ミコミ</t>
    </rPh>
    <rPh sb="123" eb="125">
      <t>マンエン</t>
    </rPh>
    <rPh sb="126" eb="127">
      <t>タイ</t>
    </rPh>
    <rPh sb="129" eb="131">
      <t>シュウセイ</t>
    </rPh>
    <rPh sb="131" eb="133">
      <t>ケイカク</t>
    </rPh>
    <rPh sb="142" eb="144">
      <t>マンエン</t>
    </rPh>
    <rPh sb="145" eb="147">
      <t>ジョウホウ</t>
    </rPh>
    <rPh sb="147" eb="149">
      <t>シュウセイ</t>
    </rPh>
    <rPh sb="154" eb="156">
      <t>サガク</t>
    </rPh>
    <rPh sb="160" eb="162">
      <t>マンエン</t>
    </rPh>
    <rPh sb="174" eb="176">
      <t>マンエン</t>
    </rPh>
    <rPh sb="177" eb="179">
      <t>フカ</t>
    </rPh>
    <rPh sb="179" eb="181">
      <t>カチ</t>
    </rPh>
    <rPh sb="181" eb="183">
      <t>ソウシュツ</t>
    </rPh>
    <rPh sb="191" eb="193">
      <t>イジョウ</t>
    </rPh>
    <rPh sb="196" eb="198">
      <t>ケイカク</t>
    </rPh>
    <rPh sb="199" eb="201">
      <t>ジョウホウ</t>
    </rPh>
    <rPh sb="201" eb="203">
      <t>シュウセイ</t>
    </rPh>
    <rPh sb="207" eb="209">
      <t>ホンケン</t>
    </rPh>
    <rPh sb="209" eb="211">
      <t>コウジ</t>
    </rPh>
    <rPh sb="212" eb="214">
      <t>ハッチュウ</t>
    </rPh>
    <rPh sb="217" eb="218">
      <t>イタダ</t>
    </rPh>
    <rPh sb="222" eb="223">
      <t>オモ</t>
    </rPh>
    <phoneticPr fontId="3"/>
  </si>
  <si>
    <t>RN工事予算不足額　⇒　</t>
    <rPh sb="2" eb="4">
      <t>コウジ</t>
    </rPh>
    <rPh sb="4" eb="6">
      <t>ヨサン</t>
    </rPh>
    <rPh sb="6" eb="8">
      <t>フソク</t>
    </rPh>
    <rPh sb="8" eb="9">
      <t>ガク</t>
    </rPh>
    <phoneticPr fontId="3"/>
  </si>
  <si>
    <t>（残）</t>
    <rPh sb="1" eb="2">
      <t>ザン</t>
    </rPh>
    <phoneticPr fontId="3"/>
  </si>
  <si>
    <t>＜</t>
    <phoneticPr fontId="3"/>
  </si>
  <si>
    <t>（承認時事業原価の5％）</t>
    <rPh sb="1" eb="3">
      <t>ショウニン</t>
    </rPh>
    <rPh sb="3" eb="4">
      <t>ジ</t>
    </rPh>
    <rPh sb="4" eb="6">
      <t>ジギョウ</t>
    </rPh>
    <rPh sb="6" eb="8">
      <t>ゲンカ</t>
    </rPh>
    <phoneticPr fontId="3"/>
  </si>
  <si>
    <t>（再稟議不要）</t>
    <rPh sb="1" eb="2">
      <t>サイ</t>
    </rPh>
    <rPh sb="2" eb="4">
      <t>リンギ</t>
    </rPh>
    <rPh sb="4" eb="6">
      <t>フヨウ</t>
    </rPh>
    <phoneticPr fontId="3"/>
  </si>
  <si>
    <t>リニューアル工事費用　予算計画書</t>
    <rPh sb="6" eb="8">
      <t>コウジ</t>
    </rPh>
    <rPh sb="8" eb="10">
      <t>ヒヨウ</t>
    </rPh>
    <rPh sb="11" eb="13">
      <t>ヨサン</t>
    </rPh>
    <rPh sb="13" eb="16">
      <t>ケイカクショ</t>
    </rPh>
    <phoneticPr fontId="151"/>
  </si>
  <si>
    <t>内装工事</t>
    <rPh sb="0" eb="2">
      <t>ナイソウ</t>
    </rPh>
    <rPh sb="2" eb="4">
      <t>コウジ</t>
    </rPh>
    <phoneticPr fontId="3"/>
  </si>
  <si>
    <t>飲食店舗用途変更</t>
    <rPh sb="0" eb="2">
      <t>インショク</t>
    </rPh>
    <rPh sb="2" eb="4">
      <t>テンポ</t>
    </rPh>
    <rPh sb="4" eb="6">
      <t>ヨウト</t>
    </rPh>
    <rPh sb="6" eb="8">
      <t>ヘンコウ</t>
    </rPh>
    <phoneticPr fontId="3"/>
  </si>
  <si>
    <t>EV工事（基盤・巻上機）</t>
    <rPh sb="2" eb="4">
      <t>コウジ</t>
    </rPh>
    <rPh sb="5" eb="7">
      <t>キバン</t>
    </rPh>
    <rPh sb="8" eb="9">
      <t>マ</t>
    </rPh>
    <rPh sb="9" eb="10">
      <t>ア</t>
    </rPh>
    <rPh sb="10" eb="11">
      <t>キ</t>
    </rPh>
    <phoneticPr fontId="3"/>
  </si>
  <si>
    <t>測量調査費用</t>
    <rPh sb="0" eb="2">
      <t>ソクリョウ</t>
    </rPh>
    <rPh sb="2" eb="4">
      <t>チョウサ</t>
    </rPh>
    <rPh sb="4" eb="6">
      <t>ヒヨウ</t>
    </rPh>
    <phoneticPr fontId="151"/>
  </si>
  <si>
    <t>ER取得費用</t>
    <rPh sb="2" eb="4">
      <t>シュトク</t>
    </rPh>
    <rPh sb="4" eb="6">
      <t>ヒヨウ</t>
    </rPh>
    <phoneticPr fontId="151"/>
  </si>
  <si>
    <t>見積（予想）</t>
    <rPh sb="0" eb="2">
      <t>ミツモリ</t>
    </rPh>
    <rPh sb="3" eb="5">
      <t>ヨソウ</t>
    </rPh>
    <phoneticPr fontId="3"/>
  </si>
  <si>
    <t>屋上防水工事</t>
    <rPh sb="0" eb="2">
      <t>オクジョウ</t>
    </rPh>
    <rPh sb="2" eb="4">
      <t>ボウスイ</t>
    </rPh>
    <rPh sb="4" eb="6">
      <t>コウジ</t>
    </rPh>
    <phoneticPr fontId="3"/>
  </si>
  <si>
    <t>空調設備更新</t>
    <rPh sb="0" eb="2">
      <t>クウチョウ</t>
    </rPh>
    <rPh sb="2" eb="4">
      <t>セツビ</t>
    </rPh>
    <rPh sb="4" eb="6">
      <t>コウシン</t>
    </rPh>
    <phoneticPr fontId="151"/>
  </si>
  <si>
    <t>機械警備</t>
    <rPh sb="0" eb="2">
      <t>キカイ</t>
    </rPh>
    <rPh sb="2" eb="4">
      <t>ケイビ</t>
    </rPh>
    <phoneticPr fontId="151"/>
  </si>
  <si>
    <t>耐震診断・設計調査費用</t>
    <phoneticPr fontId="151"/>
  </si>
  <si>
    <t>近隣対策費</t>
    <phoneticPr fontId="151"/>
  </si>
  <si>
    <t>C1</t>
    <phoneticPr fontId="151"/>
  </si>
  <si>
    <t>C2</t>
    <phoneticPr fontId="151"/>
  </si>
  <si>
    <t>C3</t>
    <phoneticPr fontId="151"/>
  </si>
  <si>
    <t>C4</t>
    <phoneticPr fontId="151"/>
  </si>
  <si>
    <t>-</t>
    <phoneticPr fontId="151"/>
  </si>
  <si>
    <t>工事予備費</t>
    <rPh sb="0" eb="2">
      <t>コウジ</t>
    </rPh>
    <rPh sb="2" eb="5">
      <t>ヨビヒ</t>
    </rPh>
    <phoneticPr fontId="151"/>
  </si>
  <si>
    <t>その他</t>
    <rPh sb="2" eb="3">
      <t>タ</t>
    </rPh>
    <phoneticPr fontId="151"/>
  </si>
  <si>
    <t>⑨</t>
    <phoneticPr fontId="151"/>
  </si>
  <si>
    <t>什器備品</t>
    <rPh sb="0" eb="2">
      <t>ジュウキ</t>
    </rPh>
    <rPh sb="2" eb="4">
      <t>ビヒン</t>
    </rPh>
    <phoneticPr fontId="3"/>
  </si>
  <si>
    <t>④－2</t>
    <phoneticPr fontId="3"/>
  </si>
  <si>
    <t>④－1</t>
    <phoneticPr fontId="3"/>
  </si>
  <si>
    <t>①－1</t>
    <phoneticPr fontId="3"/>
  </si>
  <si>
    <t>①－2</t>
    <phoneticPr fontId="3"/>
  </si>
  <si>
    <t>外壁美装工事</t>
    <rPh sb="0" eb="2">
      <t>ガイヘキ</t>
    </rPh>
    <rPh sb="2" eb="4">
      <t>ビソウ</t>
    </rPh>
    <rPh sb="4" eb="6">
      <t>コウジ</t>
    </rPh>
    <phoneticPr fontId="3"/>
  </si>
  <si>
    <t>＜工事費用目安＞</t>
    <rPh sb="1" eb="3">
      <t>コウジ</t>
    </rPh>
    <rPh sb="3" eb="5">
      <t>ヒヨウ</t>
    </rPh>
    <rPh sb="5" eb="7">
      <t>メヤス</t>
    </rPh>
    <phoneticPr fontId="151"/>
  </si>
  <si>
    <t>③④⑤</t>
    <phoneticPr fontId="3"/>
  </si>
  <si>
    <t>（付加価値創出額）</t>
    <rPh sb="1" eb="3">
      <t>フカ</t>
    </rPh>
    <rPh sb="3" eb="5">
      <t>カチ</t>
    </rPh>
    <rPh sb="5" eb="7">
      <t>ソウシュツ</t>
    </rPh>
    <rPh sb="7" eb="8">
      <t>ガク</t>
    </rPh>
    <phoneticPr fontId="3"/>
  </si>
  <si>
    <t>6F</t>
    <phoneticPr fontId="3"/>
  </si>
  <si>
    <t>土地筆数</t>
    <rPh sb="0" eb="2">
      <t>トチ</t>
    </rPh>
    <rPh sb="2" eb="3">
      <t>フデ</t>
    </rPh>
    <rPh sb="3" eb="4">
      <t>スウ</t>
    </rPh>
    <phoneticPr fontId="3"/>
  </si>
  <si>
    <t>建物筆数</t>
    <rPh sb="0" eb="2">
      <t>タテモノ</t>
    </rPh>
    <rPh sb="2" eb="3">
      <t>フデ</t>
    </rPh>
    <rPh sb="3" eb="4">
      <t>スウ</t>
    </rPh>
    <phoneticPr fontId="3"/>
  </si>
  <si>
    <t>↓</t>
    <phoneticPr fontId="151"/>
  </si>
  <si>
    <t>カメラ機能用</t>
    <rPh sb="3" eb="5">
      <t>キノウ</t>
    </rPh>
    <rPh sb="5" eb="6">
      <t>ヨウ</t>
    </rPh>
    <phoneticPr fontId="151"/>
  </si>
  <si>
    <r>
      <rPr>
        <sz val="20"/>
        <color indexed="55"/>
        <rFont val="ＭＳ Ｐ明朝"/>
        <family val="1"/>
        <charset val="128"/>
      </rPr>
      <t>㊞</t>
    </r>
    <phoneticPr fontId="3"/>
  </si>
  <si>
    <r>
      <rPr>
        <sz val="14"/>
        <color indexed="8"/>
        <rFont val="ＭＳ Ｐ明朝"/>
        <family val="1"/>
        <charset val="128"/>
      </rPr>
      <t>項　　目</t>
    </r>
    <phoneticPr fontId="3"/>
  </si>
  <si>
    <r>
      <rPr>
        <sz val="14"/>
        <color indexed="8"/>
        <rFont val="ＭＳ Ｐ明朝"/>
        <family val="1"/>
        <charset val="128"/>
      </rPr>
      <t>金　　額</t>
    </r>
    <phoneticPr fontId="3"/>
  </si>
  <si>
    <r>
      <rPr>
        <sz val="14"/>
        <color indexed="8"/>
        <rFont val="ＭＳ Ｐ明朝"/>
        <family val="1"/>
        <charset val="128"/>
      </rPr>
      <t>備　　考</t>
    </r>
    <phoneticPr fontId="3"/>
  </si>
  <si>
    <r>
      <rPr>
        <sz val="16"/>
        <color indexed="8"/>
        <rFont val="ＭＳ Ｐ明朝"/>
        <family val="1"/>
        <charset val="128"/>
      </rPr>
      <t>土地及び建物　取得費用</t>
    </r>
    <rPh sb="9" eb="11">
      <t>ヒヨウ</t>
    </rPh>
    <phoneticPr fontId="3"/>
  </si>
  <si>
    <r>
      <rPr>
        <sz val="16"/>
        <rFont val="ＭＳ Ｐ明朝"/>
        <family val="1"/>
        <charset val="128"/>
      </rPr>
      <t>土地建物購入価格（税抜）</t>
    </r>
    <rPh sb="0" eb="2">
      <t>トチ</t>
    </rPh>
    <rPh sb="2" eb="4">
      <t>タテモノ</t>
    </rPh>
    <rPh sb="4" eb="6">
      <t>コウニュウ</t>
    </rPh>
    <rPh sb="6" eb="8">
      <t>カカク</t>
    </rPh>
    <rPh sb="9" eb="10">
      <t>ゼイ</t>
    </rPh>
    <rPh sb="10" eb="11">
      <t>ヌ</t>
    </rPh>
    <phoneticPr fontId="3"/>
  </si>
  <si>
    <r>
      <rPr>
        <sz val="16"/>
        <rFont val="ＭＳ Ｐ明朝"/>
        <family val="1"/>
        <charset val="128"/>
      </rPr>
      <t>土地建物購入価格（税込）</t>
    </r>
    <rPh sb="0" eb="2">
      <t>トチ</t>
    </rPh>
    <rPh sb="2" eb="4">
      <t>タテモノ</t>
    </rPh>
    <rPh sb="4" eb="6">
      <t>コウニュウ</t>
    </rPh>
    <rPh sb="6" eb="8">
      <t>カカク</t>
    </rPh>
    <rPh sb="9" eb="10">
      <t>ゼイ</t>
    </rPh>
    <rPh sb="10" eb="11">
      <t>コ</t>
    </rPh>
    <phoneticPr fontId="3"/>
  </si>
  <si>
    <r>
      <rPr>
        <sz val="16"/>
        <color indexed="8"/>
        <rFont val="ＭＳ Ｐ明朝"/>
        <family val="1"/>
        <charset val="128"/>
      </rPr>
      <t>内建物消費税等（評価額按分）</t>
    </r>
    <rPh sb="0" eb="1">
      <t>ウチ</t>
    </rPh>
    <rPh sb="1" eb="3">
      <t>タテモノ</t>
    </rPh>
    <rPh sb="3" eb="6">
      <t>ショウヒゼイ</t>
    </rPh>
    <rPh sb="6" eb="7">
      <t>トウ</t>
    </rPh>
    <rPh sb="8" eb="11">
      <t>ヒョウカガク</t>
    </rPh>
    <rPh sb="11" eb="13">
      <t>アンブン</t>
    </rPh>
    <phoneticPr fontId="3"/>
  </si>
  <si>
    <r>
      <rPr>
        <sz val="16"/>
        <color indexed="8"/>
        <rFont val="ＭＳ Ｐ明朝"/>
        <family val="1"/>
        <charset val="128"/>
      </rPr>
      <t>購入時仲介手数料等</t>
    </r>
    <rPh sb="0" eb="3">
      <t>コウニュウジ</t>
    </rPh>
    <rPh sb="3" eb="5">
      <t>チュウカイ</t>
    </rPh>
    <rPh sb="8" eb="9">
      <t>トウ</t>
    </rPh>
    <phoneticPr fontId="3"/>
  </si>
  <si>
    <r>
      <rPr>
        <sz val="16"/>
        <rFont val="ＭＳ Ｐ明朝"/>
        <family val="1"/>
        <charset val="128"/>
      </rPr>
      <t>印紙代</t>
    </r>
    <phoneticPr fontId="3"/>
  </si>
  <si>
    <r>
      <rPr>
        <sz val="16"/>
        <rFont val="ＭＳ Ｐ明朝"/>
        <family val="1"/>
        <charset val="128"/>
      </rPr>
      <t>※融資を利用しない場合、手動修正</t>
    </r>
    <phoneticPr fontId="133"/>
  </si>
  <si>
    <r>
      <rPr>
        <sz val="16"/>
        <rFont val="ＭＳ Ｐ明朝"/>
        <family val="1"/>
        <charset val="128"/>
      </rPr>
      <t>司法書士費用</t>
    </r>
    <phoneticPr fontId="3"/>
  </si>
  <si>
    <r>
      <rPr>
        <sz val="16"/>
        <rFont val="ＭＳ Ｐ明朝"/>
        <family val="1"/>
        <charset val="128"/>
      </rPr>
      <t>実費（報酬額）</t>
    </r>
    <rPh sb="3" eb="5">
      <t>ホウシュウ</t>
    </rPh>
    <rPh sb="5" eb="6">
      <t>ガク</t>
    </rPh>
    <phoneticPr fontId="3"/>
  </si>
  <si>
    <r>
      <rPr>
        <sz val="16"/>
        <rFont val="ＭＳ Ｐ明朝"/>
        <family val="1"/>
        <charset val="128"/>
      </rPr>
      <t>借入金額</t>
    </r>
    <rPh sb="0" eb="1">
      <t>カ</t>
    </rPh>
    <rPh sb="1" eb="2">
      <t>イ</t>
    </rPh>
    <rPh sb="2" eb="4">
      <t>キンガク</t>
    </rPh>
    <phoneticPr fontId="3"/>
  </si>
  <si>
    <r>
      <rPr>
        <sz val="15"/>
        <rFont val="ＭＳ Ｐ明朝"/>
        <family val="1"/>
        <charset val="128"/>
      </rPr>
      <t>売却価格（税抜）</t>
    </r>
    <rPh sb="0" eb="2">
      <t>バイキャク</t>
    </rPh>
    <rPh sb="2" eb="4">
      <t>カカク</t>
    </rPh>
    <rPh sb="5" eb="6">
      <t>ゼイ</t>
    </rPh>
    <rPh sb="6" eb="7">
      <t>ヌ</t>
    </rPh>
    <phoneticPr fontId="3"/>
  </si>
  <si>
    <r>
      <rPr>
        <sz val="15"/>
        <rFont val="ＭＳ Ｐ明朝"/>
        <family val="1"/>
        <charset val="128"/>
      </rPr>
      <t>売却価格（税込）</t>
    </r>
    <rPh sb="0" eb="2">
      <t>バイキャク</t>
    </rPh>
    <rPh sb="2" eb="4">
      <t>カカク</t>
    </rPh>
    <rPh sb="5" eb="6">
      <t>ゼイ</t>
    </rPh>
    <rPh sb="6" eb="7">
      <t>コ</t>
    </rPh>
    <phoneticPr fontId="3"/>
  </si>
  <si>
    <r>
      <rPr>
        <sz val="16"/>
        <rFont val="ＭＳ Ｐ明朝"/>
        <family val="1"/>
        <charset val="128"/>
      </rPr>
      <t>■評価倍率チェック</t>
    </r>
    <rPh sb="1" eb="3">
      <t>ヒョウカ</t>
    </rPh>
    <rPh sb="3" eb="5">
      <t>バイリツ</t>
    </rPh>
    <phoneticPr fontId="133"/>
  </si>
  <si>
    <r>
      <rPr>
        <sz val="15"/>
        <rFont val="ＭＳ Ｐ明朝"/>
        <family val="1"/>
        <charset val="128"/>
      </rPr>
      <t>建物消費税等</t>
    </r>
    <rPh sb="5" eb="6">
      <t>ナド</t>
    </rPh>
    <phoneticPr fontId="3"/>
  </si>
  <si>
    <r>
      <rPr>
        <sz val="14"/>
        <rFont val="ＭＳ Ｐ明朝"/>
        <family val="1"/>
        <charset val="128"/>
      </rPr>
      <t>販売価格対固都税評価額</t>
    </r>
    <rPh sb="0" eb="2">
      <t>ハンバイ</t>
    </rPh>
    <rPh sb="2" eb="4">
      <t>カカク</t>
    </rPh>
    <rPh sb="4" eb="5">
      <t>タイ</t>
    </rPh>
    <rPh sb="5" eb="6">
      <t>コ</t>
    </rPh>
    <rPh sb="6" eb="7">
      <t>ト</t>
    </rPh>
    <rPh sb="7" eb="8">
      <t>ゼイ</t>
    </rPh>
    <rPh sb="8" eb="11">
      <t>ヒョウカガク</t>
    </rPh>
    <phoneticPr fontId="3"/>
  </si>
  <si>
    <r>
      <rPr>
        <sz val="14"/>
        <rFont val="ＭＳ Ｐ明朝"/>
        <family val="1"/>
        <charset val="128"/>
      </rPr>
      <t>販売価格対路線価評価額</t>
    </r>
    <rPh sb="5" eb="8">
      <t>ロセンカ</t>
    </rPh>
    <phoneticPr fontId="3"/>
  </si>
  <si>
    <r>
      <rPr>
        <sz val="16"/>
        <rFont val="ＭＳ Ｐ明朝"/>
        <family val="1"/>
        <charset val="128"/>
      </rPr>
      <t>抵当権設定費用</t>
    </r>
    <rPh sb="0" eb="3">
      <t>テイトウケン</t>
    </rPh>
    <rPh sb="3" eb="5">
      <t>セッテイ</t>
    </rPh>
    <rPh sb="5" eb="7">
      <t>ヒヨウ</t>
    </rPh>
    <phoneticPr fontId="3"/>
  </si>
  <si>
    <r>
      <rPr>
        <sz val="16"/>
        <rFont val="ＭＳ Ｐ明朝"/>
        <family val="1"/>
        <charset val="128"/>
      </rPr>
      <t>土地建物筆数</t>
    </r>
    <rPh sb="0" eb="2">
      <t>トチ</t>
    </rPh>
    <rPh sb="2" eb="4">
      <t>タテモノ</t>
    </rPh>
    <rPh sb="4" eb="5">
      <t>フデ</t>
    </rPh>
    <rPh sb="5" eb="6">
      <t>スウ</t>
    </rPh>
    <phoneticPr fontId="133"/>
  </si>
  <si>
    <r>
      <rPr>
        <sz val="16"/>
        <rFont val="ＭＳ Ｐ明朝"/>
        <family val="1"/>
        <charset val="128"/>
      </rPr>
      <t>その他（購入時信託報酬等）</t>
    </r>
    <rPh sb="2" eb="3">
      <t>タ</t>
    </rPh>
    <rPh sb="4" eb="7">
      <t>コウニュウジ</t>
    </rPh>
    <rPh sb="7" eb="9">
      <t>シンタク</t>
    </rPh>
    <rPh sb="9" eb="11">
      <t>ホウシュウ</t>
    </rPh>
    <rPh sb="11" eb="12">
      <t>トウ</t>
    </rPh>
    <phoneticPr fontId="3"/>
  </si>
  <si>
    <r>
      <rPr>
        <sz val="20"/>
        <color indexed="16"/>
        <rFont val="ＭＳ Ｐ明朝"/>
        <family val="1"/>
        <charset val="128"/>
      </rPr>
      <t>【土地坪単価】</t>
    </r>
    <rPh sb="1" eb="3">
      <t>トチ</t>
    </rPh>
    <rPh sb="3" eb="4">
      <t>ツボ</t>
    </rPh>
    <rPh sb="4" eb="6">
      <t>タンカ</t>
    </rPh>
    <phoneticPr fontId="3"/>
  </si>
  <si>
    <r>
      <rPr>
        <sz val="16"/>
        <rFont val="ＭＳ Ｐ明朝"/>
        <family val="1"/>
        <charset val="128"/>
      </rPr>
      <t>調査＆付加価値創造関連費用</t>
    </r>
    <rPh sb="0" eb="2">
      <t>チョウサ</t>
    </rPh>
    <rPh sb="3" eb="5">
      <t>フカ</t>
    </rPh>
    <rPh sb="5" eb="7">
      <t>カチ</t>
    </rPh>
    <rPh sb="7" eb="9">
      <t>ソウゾウ</t>
    </rPh>
    <rPh sb="9" eb="11">
      <t>カンレン</t>
    </rPh>
    <rPh sb="11" eb="13">
      <t>ヒヨウ</t>
    </rPh>
    <phoneticPr fontId="3"/>
  </si>
  <si>
    <r>
      <rPr>
        <sz val="16"/>
        <rFont val="ＭＳ Ｐ明朝"/>
        <family val="1"/>
        <charset val="128"/>
      </rPr>
      <t>基本リノベーション工事費用</t>
    </r>
    <rPh sb="0" eb="2">
      <t>キホン</t>
    </rPh>
    <rPh sb="9" eb="11">
      <t>コウジ</t>
    </rPh>
    <rPh sb="11" eb="13">
      <t>ヒヨウ</t>
    </rPh>
    <phoneticPr fontId="3"/>
  </si>
  <si>
    <r>
      <rPr>
        <sz val="15"/>
        <rFont val="ＭＳ Ｐ明朝"/>
        <family val="1"/>
        <charset val="128"/>
      </rPr>
      <t>事業利益</t>
    </r>
    <rPh sb="0" eb="2">
      <t>ジギョウ</t>
    </rPh>
    <rPh sb="2" eb="4">
      <t>リエキ</t>
    </rPh>
    <phoneticPr fontId="3"/>
  </si>
  <si>
    <r>
      <rPr>
        <sz val="20"/>
        <color indexed="16"/>
        <rFont val="ＭＳ Ｐ明朝"/>
        <family val="1"/>
        <charset val="128"/>
      </rPr>
      <t>【販売価格／延床坪数】</t>
    </r>
    <rPh sb="1" eb="3">
      <t>ハンバイ</t>
    </rPh>
    <rPh sb="3" eb="5">
      <t>カカク</t>
    </rPh>
    <rPh sb="6" eb="7">
      <t>ノ</t>
    </rPh>
    <rPh sb="7" eb="8">
      <t>ユカ</t>
    </rPh>
    <rPh sb="8" eb="10">
      <t>ツボスウ</t>
    </rPh>
    <phoneticPr fontId="3"/>
  </si>
  <si>
    <r>
      <rPr>
        <sz val="16"/>
        <rFont val="ＭＳ Ｐ明朝"/>
        <family val="1"/>
        <charset val="128"/>
      </rPr>
      <t>テナント賃料ご移転費用</t>
    </r>
    <rPh sb="4" eb="6">
      <t>チンリョウ</t>
    </rPh>
    <rPh sb="7" eb="9">
      <t>イテン</t>
    </rPh>
    <rPh sb="9" eb="11">
      <t>ヒヨウ</t>
    </rPh>
    <phoneticPr fontId="3"/>
  </si>
  <si>
    <r>
      <rPr>
        <sz val="16"/>
        <rFont val="ＭＳ Ｐ明朝"/>
        <family val="1"/>
        <charset val="128"/>
      </rPr>
      <t>テナント室内什器設置費用</t>
    </r>
    <rPh sb="4" eb="6">
      <t>シツナイ</t>
    </rPh>
    <rPh sb="6" eb="8">
      <t>ジュウキ</t>
    </rPh>
    <rPh sb="8" eb="10">
      <t>セッチ</t>
    </rPh>
    <rPh sb="10" eb="12">
      <t>ヒヨウ</t>
    </rPh>
    <phoneticPr fontId="3"/>
  </si>
  <si>
    <r>
      <rPr>
        <sz val="16"/>
        <rFont val="ＭＳ Ｐ明朝"/>
        <family val="1"/>
        <charset val="128"/>
      </rPr>
      <t>測量調査費用</t>
    </r>
    <rPh sb="0" eb="2">
      <t>ソクリョウ</t>
    </rPh>
    <rPh sb="2" eb="4">
      <t>チョウサ</t>
    </rPh>
    <rPh sb="4" eb="6">
      <t>ヒヨウ</t>
    </rPh>
    <phoneticPr fontId="3"/>
  </si>
  <si>
    <r>
      <t>ER</t>
    </r>
    <r>
      <rPr>
        <sz val="16"/>
        <rFont val="ＭＳ Ｐ明朝"/>
        <family val="1"/>
        <charset val="128"/>
      </rPr>
      <t>取得費用</t>
    </r>
    <rPh sb="2" eb="4">
      <t>シュトク</t>
    </rPh>
    <rPh sb="4" eb="6">
      <t>ヒヨウ</t>
    </rPh>
    <phoneticPr fontId="3"/>
  </si>
  <si>
    <r>
      <rPr>
        <sz val="16"/>
        <rFont val="ＭＳ Ｐ明朝"/>
        <family val="1"/>
        <charset val="128"/>
      </rPr>
      <t>耐震診断・設計調査費用</t>
    </r>
    <rPh sb="0" eb="2">
      <t>タイシン</t>
    </rPh>
    <rPh sb="2" eb="4">
      <t>シンダン</t>
    </rPh>
    <rPh sb="5" eb="7">
      <t>セッケイ</t>
    </rPh>
    <rPh sb="7" eb="9">
      <t>チョウサ</t>
    </rPh>
    <rPh sb="9" eb="11">
      <t>ヒヨウ</t>
    </rPh>
    <phoneticPr fontId="3"/>
  </si>
  <si>
    <r>
      <rPr>
        <sz val="16"/>
        <rFont val="ＭＳ Ｐ明朝"/>
        <family val="1"/>
        <charset val="128"/>
      </rPr>
      <t>近隣対策費</t>
    </r>
    <rPh sb="0" eb="2">
      <t>キンリン</t>
    </rPh>
    <rPh sb="2" eb="5">
      <t>タイサクヒ</t>
    </rPh>
    <phoneticPr fontId="3"/>
  </si>
  <si>
    <r>
      <rPr>
        <sz val="16"/>
        <color indexed="8"/>
        <rFont val="ＭＳ Ｐ明朝"/>
        <family val="1"/>
        <charset val="128"/>
      </rPr>
      <t>関連費用
リーシング</t>
    </r>
    <phoneticPr fontId="3"/>
  </si>
  <si>
    <r>
      <rPr>
        <sz val="16"/>
        <rFont val="ＭＳ Ｐ明朝"/>
        <family val="1"/>
        <charset val="128"/>
      </rPr>
      <t>リーシング手数料</t>
    </r>
    <rPh sb="5" eb="8">
      <t>テスウリョウ</t>
    </rPh>
    <phoneticPr fontId="3"/>
  </si>
  <si>
    <r>
      <rPr>
        <sz val="20"/>
        <rFont val="ＭＳ Ｐ明朝"/>
        <family val="1"/>
        <charset val="128"/>
      </rPr>
      <t>手数料月数</t>
    </r>
    <rPh sb="0" eb="3">
      <t>テスウリョウ</t>
    </rPh>
    <rPh sb="3" eb="4">
      <t>ゲツ</t>
    </rPh>
    <rPh sb="4" eb="5">
      <t>スウ</t>
    </rPh>
    <phoneticPr fontId="3"/>
  </si>
  <si>
    <r>
      <t>at home</t>
    </r>
    <r>
      <rPr>
        <sz val="16"/>
        <rFont val="ＭＳ Ｐ明朝"/>
        <family val="1"/>
        <charset val="128"/>
      </rPr>
      <t>等広告費</t>
    </r>
    <rPh sb="7" eb="8">
      <t>トウ</t>
    </rPh>
    <rPh sb="8" eb="11">
      <t>コウコクヒ</t>
    </rPh>
    <phoneticPr fontId="3"/>
  </si>
  <si>
    <r>
      <rPr>
        <sz val="16"/>
        <rFont val="ＭＳ Ｐ明朝"/>
        <family val="1"/>
        <charset val="128"/>
      </rPr>
      <t>パンフレット等印刷物制作費</t>
    </r>
    <rPh sb="6" eb="7">
      <t>トウ</t>
    </rPh>
    <rPh sb="7" eb="10">
      <t>インサツブツ</t>
    </rPh>
    <rPh sb="10" eb="13">
      <t>セイサクヒ</t>
    </rPh>
    <phoneticPr fontId="133"/>
  </si>
  <si>
    <r>
      <rPr>
        <sz val="16"/>
        <rFont val="ＭＳ Ｐ明朝"/>
        <family val="1"/>
        <charset val="128"/>
      </rPr>
      <t>テナント移転費負担（引越代）</t>
    </r>
    <rPh sb="4" eb="6">
      <t>イテン</t>
    </rPh>
    <rPh sb="6" eb="7">
      <t>ヒ</t>
    </rPh>
    <rPh sb="7" eb="9">
      <t>フタン</t>
    </rPh>
    <rPh sb="10" eb="12">
      <t>ヒッコ</t>
    </rPh>
    <rPh sb="12" eb="13">
      <t>ダイ</t>
    </rPh>
    <phoneticPr fontId="133"/>
  </si>
  <si>
    <r>
      <rPr>
        <sz val="14"/>
        <rFont val="ＭＳ Ｐ明朝"/>
        <family val="1"/>
        <charset val="128"/>
      </rPr>
      <t>　</t>
    </r>
    <phoneticPr fontId="3"/>
  </si>
  <si>
    <r>
      <rPr>
        <sz val="16"/>
        <rFont val="ＭＳ Ｐ明朝"/>
        <family val="1"/>
        <charset val="128"/>
      </rPr>
      <t>期中運営費用</t>
    </r>
    <phoneticPr fontId="3"/>
  </si>
  <si>
    <r>
      <rPr>
        <sz val="16"/>
        <rFont val="ＭＳ Ｐ明朝"/>
        <family val="1"/>
        <charset val="128"/>
      </rPr>
      <t>借入金利額</t>
    </r>
    <rPh sb="0" eb="2">
      <t>カリイ</t>
    </rPh>
    <rPh sb="2" eb="4">
      <t>キンリ</t>
    </rPh>
    <rPh sb="4" eb="5">
      <t>ガク</t>
    </rPh>
    <phoneticPr fontId="133"/>
  </si>
  <si>
    <r>
      <rPr>
        <sz val="16"/>
        <rFont val="ＭＳ Ｐ明朝"/>
        <family val="1"/>
        <charset val="128"/>
      </rPr>
      <t>金利（対借入額）</t>
    </r>
    <rPh sb="0" eb="2">
      <t>キンリ</t>
    </rPh>
    <rPh sb="3" eb="4">
      <t>タイ</t>
    </rPh>
    <rPh sb="4" eb="6">
      <t>カリイ</t>
    </rPh>
    <rPh sb="6" eb="7">
      <t>ガク</t>
    </rPh>
    <phoneticPr fontId="3"/>
  </si>
  <si>
    <r>
      <rPr>
        <sz val="16"/>
        <rFont val="ＭＳ Ｐ明朝"/>
        <family val="1"/>
        <charset val="128"/>
      </rPr>
      <t>期中信託報酬</t>
    </r>
    <rPh sb="0" eb="2">
      <t>キチュウ</t>
    </rPh>
    <rPh sb="2" eb="4">
      <t>シンタク</t>
    </rPh>
    <rPh sb="4" eb="6">
      <t>ホウシュウ</t>
    </rPh>
    <phoneticPr fontId="133"/>
  </si>
  <si>
    <r>
      <rPr>
        <sz val="16"/>
        <rFont val="ＭＳ Ｐ明朝"/>
        <family val="1"/>
        <charset val="128"/>
      </rPr>
      <t>スケジュール</t>
    </r>
    <phoneticPr fontId="3"/>
  </si>
  <si>
    <r>
      <rPr>
        <sz val="16"/>
        <rFont val="ＭＳ Ｐ明朝"/>
        <family val="1"/>
        <charset val="128"/>
      </rPr>
      <t>購入契約日</t>
    </r>
    <rPh sb="0" eb="2">
      <t>コウニュウ</t>
    </rPh>
    <rPh sb="2" eb="4">
      <t>ケイヤク</t>
    </rPh>
    <rPh sb="4" eb="5">
      <t>ビ</t>
    </rPh>
    <phoneticPr fontId="3"/>
  </si>
  <si>
    <r>
      <rPr>
        <sz val="16"/>
        <rFont val="ＭＳ Ｐ明朝"/>
        <family val="1"/>
        <charset val="128"/>
      </rPr>
      <t>購入決済日</t>
    </r>
    <rPh sb="0" eb="2">
      <t>コウニュウ</t>
    </rPh>
    <rPh sb="2" eb="5">
      <t>ケッサイビ</t>
    </rPh>
    <phoneticPr fontId="3"/>
  </si>
  <si>
    <r>
      <rPr>
        <sz val="16"/>
        <rFont val="ＭＳ Ｐ明朝"/>
        <family val="1"/>
        <charset val="128"/>
      </rPr>
      <t>売却契約日</t>
    </r>
    <rPh sb="0" eb="2">
      <t>バイキャク</t>
    </rPh>
    <rPh sb="2" eb="4">
      <t>ケイヤク</t>
    </rPh>
    <rPh sb="4" eb="5">
      <t>ヒ</t>
    </rPh>
    <phoneticPr fontId="3"/>
  </si>
  <si>
    <r>
      <rPr>
        <sz val="16"/>
        <rFont val="ＭＳ Ｐ明朝"/>
        <family val="1"/>
        <charset val="128"/>
      </rPr>
      <t>売却決済【引渡】日</t>
    </r>
    <rPh sb="0" eb="2">
      <t>バイキャク</t>
    </rPh>
    <rPh sb="2" eb="4">
      <t>ケッサイ</t>
    </rPh>
    <rPh sb="5" eb="7">
      <t>ヒキワタ</t>
    </rPh>
    <rPh sb="8" eb="9">
      <t>ヒ</t>
    </rPh>
    <phoneticPr fontId="3"/>
  </si>
  <si>
    <r>
      <rPr>
        <sz val="16"/>
        <rFont val="ＭＳ Ｐ明朝"/>
        <family val="1"/>
        <charset val="128"/>
      </rPr>
      <t>予定日数</t>
    </r>
    <rPh sb="0" eb="2">
      <t>ヨテイ</t>
    </rPh>
    <rPh sb="2" eb="4">
      <t>ニッスウ</t>
    </rPh>
    <phoneticPr fontId="3"/>
  </si>
  <si>
    <r>
      <rPr>
        <sz val="14"/>
        <rFont val="ＭＳ Ｐ明朝"/>
        <family val="1"/>
        <charset val="128"/>
      </rPr>
      <t>収支サマリー
事業原価及び</t>
    </r>
    <rPh sb="7" eb="9">
      <t>ジギョウ</t>
    </rPh>
    <rPh sb="9" eb="11">
      <t>ゲンカ</t>
    </rPh>
    <rPh sb="11" eb="12">
      <t>オヨ</t>
    </rPh>
    <phoneticPr fontId="3"/>
  </si>
  <si>
    <r>
      <rPr>
        <sz val="18"/>
        <rFont val="ＭＳ Ｐ明朝"/>
        <family val="1"/>
        <charset val="128"/>
      </rPr>
      <t>事業シナリオ</t>
    </r>
    <rPh sb="0" eb="2">
      <t>ジギョウ</t>
    </rPh>
    <phoneticPr fontId="133"/>
  </si>
  <si>
    <r>
      <rPr>
        <sz val="18"/>
        <rFont val="ＭＳ Ｐ明朝"/>
        <family val="1"/>
        <charset val="128"/>
      </rPr>
      <t>事業利益</t>
    </r>
    <rPh sb="0" eb="2">
      <t>ジギョウ</t>
    </rPh>
    <rPh sb="2" eb="4">
      <t>リエキ</t>
    </rPh>
    <phoneticPr fontId="133"/>
  </si>
  <si>
    <r>
      <rPr>
        <sz val="18"/>
        <rFont val="ＭＳ Ｐ明朝"/>
        <family val="1"/>
        <charset val="128"/>
      </rPr>
      <t>対原価事業利益率</t>
    </r>
    <rPh sb="0" eb="1">
      <t>タイ</t>
    </rPh>
    <rPh sb="1" eb="3">
      <t>ゲンカ</t>
    </rPh>
    <rPh sb="3" eb="5">
      <t>ジギョウ</t>
    </rPh>
    <rPh sb="5" eb="7">
      <t>リエキ</t>
    </rPh>
    <rPh sb="7" eb="8">
      <t>リツ</t>
    </rPh>
    <phoneticPr fontId="133"/>
  </si>
  <si>
    <r>
      <rPr>
        <sz val="16"/>
        <color indexed="8"/>
        <rFont val="ＭＳ Ｐ明朝"/>
        <family val="1"/>
        <charset val="128"/>
      </rPr>
      <t>手数料</t>
    </r>
    <r>
      <rPr>
        <sz val="16"/>
        <color indexed="8"/>
        <rFont val="Times New Roman"/>
        <family val="1"/>
      </rPr>
      <t xml:space="preserve"> </t>
    </r>
    <r>
      <rPr>
        <sz val="16"/>
        <color indexed="8"/>
        <rFont val="ＭＳ Ｐ明朝"/>
        <family val="1"/>
        <charset val="128"/>
      </rPr>
      <t>料率</t>
    </r>
    <rPh sb="0" eb="2">
      <t>テスウ</t>
    </rPh>
    <rPh sb="2" eb="3">
      <t>リョウ</t>
    </rPh>
    <rPh sb="4" eb="6">
      <t>リョウリツ</t>
    </rPh>
    <phoneticPr fontId="3"/>
  </si>
  <si>
    <r>
      <rPr>
        <sz val="16"/>
        <rFont val="ＭＳ Ｐ明朝"/>
        <family val="1"/>
        <charset val="128"/>
      </rPr>
      <t>登録免許税</t>
    </r>
    <phoneticPr fontId="3"/>
  </si>
  <si>
    <r>
      <rPr>
        <b/>
        <sz val="18"/>
        <rFont val="ＭＳ Ｐ明朝"/>
        <family val="1"/>
        <charset val="128"/>
      </rPr>
      <t>事業計画</t>
    </r>
    <r>
      <rPr>
        <b/>
        <sz val="18"/>
        <rFont val="Times New Roman"/>
        <family val="1"/>
      </rPr>
      <t>1</t>
    </r>
    <r>
      <rPr>
        <b/>
        <sz val="18"/>
        <color indexed="10"/>
        <rFont val="ＭＳ Ｐ明朝"/>
        <family val="1"/>
        <charset val="128"/>
      </rPr>
      <t>（見込）</t>
    </r>
    <rPh sb="0" eb="2">
      <t>ジギョウ</t>
    </rPh>
    <rPh sb="2" eb="4">
      <t>ケイカク</t>
    </rPh>
    <rPh sb="6" eb="8">
      <t>ミコ</t>
    </rPh>
    <phoneticPr fontId="3"/>
  </si>
  <si>
    <r>
      <rPr>
        <sz val="16"/>
        <rFont val="ＭＳ Ｐ明朝"/>
        <family val="1"/>
        <charset val="128"/>
      </rPr>
      <t>不動産取得税</t>
    </r>
    <phoneticPr fontId="3"/>
  </si>
  <si>
    <r>
      <rPr>
        <sz val="14"/>
        <rFont val="ＭＳ Ｐ明朝"/>
        <family val="1"/>
        <charset val="128"/>
      </rPr>
      <t>アップフロント</t>
    </r>
    <r>
      <rPr>
        <sz val="14"/>
        <rFont val="Times New Roman"/>
        <family val="1"/>
      </rPr>
      <t xml:space="preserve">fee </t>
    </r>
    <r>
      <rPr>
        <sz val="14"/>
        <rFont val="ＭＳ Ｐ明朝"/>
        <family val="1"/>
        <charset val="128"/>
      </rPr>
      <t>料率</t>
    </r>
    <rPh sb="11" eb="12">
      <t>リョウ</t>
    </rPh>
    <rPh sb="12" eb="13">
      <t>リツ</t>
    </rPh>
    <phoneticPr fontId="133"/>
  </si>
  <si>
    <r>
      <rPr>
        <sz val="15"/>
        <rFont val="ＭＳ Ｐ明朝"/>
        <family val="1"/>
        <charset val="128"/>
      </rPr>
      <t>手数料</t>
    </r>
    <r>
      <rPr>
        <sz val="15"/>
        <rFont val="Times New Roman"/>
        <family val="1"/>
      </rPr>
      <t xml:space="preserve"> </t>
    </r>
    <r>
      <rPr>
        <sz val="15"/>
        <rFont val="ＭＳ Ｐ明朝"/>
        <family val="1"/>
        <charset val="128"/>
      </rPr>
      <t>料率</t>
    </r>
    <rPh sb="0" eb="3">
      <t>テスウリョウ</t>
    </rPh>
    <rPh sb="4" eb="6">
      <t>リョウリツ</t>
    </rPh>
    <phoneticPr fontId="3"/>
  </si>
  <si>
    <r>
      <rPr>
        <sz val="15"/>
        <rFont val="ＭＳ Ｐ明朝"/>
        <family val="1"/>
        <charset val="128"/>
      </rPr>
      <t>満室時想定年間収入</t>
    </r>
    <r>
      <rPr>
        <sz val="15"/>
        <rFont val="Times New Roman"/>
        <family val="1"/>
      </rPr>
      <t>(GROSS)</t>
    </r>
    <rPh sb="0" eb="2">
      <t>マンシツ</t>
    </rPh>
    <rPh sb="2" eb="3">
      <t>ジ</t>
    </rPh>
    <rPh sb="3" eb="5">
      <t>ソウテイ</t>
    </rPh>
    <rPh sb="5" eb="7">
      <t>ネンカン</t>
    </rPh>
    <rPh sb="7" eb="9">
      <t>シュウニュウ</t>
    </rPh>
    <phoneticPr fontId="3"/>
  </si>
  <si>
    <r>
      <rPr>
        <sz val="14"/>
        <color indexed="8"/>
        <rFont val="ＭＳ Ｐ明朝"/>
        <family val="1"/>
        <charset val="128"/>
      </rPr>
      <t>土地代</t>
    </r>
    <r>
      <rPr>
        <sz val="14"/>
        <color indexed="8"/>
        <rFont val="Times New Roman"/>
        <family val="1"/>
      </rPr>
      <t>÷</t>
    </r>
    <r>
      <rPr>
        <sz val="14"/>
        <color indexed="8"/>
        <rFont val="ＭＳ Ｐ明朝"/>
        <family val="1"/>
        <charset val="128"/>
      </rPr>
      <t>路線価評価額</t>
    </r>
    <rPh sb="0" eb="2">
      <t>トチ</t>
    </rPh>
    <rPh sb="2" eb="3">
      <t>ダイ</t>
    </rPh>
    <rPh sb="4" eb="6">
      <t>ロセン</t>
    </rPh>
    <rPh sb="6" eb="7">
      <t>カ</t>
    </rPh>
    <rPh sb="7" eb="9">
      <t>ヒョウカ</t>
    </rPh>
    <rPh sb="9" eb="10">
      <t>ガク</t>
    </rPh>
    <phoneticPr fontId="3"/>
  </si>
  <si>
    <r>
      <rPr>
        <sz val="15"/>
        <rFont val="ＭＳ Ｐ明朝"/>
        <family val="1"/>
        <charset val="128"/>
      </rPr>
      <t>満室時想定年間収益</t>
    </r>
    <r>
      <rPr>
        <sz val="15"/>
        <rFont val="Times New Roman"/>
        <family val="1"/>
      </rPr>
      <t xml:space="preserve"> (NOI)</t>
    </r>
    <rPh sb="7" eb="9">
      <t>シュウエキ</t>
    </rPh>
    <phoneticPr fontId="3"/>
  </si>
  <si>
    <r>
      <rPr>
        <sz val="15"/>
        <rFont val="ＭＳ Ｐ明朝"/>
        <family val="1"/>
        <charset val="128"/>
      </rPr>
      <t>購入時原状収入（事業期間分）　</t>
    </r>
    <r>
      <rPr>
        <b/>
        <sz val="15"/>
        <color indexed="10"/>
        <rFont val="Times New Roman"/>
        <family val="1"/>
      </rPr>
      <t>G</t>
    </r>
    <rPh sb="0" eb="3">
      <t>コウニュウジ</t>
    </rPh>
    <rPh sb="3" eb="5">
      <t>ゲンジョウ</t>
    </rPh>
    <rPh sb="5" eb="7">
      <t>シュウニュウ</t>
    </rPh>
    <rPh sb="8" eb="10">
      <t>ジギョウ</t>
    </rPh>
    <rPh sb="10" eb="12">
      <t>キカン</t>
    </rPh>
    <rPh sb="12" eb="13">
      <t>ブン</t>
    </rPh>
    <phoneticPr fontId="3"/>
  </si>
  <si>
    <r>
      <t xml:space="preserve"> </t>
    </r>
    <r>
      <rPr>
        <b/>
        <sz val="14"/>
        <rFont val="ＭＳ Ｐ明朝"/>
        <family val="1"/>
        <charset val="128"/>
      </rPr>
      <t>小　　　計（</t>
    </r>
    <r>
      <rPr>
        <b/>
        <sz val="14"/>
        <rFont val="Times New Roman"/>
        <family val="1"/>
      </rPr>
      <t>1</t>
    </r>
    <r>
      <rPr>
        <b/>
        <sz val="14"/>
        <rFont val="ＭＳ Ｐ明朝"/>
        <family val="1"/>
        <charset val="128"/>
      </rPr>
      <t>）～（</t>
    </r>
    <r>
      <rPr>
        <b/>
        <sz val="14"/>
        <rFont val="Times New Roman"/>
        <family val="1"/>
      </rPr>
      <t>7</t>
    </r>
    <r>
      <rPr>
        <b/>
        <sz val="14"/>
        <rFont val="ＭＳ Ｐ明朝"/>
        <family val="1"/>
        <charset val="128"/>
      </rPr>
      <t>）　</t>
    </r>
    <r>
      <rPr>
        <b/>
        <sz val="16"/>
        <color indexed="10"/>
        <rFont val="ＭＳ Ｐ明朝"/>
        <family val="1"/>
        <charset val="128"/>
      </rPr>
      <t>・・・Ａ</t>
    </r>
    <phoneticPr fontId="3"/>
  </si>
  <si>
    <r>
      <rPr>
        <sz val="16"/>
        <rFont val="ＭＳ Ｐ明朝"/>
        <family val="1"/>
        <charset val="128"/>
      </rPr>
      <t>必要自己資金（計画</t>
    </r>
    <r>
      <rPr>
        <sz val="16"/>
        <rFont val="Times New Roman"/>
        <family val="1"/>
      </rPr>
      <t>1</t>
    </r>
    <r>
      <rPr>
        <sz val="16"/>
        <rFont val="ＭＳ Ｐ明朝"/>
        <family val="1"/>
        <charset val="128"/>
      </rPr>
      <t>）</t>
    </r>
    <rPh sb="0" eb="2">
      <t>ヒツヨウ</t>
    </rPh>
    <rPh sb="2" eb="4">
      <t>ジコ</t>
    </rPh>
    <rPh sb="4" eb="6">
      <t>シキン</t>
    </rPh>
    <rPh sb="7" eb="9">
      <t>ケイカク</t>
    </rPh>
    <phoneticPr fontId="133"/>
  </si>
  <si>
    <r>
      <rPr>
        <sz val="15"/>
        <rFont val="ＭＳ Ｐ明朝"/>
        <family val="1"/>
        <charset val="128"/>
      </rPr>
      <t>満室時想定利回り</t>
    </r>
    <r>
      <rPr>
        <sz val="15"/>
        <rFont val="Times New Roman"/>
        <family val="1"/>
      </rPr>
      <t>(GROSS)</t>
    </r>
    <rPh sb="0" eb="2">
      <t>マンシツ</t>
    </rPh>
    <rPh sb="2" eb="3">
      <t>ジ</t>
    </rPh>
    <rPh sb="3" eb="5">
      <t>ソウテイ</t>
    </rPh>
    <rPh sb="5" eb="7">
      <t>リマワ</t>
    </rPh>
    <phoneticPr fontId="3"/>
  </si>
  <si>
    <r>
      <rPr>
        <sz val="15"/>
        <rFont val="ＭＳ Ｐ明朝"/>
        <family val="1"/>
        <charset val="128"/>
      </rPr>
      <t>（</t>
    </r>
    <r>
      <rPr>
        <sz val="15"/>
        <rFont val="Times New Roman"/>
        <family val="1"/>
      </rPr>
      <t>34</t>
    </r>
    <r>
      <rPr>
        <sz val="15"/>
        <rFont val="ＭＳ Ｐ明朝"/>
        <family val="1"/>
        <charset val="128"/>
      </rPr>
      <t>）</t>
    </r>
    <r>
      <rPr>
        <sz val="15"/>
        <rFont val="Times New Roman"/>
        <family val="1"/>
      </rPr>
      <t>÷</t>
    </r>
    <r>
      <rPr>
        <sz val="15"/>
        <rFont val="ＭＳ Ｐ明朝"/>
        <family val="1"/>
        <charset val="128"/>
      </rPr>
      <t>（</t>
    </r>
    <r>
      <rPr>
        <sz val="15"/>
        <rFont val="Times New Roman"/>
        <family val="1"/>
      </rPr>
      <t>32</t>
    </r>
    <r>
      <rPr>
        <sz val="15"/>
        <rFont val="ＭＳ Ｐ明朝"/>
        <family val="1"/>
        <charset val="128"/>
      </rPr>
      <t>）※売却価格税込</t>
    </r>
    <rPh sb="10" eb="12">
      <t>バイキャク</t>
    </rPh>
    <rPh sb="12" eb="14">
      <t>カカク</t>
    </rPh>
    <rPh sb="14" eb="16">
      <t>ゼイコ</t>
    </rPh>
    <phoneticPr fontId="3"/>
  </si>
  <si>
    <r>
      <rPr>
        <sz val="15"/>
        <rFont val="ＭＳ Ｐ明朝"/>
        <family val="1"/>
        <charset val="128"/>
      </rPr>
      <t>満室時想定利回り</t>
    </r>
    <r>
      <rPr>
        <sz val="15"/>
        <rFont val="Times New Roman"/>
        <family val="1"/>
      </rPr>
      <t xml:space="preserve"> (NOI)</t>
    </r>
    <rPh sb="5" eb="7">
      <t>リマワ</t>
    </rPh>
    <phoneticPr fontId="3"/>
  </si>
  <si>
    <r>
      <rPr>
        <sz val="15"/>
        <rFont val="ＭＳ Ｐ明朝"/>
        <family val="1"/>
        <charset val="128"/>
      </rPr>
      <t>（</t>
    </r>
    <r>
      <rPr>
        <sz val="15"/>
        <rFont val="Times New Roman"/>
        <family val="1"/>
      </rPr>
      <t>35</t>
    </r>
    <r>
      <rPr>
        <sz val="15"/>
        <rFont val="ＭＳ Ｐ明朝"/>
        <family val="1"/>
        <charset val="128"/>
      </rPr>
      <t>）</t>
    </r>
    <r>
      <rPr>
        <sz val="15"/>
        <rFont val="Times New Roman"/>
        <family val="1"/>
      </rPr>
      <t>÷</t>
    </r>
    <r>
      <rPr>
        <sz val="15"/>
        <rFont val="ＭＳ Ｐ明朝"/>
        <family val="1"/>
        <charset val="128"/>
      </rPr>
      <t>（</t>
    </r>
    <r>
      <rPr>
        <sz val="15"/>
        <rFont val="Times New Roman"/>
        <family val="1"/>
      </rPr>
      <t>32</t>
    </r>
    <r>
      <rPr>
        <sz val="15"/>
        <rFont val="ＭＳ Ｐ明朝"/>
        <family val="1"/>
        <charset val="128"/>
      </rPr>
      <t>）※売却価格税込</t>
    </r>
    <phoneticPr fontId="3"/>
  </si>
  <si>
    <r>
      <rPr>
        <sz val="16"/>
        <rFont val="ＭＳ Ｐ明朝"/>
        <family val="1"/>
        <charset val="128"/>
      </rPr>
      <t>工事単価（円</t>
    </r>
    <r>
      <rPr>
        <sz val="16"/>
        <rFont val="Times New Roman"/>
        <family val="1"/>
      </rPr>
      <t>/</t>
    </r>
    <r>
      <rPr>
        <sz val="16"/>
        <rFont val="ＭＳ Ｐ明朝"/>
        <family val="1"/>
        <charset val="128"/>
      </rPr>
      <t>坪）</t>
    </r>
    <rPh sb="0" eb="2">
      <t>コウジ</t>
    </rPh>
    <rPh sb="2" eb="4">
      <t>タンカ</t>
    </rPh>
    <rPh sb="5" eb="6">
      <t>エン</t>
    </rPh>
    <rPh sb="7" eb="8">
      <t>ツボ</t>
    </rPh>
    <phoneticPr fontId="3"/>
  </si>
  <si>
    <r>
      <rPr>
        <sz val="14"/>
        <rFont val="ＭＳ Ｐ明朝"/>
        <family val="1"/>
        <charset val="128"/>
      </rPr>
      <t>売却価格税抜－</t>
    </r>
    <r>
      <rPr>
        <b/>
        <sz val="14"/>
        <color indexed="10"/>
        <rFont val="Times New Roman"/>
        <family val="1"/>
      </rPr>
      <t>A+B1+C1</t>
    </r>
    <r>
      <rPr>
        <sz val="14"/>
        <rFont val="ＭＳ Ｐ明朝"/>
        <family val="1"/>
        <charset val="128"/>
      </rPr>
      <t>－（</t>
    </r>
    <r>
      <rPr>
        <sz val="14"/>
        <rFont val="Times New Roman"/>
        <family val="1"/>
      </rPr>
      <t>33</t>
    </r>
    <r>
      <rPr>
        <sz val="14"/>
        <rFont val="ＭＳ Ｐ明朝"/>
        <family val="1"/>
        <charset val="128"/>
      </rPr>
      <t>）</t>
    </r>
    <rPh sb="0" eb="2">
      <t>バイキャク</t>
    </rPh>
    <rPh sb="2" eb="4">
      <t>カカク</t>
    </rPh>
    <rPh sb="4" eb="5">
      <t>ゼイ</t>
    </rPh>
    <rPh sb="5" eb="6">
      <t>ヌ</t>
    </rPh>
    <phoneticPr fontId="3"/>
  </si>
  <si>
    <r>
      <rPr>
        <sz val="16"/>
        <rFont val="ＭＳ Ｐ明朝"/>
        <family val="1"/>
        <charset val="128"/>
      </rPr>
      <t>延床面積</t>
    </r>
    <r>
      <rPr>
        <sz val="16"/>
        <rFont val="Times New Roman"/>
        <family val="1"/>
      </rPr>
      <t>(</t>
    </r>
    <r>
      <rPr>
        <sz val="16"/>
        <rFont val="ＭＳ Ｐ明朝"/>
        <family val="1"/>
        <charset val="128"/>
      </rPr>
      <t>坪）</t>
    </r>
    <rPh sb="0" eb="1">
      <t>ノベ</t>
    </rPh>
    <rPh sb="1" eb="2">
      <t>ユカ</t>
    </rPh>
    <rPh sb="2" eb="4">
      <t>メンセキ</t>
    </rPh>
    <rPh sb="5" eb="6">
      <t>ツボ</t>
    </rPh>
    <phoneticPr fontId="3"/>
  </si>
  <si>
    <r>
      <t>(38)÷(</t>
    </r>
    <r>
      <rPr>
        <b/>
        <sz val="15"/>
        <color indexed="10"/>
        <rFont val="Times New Roman"/>
        <family val="1"/>
      </rPr>
      <t>A+B1+C1</t>
    </r>
    <r>
      <rPr>
        <sz val="15"/>
        <rFont val="Times New Roman"/>
        <family val="1"/>
      </rPr>
      <t>)</t>
    </r>
    <phoneticPr fontId="3"/>
  </si>
  <si>
    <r>
      <rPr>
        <b/>
        <sz val="18"/>
        <rFont val="ＭＳ Ｐ明朝"/>
        <family val="1"/>
        <charset val="128"/>
      </rPr>
      <t>事業計画</t>
    </r>
    <r>
      <rPr>
        <b/>
        <sz val="18"/>
        <rFont val="Times New Roman"/>
        <family val="1"/>
      </rPr>
      <t>2</t>
    </r>
    <r>
      <rPr>
        <b/>
        <sz val="18"/>
        <color indexed="10"/>
        <rFont val="ＭＳ Ｐ明朝"/>
        <family val="1"/>
        <charset val="128"/>
      </rPr>
      <t>（下限）</t>
    </r>
    <rPh sb="0" eb="2">
      <t>ジギョウ</t>
    </rPh>
    <rPh sb="2" eb="4">
      <t>ケイカク</t>
    </rPh>
    <rPh sb="6" eb="8">
      <t>カゲン</t>
    </rPh>
    <phoneticPr fontId="3"/>
  </si>
  <si>
    <r>
      <rPr>
        <sz val="15"/>
        <rFont val="ＭＳ Ｐ明朝"/>
        <family val="1"/>
        <charset val="128"/>
      </rPr>
      <t>（</t>
    </r>
    <r>
      <rPr>
        <sz val="15"/>
        <rFont val="Times New Roman"/>
        <family val="1"/>
      </rPr>
      <t>42</t>
    </r>
    <r>
      <rPr>
        <sz val="15"/>
        <rFont val="ＭＳ Ｐ明朝"/>
        <family val="1"/>
        <charset val="128"/>
      </rPr>
      <t>）</t>
    </r>
    <r>
      <rPr>
        <sz val="15"/>
        <rFont val="Times New Roman"/>
        <family val="1"/>
      </rPr>
      <t>÷</t>
    </r>
    <r>
      <rPr>
        <sz val="15"/>
        <rFont val="ＭＳ Ｐ明朝"/>
        <family val="1"/>
        <charset val="128"/>
      </rPr>
      <t>（</t>
    </r>
    <r>
      <rPr>
        <sz val="15"/>
        <rFont val="Times New Roman"/>
        <family val="1"/>
      </rPr>
      <t>40</t>
    </r>
    <r>
      <rPr>
        <sz val="15"/>
        <rFont val="ＭＳ Ｐ明朝"/>
        <family val="1"/>
        <charset val="128"/>
      </rPr>
      <t>）※売却価格税込</t>
    </r>
    <phoneticPr fontId="3"/>
  </si>
  <si>
    <r>
      <rPr>
        <sz val="15"/>
        <rFont val="ＭＳ Ｐ明朝"/>
        <family val="1"/>
        <charset val="128"/>
      </rPr>
      <t>（</t>
    </r>
    <r>
      <rPr>
        <sz val="15"/>
        <rFont val="Times New Roman"/>
        <family val="1"/>
      </rPr>
      <t>43</t>
    </r>
    <r>
      <rPr>
        <sz val="15"/>
        <rFont val="ＭＳ Ｐ明朝"/>
        <family val="1"/>
        <charset val="128"/>
      </rPr>
      <t>）</t>
    </r>
    <r>
      <rPr>
        <sz val="15"/>
        <rFont val="Times New Roman"/>
        <family val="1"/>
      </rPr>
      <t>÷</t>
    </r>
    <r>
      <rPr>
        <sz val="15"/>
        <rFont val="ＭＳ Ｐ明朝"/>
        <family val="1"/>
        <charset val="128"/>
      </rPr>
      <t>（</t>
    </r>
    <r>
      <rPr>
        <sz val="15"/>
        <rFont val="Times New Roman"/>
        <family val="1"/>
      </rPr>
      <t>40</t>
    </r>
    <r>
      <rPr>
        <sz val="15"/>
        <rFont val="ＭＳ Ｐ明朝"/>
        <family val="1"/>
        <charset val="128"/>
      </rPr>
      <t>）※売却価格税込</t>
    </r>
    <phoneticPr fontId="3"/>
  </si>
  <si>
    <r>
      <rPr>
        <sz val="14"/>
        <rFont val="ＭＳ Ｐ明朝"/>
        <family val="1"/>
        <charset val="128"/>
      </rPr>
      <t>売却価格税抜－</t>
    </r>
    <r>
      <rPr>
        <b/>
        <sz val="14"/>
        <color indexed="10"/>
        <rFont val="Times New Roman"/>
        <family val="1"/>
      </rPr>
      <t>A+B2+C2</t>
    </r>
    <r>
      <rPr>
        <sz val="14"/>
        <rFont val="ＭＳ Ｐ明朝"/>
        <family val="1"/>
        <charset val="128"/>
      </rPr>
      <t>－（</t>
    </r>
    <r>
      <rPr>
        <sz val="14"/>
        <rFont val="Times New Roman"/>
        <family val="1"/>
      </rPr>
      <t>41</t>
    </r>
    <r>
      <rPr>
        <sz val="14"/>
        <rFont val="ＭＳ Ｐ明朝"/>
        <family val="1"/>
        <charset val="128"/>
      </rPr>
      <t>）</t>
    </r>
    <rPh sb="0" eb="2">
      <t>バイキャク</t>
    </rPh>
    <rPh sb="2" eb="4">
      <t>カカク</t>
    </rPh>
    <rPh sb="4" eb="5">
      <t>ゼイ</t>
    </rPh>
    <rPh sb="5" eb="6">
      <t>ヌ</t>
    </rPh>
    <phoneticPr fontId="3"/>
  </si>
  <si>
    <r>
      <t>(46)÷(</t>
    </r>
    <r>
      <rPr>
        <b/>
        <sz val="15"/>
        <color indexed="10"/>
        <rFont val="Times New Roman"/>
        <family val="1"/>
      </rPr>
      <t>A+B2+C2</t>
    </r>
    <r>
      <rPr>
        <sz val="15"/>
        <rFont val="Times New Roman"/>
        <family val="1"/>
      </rPr>
      <t>)</t>
    </r>
    <phoneticPr fontId="3"/>
  </si>
  <si>
    <r>
      <rPr>
        <sz val="14"/>
        <rFont val="ＭＳ Ｐ明朝"/>
        <family val="1"/>
        <charset val="128"/>
      </rPr>
      <t>事業計画</t>
    </r>
    <r>
      <rPr>
        <sz val="14"/>
        <rFont val="Times New Roman"/>
        <family val="1"/>
      </rPr>
      <t>1</t>
    </r>
    <r>
      <rPr>
        <sz val="14"/>
        <rFont val="ＭＳ Ｐ明朝"/>
        <family val="1"/>
        <charset val="128"/>
      </rPr>
      <t>の場合</t>
    </r>
    <rPh sb="0" eb="2">
      <t>ジギョウ</t>
    </rPh>
    <rPh sb="2" eb="4">
      <t>ケイカク</t>
    </rPh>
    <rPh sb="6" eb="8">
      <t>バアイ</t>
    </rPh>
    <phoneticPr fontId="133"/>
  </si>
  <si>
    <r>
      <rPr>
        <sz val="14"/>
        <rFont val="ＭＳ Ｐ明朝"/>
        <family val="1"/>
        <charset val="128"/>
      </rPr>
      <t>事業計画</t>
    </r>
    <r>
      <rPr>
        <sz val="14"/>
        <rFont val="Times New Roman"/>
        <family val="1"/>
      </rPr>
      <t>2</t>
    </r>
    <r>
      <rPr>
        <sz val="14"/>
        <rFont val="ＭＳ Ｐ明朝"/>
        <family val="1"/>
        <charset val="128"/>
      </rPr>
      <t>の場合</t>
    </r>
    <rPh sb="0" eb="2">
      <t>ジギョウ</t>
    </rPh>
    <rPh sb="2" eb="4">
      <t>ケイカク</t>
    </rPh>
    <rPh sb="6" eb="8">
      <t>バアイ</t>
    </rPh>
    <phoneticPr fontId="133"/>
  </si>
  <si>
    <r>
      <rPr>
        <sz val="14"/>
        <rFont val="ＭＳ Ｐ明朝"/>
        <family val="1"/>
        <charset val="128"/>
      </rPr>
      <t>事業計画</t>
    </r>
    <r>
      <rPr>
        <sz val="14"/>
        <rFont val="Times New Roman"/>
        <family val="1"/>
      </rPr>
      <t>4</t>
    </r>
    <r>
      <rPr>
        <sz val="14"/>
        <rFont val="ＭＳ Ｐ明朝"/>
        <family val="1"/>
        <charset val="128"/>
      </rPr>
      <t>の場合</t>
    </r>
    <rPh sb="0" eb="2">
      <t>ジギョウ</t>
    </rPh>
    <rPh sb="2" eb="4">
      <t>ケイカク</t>
    </rPh>
    <rPh sb="6" eb="8">
      <t>バアイ</t>
    </rPh>
    <phoneticPr fontId="133"/>
  </si>
  <si>
    <r>
      <rPr>
        <sz val="16"/>
        <rFont val="ＭＳ Ｐ明朝"/>
        <family val="1"/>
        <charset val="128"/>
      </rPr>
      <t>テナント賃料増額交渉用</t>
    </r>
    <r>
      <rPr>
        <sz val="16"/>
        <rFont val="Times New Roman"/>
        <family val="1"/>
      </rPr>
      <t xml:space="preserve"> </t>
    </r>
    <r>
      <rPr>
        <sz val="16"/>
        <rFont val="ＭＳ Ｐ明朝"/>
        <family val="1"/>
        <charset val="128"/>
      </rPr>
      <t>工事費</t>
    </r>
    <rPh sb="4" eb="6">
      <t>チンリョウ</t>
    </rPh>
    <rPh sb="6" eb="8">
      <t>ゾウガク</t>
    </rPh>
    <rPh sb="8" eb="10">
      <t>コウショウ</t>
    </rPh>
    <rPh sb="10" eb="11">
      <t>ヨウ</t>
    </rPh>
    <rPh sb="12" eb="14">
      <t>コウジ</t>
    </rPh>
    <rPh sb="14" eb="15">
      <t>ヒ</t>
    </rPh>
    <phoneticPr fontId="3"/>
  </si>
  <si>
    <r>
      <rPr>
        <b/>
        <sz val="18"/>
        <color indexed="10"/>
        <rFont val="ＭＳ Ｐ明朝"/>
        <family val="1"/>
        <charset val="128"/>
      </rPr>
      <t xml:space="preserve">（リスク値／購入時）
</t>
    </r>
    <r>
      <rPr>
        <b/>
        <sz val="18"/>
        <rFont val="ＭＳ Ｐ明朝"/>
        <family val="1"/>
        <charset val="128"/>
      </rPr>
      <t>事業計画</t>
    </r>
    <r>
      <rPr>
        <b/>
        <sz val="18"/>
        <rFont val="Times New Roman"/>
        <family val="1"/>
      </rPr>
      <t>3</t>
    </r>
    <rPh sb="4" eb="5">
      <t>チ</t>
    </rPh>
    <rPh sb="6" eb="9">
      <t>コウニュウジ</t>
    </rPh>
    <phoneticPr fontId="3"/>
  </si>
  <si>
    <r>
      <rPr>
        <sz val="16"/>
        <rFont val="ＭＳ Ｐ明朝"/>
        <family val="1"/>
        <charset val="128"/>
      </rPr>
      <t>テナント移転時</t>
    </r>
    <r>
      <rPr>
        <sz val="16"/>
        <rFont val="Times New Roman"/>
        <family val="1"/>
      </rPr>
      <t xml:space="preserve"> </t>
    </r>
    <r>
      <rPr>
        <sz val="16"/>
        <rFont val="ＭＳ Ｐ明朝"/>
        <family val="1"/>
        <charset val="128"/>
      </rPr>
      <t>工事費</t>
    </r>
    <rPh sb="4" eb="6">
      <t>イテン</t>
    </rPh>
    <rPh sb="6" eb="7">
      <t>ジ</t>
    </rPh>
    <rPh sb="8" eb="10">
      <t>コウジ</t>
    </rPh>
    <rPh sb="10" eb="11">
      <t>ヒ</t>
    </rPh>
    <phoneticPr fontId="3"/>
  </si>
  <si>
    <r>
      <rPr>
        <sz val="15"/>
        <rFont val="ＭＳ Ｐ明朝"/>
        <family val="1"/>
        <charset val="128"/>
      </rPr>
      <t>（</t>
    </r>
    <r>
      <rPr>
        <sz val="15"/>
        <rFont val="Times New Roman"/>
        <family val="1"/>
      </rPr>
      <t>50</t>
    </r>
    <r>
      <rPr>
        <sz val="15"/>
        <rFont val="ＭＳ Ｐ明朝"/>
        <family val="1"/>
        <charset val="128"/>
      </rPr>
      <t>）</t>
    </r>
    <r>
      <rPr>
        <sz val="15"/>
        <rFont val="Times New Roman"/>
        <family val="1"/>
      </rPr>
      <t>÷</t>
    </r>
    <r>
      <rPr>
        <sz val="15"/>
        <rFont val="ＭＳ Ｐ明朝"/>
        <family val="1"/>
        <charset val="128"/>
      </rPr>
      <t>（</t>
    </r>
    <r>
      <rPr>
        <sz val="15"/>
        <rFont val="Times New Roman"/>
        <family val="1"/>
      </rPr>
      <t>48</t>
    </r>
    <r>
      <rPr>
        <sz val="15"/>
        <rFont val="ＭＳ Ｐ明朝"/>
        <family val="1"/>
        <charset val="128"/>
      </rPr>
      <t>）※売却価格税込</t>
    </r>
    <phoneticPr fontId="3"/>
  </si>
  <si>
    <r>
      <rPr>
        <sz val="15"/>
        <rFont val="ＭＳ Ｐ明朝"/>
        <family val="1"/>
        <charset val="128"/>
      </rPr>
      <t>（</t>
    </r>
    <r>
      <rPr>
        <sz val="15"/>
        <rFont val="Times New Roman"/>
        <family val="1"/>
      </rPr>
      <t>51</t>
    </r>
    <r>
      <rPr>
        <sz val="15"/>
        <rFont val="ＭＳ Ｐ明朝"/>
        <family val="1"/>
        <charset val="128"/>
      </rPr>
      <t>）</t>
    </r>
    <r>
      <rPr>
        <sz val="15"/>
        <rFont val="Times New Roman"/>
        <family val="1"/>
      </rPr>
      <t>÷</t>
    </r>
    <r>
      <rPr>
        <sz val="15"/>
        <rFont val="ＭＳ Ｐ明朝"/>
        <family val="1"/>
        <charset val="128"/>
      </rPr>
      <t>（</t>
    </r>
    <r>
      <rPr>
        <sz val="15"/>
        <rFont val="Times New Roman"/>
        <family val="1"/>
      </rPr>
      <t>48</t>
    </r>
    <r>
      <rPr>
        <sz val="15"/>
        <rFont val="ＭＳ Ｐ明朝"/>
        <family val="1"/>
        <charset val="128"/>
      </rPr>
      <t>）※売却価格税込</t>
    </r>
    <phoneticPr fontId="3"/>
  </si>
  <si>
    <r>
      <rPr>
        <sz val="14"/>
        <rFont val="ＭＳ Ｐ明朝"/>
        <family val="1"/>
        <charset val="128"/>
      </rPr>
      <t>売却価格税抜－</t>
    </r>
    <r>
      <rPr>
        <b/>
        <sz val="14"/>
        <color indexed="10"/>
        <rFont val="Times New Roman"/>
        <family val="1"/>
      </rPr>
      <t>A+B3+C3</t>
    </r>
    <r>
      <rPr>
        <sz val="14"/>
        <rFont val="ＭＳ Ｐ明朝"/>
        <family val="1"/>
        <charset val="128"/>
      </rPr>
      <t>－（</t>
    </r>
    <r>
      <rPr>
        <sz val="14"/>
        <rFont val="Times New Roman"/>
        <family val="1"/>
      </rPr>
      <t>49</t>
    </r>
    <r>
      <rPr>
        <sz val="14"/>
        <rFont val="ＭＳ Ｐ明朝"/>
        <family val="1"/>
        <charset val="128"/>
      </rPr>
      <t>）</t>
    </r>
    <rPh sb="0" eb="2">
      <t>バイキャク</t>
    </rPh>
    <rPh sb="2" eb="4">
      <t>カカク</t>
    </rPh>
    <rPh sb="4" eb="5">
      <t>ゼイ</t>
    </rPh>
    <rPh sb="5" eb="6">
      <t>ヌ</t>
    </rPh>
    <phoneticPr fontId="3"/>
  </si>
  <si>
    <r>
      <t>(54)÷(</t>
    </r>
    <r>
      <rPr>
        <b/>
        <sz val="15"/>
        <color indexed="10"/>
        <rFont val="Times New Roman"/>
        <family val="1"/>
      </rPr>
      <t>A+B3+C3</t>
    </r>
    <r>
      <rPr>
        <sz val="15"/>
        <rFont val="Times New Roman"/>
        <family val="1"/>
      </rPr>
      <t>)</t>
    </r>
    <phoneticPr fontId="3"/>
  </si>
  <si>
    <r>
      <rPr>
        <b/>
        <sz val="14"/>
        <rFont val="ＭＳ Ｐ明朝"/>
        <family val="1"/>
        <charset val="128"/>
      </rPr>
      <t>小　　　計（</t>
    </r>
    <r>
      <rPr>
        <b/>
        <sz val="14"/>
        <rFont val="Times New Roman"/>
        <family val="1"/>
      </rPr>
      <t>8</t>
    </r>
    <r>
      <rPr>
        <b/>
        <sz val="14"/>
        <rFont val="ＭＳ Ｐ明朝"/>
        <family val="1"/>
        <charset val="128"/>
      </rPr>
      <t>）～（</t>
    </r>
    <r>
      <rPr>
        <b/>
        <sz val="14"/>
        <rFont val="Times New Roman"/>
        <family val="1"/>
      </rPr>
      <t>16</t>
    </r>
    <r>
      <rPr>
        <b/>
        <sz val="14"/>
        <rFont val="ＭＳ Ｐ明朝"/>
        <family val="1"/>
        <charset val="128"/>
      </rPr>
      <t>）　</t>
    </r>
    <r>
      <rPr>
        <b/>
        <sz val="16"/>
        <color indexed="10"/>
        <rFont val="ＭＳ Ｐ明朝"/>
        <family val="1"/>
        <charset val="128"/>
      </rPr>
      <t>・・・</t>
    </r>
    <r>
      <rPr>
        <b/>
        <sz val="16"/>
        <color indexed="10"/>
        <rFont val="Times New Roman"/>
        <family val="1"/>
      </rPr>
      <t>B1</t>
    </r>
    <phoneticPr fontId="3"/>
  </si>
  <si>
    <r>
      <rPr>
        <b/>
        <sz val="18"/>
        <color indexed="10"/>
        <rFont val="ＭＳ Ｐ明朝"/>
        <family val="1"/>
        <charset val="128"/>
      </rPr>
      <t xml:space="preserve">（チャレンジ）
</t>
    </r>
    <r>
      <rPr>
        <b/>
        <sz val="18"/>
        <rFont val="ＭＳ Ｐ明朝"/>
        <family val="1"/>
        <charset val="128"/>
      </rPr>
      <t>事業計画</t>
    </r>
    <r>
      <rPr>
        <b/>
        <sz val="18"/>
        <rFont val="Times New Roman"/>
        <family val="1"/>
      </rPr>
      <t>4</t>
    </r>
    <phoneticPr fontId="3"/>
  </si>
  <si>
    <r>
      <rPr>
        <b/>
        <sz val="14"/>
        <rFont val="ＭＳ Ｐ明朝"/>
        <family val="1"/>
        <charset val="128"/>
      </rPr>
      <t>小　　　計（</t>
    </r>
    <r>
      <rPr>
        <b/>
        <sz val="14"/>
        <rFont val="Times New Roman"/>
        <family val="1"/>
      </rPr>
      <t>17</t>
    </r>
    <r>
      <rPr>
        <b/>
        <sz val="14"/>
        <rFont val="ＭＳ Ｐ明朝"/>
        <family val="1"/>
        <charset val="128"/>
      </rPr>
      <t>）～（</t>
    </r>
    <r>
      <rPr>
        <b/>
        <sz val="14"/>
        <rFont val="Times New Roman"/>
        <family val="1"/>
      </rPr>
      <t>20</t>
    </r>
    <r>
      <rPr>
        <b/>
        <sz val="14"/>
        <rFont val="ＭＳ Ｐ明朝"/>
        <family val="1"/>
        <charset val="128"/>
      </rPr>
      <t>）　</t>
    </r>
    <r>
      <rPr>
        <b/>
        <sz val="16"/>
        <color indexed="10"/>
        <rFont val="ＭＳ Ｐ明朝"/>
        <family val="1"/>
        <charset val="128"/>
      </rPr>
      <t>・・・</t>
    </r>
    <r>
      <rPr>
        <b/>
        <sz val="16"/>
        <color indexed="10"/>
        <rFont val="Times New Roman"/>
        <family val="1"/>
      </rPr>
      <t>C1</t>
    </r>
    <phoneticPr fontId="3"/>
  </si>
  <si>
    <r>
      <rPr>
        <sz val="15"/>
        <rFont val="ＭＳ Ｐ明朝"/>
        <family val="1"/>
        <charset val="128"/>
      </rPr>
      <t>（</t>
    </r>
    <r>
      <rPr>
        <sz val="15"/>
        <rFont val="Times New Roman"/>
        <family val="1"/>
      </rPr>
      <t>58</t>
    </r>
    <r>
      <rPr>
        <sz val="15"/>
        <rFont val="ＭＳ Ｐ明朝"/>
        <family val="1"/>
        <charset val="128"/>
      </rPr>
      <t>）</t>
    </r>
    <r>
      <rPr>
        <sz val="15"/>
        <rFont val="Times New Roman"/>
        <family val="1"/>
      </rPr>
      <t>÷</t>
    </r>
    <r>
      <rPr>
        <sz val="15"/>
        <rFont val="ＭＳ Ｐ明朝"/>
        <family val="1"/>
        <charset val="128"/>
      </rPr>
      <t>（</t>
    </r>
    <r>
      <rPr>
        <sz val="15"/>
        <rFont val="Times New Roman"/>
        <family val="1"/>
      </rPr>
      <t>56</t>
    </r>
    <r>
      <rPr>
        <sz val="15"/>
        <rFont val="ＭＳ Ｐ明朝"/>
        <family val="1"/>
        <charset val="128"/>
      </rPr>
      <t>）※売却価格税込</t>
    </r>
    <phoneticPr fontId="3"/>
  </si>
  <si>
    <r>
      <rPr>
        <sz val="15"/>
        <rFont val="ＭＳ Ｐ明朝"/>
        <family val="1"/>
        <charset val="128"/>
      </rPr>
      <t>（</t>
    </r>
    <r>
      <rPr>
        <sz val="15"/>
        <rFont val="Times New Roman"/>
        <family val="1"/>
      </rPr>
      <t>59</t>
    </r>
    <r>
      <rPr>
        <sz val="15"/>
        <rFont val="ＭＳ Ｐ明朝"/>
        <family val="1"/>
        <charset val="128"/>
      </rPr>
      <t>）</t>
    </r>
    <r>
      <rPr>
        <sz val="15"/>
        <rFont val="Times New Roman"/>
        <family val="1"/>
      </rPr>
      <t>÷</t>
    </r>
    <r>
      <rPr>
        <sz val="15"/>
        <rFont val="ＭＳ Ｐ明朝"/>
        <family val="1"/>
        <charset val="128"/>
      </rPr>
      <t>（</t>
    </r>
    <r>
      <rPr>
        <sz val="15"/>
        <rFont val="Times New Roman"/>
        <family val="1"/>
      </rPr>
      <t>56</t>
    </r>
    <r>
      <rPr>
        <sz val="15"/>
        <rFont val="ＭＳ Ｐ明朝"/>
        <family val="1"/>
        <charset val="128"/>
      </rPr>
      <t>）※売却価格税込</t>
    </r>
    <phoneticPr fontId="3"/>
  </si>
  <si>
    <r>
      <rPr>
        <sz val="14"/>
        <rFont val="ＭＳ Ｐ明朝"/>
        <family val="1"/>
        <charset val="128"/>
      </rPr>
      <t>売却価格税抜－</t>
    </r>
    <r>
      <rPr>
        <b/>
        <sz val="14"/>
        <color indexed="10"/>
        <rFont val="Times New Roman"/>
        <family val="1"/>
      </rPr>
      <t>A+B4+C4</t>
    </r>
    <r>
      <rPr>
        <sz val="14"/>
        <rFont val="ＭＳ Ｐ明朝"/>
        <family val="1"/>
        <charset val="128"/>
      </rPr>
      <t>－（</t>
    </r>
    <r>
      <rPr>
        <sz val="14"/>
        <rFont val="Times New Roman"/>
        <family val="1"/>
      </rPr>
      <t>57</t>
    </r>
    <r>
      <rPr>
        <sz val="14"/>
        <rFont val="ＭＳ Ｐ明朝"/>
        <family val="1"/>
        <charset val="128"/>
      </rPr>
      <t>）</t>
    </r>
    <rPh sb="0" eb="2">
      <t>バイキャク</t>
    </rPh>
    <rPh sb="2" eb="4">
      <t>カカク</t>
    </rPh>
    <rPh sb="4" eb="5">
      <t>ゼイ</t>
    </rPh>
    <rPh sb="5" eb="6">
      <t>ヌ</t>
    </rPh>
    <phoneticPr fontId="3"/>
  </si>
  <si>
    <r>
      <t>(62)÷(</t>
    </r>
    <r>
      <rPr>
        <b/>
        <sz val="15"/>
        <color indexed="10"/>
        <rFont val="Times New Roman"/>
        <family val="1"/>
      </rPr>
      <t>A+B4+C4</t>
    </r>
    <r>
      <rPr>
        <sz val="15"/>
        <rFont val="Times New Roman"/>
        <family val="1"/>
      </rPr>
      <t>)</t>
    </r>
    <phoneticPr fontId="3"/>
  </si>
  <si>
    <r>
      <rPr>
        <sz val="18"/>
        <rFont val="ＭＳ Ｐ明朝"/>
        <family val="1"/>
        <charset val="128"/>
      </rPr>
      <t>自社</t>
    </r>
    <r>
      <rPr>
        <sz val="18"/>
        <rFont val="Times New Roman"/>
        <family val="1"/>
      </rPr>
      <t>PM</t>
    </r>
    <rPh sb="0" eb="2">
      <t>ジシャ</t>
    </rPh>
    <phoneticPr fontId="133"/>
  </si>
  <si>
    <r>
      <rPr>
        <sz val="16"/>
        <rFont val="ＭＳ Ｐ明朝"/>
        <family val="1"/>
        <charset val="128"/>
      </rPr>
      <t>事業計画</t>
    </r>
    <r>
      <rPr>
        <sz val="16"/>
        <rFont val="Times New Roman"/>
        <family val="1"/>
      </rPr>
      <t>1</t>
    </r>
    <phoneticPr fontId="3"/>
  </si>
  <si>
    <r>
      <rPr>
        <sz val="16"/>
        <rFont val="ＭＳ Ｐ明朝"/>
        <family val="1"/>
        <charset val="128"/>
      </rPr>
      <t>事業計画</t>
    </r>
    <r>
      <rPr>
        <sz val="16"/>
        <rFont val="Times New Roman"/>
        <family val="1"/>
      </rPr>
      <t>2</t>
    </r>
    <phoneticPr fontId="3"/>
  </si>
  <si>
    <r>
      <rPr>
        <sz val="16"/>
        <rFont val="ＭＳ Ｐ明朝"/>
        <family val="1"/>
        <charset val="128"/>
      </rPr>
      <t>事業計画</t>
    </r>
    <r>
      <rPr>
        <sz val="16"/>
        <rFont val="Times New Roman"/>
        <family val="1"/>
      </rPr>
      <t>3</t>
    </r>
    <rPh sb="0" eb="2">
      <t>ジギョウ</t>
    </rPh>
    <rPh sb="2" eb="4">
      <t>ケイカク</t>
    </rPh>
    <phoneticPr fontId="3"/>
  </si>
  <si>
    <r>
      <rPr>
        <sz val="16"/>
        <rFont val="ＭＳ Ｐ明朝"/>
        <family val="1"/>
        <charset val="128"/>
      </rPr>
      <t>事業計画</t>
    </r>
    <r>
      <rPr>
        <sz val="16"/>
        <rFont val="Times New Roman"/>
        <family val="1"/>
      </rPr>
      <t>4</t>
    </r>
    <rPh sb="0" eb="2">
      <t>ジギョウ</t>
    </rPh>
    <rPh sb="2" eb="4">
      <t>ケイカク</t>
    </rPh>
    <phoneticPr fontId="3"/>
  </si>
  <si>
    <r>
      <rPr>
        <b/>
        <sz val="14"/>
        <rFont val="ＭＳ Ｐ明朝"/>
        <family val="1"/>
        <charset val="128"/>
      </rPr>
      <t>小　　　計（</t>
    </r>
    <r>
      <rPr>
        <b/>
        <sz val="14"/>
        <rFont val="Times New Roman"/>
        <family val="1"/>
      </rPr>
      <t>21</t>
    </r>
    <r>
      <rPr>
        <b/>
        <sz val="14"/>
        <rFont val="ＭＳ Ｐ明朝"/>
        <family val="1"/>
        <charset val="128"/>
      </rPr>
      <t>）～（</t>
    </r>
    <r>
      <rPr>
        <b/>
        <sz val="14"/>
        <rFont val="Times New Roman"/>
        <family val="1"/>
      </rPr>
      <t>26</t>
    </r>
    <r>
      <rPr>
        <b/>
        <sz val="14"/>
        <rFont val="ＭＳ Ｐ明朝"/>
        <family val="1"/>
        <charset val="128"/>
      </rPr>
      <t>）　</t>
    </r>
    <r>
      <rPr>
        <b/>
        <sz val="16"/>
        <color indexed="10"/>
        <rFont val="ＭＳ Ｐ明朝"/>
        <family val="1"/>
        <charset val="128"/>
      </rPr>
      <t>・・・</t>
    </r>
    <r>
      <rPr>
        <b/>
        <sz val="16"/>
        <color indexed="10"/>
        <rFont val="Times New Roman"/>
        <family val="1"/>
      </rPr>
      <t>D1</t>
    </r>
    <phoneticPr fontId="3"/>
  </si>
  <si>
    <r>
      <rPr>
        <sz val="18"/>
        <rFont val="ＭＳ Ｐ明朝"/>
        <family val="1"/>
        <charset val="128"/>
      </rPr>
      <t>事業利益（期中収益込）</t>
    </r>
    <r>
      <rPr>
        <sz val="18"/>
        <rFont val="Times New Roman"/>
        <family val="1"/>
      </rPr>
      <t xml:space="preserve"> </t>
    </r>
    <r>
      <rPr>
        <b/>
        <sz val="18"/>
        <color indexed="10"/>
        <rFont val="Times New Roman"/>
        <family val="1"/>
      </rPr>
      <t>G</t>
    </r>
    <rPh sb="0" eb="2">
      <t>ジギョウ</t>
    </rPh>
    <rPh sb="2" eb="4">
      <t>リエキ</t>
    </rPh>
    <rPh sb="5" eb="7">
      <t>キチュウ</t>
    </rPh>
    <rPh sb="7" eb="9">
      <t>シュウエキ</t>
    </rPh>
    <rPh sb="9" eb="10">
      <t>コ</t>
    </rPh>
    <phoneticPr fontId="133"/>
  </si>
  <si>
    <r>
      <rPr>
        <sz val="18"/>
        <rFont val="ＭＳ Ｐ明朝"/>
        <family val="1"/>
        <charset val="128"/>
      </rPr>
      <t>対原価利回り（</t>
    </r>
    <r>
      <rPr>
        <sz val="18"/>
        <rFont val="Times New Roman"/>
        <family val="1"/>
      </rPr>
      <t>gross</t>
    </r>
    <r>
      <rPr>
        <sz val="18"/>
        <rFont val="ＭＳ Ｐ明朝"/>
        <family val="1"/>
        <charset val="128"/>
      </rPr>
      <t>)</t>
    </r>
    <rPh sb="0" eb="1">
      <t>タイ</t>
    </rPh>
    <rPh sb="1" eb="3">
      <t>ゲンカ</t>
    </rPh>
    <rPh sb="3" eb="5">
      <t>リマワ</t>
    </rPh>
    <phoneticPr fontId="133"/>
  </si>
  <si>
    <r>
      <rPr>
        <sz val="18"/>
        <rFont val="ＭＳ Ｐ明朝"/>
        <family val="1"/>
        <charset val="128"/>
      </rPr>
      <t>対原価利回り（</t>
    </r>
    <r>
      <rPr>
        <sz val="18"/>
        <rFont val="Times New Roman"/>
        <family val="1"/>
      </rPr>
      <t>NOI</t>
    </r>
    <r>
      <rPr>
        <sz val="18"/>
        <rFont val="ＭＳ Ｐ明朝"/>
        <family val="1"/>
        <charset val="128"/>
      </rPr>
      <t>)</t>
    </r>
    <rPh sb="0" eb="3">
      <t>タイゲンカ</t>
    </rPh>
    <rPh sb="3" eb="5">
      <t>リマワ</t>
    </rPh>
    <phoneticPr fontId="133"/>
  </si>
  <si>
    <r>
      <rPr>
        <sz val="16"/>
        <rFont val="ＭＳ Ｐ明朝"/>
        <family val="1"/>
        <charset val="128"/>
      </rPr>
      <t>■固定資産税評価額</t>
    </r>
    <rPh sb="1" eb="3">
      <t>コテイ</t>
    </rPh>
    <rPh sb="3" eb="6">
      <t>シサンゼイ</t>
    </rPh>
    <rPh sb="6" eb="9">
      <t>ヒョウカガク</t>
    </rPh>
    <phoneticPr fontId="3"/>
  </si>
  <si>
    <t>↓基本リノベーション内容</t>
    <rPh sb="1" eb="3">
      <t>キホン</t>
    </rPh>
    <rPh sb="10" eb="12">
      <t>ナイヨウ</t>
    </rPh>
    <phoneticPr fontId="133"/>
  </si>
  <si>
    <t>対原価事業利益率（期中収益除く）</t>
    <rPh sb="0" eb="1">
      <t>タイ</t>
    </rPh>
    <rPh sb="1" eb="3">
      <t>ゲンカ</t>
    </rPh>
    <rPh sb="3" eb="5">
      <t>ジギョウ</t>
    </rPh>
    <rPh sb="5" eb="7">
      <t>リエキ</t>
    </rPh>
    <rPh sb="7" eb="8">
      <t>リツ</t>
    </rPh>
    <rPh sb="9" eb="11">
      <t>キチュウ</t>
    </rPh>
    <rPh sb="11" eb="13">
      <t>シュウエキ</t>
    </rPh>
    <rPh sb="13" eb="14">
      <t>ノゾ</t>
    </rPh>
    <phoneticPr fontId="3"/>
  </si>
  <si>
    <t>対原価事業利益率</t>
    <rPh sb="0" eb="1">
      <t>タイ</t>
    </rPh>
    <rPh sb="1" eb="3">
      <t>ゲンカ</t>
    </rPh>
    <rPh sb="3" eb="5">
      <t>ジギョウ</t>
    </rPh>
    <rPh sb="5" eb="7">
      <t>リエキ</t>
    </rPh>
    <rPh sb="7" eb="8">
      <t>リツ</t>
    </rPh>
    <phoneticPr fontId="133"/>
  </si>
  <si>
    <t>…B4</t>
    <phoneticPr fontId="133"/>
  </si>
  <si>
    <t>…B2,3</t>
    <phoneticPr fontId="3"/>
  </si>
  <si>
    <t>＜事業計画シナリオの基準＞
　見込　　LM：賃料はLM担当支店と協議の上、LMの意志を込めた「LM査定書」の目標金額
　　　　　PM：賃料増額交渉は、担当PM-AMLの意志を込めた見込増額幅を設定
　　　　　　　テナントHAPPYご移転は、担当PM-AMLの意志により最大3テナントまで読み込み可能
　　　　　FS：売却見込CAP（NOI)については、FS柳次長及び担当RP-AMLの意志を込めて設定（配分に影響有）
　下限　　LM：賃料はLM担当支店と協議の上、LMの意志を込めた「LM査定書」の下限金額
　　　　　PM：賃料増額交渉は、担当PM-AMLの意志を込めた下限増額幅を設定
　　　　　　　⇒10％や@1,000円に限られないが、テナントの業績・業種・社歴・性格・増減履歴・更新時期を勘案、
　　　　　　　　意志を込めて「責任を持ってやり切る」水準とし、無理な設定は避けるものとする
　　　　　　　テナントHAPPYご移転は、担当PM-AMLの意志により最大1テナントまで読み込み可能
　　　　　FS：売却下限CAP（NOI)については、FS柳次長及び担当RP-AMLの意志を込めて設定（配分に影響有）
　ﾘｽｸ値 　LM：原状回復オフィスの賃料で空室部分を設定
　　　　　PM：増額・ご移転は見込まない
　　　　　FS：下限CAPと同水準
　　　　　　　⇒この時、事業計画がどうなってしまうかを「リスク値」として認識する（工事費は下限計画のまま）
　ﾁｬﾚﾝｼﾞ　LM：KICK OFF MTG等にて設定した募集（チャレンジ）水準
　　　　　PM：増額・ご移転をポジティブに見込む
　　　　　FS：最高のお客様に出会えた場合のCAP水準（直接のお客様を想定し手数料なし）
　　　　　　　⇒本物件の内包する最大付加価値を認識する（工事費はチャレンジ計画）</t>
    <phoneticPr fontId="133"/>
  </si>
  <si>
    <t>稟　　議　　書</t>
    <rPh sb="0" eb="1">
      <t>ヒン</t>
    </rPh>
    <rPh sb="3" eb="4">
      <t>ギ</t>
    </rPh>
    <rPh sb="6" eb="7">
      <t>ショ</t>
    </rPh>
    <phoneticPr fontId="3"/>
  </si>
  <si>
    <t>起案部署</t>
    <rPh sb="0" eb="2">
      <t>キアン</t>
    </rPh>
    <rPh sb="2" eb="4">
      <t>ブショ</t>
    </rPh>
    <phoneticPr fontId="3"/>
  </si>
  <si>
    <t>承　認</t>
    <rPh sb="0" eb="1">
      <t>ウケタマワ</t>
    </rPh>
    <rPh sb="2" eb="3">
      <t>シノブ</t>
    </rPh>
    <phoneticPr fontId="3"/>
  </si>
  <si>
    <t>回　議・協議先</t>
    <rPh sb="0" eb="1">
      <t>カイ</t>
    </rPh>
    <rPh sb="2" eb="3">
      <t>ギ</t>
    </rPh>
    <rPh sb="4" eb="6">
      <t>キョウギ</t>
    </rPh>
    <rPh sb="6" eb="7">
      <t>サキ</t>
    </rPh>
    <phoneticPr fontId="3"/>
  </si>
  <si>
    <t>起案日</t>
    <rPh sb="0" eb="2">
      <t>キアン</t>
    </rPh>
    <rPh sb="2" eb="3">
      <t>ビ</t>
    </rPh>
    <phoneticPr fontId="3"/>
  </si>
  <si>
    <t>社　長</t>
    <rPh sb="0" eb="1">
      <t>シャ</t>
    </rPh>
    <rPh sb="2" eb="3">
      <t>チョウ</t>
    </rPh>
    <phoneticPr fontId="3"/>
  </si>
  <si>
    <t>管理本部長</t>
    <rPh sb="0" eb="2">
      <t>カンリ</t>
    </rPh>
    <rPh sb="2" eb="5">
      <t>ホンブチョウ</t>
    </rPh>
    <phoneticPr fontId="3"/>
  </si>
  <si>
    <t>本部長</t>
    <rPh sb="0" eb="3">
      <t>ホンブチョウ</t>
    </rPh>
    <phoneticPr fontId="3"/>
  </si>
  <si>
    <t>部　長</t>
    <rPh sb="0" eb="1">
      <t>ブ</t>
    </rPh>
    <rPh sb="2" eb="3">
      <t>チョウ</t>
    </rPh>
    <phoneticPr fontId="3"/>
  </si>
  <si>
    <t>ｱﾒｰﾊﾞﾘｰﾀﾞｰ</t>
    <phoneticPr fontId="3"/>
  </si>
  <si>
    <t>担　当</t>
    <rPh sb="0" eb="1">
      <t>タン</t>
    </rPh>
    <rPh sb="2" eb="3">
      <t>トウ</t>
    </rPh>
    <phoneticPr fontId="3"/>
  </si>
  <si>
    <t>／ ／</t>
    <phoneticPr fontId="3"/>
  </si>
  <si>
    <t>（日付）</t>
    <rPh sb="1" eb="3">
      <t>ヒヅケ</t>
    </rPh>
    <phoneticPr fontId="3"/>
  </si>
  <si>
    <t>（承認条件・指示等）</t>
    <rPh sb="1" eb="3">
      <t>ショウニン</t>
    </rPh>
    <rPh sb="3" eb="5">
      <t>ジョウケン</t>
    </rPh>
    <rPh sb="6" eb="8">
      <t>シジ</t>
    </rPh>
    <rPh sb="8" eb="9">
      <t>トウ</t>
    </rPh>
    <phoneticPr fontId="3"/>
  </si>
  <si>
    <t>件　名</t>
    <rPh sb="0" eb="1">
      <t>ケン</t>
    </rPh>
    <rPh sb="2" eb="3">
      <t>メイ</t>
    </rPh>
    <phoneticPr fontId="3"/>
  </si>
  <si>
    <t>前回
承認番号</t>
    <rPh sb="0" eb="2">
      <t>ゼンカイ</t>
    </rPh>
    <rPh sb="3" eb="5">
      <t>ショウニン</t>
    </rPh>
    <rPh sb="5" eb="7">
      <t>バンゴウ</t>
    </rPh>
    <phoneticPr fontId="3"/>
  </si>
  <si>
    <t>予　算</t>
    <rPh sb="0" eb="1">
      <t>ヨ</t>
    </rPh>
    <rPh sb="2" eb="3">
      <t>ザン</t>
    </rPh>
    <phoneticPr fontId="3"/>
  </si>
  <si>
    <t>回覧・報告</t>
    <rPh sb="0" eb="2">
      <t>カイラン</t>
    </rPh>
    <rPh sb="3" eb="5">
      <t>ホウコク</t>
    </rPh>
    <phoneticPr fontId="3"/>
  </si>
  <si>
    <t>受付日</t>
    <rPh sb="0" eb="3">
      <t>ウケツケビ</t>
    </rPh>
    <phoneticPr fontId="3"/>
  </si>
  <si>
    <t>平成　年　月　日</t>
    <rPh sb="0" eb="2">
      <t>ヘイセイ</t>
    </rPh>
    <rPh sb="3" eb="4">
      <t>ネン</t>
    </rPh>
    <rPh sb="5" eb="6">
      <t>ガツ</t>
    </rPh>
    <rPh sb="7" eb="8">
      <t>ニチ</t>
    </rPh>
    <phoneticPr fontId="3"/>
  </si>
  <si>
    <t>受付</t>
    <rPh sb="0" eb="2">
      <t>ウケツケ</t>
    </rPh>
    <phoneticPr fontId="3"/>
  </si>
  <si>
    <t>監査役</t>
    <rPh sb="0" eb="3">
      <t>カンサヤク</t>
    </rPh>
    <phoneticPr fontId="3"/>
  </si>
  <si>
    <t>受付番号</t>
    <rPh sb="0" eb="2">
      <t>ウケツケ</t>
    </rPh>
    <rPh sb="2" eb="4">
      <t>バンゴウ</t>
    </rPh>
    <phoneticPr fontId="3"/>
  </si>
  <si>
    <t>第　　　　　号</t>
    <rPh sb="0" eb="1">
      <t>ダイ</t>
    </rPh>
    <rPh sb="6" eb="7">
      <t>ゴウ</t>
    </rPh>
    <phoneticPr fontId="3"/>
  </si>
  <si>
    <t>総務部</t>
    <rPh sb="0" eb="2">
      <t>ソウム</t>
    </rPh>
    <rPh sb="2" eb="3">
      <t>ブ</t>
    </rPh>
    <phoneticPr fontId="3"/>
  </si>
  <si>
    <t>取締役会</t>
    <rPh sb="0" eb="3">
      <t>トリシマリヤク</t>
    </rPh>
    <rPh sb="3" eb="4">
      <t>カイ</t>
    </rPh>
    <phoneticPr fontId="3"/>
  </si>
  <si>
    <t>要　　・　　否</t>
    <rPh sb="0" eb="1">
      <t>ヨウ</t>
    </rPh>
    <rPh sb="6" eb="7">
      <t>ヒ</t>
    </rPh>
    <phoneticPr fontId="3"/>
  </si>
  <si>
    <t>承認日</t>
    <rPh sb="0" eb="2">
      <t>ショウニン</t>
    </rPh>
    <rPh sb="2" eb="3">
      <t>ビ</t>
    </rPh>
    <phoneticPr fontId="3"/>
  </si>
  <si>
    <t>承認番号</t>
    <rPh sb="0" eb="2">
      <t>ショウニン</t>
    </rPh>
    <rPh sb="2" eb="4">
      <t>バンゴウ</t>
    </rPh>
    <phoneticPr fontId="3"/>
  </si>
  <si>
    <t>※協議先・回覧部署等は申請書類ごとに職務権限表に則り記載すること。不要の箇所は斜線をひくこと。</t>
    <rPh sb="1" eb="3">
      <t>キョウギ</t>
    </rPh>
    <rPh sb="3" eb="4">
      <t>サキ</t>
    </rPh>
    <rPh sb="5" eb="7">
      <t>カイラン</t>
    </rPh>
    <rPh sb="7" eb="9">
      <t>ブショ</t>
    </rPh>
    <rPh sb="9" eb="10">
      <t>トウ</t>
    </rPh>
    <rPh sb="11" eb="13">
      <t>シンセイ</t>
    </rPh>
    <rPh sb="13" eb="15">
      <t>ショルイ</t>
    </rPh>
    <rPh sb="18" eb="20">
      <t>ショクム</t>
    </rPh>
    <rPh sb="20" eb="22">
      <t>ケンゲン</t>
    </rPh>
    <rPh sb="22" eb="23">
      <t>ヒョウ</t>
    </rPh>
    <rPh sb="24" eb="25">
      <t>ノット</t>
    </rPh>
    <rPh sb="26" eb="28">
      <t>キサイ</t>
    </rPh>
    <rPh sb="33" eb="35">
      <t>フヨウ</t>
    </rPh>
    <rPh sb="36" eb="38">
      <t>カショ</t>
    </rPh>
    <rPh sb="39" eb="41">
      <t>シャセン</t>
    </rPh>
    <phoneticPr fontId="3"/>
  </si>
  <si>
    <t>※稟議内容について、簡潔明瞭に記載し、判断に足る参考書類を添付すること。</t>
    <rPh sb="1" eb="3">
      <t>リンギ</t>
    </rPh>
    <rPh sb="3" eb="5">
      <t>ナイヨウ</t>
    </rPh>
    <rPh sb="10" eb="12">
      <t>カンケツ</t>
    </rPh>
    <rPh sb="12" eb="14">
      <t>メイリョウ</t>
    </rPh>
    <rPh sb="15" eb="17">
      <t>キサイ</t>
    </rPh>
    <rPh sb="19" eb="21">
      <t>ハンダン</t>
    </rPh>
    <rPh sb="22" eb="23">
      <t>タ</t>
    </rPh>
    <rPh sb="24" eb="26">
      <t>サンコウ</t>
    </rPh>
    <rPh sb="26" eb="28">
      <t>ショルイ</t>
    </rPh>
    <rPh sb="29" eb="31">
      <t>テンプ</t>
    </rPh>
    <phoneticPr fontId="3"/>
  </si>
  <si>
    <t>※本稟議書の承認原本は人事総務部が保管し、起案部署へは人事総務部からその写しを交付する。</t>
    <rPh sb="1" eb="2">
      <t>ホン</t>
    </rPh>
    <rPh sb="2" eb="4">
      <t>リンギ</t>
    </rPh>
    <rPh sb="4" eb="5">
      <t>ショ</t>
    </rPh>
    <rPh sb="6" eb="8">
      <t>ショウニン</t>
    </rPh>
    <rPh sb="8" eb="10">
      <t>ゲンポン</t>
    </rPh>
    <rPh sb="11" eb="13">
      <t>ジンジ</t>
    </rPh>
    <rPh sb="13" eb="15">
      <t>ソウム</t>
    </rPh>
    <rPh sb="15" eb="16">
      <t>ブ</t>
    </rPh>
    <rPh sb="17" eb="19">
      <t>ホカン</t>
    </rPh>
    <rPh sb="21" eb="23">
      <t>キアン</t>
    </rPh>
    <rPh sb="23" eb="25">
      <t>ブショ</t>
    </rPh>
    <rPh sb="27" eb="29">
      <t>ジンジ</t>
    </rPh>
    <rPh sb="29" eb="31">
      <t>ソウム</t>
    </rPh>
    <rPh sb="31" eb="32">
      <t>ブ</t>
    </rPh>
    <rPh sb="36" eb="37">
      <t>ウツ</t>
    </rPh>
    <rPh sb="39" eb="41">
      <t>コウフ</t>
    </rPh>
    <phoneticPr fontId="3"/>
  </si>
  <si>
    <t>（申請内容・理由）</t>
    <phoneticPr fontId="3"/>
  </si>
  <si>
    <t>表題の件につき、次に掲げる条件にて事業に取り組みたく、参考書類を添えて稟申いたします。</t>
    <rPh sb="0" eb="2">
      <t>ヒョウダイ</t>
    </rPh>
    <rPh sb="3" eb="4">
      <t>ケン</t>
    </rPh>
    <rPh sb="8" eb="9">
      <t>ツギ</t>
    </rPh>
    <rPh sb="10" eb="11">
      <t>カカ</t>
    </rPh>
    <rPh sb="13" eb="15">
      <t>ジョウケン</t>
    </rPh>
    <rPh sb="17" eb="19">
      <t>ジギョウ</t>
    </rPh>
    <rPh sb="20" eb="21">
      <t>ト</t>
    </rPh>
    <rPh sb="22" eb="23">
      <t>ク</t>
    </rPh>
    <rPh sb="27" eb="29">
      <t>サンコウ</t>
    </rPh>
    <rPh sb="29" eb="31">
      <t>ショルイ</t>
    </rPh>
    <rPh sb="32" eb="33">
      <t>ソ</t>
    </rPh>
    <rPh sb="35" eb="36">
      <t>ヒン</t>
    </rPh>
    <rPh sb="36" eb="37">
      <t>サル</t>
    </rPh>
    <phoneticPr fontId="3"/>
  </si>
  <si>
    <t>㎡</t>
    <phoneticPr fontId="192"/>
  </si>
  <si>
    <t>坪　登記簿記載面積）</t>
    <rPh sb="0" eb="1">
      <t>ツボ</t>
    </rPh>
    <rPh sb="2" eb="5">
      <t>トウキボ</t>
    </rPh>
    <rPh sb="5" eb="7">
      <t>キサイ</t>
    </rPh>
    <rPh sb="7" eb="9">
      <t>メンセキ</t>
    </rPh>
    <phoneticPr fontId="192"/>
  </si>
  <si>
    <t>延床面積</t>
    <rPh sb="0" eb="1">
      <t>ノベ</t>
    </rPh>
    <rPh sb="1" eb="4">
      <t>ユカメンセキ</t>
    </rPh>
    <phoneticPr fontId="192"/>
  </si>
  <si>
    <t>用途</t>
    <rPh sb="0" eb="2">
      <t>ヨウト</t>
    </rPh>
    <phoneticPr fontId="192"/>
  </si>
  <si>
    <t>（別途消費税等</t>
    <rPh sb="1" eb="3">
      <t>ベット</t>
    </rPh>
    <rPh sb="3" eb="7">
      <t>ショウヒゼイトウ</t>
    </rPh>
    <phoneticPr fontId="192"/>
  </si>
  <si>
    <t>円）</t>
    <rPh sb="0" eb="1">
      <t>エン</t>
    </rPh>
    <phoneticPr fontId="192"/>
  </si>
  <si>
    <t>売主</t>
  </si>
  <si>
    <t>売主</t>
    <rPh sb="0" eb="2">
      <t>ウリヌシ</t>
    </rPh>
    <phoneticPr fontId="3"/>
  </si>
  <si>
    <t>購入時仲介業者（売側）</t>
    <rPh sb="0" eb="3">
      <t>コウニュウジ</t>
    </rPh>
    <rPh sb="3" eb="5">
      <t>チュウカイ</t>
    </rPh>
    <rPh sb="5" eb="7">
      <t>ギョウシャ</t>
    </rPh>
    <rPh sb="8" eb="9">
      <t>ウ</t>
    </rPh>
    <rPh sb="9" eb="10">
      <t>ガワ</t>
    </rPh>
    <phoneticPr fontId="3"/>
  </si>
  <si>
    <t>購入時仲介業者（買側）</t>
    <rPh sb="0" eb="3">
      <t>コウニュウジ</t>
    </rPh>
    <rPh sb="3" eb="5">
      <t>チュウカイ</t>
    </rPh>
    <rPh sb="5" eb="7">
      <t>ギョウシャ</t>
    </rPh>
    <rPh sb="8" eb="9">
      <t>バイ</t>
    </rPh>
    <rPh sb="9" eb="10">
      <t>ガワ</t>
    </rPh>
    <phoneticPr fontId="3"/>
  </si>
  <si>
    <t>●●株式会社</t>
    <rPh sb="2" eb="6">
      <t>カブシキガイシャ</t>
    </rPh>
    <phoneticPr fontId="3"/>
  </si>
  <si>
    <t>消費税等率</t>
    <rPh sb="0" eb="3">
      <t>ショウヒゼイ</t>
    </rPh>
    <rPh sb="3" eb="4">
      <t>トウ</t>
    </rPh>
    <rPh sb="4" eb="5">
      <t>リツ</t>
    </rPh>
    <phoneticPr fontId="3"/>
  </si>
  <si>
    <t>（NOI利回り</t>
    <rPh sb="4" eb="6">
      <t>リマワ</t>
    </rPh>
    <phoneticPr fontId="192"/>
  </si>
  <si>
    <t>)</t>
    <phoneticPr fontId="192"/>
  </si>
  <si>
    <t>（利益率</t>
    <rPh sb="1" eb="3">
      <t>リエキ</t>
    </rPh>
    <rPh sb="3" eb="4">
      <t>リツ</t>
    </rPh>
    <phoneticPr fontId="192"/>
  </si>
  <si>
    <t>契約日</t>
    <rPh sb="0" eb="3">
      <t>ケイヤクビ</t>
    </rPh>
    <phoneticPr fontId="192"/>
  </si>
  <si>
    <t>決済日</t>
    <rPh sb="0" eb="3">
      <t>ケッサイビ</t>
    </rPh>
    <phoneticPr fontId="192"/>
  </si>
  <si>
    <t>借入先</t>
    <rPh sb="0" eb="2">
      <t>カリイレ</t>
    </rPh>
    <rPh sb="2" eb="3">
      <t>サキ</t>
    </rPh>
    <phoneticPr fontId="192"/>
  </si>
  <si>
    <t>購入時</t>
    <rPh sb="0" eb="3">
      <t>コウニュウジ</t>
    </rPh>
    <phoneticPr fontId="3"/>
  </si>
  <si>
    <t>融資金融機関（借入先）</t>
    <rPh sb="0" eb="2">
      <t>ユウシ</t>
    </rPh>
    <rPh sb="2" eb="4">
      <t>キンユウ</t>
    </rPh>
    <rPh sb="4" eb="6">
      <t>キカン</t>
    </rPh>
    <rPh sb="7" eb="9">
      <t>カリイレ</t>
    </rPh>
    <rPh sb="9" eb="10">
      <t>サキ</t>
    </rPh>
    <phoneticPr fontId="3"/>
  </si>
  <si>
    <t>三井住友銀行</t>
    <rPh sb="0" eb="2">
      <t>ミツイ</t>
    </rPh>
    <rPh sb="2" eb="4">
      <t>スミトモ</t>
    </rPh>
    <rPh sb="4" eb="6">
      <t>ギンコウ</t>
    </rPh>
    <phoneticPr fontId="3"/>
  </si>
  <si>
    <t>借入金額</t>
    <rPh sb="0" eb="2">
      <t>カリイ</t>
    </rPh>
    <rPh sb="2" eb="4">
      <t>キンガク</t>
    </rPh>
    <phoneticPr fontId="192"/>
  </si>
  <si>
    <t>必要自己資金</t>
    <rPh sb="0" eb="2">
      <t>ヒツヨウ</t>
    </rPh>
    <rPh sb="2" eb="4">
      <t>ジコ</t>
    </rPh>
    <rPh sb="4" eb="6">
      <t>シキン</t>
    </rPh>
    <phoneticPr fontId="192"/>
  </si>
  <si>
    <t>手付金</t>
    <rPh sb="0" eb="2">
      <t>テツケ</t>
    </rPh>
    <rPh sb="2" eb="3">
      <t>キン</t>
    </rPh>
    <phoneticPr fontId="3"/>
  </si>
  <si>
    <t>＜添付資料等＞</t>
    <rPh sb="1" eb="3">
      <t>テンプ</t>
    </rPh>
    <rPh sb="3" eb="6">
      <t>シリョウトウ</t>
    </rPh>
    <phoneticPr fontId="192"/>
  </si>
  <si>
    <t>以上</t>
    <rPh sb="0" eb="2">
      <t>イジョウ</t>
    </rPh>
    <phoneticPr fontId="192"/>
  </si>
  <si>
    <t>記</t>
    <rPh sb="0" eb="1">
      <t>キ</t>
    </rPh>
    <phoneticPr fontId="192"/>
  </si>
  <si>
    <t>アセットマネジメント本部
リプランニング事業部</t>
    <rPh sb="10" eb="12">
      <t>ホンブ</t>
    </rPh>
    <rPh sb="20" eb="22">
      <t>ジギョウ</t>
    </rPh>
    <rPh sb="22" eb="23">
      <t>ブ</t>
    </rPh>
    <phoneticPr fontId="3"/>
  </si>
  <si>
    <t>売買条件</t>
    <rPh sb="0" eb="2">
      <t>バイバイ</t>
    </rPh>
    <rPh sb="2" eb="4">
      <t>ジョウケン</t>
    </rPh>
    <phoneticPr fontId="3"/>
  </si>
  <si>
    <t>現況有姿、公簿売買、瑕疵担保免責</t>
    <rPh sb="0" eb="2">
      <t>ゲンキョウ</t>
    </rPh>
    <rPh sb="2" eb="3">
      <t>ユウ</t>
    </rPh>
    <rPh sb="3" eb="4">
      <t>スガタ</t>
    </rPh>
    <rPh sb="5" eb="6">
      <t>コウ</t>
    </rPh>
    <rPh sb="6" eb="7">
      <t>ボ</t>
    </rPh>
    <rPh sb="7" eb="9">
      <t>バイバイ</t>
    </rPh>
    <rPh sb="10" eb="16">
      <t>カシタンポメンセキ</t>
    </rPh>
    <phoneticPr fontId="3"/>
  </si>
  <si>
    <t>売主側</t>
    <rPh sb="0" eb="2">
      <t>ウリヌシ</t>
    </rPh>
    <rPh sb="2" eb="3">
      <t>ガワ</t>
    </rPh>
    <phoneticPr fontId="192"/>
  </si>
  <si>
    <t>買主側</t>
    <rPh sb="0" eb="2">
      <t>カイヌシ</t>
    </rPh>
    <rPh sb="2" eb="3">
      <t>ガワ</t>
    </rPh>
    <phoneticPr fontId="192"/>
  </si>
  <si>
    <t>特筆すべき条件</t>
    <rPh sb="0" eb="2">
      <t>トクヒツ</t>
    </rPh>
    <rPh sb="5" eb="7">
      <t>ジョウケン</t>
    </rPh>
    <phoneticPr fontId="3"/>
  </si>
  <si>
    <t>事業決定及び売買契約締結（購入）</t>
    <rPh sb="0" eb="2">
      <t>ジギョウ</t>
    </rPh>
    <rPh sb="2" eb="4">
      <t>ケッテイ</t>
    </rPh>
    <rPh sb="4" eb="5">
      <t>オヨ</t>
    </rPh>
    <rPh sb="6" eb="8">
      <t>バイバイ</t>
    </rPh>
    <rPh sb="8" eb="10">
      <t>ケイヤク</t>
    </rPh>
    <rPh sb="10" eb="12">
      <t>テイケツ</t>
    </rPh>
    <rPh sb="13" eb="15">
      <t>コウニュウ</t>
    </rPh>
    <phoneticPr fontId="192"/>
  </si>
  <si>
    <t>売却決定及び売買契約締結（売却）</t>
    <rPh sb="0" eb="2">
      <t>バイキャク</t>
    </rPh>
    <rPh sb="2" eb="4">
      <t>ケッテイ</t>
    </rPh>
    <rPh sb="4" eb="5">
      <t>オヨ</t>
    </rPh>
    <rPh sb="6" eb="8">
      <t>バイバイ</t>
    </rPh>
    <rPh sb="8" eb="10">
      <t>ケイヤク</t>
    </rPh>
    <rPh sb="10" eb="12">
      <t>テイケツ</t>
    </rPh>
    <rPh sb="13" eb="15">
      <t>バイキャク</t>
    </rPh>
    <phoneticPr fontId="192"/>
  </si>
  <si>
    <t>物件名（旧称）</t>
    <rPh sb="0" eb="2">
      <t>ブッケン</t>
    </rPh>
    <rPh sb="2" eb="3">
      <t>メイ</t>
    </rPh>
    <rPh sb="4" eb="6">
      <t>キュウショウ</t>
    </rPh>
    <phoneticPr fontId="4"/>
  </si>
  <si>
    <t>表題の件につき、次に掲げる条件にて売却致したく、参考書類を添えて稟申いたします。</t>
    <rPh sb="0" eb="2">
      <t>ヒョウダイ</t>
    </rPh>
    <rPh sb="3" eb="4">
      <t>ケン</t>
    </rPh>
    <rPh sb="8" eb="9">
      <t>ツギ</t>
    </rPh>
    <rPh sb="10" eb="11">
      <t>カカ</t>
    </rPh>
    <rPh sb="13" eb="15">
      <t>ジョウケン</t>
    </rPh>
    <rPh sb="17" eb="19">
      <t>バイキャク</t>
    </rPh>
    <rPh sb="19" eb="20">
      <t>イタ</t>
    </rPh>
    <rPh sb="24" eb="26">
      <t>サンコウ</t>
    </rPh>
    <rPh sb="26" eb="28">
      <t>ショルイ</t>
    </rPh>
    <rPh sb="29" eb="30">
      <t>ソ</t>
    </rPh>
    <rPh sb="32" eb="33">
      <t>ヒン</t>
    </rPh>
    <rPh sb="33" eb="34">
      <t>サル</t>
    </rPh>
    <phoneticPr fontId="3"/>
  </si>
  <si>
    <t>買主</t>
    <rPh sb="0" eb="2">
      <t>カイヌシ</t>
    </rPh>
    <phoneticPr fontId="3"/>
  </si>
  <si>
    <t>売却時仲介業者（買側）</t>
    <rPh sb="0" eb="2">
      <t>バイキャク</t>
    </rPh>
    <rPh sb="2" eb="3">
      <t>ジ</t>
    </rPh>
    <rPh sb="3" eb="5">
      <t>チュウカイ</t>
    </rPh>
    <rPh sb="5" eb="7">
      <t>ギョウシャ</t>
    </rPh>
    <rPh sb="8" eb="9">
      <t>バイ</t>
    </rPh>
    <rPh sb="9" eb="10">
      <t>ガワ</t>
    </rPh>
    <phoneticPr fontId="3"/>
  </si>
  <si>
    <t>売却時仲介業者（売側）</t>
    <rPh sb="0" eb="2">
      <t>バイキャク</t>
    </rPh>
    <rPh sb="2" eb="3">
      <t>ジ</t>
    </rPh>
    <rPh sb="3" eb="5">
      <t>チュウカイ</t>
    </rPh>
    <rPh sb="5" eb="7">
      <t>ギョウシャ</t>
    </rPh>
    <rPh sb="8" eb="9">
      <t>バイ</t>
    </rPh>
    <rPh sb="9" eb="10">
      <t>ガワ</t>
    </rPh>
    <phoneticPr fontId="3"/>
  </si>
  <si>
    <r>
      <t>円）</t>
    </r>
    <r>
      <rPr>
        <sz val="9"/>
        <rFont val="平成明朝"/>
        <family val="1"/>
        <charset val="128"/>
      </rPr>
      <t>※買主側媒介業者等へ支払い</t>
    </r>
    <rPh sb="0" eb="1">
      <t>エン</t>
    </rPh>
    <rPh sb="3" eb="5">
      <t>カイヌシ</t>
    </rPh>
    <rPh sb="5" eb="6">
      <t>ガワ</t>
    </rPh>
    <rPh sb="6" eb="8">
      <t>バイカイ</t>
    </rPh>
    <rPh sb="8" eb="11">
      <t>ギョウシャトウ</t>
    </rPh>
    <rPh sb="12" eb="14">
      <t>シハラ</t>
    </rPh>
    <phoneticPr fontId="192"/>
  </si>
  <si>
    <t>売却時</t>
    <rPh sb="0" eb="2">
      <t>バイキャク</t>
    </rPh>
    <rPh sb="2" eb="3">
      <t>ドキ</t>
    </rPh>
    <phoneticPr fontId="3"/>
  </si>
  <si>
    <t>サンフロンティア不動産株式会社</t>
    <rPh sb="8" eb="11">
      <t>フドウサン</t>
    </rPh>
    <rPh sb="11" eb="15">
      <t>カブシキガイシャ</t>
    </rPh>
    <phoneticPr fontId="3"/>
  </si>
  <si>
    <t>～</t>
    <phoneticPr fontId="192"/>
  </si>
  <si>
    <t>）</t>
    <phoneticPr fontId="192"/>
  </si>
  <si>
    <t>当社PM受託</t>
    <rPh sb="0" eb="2">
      <t>トウシャ</t>
    </rPh>
    <rPh sb="4" eb="6">
      <t>ジュタク</t>
    </rPh>
    <phoneticPr fontId="3"/>
  </si>
  <si>
    <t>添付資料</t>
    <rPh sb="0" eb="2">
      <t>テンプ</t>
    </rPh>
    <rPh sb="2" eb="4">
      <t>シリョウ</t>
    </rPh>
    <phoneticPr fontId="3"/>
  </si>
  <si>
    <t>①売却時事業計画書、②承認時事業計画書、③取纏依頼書・買付証明書、 ④売渡承諾書（取締役会条件付）、</t>
    <rPh sb="1" eb="3">
      <t>バイキャク</t>
    </rPh>
    <rPh sb="3" eb="4">
      <t>ジ</t>
    </rPh>
    <rPh sb="11" eb="13">
      <t>ショウニン</t>
    </rPh>
    <rPh sb="13" eb="14">
      <t>ジ</t>
    </rPh>
    <rPh sb="14" eb="16">
      <t>ジギョウ</t>
    </rPh>
    <rPh sb="16" eb="19">
      <t>ケイカクショ</t>
    </rPh>
    <rPh sb="21" eb="22">
      <t>ト</t>
    </rPh>
    <rPh sb="22" eb="23">
      <t>マト</t>
    </rPh>
    <rPh sb="23" eb="26">
      <t>イライショ</t>
    </rPh>
    <rPh sb="35" eb="36">
      <t>ウ</t>
    </rPh>
    <rPh sb="36" eb="37">
      <t>ワタ</t>
    </rPh>
    <rPh sb="37" eb="40">
      <t>ショウダクショ</t>
    </rPh>
    <rPh sb="41" eb="44">
      <t>トリシマリヤク</t>
    </rPh>
    <rPh sb="44" eb="45">
      <t>カイ</t>
    </rPh>
    <rPh sb="45" eb="47">
      <t>ジョウケン</t>
    </rPh>
    <rPh sb="47" eb="48">
      <t>ツ</t>
    </rPh>
    <phoneticPr fontId="3"/>
  </si>
  <si>
    <t>⑤売却契約内容確認書、⑥反社チェック調査評価、⑦不動産売買契約証書（案）</t>
    <rPh sb="1" eb="3">
      <t>バイキャク</t>
    </rPh>
    <rPh sb="3" eb="5">
      <t>ケイヤク</t>
    </rPh>
    <rPh sb="5" eb="7">
      <t>ナイヨウ</t>
    </rPh>
    <rPh sb="7" eb="10">
      <t>カクニンショ</t>
    </rPh>
    <phoneticPr fontId="3"/>
  </si>
  <si>
    <t>現況有姿、公簿売買、瑕疵担保責任付（引渡後2年間）、融資特約なし、</t>
    <rPh sb="0" eb="2">
      <t>ゲンキョウ</t>
    </rPh>
    <rPh sb="2" eb="3">
      <t>ユウ</t>
    </rPh>
    <rPh sb="3" eb="4">
      <t>スガタ</t>
    </rPh>
    <rPh sb="5" eb="6">
      <t>コウ</t>
    </rPh>
    <rPh sb="6" eb="7">
      <t>ボ</t>
    </rPh>
    <rPh sb="7" eb="9">
      <t>バイバイ</t>
    </rPh>
    <rPh sb="10" eb="12">
      <t>カシ</t>
    </rPh>
    <rPh sb="12" eb="14">
      <t>タンポ</t>
    </rPh>
    <rPh sb="14" eb="16">
      <t>セキニン</t>
    </rPh>
    <rPh sb="16" eb="17">
      <t>ヅケ</t>
    </rPh>
    <rPh sb="18" eb="20">
      <t>ヒキワタ</t>
    </rPh>
    <rPh sb="20" eb="21">
      <t>ゴ</t>
    </rPh>
    <rPh sb="22" eb="24">
      <t>ネンカン</t>
    </rPh>
    <rPh sb="26" eb="28">
      <t>ユウシ</t>
    </rPh>
    <rPh sb="28" eb="30">
      <t>トクヤク</t>
    </rPh>
    <phoneticPr fontId="3"/>
  </si>
  <si>
    <t>リプランニング物件　購入の件</t>
    <rPh sb="7" eb="9">
      <t>ブッケン</t>
    </rPh>
    <rPh sb="10" eb="12">
      <t>コウニュウ</t>
    </rPh>
    <rPh sb="13" eb="14">
      <t>ケン</t>
    </rPh>
    <phoneticPr fontId="133"/>
  </si>
  <si>
    <t>購 入 価 格</t>
    <rPh sb="0" eb="1">
      <t>コウ</t>
    </rPh>
    <rPh sb="2" eb="3">
      <t>イリ</t>
    </rPh>
    <rPh sb="4" eb="5">
      <t>アタイ</t>
    </rPh>
    <rPh sb="6" eb="7">
      <t>カク</t>
    </rPh>
    <phoneticPr fontId="4"/>
  </si>
  <si>
    <t>別途消費税額等</t>
    <rPh sb="0" eb="2">
      <t>ベット</t>
    </rPh>
    <rPh sb="2" eb="3">
      <t>ショウ</t>
    </rPh>
    <rPh sb="3" eb="4">
      <t>ヒ</t>
    </rPh>
    <rPh sb="4" eb="5">
      <t>ゼイ</t>
    </rPh>
    <rPh sb="5" eb="6">
      <t>ガク</t>
    </rPh>
    <rPh sb="6" eb="7">
      <t>トウ</t>
    </rPh>
    <phoneticPr fontId="133"/>
  </si>
  <si>
    <t>表面利回り</t>
    <rPh sb="0" eb="2">
      <t>ヒョウメン</t>
    </rPh>
    <rPh sb="2" eb="4">
      <t>リマワ</t>
    </rPh>
    <phoneticPr fontId="133"/>
  </si>
  <si>
    <t>所　在　地</t>
    <rPh sb="0" eb="1">
      <t>トコロ</t>
    </rPh>
    <rPh sb="2" eb="3">
      <t>ザイ</t>
    </rPh>
    <rPh sb="4" eb="5">
      <t>チ</t>
    </rPh>
    <phoneticPr fontId="4"/>
  </si>
  <si>
    <t>物　件　名</t>
    <rPh sb="0" eb="1">
      <t>モノ</t>
    </rPh>
    <rPh sb="2" eb="3">
      <t>ケン</t>
    </rPh>
    <rPh sb="4" eb="5">
      <t>メイ</t>
    </rPh>
    <phoneticPr fontId="4"/>
  </si>
  <si>
    <t>㎡</t>
    <phoneticPr fontId="4"/>
  </si>
  <si>
    <t>坪)　</t>
    <rPh sb="0" eb="1">
      <t>ツボ</t>
    </rPh>
    <phoneticPr fontId="4"/>
  </si>
  <si>
    <t>坪)</t>
    <rPh sb="0" eb="1">
      <t>ツボ</t>
    </rPh>
    <phoneticPr fontId="4"/>
  </si>
  <si>
    <t>NOI利回り</t>
    <rPh sb="3" eb="5">
      <t>リマワ</t>
    </rPh>
    <phoneticPr fontId="133"/>
  </si>
  <si>
    <t>　</t>
    <phoneticPr fontId="4"/>
  </si>
  <si>
    <t>リプランニング物件　売却の件</t>
    <rPh sb="7" eb="9">
      <t>ブッケン</t>
    </rPh>
    <rPh sb="10" eb="12">
      <t>バイキャク</t>
    </rPh>
    <rPh sb="13" eb="14">
      <t>ケン</t>
    </rPh>
    <phoneticPr fontId="133"/>
  </si>
  <si>
    <t>交通1</t>
    <rPh sb="0" eb="2">
      <t>コウツウ</t>
    </rPh>
    <phoneticPr fontId="4"/>
  </si>
  <si>
    <t>交通2</t>
    <rPh sb="0" eb="2">
      <t>コウツウ</t>
    </rPh>
    <phoneticPr fontId="4"/>
  </si>
  <si>
    <t>交通3</t>
    <rPh sb="0" eb="2">
      <t>コウツウ</t>
    </rPh>
    <phoneticPr fontId="4"/>
  </si>
  <si>
    <t>交通4</t>
    <rPh sb="0" eb="2">
      <t>コウツウ</t>
    </rPh>
    <phoneticPr fontId="4"/>
  </si>
  <si>
    <t>交通5</t>
    <rPh sb="0" eb="2">
      <t>コウツウ</t>
    </rPh>
    <phoneticPr fontId="4"/>
  </si>
  <si>
    <t>交通6</t>
    <rPh sb="0" eb="2">
      <t>コウツウ</t>
    </rPh>
    <phoneticPr fontId="4"/>
  </si>
  <si>
    <t>設道1</t>
    <rPh sb="0" eb="1">
      <t>セツ</t>
    </rPh>
    <rPh sb="1" eb="2">
      <t>ドウ</t>
    </rPh>
    <phoneticPr fontId="4"/>
  </si>
  <si>
    <t>設道2</t>
    <rPh sb="0" eb="1">
      <t>セツ</t>
    </rPh>
    <rPh sb="1" eb="2">
      <t>ドウ</t>
    </rPh>
    <phoneticPr fontId="4"/>
  </si>
  <si>
    <t>設道3</t>
    <rPh sb="0" eb="1">
      <t>セツ</t>
    </rPh>
    <rPh sb="1" eb="2">
      <t>ドウ</t>
    </rPh>
    <phoneticPr fontId="4"/>
  </si>
  <si>
    <r>
      <rPr>
        <sz val="11"/>
        <rFont val="ＭＳ 明朝"/>
        <family val="1"/>
        <charset val="128"/>
      </rPr>
      <t>物　件</t>
    </r>
    <r>
      <rPr>
        <sz val="6"/>
        <rFont val="ＭＳ 明朝"/>
        <family val="1"/>
        <charset val="128"/>
      </rPr>
      <t>　</t>
    </r>
    <r>
      <rPr>
        <sz val="11"/>
        <rFont val="ＭＳ 明朝"/>
        <family val="1"/>
        <charset val="128"/>
      </rPr>
      <t>名</t>
    </r>
    <rPh sb="0" eb="1">
      <t>モノ</t>
    </rPh>
    <rPh sb="2" eb="3">
      <t>ケン</t>
    </rPh>
    <rPh sb="4" eb="5">
      <t>メイ</t>
    </rPh>
    <phoneticPr fontId="4"/>
  </si>
  <si>
    <r>
      <rPr>
        <sz val="11"/>
        <rFont val="ＭＳ 明朝"/>
        <family val="1"/>
        <charset val="128"/>
      </rPr>
      <t>所　在</t>
    </r>
    <r>
      <rPr>
        <sz val="6"/>
        <rFont val="ＭＳ 明朝"/>
        <family val="1"/>
        <charset val="128"/>
      </rPr>
      <t>　</t>
    </r>
    <r>
      <rPr>
        <sz val="11"/>
        <rFont val="ＭＳ 明朝"/>
        <family val="1"/>
        <charset val="128"/>
      </rPr>
      <t>地</t>
    </r>
    <rPh sb="0" eb="1">
      <t>トコロ</t>
    </rPh>
    <rPh sb="2" eb="3">
      <t>ザイ</t>
    </rPh>
    <rPh sb="4" eb="5">
      <t>チ</t>
    </rPh>
    <phoneticPr fontId="4"/>
  </si>
  <si>
    <r>
      <rPr>
        <sz val="11"/>
        <rFont val="ＭＳ 明朝"/>
        <family val="1"/>
        <charset val="128"/>
      </rPr>
      <t>登記簿上</t>
    </r>
    <rPh sb="0" eb="3">
      <t>トウキボ</t>
    </rPh>
    <rPh sb="3" eb="4">
      <t>ジョウ</t>
    </rPh>
    <phoneticPr fontId="4"/>
  </si>
  <si>
    <r>
      <rPr>
        <sz val="11"/>
        <rFont val="ＭＳ 明朝"/>
        <family val="1"/>
        <charset val="128"/>
      </rPr>
      <t>住居表示</t>
    </r>
    <rPh sb="0" eb="2">
      <t>ジュウキョ</t>
    </rPh>
    <rPh sb="2" eb="4">
      <t>ヒョウジ</t>
    </rPh>
    <phoneticPr fontId="4"/>
  </si>
  <si>
    <r>
      <rPr>
        <sz val="11"/>
        <rFont val="ＭＳ 明朝"/>
        <family val="1"/>
        <charset val="128"/>
      </rPr>
      <t>交　　　通</t>
    </r>
    <rPh sb="0" eb="1">
      <t>コウ</t>
    </rPh>
    <rPh sb="4" eb="5">
      <t>ツウ</t>
    </rPh>
    <phoneticPr fontId="4"/>
  </si>
  <si>
    <r>
      <rPr>
        <sz val="11"/>
        <rFont val="ＭＳ 明朝"/>
        <family val="1"/>
        <charset val="128"/>
      </rPr>
      <t>土　　　地</t>
    </r>
    <rPh sb="0" eb="1">
      <t>ツチ</t>
    </rPh>
    <rPh sb="4" eb="5">
      <t>チ</t>
    </rPh>
    <phoneticPr fontId="4"/>
  </si>
  <si>
    <r>
      <rPr>
        <sz val="11"/>
        <rFont val="ＭＳ 明朝"/>
        <family val="1"/>
        <charset val="128"/>
      </rPr>
      <t>地　　　目</t>
    </r>
    <rPh sb="0" eb="1">
      <t>チ</t>
    </rPh>
    <rPh sb="4" eb="5">
      <t>メ</t>
    </rPh>
    <phoneticPr fontId="4"/>
  </si>
  <si>
    <r>
      <rPr>
        <sz val="11"/>
        <rFont val="ＭＳ 明朝"/>
        <family val="1"/>
        <charset val="128"/>
      </rPr>
      <t>現　　況</t>
    </r>
    <rPh sb="0" eb="1">
      <t>ウツツ</t>
    </rPh>
    <rPh sb="3" eb="4">
      <t>キョウ</t>
    </rPh>
    <phoneticPr fontId="4"/>
  </si>
  <si>
    <r>
      <rPr>
        <sz val="11"/>
        <rFont val="ＭＳ 明朝"/>
        <family val="1"/>
        <charset val="128"/>
      </rPr>
      <t>権　　　利</t>
    </r>
    <rPh sb="0" eb="1">
      <t>ケン</t>
    </rPh>
    <rPh sb="4" eb="5">
      <t>リ</t>
    </rPh>
    <phoneticPr fontId="4"/>
  </si>
  <si>
    <r>
      <rPr>
        <sz val="11"/>
        <rFont val="ＭＳ 明朝"/>
        <family val="1"/>
        <charset val="128"/>
      </rPr>
      <t>境界確定</t>
    </r>
    <rPh sb="0" eb="2">
      <t>キョウカイ</t>
    </rPh>
    <rPh sb="2" eb="4">
      <t>カクテイ</t>
    </rPh>
    <phoneticPr fontId="4"/>
  </si>
  <si>
    <r>
      <rPr>
        <sz val="11"/>
        <rFont val="ＭＳ 明朝"/>
        <family val="1"/>
        <charset val="128"/>
      </rPr>
      <t>面　　　積</t>
    </r>
    <rPh sb="0" eb="1">
      <t>メン</t>
    </rPh>
    <rPh sb="4" eb="5">
      <t>セキ</t>
    </rPh>
    <phoneticPr fontId="4"/>
  </si>
  <si>
    <r>
      <rPr>
        <sz val="11"/>
        <rFont val="ＭＳ 明朝"/>
        <family val="1"/>
        <charset val="128"/>
      </rPr>
      <t>公簿</t>
    </r>
    <rPh sb="0" eb="2">
      <t>コウボ</t>
    </rPh>
    <phoneticPr fontId="4"/>
  </si>
  <si>
    <r>
      <rPr>
        <sz val="11"/>
        <rFont val="ＭＳ 明朝"/>
        <family val="1"/>
        <charset val="128"/>
      </rPr>
      <t>㎡</t>
    </r>
    <phoneticPr fontId="4"/>
  </si>
  <si>
    <r>
      <rPr>
        <sz val="11"/>
        <rFont val="ＭＳ 明朝"/>
        <family val="1"/>
        <charset val="128"/>
      </rPr>
      <t>実測</t>
    </r>
    <rPh sb="0" eb="2">
      <t>ジッソク</t>
    </rPh>
    <phoneticPr fontId="4"/>
  </si>
  <si>
    <r>
      <rPr>
        <sz val="11"/>
        <rFont val="ＭＳ 明朝"/>
        <family val="1"/>
        <charset val="128"/>
      </rPr>
      <t>道　　　路</t>
    </r>
    <rPh sb="0" eb="1">
      <t>ミチ</t>
    </rPh>
    <rPh sb="4" eb="5">
      <t>ミチ</t>
    </rPh>
    <phoneticPr fontId="4"/>
  </si>
  <si>
    <r>
      <rPr>
        <sz val="11"/>
        <rFont val="ＭＳ 明朝"/>
        <family val="1"/>
        <charset val="128"/>
      </rPr>
      <t>建　　　物</t>
    </r>
    <rPh sb="0" eb="1">
      <t>ダテ</t>
    </rPh>
    <rPh sb="4" eb="5">
      <t>モノ</t>
    </rPh>
    <phoneticPr fontId="4"/>
  </si>
  <si>
    <r>
      <rPr>
        <sz val="11"/>
        <rFont val="ＭＳ 明朝"/>
        <family val="1"/>
        <charset val="128"/>
      </rPr>
      <t>家屋番号</t>
    </r>
    <rPh sb="0" eb="2">
      <t>カオク</t>
    </rPh>
    <rPh sb="2" eb="4">
      <t>バンゴウ</t>
    </rPh>
    <phoneticPr fontId="4"/>
  </si>
  <si>
    <r>
      <rPr>
        <sz val="11"/>
        <rFont val="ＭＳ 明朝"/>
        <family val="1"/>
        <charset val="128"/>
      </rPr>
      <t>構　　　造</t>
    </r>
    <rPh sb="0" eb="1">
      <t>ガマエ</t>
    </rPh>
    <rPh sb="4" eb="5">
      <t>ヅクリ</t>
    </rPh>
    <phoneticPr fontId="4"/>
  </si>
  <si>
    <r>
      <rPr>
        <sz val="11"/>
        <rFont val="ＭＳ 明朝"/>
        <family val="1"/>
        <charset val="128"/>
      </rPr>
      <t>種　　　類</t>
    </r>
    <rPh sb="0" eb="1">
      <t>タネ</t>
    </rPh>
    <rPh sb="4" eb="5">
      <t>タグイ</t>
    </rPh>
    <phoneticPr fontId="4"/>
  </si>
  <si>
    <r>
      <rPr>
        <sz val="11"/>
        <rFont val="ＭＳ 明朝"/>
        <family val="1"/>
        <charset val="128"/>
      </rPr>
      <t>延床面積</t>
    </r>
    <rPh sb="0" eb="1">
      <t>ノ</t>
    </rPh>
    <rPh sb="1" eb="2">
      <t>ユカ</t>
    </rPh>
    <rPh sb="2" eb="4">
      <t>メンセキ</t>
    </rPh>
    <phoneticPr fontId="4"/>
  </si>
  <si>
    <r>
      <rPr>
        <sz val="11"/>
        <rFont val="ＭＳ 明朝"/>
        <family val="1"/>
        <charset val="128"/>
      </rPr>
      <t>築</t>
    </r>
    <r>
      <rPr>
        <sz val="6"/>
        <rFont val="ＭＳ 明朝"/>
        <family val="1"/>
        <charset val="128"/>
      </rPr>
      <t>　</t>
    </r>
    <r>
      <rPr>
        <sz val="11"/>
        <rFont val="ＭＳ 明朝"/>
        <family val="1"/>
        <charset val="128"/>
      </rPr>
      <t>年</t>
    </r>
    <r>
      <rPr>
        <sz val="6"/>
        <rFont val="ＭＳ 明朝"/>
        <family val="1"/>
        <charset val="128"/>
      </rPr>
      <t>　</t>
    </r>
    <r>
      <rPr>
        <sz val="11"/>
        <rFont val="ＭＳ 明朝"/>
        <family val="1"/>
        <charset val="128"/>
      </rPr>
      <t>月</t>
    </r>
    <rPh sb="0" eb="1">
      <t>チク</t>
    </rPh>
    <rPh sb="2" eb="3">
      <t>ネン</t>
    </rPh>
    <rPh sb="4" eb="5">
      <t>ツキ</t>
    </rPh>
    <phoneticPr fontId="4"/>
  </si>
  <si>
    <r>
      <rPr>
        <sz val="11"/>
        <rFont val="ＭＳ 明朝"/>
        <family val="1"/>
        <charset val="128"/>
      </rPr>
      <t>建物検査済</t>
    </r>
    <rPh sb="0" eb="2">
      <t>タテモノ</t>
    </rPh>
    <rPh sb="2" eb="4">
      <t>ケンサ</t>
    </rPh>
    <rPh sb="4" eb="5">
      <t>ズ</t>
    </rPh>
    <phoneticPr fontId="4"/>
  </si>
  <si>
    <r>
      <rPr>
        <sz val="11"/>
        <rFont val="ＭＳ 明朝"/>
        <family val="1"/>
        <charset val="128"/>
      </rPr>
      <t>設　　　備</t>
    </r>
    <rPh sb="0" eb="1">
      <t>セツ</t>
    </rPh>
    <rPh sb="4" eb="5">
      <t>ビ</t>
    </rPh>
    <phoneticPr fontId="4"/>
  </si>
  <si>
    <r>
      <rPr>
        <sz val="11"/>
        <rFont val="ＭＳ 明朝"/>
        <family val="1"/>
        <charset val="128"/>
      </rPr>
      <t>電　　　気</t>
    </r>
    <rPh sb="0" eb="1">
      <t>デン</t>
    </rPh>
    <rPh sb="4" eb="5">
      <t>キ</t>
    </rPh>
    <phoneticPr fontId="4"/>
  </si>
  <si>
    <r>
      <rPr>
        <sz val="11"/>
        <rFont val="ＭＳ 明朝"/>
        <family val="1"/>
        <charset val="128"/>
      </rPr>
      <t>上</t>
    </r>
    <r>
      <rPr>
        <sz val="8"/>
        <rFont val="ＭＳ 明朝"/>
        <family val="1"/>
        <charset val="128"/>
      </rPr>
      <t>　</t>
    </r>
    <r>
      <rPr>
        <sz val="11"/>
        <rFont val="ＭＳ 明朝"/>
        <family val="1"/>
        <charset val="128"/>
      </rPr>
      <t>水</t>
    </r>
    <r>
      <rPr>
        <sz val="8"/>
        <rFont val="ＭＳ 明朝"/>
        <family val="1"/>
        <charset val="128"/>
      </rPr>
      <t>　</t>
    </r>
    <r>
      <rPr>
        <sz val="11"/>
        <rFont val="ＭＳ 明朝"/>
        <family val="1"/>
        <charset val="128"/>
      </rPr>
      <t>道</t>
    </r>
    <rPh sb="0" eb="1">
      <t>ウエ</t>
    </rPh>
    <rPh sb="2" eb="3">
      <t>ミズ</t>
    </rPh>
    <rPh sb="4" eb="5">
      <t>ミチ</t>
    </rPh>
    <phoneticPr fontId="4"/>
  </si>
  <si>
    <r>
      <rPr>
        <sz val="11"/>
        <rFont val="ＭＳ 明朝"/>
        <family val="1"/>
        <charset val="128"/>
      </rPr>
      <t>ガ　　　ス</t>
    </r>
    <phoneticPr fontId="4"/>
  </si>
  <si>
    <r>
      <rPr>
        <sz val="11"/>
        <rFont val="ＭＳ 明朝"/>
        <family val="1"/>
        <charset val="128"/>
      </rPr>
      <t>下</t>
    </r>
    <r>
      <rPr>
        <sz val="8"/>
        <rFont val="ＭＳ 明朝"/>
        <family val="1"/>
        <charset val="128"/>
      </rPr>
      <t>　</t>
    </r>
    <r>
      <rPr>
        <sz val="11"/>
        <rFont val="ＭＳ 明朝"/>
        <family val="1"/>
        <charset val="128"/>
      </rPr>
      <t>水</t>
    </r>
    <r>
      <rPr>
        <sz val="8"/>
        <rFont val="ＭＳ 明朝"/>
        <family val="1"/>
        <charset val="128"/>
      </rPr>
      <t>　</t>
    </r>
    <r>
      <rPr>
        <sz val="11"/>
        <rFont val="ＭＳ 明朝"/>
        <family val="1"/>
        <charset val="128"/>
      </rPr>
      <t>道</t>
    </r>
    <rPh sb="0" eb="1">
      <t>シタ</t>
    </rPh>
    <rPh sb="2" eb="3">
      <t>ミズ</t>
    </rPh>
    <rPh sb="4" eb="5">
      <t>ミチ</t>
    </rPh>
    <phoneticPr fontId="4"/>
  </si>
  <si>
    <r>
      <rPr>
        <sz val="11"/>
        <rFont val="ＭＳ 明朝"/>
        <family val="1"/>
        <charset val="128"/>
      </rPr>
      <t>用途地域</t>
    </r>
    <rPh sb="0" eb="1">
      <t>ヨウ</t>
    </rPh>
    <rPh sb="1" eb="2">
      <t>ト</t>
    </rPh>
    <rPh sb="2" eb="4">
      <t>チイキ</t>
    </rPh>
    <phoneticPr fontId="4"/>
  </si>
  <si>
    <r>
      <rPr>
        <sz val="11"/>
        <rFont val="ＭＳ 明朝"/>
        <family val="1"/>
        <charset val="128"/>
      </rPr>
      <t>建ぺい率</t>
    </r>
    <rPh sb="0" eb="1">
      <t>ケン</t>
    </rPh>
    <rPh sb="3" eb="4">
      <t>リツ</t>
    </rPh>
    <phoneticPr fontId="4"/>
  </si>
  <si>
    <r>
      <rPr>
        <sz val="11"/>
        <rFont val="ＭＳ 明朝"/>
        <family val="1"/>
        <charset val="128"/>
      </rPr>
      <t>容</t>
    </r>
    <r>
      <rPr>
        <sz val="8"/>
        <rFont val="ＭＳ 明朝"/>
        <family val="1"/>
        <charset val="128"/>
      </rPr>
      <t>　</t>
    </r>
    <r>
      <rPr>
        <sz val="11"/>
        <rFont val="ＭＳ 明朝"/>
        <family val="1"/>
        <charset val="128"/>
      </rPr>
      <t>積</t>
    </r>
    <r>
      <rPr>
        <sz val="8"/>
        <rFont val="ＭＳ 明朝"/>
        <family val="1"/>
        <charset val="128"/>
      </rPr>
      <t>　</t>
    </r>
    <r>
      <rPr>
        <sz val="11"/>
        <rFont val="ＭＳ 明朝"/>
        <family val="1"/>
        <charset val="128"/>
      </rPr>
      <t>率</t>
    </r>
    <rPh sb="0" eb="1">
      <t>カタチ</t>
    </rPh>
    <rPh sb="2" eb="3">
      <t>セキ</t>
    </rPh>
    <rPh sb="4" eb="5">
      <t>リツ</t>
    </rPh>
    <phoneticPr fontId="4"/>
  </si>
  <si>
    <r>
      <rPr>
        <sz val="11"/>
        <rFont val="ＭＳ 明朝"/>
        <family val="1"/>
        <charset val="128"/>
      </rPr>
      <t>防火指定</t>
    </r>
    <rPh sb="0" eb="2">
      <t>ボウカ</t>
    </rPh>
    <rPh sb="2" eb="4">
      <t>シテイ</t>
    </rPh>
    <phoneticPr fontId="4"/>
  </si>
  <si>
    <r>
      <rPr>
        <sz val="11"/>
        <rFont val="ＭＳ 明朝"/>
        <family val="1"/>
        <charset val="128"/>
      </rPr>
      <t>高度指定</t>
    </r>
    <rPh sb="0" eb="2">
      <t>コウド</t>
    </rPh>
    <rPh sb="2" eb="4">
      <t>シテイ</t>
    </rPh>
    <phoneticPr fontId="4"/>
  </si>
  <si>
    <r>
      <rPr>
        <sz val="11"/>
        <rFont val="ＭＳ 明朝"/>
        <family val="1"/>
        <charset val="128"/>
      </rPr>
      <t>そ</t>
    </r>
    <r>
      <rPr>
        <sz val="6"/>
        <rFont val="ＭＳ 明朝"/>
        <family val="1"/>
        <charset val="128"/>
      </rPr>
      <t>　</t>
    </r>
    <r>
      <rPr>
        <sz val="11"/>
        <rFont val="ＭＳ 明朝"/>
        <family val="1"/>
        <charset val="128"/>
      </rPr>
      <t>の</t>
    </r>
    <r>
      <rPr>
        <sz val="6"/>
        <rFont val="ＭＳ 明朝"/>
        <family val="1"/>
        <charset val="128"/>
      </rPr>
      <t>　</t>
    </r>
    <r>
      <rPr>
        <sz val="11"/>
        <rFont val="ＭＳ 明朝"/>
        <family val="1"/>
        <charset val="128"/>
      </rPr>
      <t>他</t>
    </r>
    <rPh sb="4" eb="5">
      <t>タ</t>
    </rPh>
    <phoneticPr fontId="4"/>
  </si>
  <si>
    <r>
      <rPr>
        <sz val="11"/>
        <rFont val="ＭＳ 明朝"/>
        <family val="1"/>
        <charset val="128"/>
      </rPr>
      <t>価　　　格</t>
    </r>
    <rPh sb="0" eb="1">
      <t>アタイ</t>
    </rPh>
    <rPh sb="4" eb="5">
      <t>カク</t>
    </rPh>
    <phoneticPr fontId="4"/>
  </si>
  <si>
    <r>
      <rPr>
        <sz val="11"/>
        <rFont val="ＭＳ 明朝"/>
        <family val="1"/>
        <charset val="128"/>
      </rPr>
      <t>備　　　考</t>
    </r>
    <rPh sb="0" eb="1">
      <t>ビ</t>
    </rPh>
    <rPh sb="4" eb="5">
      <t>コウ</t>
    </rPh>
    <phoneticPr fontId="4"/>
  </si>
  <si>
    <r>
      <rPr>
        <b/>
        <sz val="18"/>
        <rFont val="ＭＳ 明朝"/>
        <family val="1"/>
        <charset val="128"/>
      </rPr>
      <t>【物</t>
    </r>
    <r>
      <rPr>
        <b/>
        <sz val="18"/>
        <rFont val="Times New Roman"/>
        <family val="1"/>
      </rPr>
      <t xml:space="preserve"> </t>
    </r>
    <r>
      <rPr>
        <b/>
        <sz val="18"/>
        <rFont val="ＭＳ 明朝"/>
        <family val="1"/>
        <charset val="128"/>
      </rPr>
      <t>件</t>
    </r>
    <r>
      <rPr>
        <b/>
        <sz val="18"/>
        <rFont val="Times New Roman"/>
        <family val="1"/>
      </rPr>
      <t xml:space="preserve"> </t>
    </r>
    <r>
      <rPr>
        <b/>
        <sz val="18"/>
        <rFont val="ＭＳ 明朝"/>
        <family val="1"/>
        <charset val="128"/>
      </rPr>
      <t>概</t>
    </r>
    <r>
      <rPr>
        <b/>
        <sz val="18"/>
        <rFont val="Times New Roman"/>
        <family val="1"/>
      </rPr>
      <t xml:space="preserve"> </t>
    </r>
    <r>
      <rPr>
        <b/>
        <sz val="18"/>
        <rFont val="ＭＳ 明朝"/>
        <family val="1"/>
        <charset val="128"/>
      </rPr>
      <t>要</t>
    </r>
    <r>
      <rPr>
        <b/>
        <sz val="18"/>
        <rFont val="Times New Roman"/>
        <family val="1"/>
      </rPr>
      <t xml:space="preserve"> </t>
    </r>
    <r>
      <rPr>
        <b/>
        <sz val="18"/>
        <rFont val="ＭＳ 明朝"/>
        <family val="1"/>
        <charset val="128"/>
      </rPr>
      <t>書】</t>
    </r>
    <rPh sb="1" eb="2">
      <t>モノ</t>
    </rPh>
    <rPh sb="3" eb="4">
      <t>ケン</t>
    </rPh>
    <rPh sb="5" eb="6">
      <t>オオムネ</t>
    </rPh>
    <rPh sb="7" eb="8">
      <t>ヨウ</t>
    </rPh>
    <rPh sb="9" eb="10">
      <t>ショ</t>
    </rPh>
    <phoneticPr fontId="4"/>
  </si>
  <si>
    <r>
      <rPr>
        <sz val="11"/>
        <rFont val="ＭＳ 明朝"/>
        <family val="1"/>
        <charset val="128"/>
      </rPr>
      <t>坪</t>
    </r>
    <r>
      <rPr>
        <sz val="11"/>
        <rFont val="Times New Roman"/>
        <family val="1"/>
      </rPr>
      <t>)</t>
    </r>
    <r>
      <rPr>
        <sz val="11"/>
        <rFont val="ＭＳ 明朝"/>
        <family val="1"/>
        <charset val="128"/>
      </rPr>
      <t>　</t>
    </r>
    <rPh sb="0" eb="1">
      <t>ツボ</t>
    </rPh>
    <phoneticPr fontId="4"/>
  </si>
  <si>
    <r>
      <rPr>
        <sz val="11"/>
        <rFont val="ＭＳ 明朝"/>
        <family val="1"/>
        <charset val="128"/>
      </rPr>
      <t>坪</t>
    </r>
    <r>
      <rPr>
        <sz val="11"/>
        <rFont val="Times New Roman"/>
        <family val="1"/>
      </rPr>
      <t>)</t>
    </r>
    <rPh sb="0" eb="1">
      <t>ツボ</t>
    </rPh>
    <phoneticPr fontId="4"/>
  </si>
  <si>
    <t>□取引態様：</t>
    <rPh sb="1" eb="3">
      <t>トリヒキ</t>
    </rPh>
    <rPh sb="3" eb="5">
      <t>タイヨウ</t>
    </rPh>
    <phoneticPr fontId="3"/>
  </si>
  <si>
    <t>□情報公開：</t>
    <rPh sb="1" eb="3">
      <t>ジョウホウ</t>
    </rPh>
    <rPh sb="3" eb="5">
      <t>コウカイ</t>
    </rPh>
    <phoneticPr fontId="3"/>
  </si>
  <si>
    <t>当社購入</t>
    <rPh sb="0" eb="2">
      <t>トウシャ</t>
    </rPh>
    <rPh sb="2" eb="4">
      <t>コウニュウ</t>
    </rPh>
    <phoneticPr fontId="3"/>
  </si>
  <si>
    <t>未公開</t>
    <rPh sb="0" eb="3">
      <t>ミコウカイ</t>
    </rPh>
    <phoneticPr fontId="3"/>
  </si>
  <si>
    <t>　担当：</t>
    <rPh sb="1" eb="3">
      <t>タントウ</t>
    </rPh>
    <phoneticPr fontId="3"/>
  </si>
  <si>
    <t>担当者</t>
    <rPh sb="0" eb="3">
      <t>タントウシャ</t>
    </rPh>
    <phoneticPr fontId="3"/>
  </si>
  <si>
    <r>
      <rPr>
        <u/>
        <sz val="18"/>
        <rFont val="ＭＳ Ｐ明朝"/>
        <family val="1"/>
        <charset val="128"/>
      </rPr>
      <t>リプランニング事業部</t>
    </r>
  </si>
  <si>
    <r>
      <rPr>
        <u/>
        <sz val="18"/>
        <rFont val="ＭＳ Ｐ明朝"/>
        <family val="1"/>
        <charset val="128"/>
      </rPr>
      <t>作成者　　　</t>
    </r>
    <phoneticPr fontId="3"/>
  </si>
  <si>
    <t>　↓変更</t>
    <rPh sb="2" eb="4">
      <t>ヘンコウ</t>
    </rPh>
    <phoneticPr fontId="4"/>
  </si>
  <si>
    <t>　↓選択</t>
    <rPh sb="2" eb="4">
      <t>センタク</t>
    </rPh>
    <phoneticPr fontId="4"/>
  </si>
  <si>
    <t>※上記面積には、セットバック道路提供部分●●㎡を含みます。</t>
    <rPh sb="1" eb="3">
      <t>ジョウキ</t>
    </rPh>
    <rPh sb="3" eb="5">
      <t>メンセキ</t>
    </rPh>
    <rPh sb="14" eb="16">
      <t>ドウロ</t>
    </rPh>
    <rPh sb="16" eb="18">
      <t>テイキョウ</t>
    </rPh>
    <rPh sb="18" eb="20">
      <t>ブブン</t>
    </rPh>
    <rPh sb="24" eb="25">
      <t>フク</t>
    </rPh>
    <phoneticPr fontId="3"/>
  </si>
  <si>
    <r>
      <rPr>
        <b/>
        <sz val="11"/>
        <color indexed="10"/>
        <rFont val="ＭＳ 明朝"/>
        <family val="1"/>
        <charset val="128"/>
      </rPr>
      <t>　※平成</t>
    </r>
    <r>
      <rPr>
        <b/>
        <sz val="11"/>
        <color indexed="10"/>
        <rFont val="Times New Roman"/>
        <family val="1"/>
      </rPr>
      <t>25</t>
    </r>
    <r>
      <rPr>
        <b/>
        <sz val="11"/>
        <color indexed="10"/>
        <rFont val="ＭＳ 明朝"/>
        <family val="1"/>
        <charset val="128"/>
      </rPr>
      <t>年</t>
    </r>
    <r>
      <rPr>
        <b/>
        <sz val="11"/>
        <color indexed="10"/>
        <rFont val="Times New Roman"/>
        <family val="1"/>
      </rPr>
      <t>6</t>
    </r>
    <r>
      <rPr>
        <b/>
        <sz val="11"/>
        <color indexed="10"/>
        <rFont val="ＭＳ 明朝"/>
        <family val="1"/>
        <charset val="128"/>
      </rPr>
      <t>月初旬、大規模リニューアル工事竣工予定</t>
    </r>
    <phoneticPr fontId="4"/>
  </si>
  <si>
    <r>
      <rPr>
        <b/>
        <sz val="11"/>
        <color indexed="10"/>
        <rFont val="ＭＳ 明朝"/>
        <family val="1"/>
        <charset val="128"/>
      </rPr>
      <t>　【エントランス・各階エレベーターホール・給湯室・男女トイレ：デザイナーズ改修】</t>
    </r>
    <phoneticPr fontId="4"/>
  </si>
  <si>
    <r>
      <rPr>
        <b/>
        <sz val="11"/>
        <rFont val="ＭＳ 明朝"/>
        <family val="1"/>
        <charset val="128"/>
      </rPr>
      <t>・</t>
    </r>
    <r>
      <rPr>
        <b/>
        <sz val="11"/>
        <rFont val="Times New Roman"/>
        <family val="1"/>
      </rPr>
      <t>B1F</t>
    </r>
    <r>
      <rPr>
        <b/>
        <sz val="11"/>
        <rFont val="ＭＳ 明朝"/>
        <family val="1"/>
        <charset val="128"/>
      </rPr>
      <t>～</t>
    </r>
    <r>
      <rPr>
        <b/>
        <sz val="11"/>
        <rFont val="Times New Roman"/>
        <family val="1"/>
      </rPr>
      <t>8F</t>
    </r>
    <r>
      <rPr>
        <b/>
        <sz val="11"/>
        <rFont val="ＭＳ 明朝"/>
        <family val="1"/>
        <charset val="128"/>
      </rPr>
      <t>：店舗</t>
    </r>
    <r>
      <rPr>
        <b/>
        <sz val="11"/>
        <rFont val="Times New Roman"/>
        <family val="1"/>
      </rPr>
      <t>×1</t>
    </r>
    <r>
      <rPr>
        <b/>
        <sz val="11"/>
        <rFont val="ＭＳ 明朝"/>
        <family val="1"/>
        <charset val="128"/>
      </rPr>
      <t>室、事務所</t>
    </r>
    <r>
      <rPr>
        <b/>
        <sz val="11"/>
        <rFont val="Times New Roman"/>
        <family val="1"/>
      </rPr>
      <t>×8</t>
    </r>
    <r>
      <rPr>
        <b/>
        <sz val="11"/>
        <rFont val="ＭＳ 明朝"/>
        <family val="1"/>
        <charset val="128"/>
      </rPr>
      <t>室（満室稼働中）</t>
    </r>
    <rPh sb="8" eb="10">
      <t>テンポ</t>
    </rPh>
    <rPh sb="12" eb="13">
      <t>シツ</t>
    </rPh>
    <rPh sb="21" eb="23">
      <t>マンシツ</t>
    </rPh>
    <rPh sb="23" eb="26">
      <t>カドウチュウ</t>
    </rPh>
    <phoneticPr fontId="4"/>
  </si>
  <si>
    <r>
      <rPr>
        <b/>
        <sz val="11"/>
        <rFont val="ＭＳ 明朝"/>
        <family val="1"/>
        <charset val="128"/>
      </rPr>
      <t>・満室時想定年収：</t>
    </r>
    <r>
      <rPr>
        <b/>
        <sz val="10"/>
        <rFont val="Times New Roman"/>
        <family val="1"/>
      </rPr>
      <t/>
    </r>
    <phoneticPr fontId="4"/>
  </si>
  <si>
    <r>
      <rPr>
        <b/>
        <sz val="11"/>
        <rFont val="ＭＳ 明朝"/>
        <family val="1"/>
        <charset val="128"/>
      </rPr>
      <t>円</t>
    </r>
    <r>
      <rPr>
        <b/>
        <sz val="11"/>
        <rFont val="Times New Roman"/>
        <family val="1"/>
      </rPr>
      <t>×12</t>
    </r>
    <r>
      <rPr>
        <b/>
        <sz val="11"/>
        <rFont val="ＭＳ 明朝"/>
        <family val="1"/>
        <charset val="128"/>
      </rPr>
      <t>ヶ月＝</t>
    </r>
    <rPh sb="0" eb="1">
      <t>エン</t>
    </rPh>
    <rPh sb="5" eb="6">
      <t>ゲツ</t>
    </rPh>
    <phoneticPr fontId="4"/>
  </si>
  <si>
    <r>
      <rPr>
        <b/>
        <sz val="11"/>
        <rFont val="ＭＳ 明朝"/>
        <family val="1"/>
        <charset val="128"/>
      </rPr>
      <t>・満室時想定</t>
    </r>
    <r>
      <rPr>
        <b/>
        <sz val="11"/>
        <rFont val="Times New Roman"/>
        <family val="1"/>
      </rPr>
      <t>NOI</t>
    </r>
    <r>
      <rPr>
        <b/>
        <sz val="11"/>
        <rFont val="ＭＳ 明朝"/>
        <family val="1"/>
        <charset val="128"/>
      </rPr>
      <t>：</t>
    </r>
    <r>
      <rPr>
        <b/>
        <sz val="10"/>
        <rFont val="Times New Roman"/>
        <family val="1"/>
      </rPr>
      <t/>
    </r>
    <phoneticPr fontId="4"/>
  </si>
  <si>
    <r>
      <rPr>
        <b/>
        <sz val="11"/>
        <rFont val="ＭＳ 明朝"/>
        <family val="1"/>
        <charset val="128"/>
      </rPr>
      <t>・平成</t>
    </r>
    <r>
      <rPr>
        <b/>
        <sz val="11"/>
        <rFont val="Times New Roman"/>
        <family val="1"/>
      </rPr>
      <t>29</t>
    </r>
    <r>
      <rPr>
        <b/>
        <sz val="11"/>
        <rFont val="ＭＳ 明朝"/>
        <family val="1"/>
        <charset val="128"/>
      </rPr>
      <t>年度固定資産評価額</t>
    </r>
    <r>
      <rPr>
        <b/>
        <sz val="10"/>
        <rFont val="Times New Roman"/>
        <family val="1"/>
      </rPr>
      <t/>
    </r>
    <phoneticPr fontId="4"/>
  </si>
  <si>
    <r>
      <rPr>
        <b/>
        <sz val="11"/>
        <rFont val="ＭＳ 明朝"/>
        <family val="1"/>
        <charset val="128"/>
      </rPr>
      <t>・平成</t>
    </r>
    <r>
      <rPr>
        <b/>
        <sz val="11"/>
        <rFont val="Times New Roman"/>
        <family val="1"/>
      </rPr>
      <t>29</t>
    </r>
    <r>
      <rPr>
        <b/>
        <sz val="11"/>
        <rFont val="ＭＳ 明朝"/>
        <family val="1"/>
        <charset val="128"/>
      </rPr>
      <t>年度路線価評価額：</t>
    </r>
    <r>
      <rPr>
        <b/>
        <sz val="10"/>
        <rFont val="Times New Roman"/>
        <family val="1"/>
      </rPr>
      <t/>
    </r>
    <phoneticPr fontId="4"/>
  </si>
  <si>
    <r>
      <rPr>
        <b/>
        <sz val="11"/>
        <rFont val="ＭＳ 明朝"/>
        <family val="1"/>
        <charset val="128"/>
      </rPr>
      <t>（坪当たり約</t>
    </r>
    <phoneticPr fontId="4"/>
  </si>
  <si>
    <r>
      <rPr>
        <b/>
        <sz val="11"/>
        <rFont val="ＭＳ 明朝"/>
        <family val="1"/>
        <charset val="128"/>
      </rPr>
      <t>・設計監理：</t>
    </r>
    <phoneticPr fontId="4"/>
  </si>
  <si>
    <r>
      <rPr>
        <b/>
        <sz val="11"/>
        <rFont val="ＭＳ 明朝"/>
        <family val="1"/>
        <charset val="128"/>
      </rPr>
      <t>・施　　工：</t>
    </r>
    <phoneticPr fontId="4"/>
  </si>
  <si>
    <t>事　業　計　画　書</t>
    <rPh sb="0" eb="1">
      <t>コト</t>
    </rPh>
    <rPh sb="2" eb="3">
      <t>ギョウ</t>
    </rPh>
    <rPh sb="4" eb="5">
      <t>ケイ</t>
    </rPh>
    <rPh sb="6" eb="7">
      <t>ガ</t>
    </rPh>
    <rPh sb="8" eb="9">
      <t>ショ</t>
    </rPh>
    <phoneticPr fontId="3"/>
  </si>
  <si>
    <t>賃貸</t>
    <rPh sb="0" eb="2">
      <t>チンタイ</t>
    </rPh>
    <phoneticPr fontId="3"/>
  </si>
  <si>
    <t>売却時</t>
    <phoneticPr fontId="3"/>
  </si>
  <si>
    <r>
      <rPr>
        <sz val="16"/>
        <rFont val="ＭＳ Ｐ明朝"/>
        <family val="1"/>
        <charset val="128"/>
      </rPr>
      <t>融資アップフロント</t>
    </r>
    <r>
      <rPr>
        <sz val="16"/>
        <rFont val="Times New Roman"/>
        <family val="1"/>
      </rPr>
      <t>fee</t>
    </r>
    <rPh sb="0" eb="2">
      <t>ユウシ</t>
    </rPh>
    <phoneticPr fontId="3"/>
  </si>
  <si>
    <t>事業決定時</t>
    <rPh sb="0" eb="2">
      <t>ジギョウ</t>
    </rPh>
    <rPh sb="2" eb="4">
      <t>ケッテイ</t>
    </rPh>
    <rPh sb="4" eb="5">
      <t>ジ</t>
    </rPh>
    <phoneticPr fontId="3"/>
  </si>
  <si>
    <t>賃貸収益</t>
    <rPh sb="0" eb="2">
      <t>チンタイ</t>
    </rPh>
    <rPh sb="2" eb="4">
      <t>シュウエキ</t>
    </rPh>
    <phoneticPr fontId="3"/>
  </si>
  <si>
    <t>例）兜町ファースト：650万円／茅場町GG：1400万円（55坪）</t>
    <rPh sb="0" eb="1">
      <t>レイ</t>
    </rPh>
    <rPh sb="2" eb="4">
      <t>カブトチョウ</t>
    </rPh>
    <rPh sb="13" eb="15">
      <t>マンエン</t>
    </rPh>
    <rPh sb="16" eb="19">
      <t>カヤバチョウ</t>
    </rPh>
    <rPh sb="26" eb="28">
      <t>マンエン</t>
    </rPh>
    <rPh sb="31" eb="32">
      <t>ツボ</t>
    </rPh>
    <phoneticPr fontId="151"/>
  </si>
  <si>
    <t>例）兜町ファースト：310万円／茅場町GG：830万円</t>
    <rPh sb="0" eb="1">
      <t>レイ</t>
    </rPh>
    <rPh sb="2" eb="4">
      <t>カブトチョウ</t>
    </rPh>
    <rPh sb="13" eb="15">
      <t>マンエン</t>
    </rPh>
    <rPh sb="16" eb="19">
      <t>カヤバチョウ</t>
    </rPh>
    <rPh sb="25" eb="27">
      <t>マンエン</t>
    </rPh>
    <phoneticPr fontId="151"/>
  </si>
  <si>
    <r>
      <t>通常は必要最低限の補修（爆裂・シーリング）、</t>
    </r>
    <r>
      <rPr>
        <b/>
        <sz val="9"/>
        <color indexed="10"/>
        <rFont val="ＭＳ ゴシック"/>
        <family val="3"/>
        <charset val="128"/>
      </rPr>
      <t>タイル張りの場合、道路面は打診調査の上、浮き箇所の張り替え</t>
    </r>
    <rPh sb="0" eb="2">
      <t>ツウジョウ</t>
    </rPh>
    <rPh sb="3" eb="5">
      <t>ヒツヨウ</t>
    </rPh>
    <rPh sb="5" eb="8">
      <t>サイテイゲン</t>
    </rPh>
    <rPh sb="9" eb="11">
      <t>ホシュウ</t>
    </rPh>
    <rPh sb="12" eb="14">
      <t>バクレツ</t>
    </rPh>
    <rPh sb="25" eb="26">
      <t>ハ</t>
    </rPh>
    <rPh sb="28" eb="30">
      <t>バアイ</t>
    </rPh>
    <rPh sb="31" eb="32">
      <t>ドウ</t>
    </rPh>
    <rPh sb="32" eb="34">
      <t>ロメン</t>
    </rPh>
    <rPh sb="35" eb="37">
      <t>ダシン</t>
    </rPh>
    <rPh sb="37" eb="39">
      <t>チョウサ</t>
    </rPh>
    <rPh sb="40" eb="41">
      <t>ウエ</t>
    </rPh>
    <rPh sb="42" eb="43">
      <t>ウ</t>
    </rPh>
    <rPh sb="44" eb="46">
      <t>カショ</t>
    </rPh>
    <rPh sb="47" eb="48">
      <t>ハ</t>
    </rPh>
    <rPh sb="49" eb="50">
      <t>カ</t>
    </rPh>
    <phoneticPr fontId="151"/>
  </si>
  <si>
    <t>例）アドグラ：茅場町GG：1,900万円（568㎡）⇒33,500円／㎡</t>
    <rPh sb="0" eb="1">
      <t>レイ</t>
    </rPh>
    <rPh sb="7" eb="10">
      <t>カヤバチョウ</t>
    </rPh>
    <rPh sb="18" eb="20">
      <t>マンエン</t>
    </rPh>
    <rPh sb="33" eb="34">
      <t>エン</t>
    </rPh>
    <phoneticPr fontId="151"/>
  </si>
  <si>
    <t>目安）～50坪：100万円／～100坪：200万円／～200坪：300万円</t>
    <rPh sb="0" eb="2">
      <t>メヤス</t>
    </rPh>
    <rPh sb="6" eb="7">
      <t>ツボ</t>
    </rPh>
    <rPh sb="11" eb="13">
      <t>マンエン</t>
    </rPh>
    <rPh sb="18" eb="19">
      <t>ツボ</t>
    </rPh>
    <rPh sb="23" eb="25">
      <t>マンエン</t>
    </rPh>
    <rPh sb="30" eb="31">
      <t>ツボ</t>
    </rPh>
    <rPh sb="35" eb="37">
      <t>マンエン</t>
    </rPh>
    <phoneticPr fontId="151"/>
  </si>
  <si>
    <t>例）兜町ファースト：700万円／茅場町GG：1500万円（内部）＋1200万円（ファサード1,2F御影石張り）</t>
    <rPh sb="0" eb="1">
      <t>レイ</t>
    </rPh>
    <rPh sb="2" eb="4">
      <t>カブトチョウ</t>
    </rPh>
    <rPh sb="13" eb="15">
      <t>マンエン</t>
    </rPh>
    <rPh sb="16" eb="19">
      <t>カヤバチョウ</t>
    </rPh>
    <rPh sb="26" eb="28">
      <t>マンエン</t>
    </rPh>
    <rPh sb="29" eb="31">
      <t>ナイブ</t>
    </rPh>
    <rPh sb="37" eb="39">
      <t>マンエン</t>
    </rPh>
    <rPh sb="49" eb="52">
      <t>ミカゲイシ</t>
    </rPh>
    <rPh sb="52" eb="53">
      <t>バ</t>
    </rPh>
    <phoneticPr fontId="151"/>
  </si>
  <si>
    <t>目安）住居⇒オフィスコンバージョン　～30坪：@35万／30坪～：@30万円　＋　セットアップ応接　200万円～300万円</t>
    <rPh sb="0" eb="2">
      <t>メヤス</t>
    </rPh>
    <rPh sb="3" eb="5">
      <t>ジュウキョ</t>
    </rPh>
    <rPh sb="21" eb="22">
      <t>ツボ</t>
    </rPh>
    <rPh sb="26" eb="27">
      <t>マン</t>
    </rPh>
    <rPh sb="30" eb="31">
      <t>ツボ</t>
    </rPh>
    <rPh sb="36" eb="38">
      <t>マンエン</t>
    </rPh>
    <rPh sb="47" eb="49">
      <t>オウセツ</t>
    </rPh>
    <rPh sb="53" eb="55">
      <t>マンエン</t>
    </rPh>
    <rPh sb="59" eb="61">
      <t>マンエン</t>
    </rPh>
    <phoneticPr fontId="151"/>
  </si>
  <si>
    <t>目安）応接什器1セット：50～150万円</t>
    <rPh sb="0" eb="2">
      <t>メヤス</t>
    </rPh>
    <rPh sb="3" eb="5">
      <t>オウセツ</t>
    </rPh>
    <rPh sb="5" eb="7">
      <t>ジュウキ</t>
    </rPh>
    <rPh sb="18" eb="20">
      <t>マンエン</t>
    </rPh>
    <phoneticPr fontId="151"/>
  </si>
  <si>
    <t>ガス引込：100万円（3～4ヶ月）／電気容量増加（トランス増設）：250万円／電気容量増加（キュービクル増設）：800万円／給排水設備：100万円（雑排水ピット容量注意）</t>
    <rPh sb="2" eb="3">
      <t>ヒ</t>
    </rPh>
    <rPh sb="3" eb="4">
      <t>コ</t>
    </rPh>
    <rPh sb="8" eb="10">
      <t>マンエン</t>
    </rPh>
    <rPh sb="15" eb="16">
      <t>ゲツ</t>
    </rPh>
    <rPh sb="18" eb="20">
      <t>デンキ</t>
    </rPh>
    <rPh sb="20" eb="22">
      <t>ヨウリョウ</t>
    </rPh>
    <rPh sb="22" eb="24">
      <t>ゾウカ</t>
    </rPh>
    <rPh sb="29" eb="31">
      <t>ゾウセツ</t>
    </rPh>
    <rPh sb="36" eb="37">
      <t>マン</t>
    </rPh>
    <rPh sb="37" eb="38">
      <t>エン</t>
    </rPh>
    <rPh sb="39" eb="41">
      <t>デンキ</t>
    </rPh>
    <rPh sb="41" eb="43">
      <t>ヨウリョウ</t>
    </rPh>
    <rPh sb="43" eb="45">
      <t>ゾウカ</t>
    </rPh>
    <rPh sb="52" eb="54">
      <t>ゾウセツ</t>
    </rPh>
    <rPh sb="59" eb="61">
      <t>マンエン</t>
    </rPh>
    <rPh sb="62" eb="65">
      <t>キュウハイスイ</t>
    </rPh>
    <rPh sb="65" eb="67">
      <t>セツビ</t>
    </rPh>
    <rPh sb="71" eb="73">
      <t>マンエン</t>
    </rPh>
    <rPh sb="74" eb="77">
      <t>ザツハイスイ</t>
    </rPh>
    <rPh sb="80" eb="82">
      <t>ヨウリョウ</t>
    </rPh>
    <rPh sb="82" eb="84">
      <t>チュウイ</t>
    </rPh>
    <phoneticPr fontId="151"/>
  </si>
  <si>
    <r>
      <rPr>
        <b/>
        <sz val="9"/>
        <color indexed="10"/>
        <rFont val="ＭＳ ゴシック"/>
        <family val="3"/>
        <charset val="128"/>
      </rPr>
      <t>注）2年以内に基盤の製造が終了する場合、必ず基盤を更新</t>
    </r>
    <r>
      <rPr>
        <sz val="9"/>
        <rFont val="ＭＳ ゴシック"/>
        <family val="3"/>
        <charset val="128"/>
      </rPr>
      <t>　日立：550万円、三菱：450万円、東芝：600万円、JES：600万円（1基あたり）</t>
    </r>
    <rPh sb="3" eb="4">
      <t>ネン</t>
    </rPh>
    <rPh sb="4" eb="6">
      <t>イナイ</t>
    </rPh>
    <rPh sb="7" eb="9">
      <t>キバン</t>
    </rPh>
    <rPh sb="10" eb="12">
      <t>セイゾウ</t>
    </rPh>
    <rPh sb="13" eb="15">
      <t>シュウリョウ</t>
    </rPh>
    <rPh sb="17" eb="19">
      <t>バアイ</t>
    </rPh>
    <rPh sb="20" eb="21">
      <t>カナラ</t>
    </rPh>
    <rPh sb="22" eb="24">
      <t>キバン</t>
    </rPh>
    <rPh sb="25" eb="27">
      <t>コウシン</t>
    </rPh>
    <rPh sb="28" eb="30">
      <t>ヒタチ</t>
    </rPh>
    <rPh sb="34" eb="36">
      <t>マンエン</t>
    </rPh>
    <rPh sb="37" eb="39">
      <t>ミツビシ</t>
    </rPh>
    <rPh sb="43" eb="45">
      <t>マンエン</t>
    </rPh>
    <rPh sb="46" eb="48">
      <t>トウシバ</t>
    </rPh>
    <rPh sb="52" eb="54">
      <t>マンエン</t>
    </rPh>
    <rPh sb="62" eb="64">
      <t>マンエン</t>
    </rPh>
    <rPh sb="66" eb="67">
      <t>キ</t>
    </rPh>
    <phoneticPr fontId="151"/>
  </si>
  <si>
    <t>目安）80万円～150万円</t>
    <rPh sb="0" eb="2">
      <t>メヤス</t>
    </rPh>
    <rPh sb="5" eb="7">
      <t>マンエン</t>
    </rPh>
    <rPh sb="11" eb="13">
      <t>マンエン</t>
    </rPh>
    <phoneticPr fontId="151"/>
  </si>
  <si>
    <r>
      <rPr>
        <b/>
        <sz val="9"/>
        <color indexed="10"/>
        <rFont val="ＭＳ ゴシック"/>
        <family val="3"/>
        <charset val="128"/>
      </rPr>
      <t>注）オリジナル空調については「必ず更新」する</t>
    </r>
    <r>
      <rPr>
        <sz val="9"/>
        <rFont val="ＭＳ ゴシック"/>
        <family val="3"/>
        <charset val="128"/>
      </rPr>
      <t>　延床面積×@6～8万円（冷媒管既存再利用）　茅場町GG：2700万円（561坪≒4.81万円／GKS）</t>
    </r>
    <rPh sb="0" eb="1">
      <t>チュウ</t>
    </rPh>
    <rPh sb="7" eb="9">
      <t>クウチョウ</t>
    </rPh>
    <rPh sb="15" eb="16">
      <t>カナラ</t>
    </rPh>
    <rPh sb="17" eb="19">
      <t>コウシン</t>
    </rPh>
    <rPh sb="23" eb="24">
      <t>ノベ</t>
    </rPh>
    <rPh sb="24" eb="25">
      <t>ユカ</t>
    </rPh>
    <rPh sb="25" eb="27">
      <t>メンセキ</t>
    </rPh>
    <rPh sb="32" eb="34">
      <t>マンエン</t>
    </rPh>
    <rPh sb="35" eb="37">
      <t>レイバイ</t>
    </rPh>
    <rPh sb="37" eb="38">
      <t>カン</t>
    </rPh>
    <rPh sb="38" eb="40">
      <t>キゾン</t>
    </rPh>
    <rPh sb="40" eb="43">
      <t>サイリヨウ</t>
    </rPh>
    <rPh sb="45" eb="48">
      <t>カヤバチョウ</t>
    </rPh>
    <rPh sb="55" eb="57">
      <t>マンエン</t>
    </rPh>
    <rPh sb="61" eb="62">
      <t>ツボ</t>
    </rPh>
    <rPh sb="67" eb="69">
      <t>マンエン</t>
    </rPh>
    <phoneticPr fontId="151"/>
  </si>
  <si>
    <r>
      <rPr>
        <b/>
        <sz val="9"/>
        <color indexed="10"/>
        <rFont val="ＭＳ ゴシック"/>
        <family val="3"/>
        <charset val="128"/>
      </rPr>
      <t>注）有効期限切れメーターは「必ず更新」する、全ポンプを点検し、オリジナルは必ず更新する</t>
    </r>
    <r>
      <rPr>
        <sz val="9"/>
        <rFont val="ＭＳ ゴシック"/>
        <family val="3"/>
        <charset val="128"/>
      </rPr>
      <t>　給水ポンプ100万円、メーター@12万円</t>
    </r>
    <rPh sb="2" eb="4">
      <t>ユウコウ</t>
    </rPh>
    <rPh sb="4" eb="6">
      <t>キゲン</t>
    </rPh>
    <rPh sb="6" eb="7">
      <t>キ</t>
    </rPh>
    <rPh sb="22" eb="23">
      <t>ゼン</t>
    </rPh>
    <rPh sb="27" eb="29">
      <t>テンケン</t>
    </rPh>
    <rPh sb="37" eb="38">
      <t>カナラ</t>
    </rPh>
    <rPh sb="39" eb="41">
      <t>コウシン</t>
    </rPh>
    <rPh sb="44" eb="46">
      <t>キュウスイ</t>
    </rPh>
    <rPh sb="52" eb="54">
      <t>マンエン</t>
    </rPh>
    <rPh sb="62" eb="64">
      <t>マンエン</t>
    </rPh>
    <phoneticPr fontId="151"/>
  </si>
  <si>
    <t>連結送水管の耐圧試験を実施していない場合、連結送水管ごと更新（200～400万円程度）する必要があるかもしれない</t>
    <rPh sb="0" eb="2">
      <t>レンケツ</t>
    </rPh>
    <rPh sb="2" eb="5">
      <t>ソウスイカン</t>
    </rPh>
    <rPh sb="6" eb="8">
      <t>タイアツ</t>
    </rPh>
    <rPh sb="8" eb="10">
      <t>シケン</t>
    </rPh>
    <rPh sb="11" eb="13">
      <t>ジッシ</t>
    </rPh>
    <rPh sb="18" eb="20">
      <t>バアイ</t>
    </rPh>
    <rPh sb="21" eb="23">
      <t>レンケツ</t>
    </rPh>
    <rPh sb="23" eb="26">
      <t>ソウスイカン</t>
    </rPh>
    <rPh sb="28" eb="30">
      <t>コウシン</t>
    </rPh>
    <rPh sb="38" eb="40">
      <t>マンエン</t>
    </rPh>
    <rPh sb="40" eb="42">
      <t>テイド</t>
    </rPh>
    <rPh sb="45" eb="47">
      <t>ヒツヨウ</t>
    </rPh>
    <phoneticPr fontId="151"/>
  </si>
  <si>
    <t>耐震診断（及び補強案）は300～400万円程度、耐震補強は1ブレースあたり800万円程度</t>
    <rPh sb="0" eb="2">
      <t>タイシン</t>
    </rPh>
    <rPh sb="2" eb="4">
      <t>シンダン</t>
    </rPh>
    <rPh sb="5" eb="6">
      <t>オヨ</t>
    </rPh>
    <rPh sb="7" eb="9">
      <t>ホキョウ</t>
    </rPh>
    <rPh sb="9" eb="10">
      <t>アン</t>
    </rPh>
    <rPh sb="19" eb="21">
      <t>マンエン</t>
    </rPh>
    <rPh sb="21" eb="23">
      <t>テイド</t>
    </rPh>
    <rPh sb="24" eb="26">
      <t>タイシン</t>
    </rPh>
    <rPh sb="26" eb="28">
      <t>ホキョウ</t>
    </rPh>
    <rPh sb="40" eb="42">
      <t>マンエン</t>
    </rPh>
    <rPh sb="42" eb="44">
      <t>テイド</t>
    </rPh>
    <phoneticPr fontId="151"/>
  </si>
  <si>
    <t>機械式駐車場については、操作盤及びセンサーがオリジナルの場合は更新（300万円程度）する。他、大規模修繕として駆動部分更新（1500万円程度）やパレット関連の更新などの費用が掛かる可能性がある（検討中に必ずメーカーに確認）</t>
    <rPh sb="0" eb="3">
      <t>キカイシキ</t>
    </rPh>
    <rPh sb="3" eb="6">
      <t>チュウシャジョウ</t>
    </rPh>
    <rPh sb="12" eb="15">
      <t>ソウサバン</t>
    </rPh>
    <rPh sb="15" eb="16">
      <t>オヨ</t>
    </rPh>
    <rPh sb="28" eb="30">
      <t>バアイ</t>
    </rPh>
    <rPh sb="31" eb="33">
      <t>コウシン</t>
    </rPh>
    <rPh sb="37" eb="39">
      <t>マンエン</t>
    </rPh>
    <rPh sb="39" eb="41">
      <t>テイド</t>
    </rPh>
    <rPh sb="45" eb="46">
      <t>ホカ</t>
    </rPh>
    <rPh sb="47" eb="50">
      <t>ダイキボ</t>
    </rPh>
    <rPh sb="50" eb="52">
      <t>シュウゼン</t>
    </rPh>
    <rPh sb="55" eb="57">
      <t>クドウ</t>
    </rPh>
    <rPh sb="57" eb="59">
      <t>ブブン</t>
    </rPh>
    <rPh sb="59" eb="61">
      <t>コウシン</t>
    </rPh>
    <rPh sb="66" eb="68">
      <t>マンエン</t>
    </rPh>
    <rPh sb="68" eb="70">
      <t>テイド</t>
    </rPh>
    <rPh sb="76" eb="78">
      <t>カンレン</t>
    </rPh>
    <rPh sb="79" eb="81">
      <t>コウシン</t>
    </rPh>
    <rPh sb="84" eb="86">
      <t>ヒヨウ</t>
    </rPh>
    <rPh sb="87" eb="88">
      <t>カ</t>
    </rPh>
    <rPh sb="90" eb="93">
      <t>カノウセイ</t>
    </rPh>
    <rPh sb="97" eb="99">
      <t>ケントウ</t>
    </rPh>
    <rPh sb="99" eb="100">
      <t>チュウ</t>
    </rPh>
    <rPh sb="101" eb="102">
      <t>カナラ</t>
    </rPh>
    <rPh sb="108" eb="110">
      <t>カクニン</t>
    </rPh>
    <phoneticPr fontId="151"/>
  </si>
  <si>
    <t>メゾネット住居（内部階段を残す）を事務所にすると、防火区画をシャッター等で形成（200万円程度）しなければならないため、事務所ではなくSOHO（要シャワー）にする</t>
    <rPh sb="5" eb="7">
      <t>ジュウキョ</t>
    </rPh>
    <rPh sb="8" eb="10">
      <t>ナイブ</t>
    </rPh>
    <rPh sb="10" eb="12">
      <t>カイダン</t>
    </rPh>
    <rPh sb="13" eb="14">
      <t>ノコ</t>
    </rPh>
    <rPh sb="17" eb="19">
      <t>ジム</t>
    </rPh>
    <rPh sb="19" eb="20">
      <t>ショ</t>
    </rPh>
    <rPh sb="25" eb="27">
      <t>ボウカ</t>
    </rPh>
    <rPh sb="27" eb="29">
      <t>クカク</t>
    </rPh>
    <rPh sb="35" eb="36">
      <t>トウ</t>
    </rPh>
    <rPh sb="37" eb="39">
      <t>ケイセイ</t>
    </rPh>
    <rPh sb="43" eb="45">
      <t>マンエン</t>
    </rPh>
    <rPh sb="45" eb="47">
      <t>テイド</t>
    </rPh>
    <rPh sb="60" eb="62">
      <t>ジム</t>
    </rPh>
    <rPh sb="62" eb="63">
      <t>ショ</t>
    </rPh>
    <rPh sb="72" eb="73">
      <t>ヨウ</t>
    </rPh>
    <phoneticPr fontId="151"/>
  </si>
  <si>
    <t>地下室（駐車場）に機械排煙が壊れていて作動しない場合がある（500万円程度）。</t>
    <rPh sb="0" eb="2">
      <t>チカ</t>
    </rPh>
    <rPh sb="2" eb="3">
      <t>シツ</t>
    </rPh>
    <rPh sb="4" eb="7">
      <t>チュウシャジョウ</t>
    </rPh>
    <rPh sb="9" eb="11">
      <t>キカイ</t>
    </rPh>
    <rPh sb="11" eb="13">
      <t>ハイエン</t>
    </rPh>
    <rPh sb="14" eb="15">
      <t>コワ</t>
    </rPh>
    <rPh sb="19" eb="21">
      <t>サドウ</t>
    </rPh>
    <rPh sb="24" eb="26">
      <t>バアイ</t>
    </rPh>
    <rPh sb="33" eb="35">
      <t>マンエン</t>
    </rPh>
    <rPh sb="35" eb="37">
      <t>テイド</t>
    </rPh>
    <phoneticPr fontId="151"/>
  </si>
  <si>
    <t>保育園準備A工事は21万円／坪（人形町一棟保育園）※EV・段差解消機新設</t>
    <rPh sb="0" eb="3">
      <t>ホイクエン</t>
    </rPh>
    <rPh sb="3" eb="5">
      <t>ジュンビ</t>
    </rPh>
    <rPh sb="6" eb="8">
      <t>コウジ</t>
    </rPh>
    <rPh sb="11" eb="13">
      <t>マンエン</t>
    </rPh>
    <rPh sb="14" eb="15">
      <t>ツボ</t>
    </rPh>
    <rPh sb="16" eb="19">
      <t>ニンギョウチョウ</t>
    </rPh>
    <rPh sb="19" eb="21">
      <t>イットウ</t>
    </rPh>
    <rPh sb="21" eb="24">
      <t>ホイクエン</t>
    </rPh>
    <rPh sb="29" eb="31">
      <t>ダンサ</t>
    </rPh>
    <rPh sb="31" eb="33">
      <t>カイショウ</t>
    </rPh>
    <rPh sb="33" eb="34">
      <t>キ</t>
    </rPh>
    <rPh sb="34" eb="36">
      <t>シンセツ</t>
    </rPh>
    <phoneticPr fontId="151"/>
  </si>
  <si>
    <t>draft仕様：ENT＋全館フルリノベーション＋屋上ガーデン：43万円／坪（イマージュビル）</t>
    <rPh sb="5" eb="7">
      <t>シヨウ</t>
    </rPh>
    <rPh sb="12" eb="14">
      <t>ゼンカン</t>
    </rPh>
    <rPh sb="24" eb="26">
      <t>オクジョウ</t>
    </rPh>
    <rPh sb="33" eb="35">
      <t>マンエン</t>
    </rPh>
    <rPh sb="36" eb="37">
      <t>ツボ</t>
    </rPh>
    <phoneticPr fontId="151"/>
  </si>
  <si>
    <t>グランファースト仕様：1フロア…EVホール＋水周り：1300万円（15坪）、室内：2300万円（95坪）、家具400万円…GF神田紺屋町</t>
    <rPh sb="8" eb="10">
      <t>シヨウ</t>
    </rPh>
    <rPh sb="22" eb="23">
      <t>ミズ</t>
    </rPh>
    <rPh sb="23" eb="24">
      <t>マワ</t>
    </rPh>
    <rPh sb="30" eb="32">
      <t>マンエン</t>
    </rPh>
    <rPh sb="35" eb="36">
      <t>ツボ</t>
    </rPh>
    <rPh sb="38" eb="40">
      <t>シツナイ</t>
    </rPh>
    <rPh sb="45" eb="47">
      <t>マンエン</t>
    </rPh>
    <rPh sb="50" eb="51">
      <t>ツボ</t>
    </rPh>
    <rPh sb="53" eb="55">
      <t>カグ</t>
    </rPh>
    <rPh sb="58" eb="60">
      <t>マンエン</t>
    </rPh>
    <rPh sb="63" eb="68">
      <t>カンダコンヤチョウ</t>
    </rPh>
    <phoneticPr fontId="151"/>
  </si>
  <si>
    <t>＜その他注意事項等＞</t>
    <rPh sb="3" eb="4">
      <t>タ</t>
    </rPh>
    <rPh sb="4" eb="6">
      <t>チュウイ</t>
    </rPh>
    <rPh sb="6" eb="8">
      <t>ジコウ</t>
    </rPh>
    <rPh sb="8" eb="9">
      <t>トウ</t>
    </rPh>
    <phoneticPr fontId="151"/>
  </si>
  <si>
    <t>売主が明け渡し猶予ではなく「リースバック」する場合、事業決定稟議にリースバック契約締結の要素も加えなければならない。備考欄に通常の賃貸借契約締結の申請書と同様の申請内容を記載する（駐車場も同じ）。</t>
    <phoneticPr fontId="3"/>
  </si>
  <si>
    <t>←注意！！</t>
    <rPh sb="1" eb="3">
      <t>チュウイ</t>
    </rPh>
    <phoneticPr fontId="151"/>
  </si>
  <si>
    <t>↓ここから稟議・取締役会用</t>
    <rPh sb="5" eb="7">
      <t>リンギ</t>
    </rPh>
    <rPh sb="8" eb="11">
      <t>トリシマリヤク</t>
    </rPh>
    <rPh sb="11" eb="12">
      <t>カイ</t>
    </rPh>
    <rPh sb="12" eb="13">
      <t>ヨウ</t>
    </rPh>
    <phoneticPr fontId="3"/>
  </si>
  <si>
    <t>　①販売資料簡易版、②事業決定時事業計画書、</t>
    <rPh sb="2" eb="4">
      <t>ハンバイ</t>
    </rPh>
    <rPh sb="4" eb="6">
      <t>シリョウ</t>
    </rPh>
    <rPh sb="6" eb="9">
      <t>カンイバン</t>
    </rPh>
    <rPh sb="11" eb="13">
      <t>ジギョウ</t>
    </rPh>
    <rPh sb="13" eb="15">
      <t>ケッテイ</t>
    </rPh>
    <rPh sb="15" eb="16">
      <t>ジ</t>
    </rPh>
    <rPh sb="16" eb="18">
      <t>ジギョウ</t>
    </rPh>
    <rPh sb="18" eb="21">
      <t>ケイカクショ</t>
    </rPh>
    <phoneticPr fontId="133"/>
  </si>
  <si>
    <t>　③売却時事業計画書（稟議時から契約決済日・原価をアップデート、報告書と数字が一致するもの）</t>
    <rPh sb="2" eb="4">
      <t>バイキャク</t>
    </rPh>
    <rPh sb="4" eb="5">
      <t>ジ</t>
    </rPh>
    <rPh sb="5" eb="7">
      <t>ジギョウ</t>
    </rPh>
    <rPh sb="7" eb="10">
      <t>ケイカクショ</t>
    </rPh>
    <rPh sb="11" eb="13">
      <t>リンギ</t>
    </rPh>
    <rPh sb="13" eb="14">
      <t>ジ</t>
    </rPh>
    <rPh sb="16" eb="18">
      <t>ケイヤク</t>
    </rPh>
    <rPh sb="18" eb="20">
      <t>ケッサイ</t>
    </rPh>
    <rPh sb="20" eb="21">
      <t>ビ</t>
    </rPh>
    <rPh sb="22" eb="24">
      <t>ゲンカ</t>
    </rPh>
    <rPh sb="32" eb="35">
      <t>ホウコクショ</t>
    </rPh>
    <rPh sb="36" eb="38">
      <t>スウジ</t>
    </rPh>
    <rPh sb="39" eb="41">
      <t>イッチ</t>
    </rPh>
    <phoneticPr fontId="133"/>
  </si>
  <si>
    <t>　を用意する</t>
    <rPh sb="2" eb="4">
      <t>ヨウイ</t>
    </rPh>
    <phoneticPr fontId="133"/>
  </si>
  <si>
    <t>　税抜10億円以上、上記基準額未満の場合は「報告事項」のため、</t>
    <rPh sb="1" eb="2">
      <t>ゼイ</t>
    </rPh>
    <rPh sb="2" eb="3">
      <t>ヌ</t>
    </rPh>
    <rPh sb="5" eb="9">
      <t>オクエンイジョウ</t>
    </rPh>
    <rPh sb="10" eb="12">
      <t>ジョウキ</t>
    </rPh>
    <rPh sb="12" eb="14">
      <t>キジュン</t>
    </rPh>
    <rPh sb="14" eb="15">
      <t>ガク</t>
    </rPh>
    <rPh sb="15" eb="17">
      <t>ミマン</t>
    </rPh>
    <rPh sb="18" eb="20">
      <t>バアイ</t>
    </rPh>
    <rPh sb="22" eb="24">
      <t>ホウコク</t>
    </rPh>
    <rPh sb="24" eb="26">
      <t>ジコウ</t>
    </rPh>
    <phoneticPr fontId="133"/>
  </si>
  <si>
    <t>物件名称</t>
    <phoneticPr fontId="3"/>
  </si>
  <si>
    <t>写　真/
地　図</t>
    <rPh sb="0" eb="1">
      <t>シャ</t>
    </rPh>
    <rPh sb="2" eb="3">
      <t>マコト</t>
    </rPh>
    <rPh sb="5" eb="6">
      <t>チ</t>
    </rPh>
    <rPh sb="7" eb="8">
      <t>ズ</t>
    </rPh>
    <phoneticPr fontId="3"/>
  </si>
  <si>
    <t>物件所在地</t>
    <phoneticPr fontId="3"/>
  </si>
  <si>
    <t>宅地：</t>
    <phoneticPr fontId="3"/>
  </si>
  <si>
    <t>延床：</t>
    <rPh sb="0" eb="1">
      <t>エン</t>
    </rPh>
    <rPh sb="1" eb="2">
      <t>ユカ</t>
    </rPh>
    <phoneticPr fontId="3"/>
  </si>
  <si>
    <t>買主</t>
    <rPh sb="0" eb="2">
      <t>カイヌシ</t>
    </rPh>
    <phoneticPr fontId="3"/>
  </si>
  <si>
    <t>売主</t>
    <rPh sb="0" eb="2">
      <t>ウリヌシ</t>
    </rPh>
    <phoneticPr fontId="3"/>
  </si>
  <si>
    <t>媒介業者</t>
    <rPh sb="0" eb="2">
      <t>バイカイ</t>
    </rPh>
    <rPh sb="2" eb="4">
      <t>ギョウシャ</t>
    </rPh>
    <phoneticPr fontId="3"/>
  </si>
  <si>
    <t>支払手数料</t>
    <rPh sb="0" eb="2">
      <t>シハラ</t>
    </rPh>
    <rPh sb="2" eb="5">
      <t>テスウリョウ</t>
    </rPh>
    <phoneticPr fontId="3"/>
  </si>
  <si>
    <t>（別途消費税等）</t>
    <rPh sb="1" eb="3">
      <t>ベット</t>
    </rPh>
    <rPh sb="3" eb="7">
      <t>ショウヒゼイトウ</t>
    </rPh>
    <phoneticPr fontId="3"/>
  </si>
  <si>
    <t>購入時</t>
    <rPh sb="0" eb="2">
      <t>コウニュウ</t>
    </rPh>
    <rPh sb="2" eb="3">
      <t>ジ</t>
    </rPh>
    <phoneticPr fontId="3"/>
  </si>
  <si>
    <t>想定
売却価格</t>
    <rPh sb="0" eb="2">
      <t>ソウテイ</t>
    </rPh>
    <rPh sb="3" eb="5">
      <t>バイキャク</t>
    </rPh>
    <rPh sb="5" eb="7">
      <t>カカク</t>
    </rPh>
    <phoneticPr fontId="3"/>
  </si>
  <si>
    <t>見込：</t>
    <rPh sb="0" eb="2">
      <t>ミコ</t>
    </rPh>
    <phoneticPr fontId="3"/>
  </si>
  <si>
    <t>（別途消費税等）</t>
    <rPh sb="1" eb="3">
      <t>ベット</t>
    </rPh>
    <phoneticPr fontId="3"/>
  </si>
  <si>
    <t>事業正味利益：</t>
    <phoneticPr fontId="3"/>
  </si>
  <si>
    <t>（利益率：</t>
    <rPh sb="1" eb="3">
      <t>リエキ</t>
    </rPh>
    <rPh sb="3" eb="4">
      <t>リツ</t>
    </rPh>
    <phoneticPr fontId="3"/>
  </si>
  <si>
    <t>）</t>
    <phoneticPr fontId="3"/>
  </si>
  <si>
    <t>事業原価：</t>
    <phoneticPr fontId="3"/>
  </si>
  <si>
    <t>想定利回り</t>
    <rPh sb="0" eb="2">
      <t>ソウテイ</t>
    </rPh>
    <rPh sb="2" eb="4">
      <t>リマワ</t>
    </rPh>
    <phoneticPr fontId="3"/>
  </si>
  <si>
    <t>表面利回り：</t>
    <phoneticPr fontId="3"/>
  </si>
  <si>
    <t>NET利回り：</t>
    <phoneticPr fontId="3"/>
  </si>
  <si>
    <t>想定事業期間</t>
    <rPh sb="0" eb="2">
      <t>ソウテイ</t>
    </rPh>
    <rPh sb="2" eb="4">
      <t>ジギョウ</t>
    </rPh>
    <rPh sb="4" eb="6">
      <t>キカン</t>
    </rPh>
    <phoneticPr fontId="3"/>
  </si>
  <si>
    <t>（</t>
    <phoneticPr fontId="3"/>
  </si>
  <si>
    <t>～</t>
    <phoneticPr fontId="3"/>
  </si>
  <si>
    <t>売却時</t>
    <rPh sb="0" eb="2">
      <t>バイキャク</t>
    </rPh>
    <rPh sb="2" eb="3">
      <t>ジ</t>
    </rPh>
    <phoneticPr fontId="3"/>
  </si>
  <si>
    <t>売却価格</t>
    <rPh sb="0" eb="2">
      <t>バイキャク</t>
    </rPh>
    <rPh sb="2" eb="4">
      <t>カカク</t>
    </rPh>
    <phoneticPr fontId="3"/>
  </si>
  <si>
    <t>事業正味利益：</t>
    <phoneticPr fontId="3"/>
  </si>
  <si>
    <t>）</t>
    <phoneticPr fontId="3"/>
  </si>
  <si>
    <t>事業原価：</t>
    <phoneticPr fontId="3"/>
  </si>
  <si>
    <t>利回り</t>
    <rPh sb="0" eb="2">
      <t>リマワ</t>
    </rPh>
    <phoneticPr fontId="3"/>
  </si>
  <si>
    <t>表面利回り：</t>
    <phoneticPr fontId="3"/>
  </si>
  <si>
    <t>NET利回り：</t>
    <phoneticPr fontId="3"/>
  </si>
  <si>
    <t>事業期間</t>
    <rPh sb="0" eb="2">
      <t>ジギョウ</t>
    </rPh>
    <rPh sb="2" eb="4">
      <t>キカン</t>
    </rPh>
    <phoneticPr fontId="3"/>
  </si>
  <si>
    <t>（</t>
    <phoneticPr fontId="3"/>
  </si>
  <si>
    <t>～</t>
    <phoneticPr fontId="3"/>
  </si>
  <si>
    <t>契約日</t>
    <rPh sb="0" eb="3">
      <t>ケイヤクビ</t>
    </rPh>
    <phoneticPr fontId="3"/>
  </si>
  <si>
    <t>決済日</t>
    <rPh sb="0" eb="3">
      <t>ケッサイビ</t>
    </rPh>
    <phoneticPr fontId="3"/>
  </si>
  <si>
    <t>手付金</t>
    <rPh sb="0" eb="2">
      <t>テツケ</t>
    </rPh>
    <rPh sb="2" eb="3">
      <t>キン</t>
    </rPh>
    <phoneticPr fontId="3"/>
  </si>
  <si>
    <t>リプランニング事業部</t>
    <phoneticPr fontId="204"/>
  </si>
  <si>
    <t>←不在の場合は「-」（小文字ハイフン）</t>
    <rPh sb="1" eb="3">
      <t>フザイ</t>
    </rPh>
    <rPh sb="4" eb="6">
      <t>バアイ</t>
    </rPh>
    <rPh sb="11" eb="14">
      <t>コモジ</t>
    </rPh>
    <phoneticPr fontId="151"/>
  </si>
  <si>
    <t>←現金のみの場合は「自己資金（現金）」</t>
    <rPh sb="1" eb="3">
      <t>ゲンキン</t>
    </rPh>
    <rPh sb="6" eb="8">
      <t>バアイ</t>
    </rPh>
    <rPh sb="10" eb="12">
      <t>ジコ</t>
    </rPh>
    <rPh sb="12" eb="14">
      <t>シキン</t>
    </rPh>
    <rPh sb="15" eb="17">
      <t>ゲンキン</t>
    </rPh>
    <phoneticPr fontId="151"/>
  </si>
  <si>
    <t>資金借入先</t>
    <rPh sb="2" eb="4">
      <t>カリイレ</t>
    </rPh>
    <rPh sb="4" eb="5">
      <t>サキ</t>
    </rPh>
    <phoneticPr fontId="3"/>
  </si>
  <si>
    <t>←税抜売却価格が前年度売上の10％を超える場合のみ「決議事項」となるため、</t>
    <rPh sb="1" eb="2">
      <t>ゼイ</t>
    </rPh>
    <rPh sb="2" eb="3">
      <t>ヌ</t>
    </rPh>
    <rPh sb="3" eb="5">
      <t>バイキャク</t>
    </rPh>
    <rPh sb="5" eb="7">
      <t>カカク</t>
    </rPh>
    <rPh sb="8" eb="11">
      <t>ゼンネンド</t>
    </rPh>
    <rPh sb="11" eb="13">
      <t>ウリア</t>
    </rPh>
    <rPh sb="18" eb="19">
      <t>コ</t>
    </rPh>
    <rPh sb="21" eb="23">
      <t>バアイ</t>
    </rPh>
    <rPh sb="26" eb="28">
      <t>ケツギ</t>
    </rPh>
    <rPh sb="28" eb="30">
      <t>ジコウ</t>
    </rPh>
    <phoneticPr fontId="133"/>
  </si>
  <si>
    <t>　当議案説明書を作成し、添付資料を付して、</t>
    <rPh sb="1" eb="2">
      <t>トウ</t>
    </rPh>
    <rPh sb="2" eb="4">
      <t>ギアン</t>
    </rPh>
    <rPh sb="4" eb="7">
      <t>セツメイショ</t>
    </rPh>
    <rPh sb="8" eb="10">
      <t>サクセイ</t>
    </rPh>
    <rPh sb="12" eb="14">
      <t>テンプ</t>
    </rPh>
    <rPh sb="14" eb="16">
      <t>シリョウ</t>
    </rPh>
    <rPh sb="17" eb="18">
      <t>フ</t>
    </rPh>
    <phoneticPr fontId="133"/>
  </si>
  <si>
    <t>　別紙「報告書」のみを作成し、経営企画部に提出する。</t>
    <rPh sb="1" eb="3">
      <t>ベッシ</t>
    </rPh>
    <rPh sb="4" eb="7">
      <t>ホウコクショ</t>
    </rPh>
    <rPh sb="11" eb="13">
      <t>サクセイ</t>
    </rPh>
    <rPh sb="15" eb="17">
      <t>ケイエイ</t>
    </rPh>
    <rPh sb="17" eb="19">
      <t>キカク</t>
    </rPh>
    <rPh sb="19" eb="20">
      <t>ブ</t>
    </rPh>
    <rPh sb="21" eb="23">
      <t>テイシュツ</t>
    </rPh>
    <phoneticPr fontId="133"/>
  </si>
  <si>
    <t>　加えて、部長デスクに以下4点セット、</t>
    <rPh sb="1" eb="2">
      <t>クワ</t>
    </rPh>
    <rPh sb="5" eb="7">
      <t>ブチョウ</t>
    </rPh>
    <rPh sb="11" eb="13">
      <t>イカ</t>
    </rPh>
    <rPh sb="14" eb="15">
      <t>テン</t>
    </rPh>
    <phoneticPr fontId="133"/>
  </si>
  <si>
    <t>←購入価格税抜10億円以上は決議事項のため、</t>
    <rPh sb="1" eb="3">
      <t>コウニュウ</t>
    </rPh>
    <rPh sb="3" eb="5">
      <t>カカク</t>
    </rPh>
    <rPh sb="5" eb="6">
      <t>ゼイ</t>
    </rPh>
    <rPh sb="6" eb="7">
      <t>ヌ</t>
    </rPh>
    <rPh sb="9" eb="11">
      <t>オクエン</t>
    </rPh>
    <rPh sb="11" eb="13">
      <t>イジョウ</t>
    </rPh>
    <rPh sb="14" eb="16">
      <t>ケツギ</t>
    </rPh>
    <rPh sb="16" eb="18">
      <t>ジコウ</t>
    </rPh>
    <phoneticPr fontId="133"/>
  </si>
  <si>
    <t>購入価格</t>
    <rPh sb="0" eb="2">
      <t>コウニュウ</t>
    </rPh>
    <rPh sb="2" eb="4">
      <t>カカク</t>
    </rPh>
    <phoneticPr fontId="3"/>
  </si>
  <si>
    <t>　加えて、部長デスクに以下3点セット、</t>
    <rPh sb="1" eb="2">
      <t>クワ</t>
    </rPh>
    <rPh sb="5" eb="7">
      <t>ブチョウ</t>
    </rPh>
    <rPh sb="11" eb="13">
      <t>イカ</t>
    </rPh>
    <rPh sb="14" eb="15">
      <t>テン</t>
    </rPh>
    <phoneticPr fontId="133"/>
  </si>
  <si>
    <t>売主所在地</t>
    <rPh sb="0" eb="2">
      <t>ウリヌシ</t>
    </rPh>
    <rPh sb="2" eb="5">
      <t>ショザイチ</t>
    </rPh>
    <phoneticPr fontId="3"/>
  </si>
  <si>
    <t>見込計画</t>
    <rPh sb="0" eb="2">
      <t>ミコ</t>
    </rPh>
    <rPh sb="2" eb="4">
      <t>ケイカク</t>
    </rPh>
    <phoneticPr fontId="3"/>
  </si>
  <si>
    <t>下限計画</t>
    <rPh sb="0" eb="2">
      <t>カゲン</t>
    </rPh>
    <rPh sb="2" eb="4">
      <t>ケイカク</t>
    </rPh>
    <phoneticPr fontId="3"/>
  </si>
  <si>
    <t>税抜売却価格が前年度売上の10％以下、税抜10億円以上の場合は当該「報告書」となります。</t>
    <rPh sb="16" eb="18">
      <t>イカ</t>
    </rPh>
    <rPh sb="19" eb="20">
      <t>ゼイ</t>
    </rPh>
    <rPh sb="20" eb="21">
      <t>ヌ</t>
    </rPh>
    <rPh sb="23" eb="27">
      <t>オクエンイジョウ</t>
    </rPh>
    <rPh sb="28" eb="30">
      <t>バアイ</t>
    </rPh>
    <rPh sb="31" eb="33">
      <t>トウガイ</t>
    </rPh>
    <rPh sb="34" eb="37">
      <t>ホウコクショ</t>
    </rPh>
    <phoneticPr fontId="133"/>
  </si>
  <si>
    <t>購入価格が税抜7億円以上、10億円未満の場合は当該「報告書」となります</t>
    <rPh sb="0" eb="2">
      <t>コウニュウ</t>
    </rPh>
    <rPh sb="5" eb="6">
      <t>ゼイ</t>
    </rPh>
    <rPh sb="6" eb="7">
      <t>ヌ</t>
    </rPh>
    <rPh sb="8" eb="12">
      <t>オクエンイジョウ</t>
    </rPh>
    <rPh sb="15" eb="17">
      <t>オクエン</t>
    </rPh>
    <rPh sb="17" eb="19">
      <t>ミマン</t>
    </rPh>
    <rPh sb="20" eb="22">
      <t>バアイ</t>
    </rPh>
    <rPh sb="23" eb="25">
      <t>トウガイ</t>
    </rPh>
    <rPh sb="26" eb="29">
      <t>ホウコクショ</t>
    </rPh>
    <phoneticPr fontId="133"/>
  </si>
  <si>
    <t>【</t>
    <phoneticPr fontId="3"/>
  </si>
  <si>
    <t>入居率</t>
    <rPh sb="0" eb="2">
      <t>ニュウキョ</t>
    </rPh>
    <rPh sb="2" eb="3">
      <t>リツ</t>
    </rPh>
    <phoneticPr fontId="3"/>
  </si>
  <si>
    <t>】</t>
    <phoneticPr fontId="3"/>
  </si>
  <si>
    <t>１年目</t>
    <rPh sb="1" eb="3">
      <t>ネンメ</t>
    </rPh>
    <phoneticPr fontId="3"/>
  </si>
  <si>
    <t>２年目</t>
    <rPh sb="1" eb="3">
      <t>ネンメ</t>
    </rPh>
    <phoneticPr fontId="3"/>
  </si>
  <si>
    <t>３年目</t>
    <rPh sb="1" eb="3">
      <t>ネンメ</t>
    </rPh>
    <phoneticPr fontId="3"/>
  </si>
  <si>
    <t>４年目</t>
    <rPh sb="1" eb="3">
      <t>ネンメ</t>
    </rPh>
    <phoneticPr fontId="3"/>
  </si>
  <si>
    <t>５年目</t>
    <rPh sb="1" eb="3">
      <t>ネンメ</t>
    </rPh>
    <phoneticPr fontId="3"/>
  </si>
  <si>
    <t>６年目</t>
    <rPh sb="1" eb="3">
      <t>ネンメ</t>
    </rPh>
    <phoneticPr fontId="3"/>
  </si>
  <si>
    <t>７年目</t>
    <rPh sb="1" eb="3">
      <t>ネンメ</t>
    </rPh>
    <phoneticPr fontId="3"/>
  </si>
  <si>
    <t>８年目</t>
    <rPh sb="1" eb="3">
      <t>ネンメ</t>
    </rPh>
    <phoneticPr fontId="3"/>
  </si>
  <si>
    <t>９年目</t>
    <rPh sb="1" eb="3">
      <t>ネンメ</t>
    </rPh>
    <phoneticPr fontId="3"/>
  </si>
  <si>
    <t>１０年目</t>
    <rPh sb="2" eb="4">
      <t>ネンメ</t>
    </rPh>
    <phoneticPr fontId="3"/>
  </si>
  <si>
    <t>１１年目</t>
    <rPh sb="2" eb="4">
      <t>ネンメ</t>
    </rPh>
    <phoneticPr fontId="3"/>
  </si>
  <si>
    <t>１２年目</t>
    <rPh sb="2" eb="4">
      <t>ネンメ</t>
    </rPh>
    <phoneticPr fontId="3"/>
  </si>
  <si>
    <t>１３年目</t>
    <rPh sb="2" eb="4">
      <t>ネンメ</t>
    </rPh>
    <phoneticPr fontId="3"/>
  </si>
  <si>
    <t>１４年目</t>
    <rPh sb="2" eb="4">
      <t>ネンメ</t>
    </rPh>
    <phoneticPr fontId="3"/>
  </si>
  <si>
    <t>１５年目</t>
    <rPh sb="2" eb="4">
      <t>ネンメ</t>
    </rPh>
    <phoneticPr fontId="3"/>
  </si>
  <si>
    <t>１６年目</t>
    <rPh sb="2" eb="4">
      <t>ネンメ</t>
    </rPh>
    <phoneticPr fontId="3"/>
  </si>
  <si>
    <t>１７年目</t>
    <rPh sb="2" eb="4">
      <t>ネンメ</t>
    </rPh>
    <phoneticPr fontId="3"/>
  </si>
  <si>
    <t>１８年目</t>
    <rPh sb="2" eb="4">
      <t>ネンメ</t>
    </rPh>
    <phoneticPr fontId="3"/>
  </si>
  <si>
    <t>１９年目</t>
    <rPh sb="2" eb="4">
      <t>ネンメ</t>
    </rPh>
    <phoneticPr fontId="3"/>
  </si>
  <si>
    <t>２０年目</t>
    <rPh sb="2" eb="4">
      <t>ネンメ</t>
    </rPh>
    <phoneticPr fontId="3"/>
  </si>
  <si>
    <t>２１年目</t>
    <rPh sb="2" eb="4">
      <t>ネンメ</t>
    </rPh>
    <phoneticPr fontId="3"/>
  </si>
  <si>
    <t>２２年目</t>
    <rPh sb="2" eb="4">
      <t>ネンメ</t>
    </rPh>
    <phoneticPr fontId="3"/>
  </si>
  <si>
    <t>２３年目</t>
    <rPh sb="2" eb="4">
      <t>ネンメ</t>
    </rPh>
    <phoneticPr fontId="3"/>
  </si>
  <si>
    <t>２４年目</t>
    <rPh sb="2" eb="4">
      <t>ネンメ</t>
    </rPh>
    <phoneticPr fontId="3"/>
  </si>
  <si>
    <t>２５年目</t>
    <rPh sb="2" eb="4">
      <t>ネンメ</t>
    </rPh>
    <phoneticPr fontId="3"/>
  </si>
  <si>
    <t>10月</t>
    <rPh sb="2" eb="3">
      <t>ガツ</t>
    </rPh>
    <phoneticPr fontId="3"/>
  </si>
  <si>
    <t>損益計画</t>
    <rPh sb="0" eb="2">
      <t>ソンエキ</t>
    </rPh>
    <rPh sb="2" eb="4">
      <t>ケイカク</t>
    </rPh>
    <phoneticPr fontId="3"/>
  </si>
  <si>
    <t>収入</t>
    <rPh sb="0" eb="2">
      <t>シュウニュウ</t>
    </rPh>
    <phoneticPr fontId="3"/>
  </si>
  <si>
    <t>賃料・共益費</t>
    <phoneticPr fontId="3"/>
  </si>
  <si>
    <t>駐車場</t>
    <rPh sb="0" eb="2">
      <t>チュウシャ</t>
    </rPh>
    <rPh sb="2" eb="3">
      <t>ジョウ</t>
    </rPh>
    <phoneticPr fontId="3"/>
  </si>
  <si>
    <t>その他</t>
    <rPh sb="2" eb="3">
      <t>タ</t>
    </rPh>
    <phoneticPr fontId="3"/>
  </si>
  <si>
    <t>更新料・償却収入</t>
    <rPh sb="0" eb="2">
      <t>コウシン</t>
    </rPh>
    <rPh sb="2" eb="3">
      <t>リョウ</t>
    </rPh>
    <rPh sb="4" eb="6">
      <t>ショウキャク</t>
    </rPh>
    <rPh sb="6" eb="8">
      <t>シュウニュウ</t>
    </rPh>
    <phoneticPr fontId="3"/>
  </si>
  <si>
    <t>実態賃料</t>
    <rPh sb="0" eb="2">
      <t>ジッタイ</t>
    </rPh>
    <rPh sb="2" eb="4">
      <t>チンリョウ</t>
    </rPh>
    <phoneticPr fontId="3"/>
  </si>
  <si>
    <t>費用</t>
    <rPh sb="0" eb="2">
      <t>ヒヨウ</t>
    </rPh>
    <phoneticPr fontId="3"/>
  </si>
  <si>
    <t>経常支出</t>
    <rPh sb="0" eb="2">
      <t>ケイジョウ</t>
    </rPh>
    <rPh sb="2" eb="4">
      <t>シシュツ</t>
    </rPh>
    <phoneticPr fontId="3"/>
  </si>
  <si>
    <t>地代</t>
    <rPh sb="0" eb="2">
      <t>チダイ</t>
    </rPh>
    <phoneticPr fontId="3"/>
  </si>
  <si>
    <t>火災保険</t>
    <rPh sb="0" eb="2">
      <t>カサイ</t>
    </rPh>
    <rPh sb="2" eb="4">
      <t>ホケン</t>
    </rPh>
    <phoneticPr fontId="3"/>
  </si>
  <si>
    <t>土地固定資産税</t>
    <rPh sb="0" eb="2">
      <t>トチ</t>
    </rPh>
    <rPh sb="2" eb="4">
      <t>コテイ</t>
    </rPh>
    <rPh sb="4" eb="7">
      <t>シサンゼイ</t>
    </rPh>
    <phoneticPr fontId="3"/>
  </si>
  <si>
    <t>土地都市計画税</t>
    <rPh sb="0" eb="2">
      <t>トチ</t>
    </rPh>
    <rPh sb="2" eb="4">
      <t>トシ</t>
    </rPh>
    <rPh sb="4" eb="6">
      <t>ケイカク</t>
    </rPh>
    <rPh sb="6" eb="7">
      <t>ゼイ</t>
    </rPh>
    <phoneticPr fontId="3"/>
  </si>
  <si>
    <t>建物固定資産税</t>
    <rPh sb="0" eb="2">
      <t>タテモノ</t>
    </rPh>
    <rPh sb="2" eb="4">
      <t>コテイ</t>
    </rPh>
    <rPh sb="4" eb="7">
      <t>シサンゼイ</t>
    </rPh>
    <phoneticPr fontId="3"/>
  </si>
  <si>
    <t>建物都市計画税</t>
    <rPh sb="0" eb="2">
      <t>タテモノ</t>
    </rPh>
    <rPh sb="2" eb="4">
      <t>トシ</t>
    </rPh>
    <rPh sb="4" eb="6">
      <t>ケイカク</t>
    </rPh>
    <rPh sb="6" eb="7">
      <t>ゼイ</t>
    </rPh>
    <phoneticPr fontId="3"/>
  </si>
  <si>
    <t>償却資産税</t>
    <rPh sb="0" eb="2">
      <t>ショウキャク</t>
    </rPh>
    <rPh sb="2" eb="5">
      <t>シサンゼイ</t>
    </rPh>
    <phoneticPr fontId="3"/>
  </si>
  <si>
    <t>BM Fee</t>
    <phoneticPr fontId="3"/>
  </si>
  <si>
    <t>PM Fee（※自主管理）</t>
    <rPh sb="8" eb="10">
      <t>ジシュ</t>
    </rPh>
    <rPh sb="10" eb="12">
      <t>カンリ</t>
    </rPh>
    <phoneticPr fontId="3"/>
  </si>
  <si>
    <t>消耗品</t>
    <rPh sb="0" eb="2">
      <t>ショウモウ</t>
    </rPh>
    <rPh sb="2" eb="3">
      <t>ヒン</t>
    </rPh>
    <phoneticPr fontId="3"/>
  </si>
  <si>
    <t>LMfee:入替率⇒</t>
    <rPh sb="6" eb="8">
      <t>イレカエ</t>
    </rPh>
    <rPh sb="8" eb="9">
      <t>リツ</t>
    </rPh>
    <phoneticPr fontId="3"/>
  </si>
  <si>
    <t>費用合計</t>
    <rPh sb="0" eb="2">
      <t>ヒヨウ</t>
    </rPh>
    <rPh sb="2" eb="4">
      <t>ゴウケイ</t>
    </rPh>
    <phoneticPr fontId="3"/>
  </si>
  <si>
    <t>利益</t>
    <rPh sb="0" eb="2">
      <t>リエキ</t>
    </rPh>
    <phoneticPr fontId="3"/>
  </si>
  <si>
    <t>償却前営業利益</t>
    <rPh sb="0" eb="2">
      <t>ショウキャク</t>
    </rPh>
    <rPh sb="2" eb="3">
      <t>マエ</t>
    </rPh>
    <rPh sb="3" eb="5">
      <t>エイギョウ</t>
    </rPh>
    <rPh sb="5" eb="7">
      <t>リエキ</t>
    </rPh>
    <phoneticPr fontId="3"/>
  </si>
  <si>
    <t>償却</t>
    <rPh sb="0" eb="2">
      <t>ショウキャク</t>
    </rPh>
    <phoneticPr fontId="3"/>
  </si>
  <si>
    <t>建物原価償却費</t>
    <rPh sb="0" eb="2">
      <t>タテモノ</t>
    </rPh>
    <rPh sb="2" eb="4">
      <t>ゲンカ</t>
    </rPh>
    <rPh sb="4" eb="6">
      <t>ショウキャク</t>
    </rPh>
    <rPh sb="6" eb="7">
      <t>ヒ</t>
    </rPh>
    <phoneticPr fontId="3"/>
  </si>
  <si>
    <t>（定額）</t>
    <rPh sb="1" eb="3">
      <t>テイガク</t>
    </rPh>
    <phoneticPr fontId="3"/>
  </si>
  <si>
    <t>設備投資減価償却</t>
    <rPh sb="0" eb="2">
      <t>セツビ</t>
    </rPh>
    <rPh sb="2" eb="4">
      <t>トウシ</t>
    </rPh>
    <rPh sb="4" eb="6">
      <t>ゲンカ</t>
    </rPh>
    <rPh sb="6" eb="8">
      <t>ショウキャク</t>
    </rPh>
    <phoneticPr fontId="3"/>
  </si>
  <si>
    <t>購入時経費</t>
    <rPh sb="0" eb="3">
      <t>コウニュウジ</t>
    </rPh>
    <rPh sb="3" eb="5">
      <t>ケイヒ</t>
    </rPh>
    <phoneticPr fontId="3"/>
  </si>
  <si>
    <t>償却後税引前営業利益</t>
    <rPh sb="0" eb="2">
      <t>ショウキャク</t>
    </rPh>
    <rPh sb="2" eb="3">
      <t>ゴ</t>
    </rPh>
    <rPh sb="3" eb="5">
      <t>ゼイビキ</t>
    </rPh>
    <rPh sb="5" eb="6">
      <t>マエ</t>
    </rPh>
    <rPh sb="6" eb="8">
      <t>エイギョウ</t>
    </rPh>
    <rPh sb="8" eb="10">
      <t>リエキ</t>
    </rPh>
    <phoneticPr fontId="3"/>
  </si>
  <si>
    <t>支払利息</t>
    <rPh sb="0" eb="2">
      <t>シハライ</t>
    </rPh>
    <rPh sb="2" eb="4">
      <t>リソク</t>
    </rPh>
    <phoneticPr fontId="3"/>
  </si>
  <si>
    <t>税引前利益（経常利益）</t>
    <rPh sb="0" eb="2">
      <t>ゼイビ</t>
    </rPh>
    <rPh sb="2" eb="3">
      <t>マエ</t>
    </rPh>
    <rPh sb="3" eb="5">
      <t>リエキ</t>
    </rPh>
    <rPh sb="6" eb="8">
      <t>ケイジョウ</t>
    </rPh>
    <rPh sb="8" eb="10">
      <t>リエキ</t>
    </rPh>
    <phoneticPr fontId="3"/>
  </si>
  <si>
    <t>法人税等</t>
    <rPh sb="0" eb="3">
      <t>ホウジンゼイ</t>
    </rPh>
    <rPh sb="3" eb="4">
      <t>トウ</t>
    </rPh>
    <phoneticPr fontId="3"/>
  </si>
  <si>
    <t>税引後利益</t>
    <rPh sb="0" eb="2">
      <t>ゼイビキ</t>
    </rPh>
    <rPh sb="2" eb="3">
      <t>ゴ</t>
    </rPh>
    <rPh sb="3" eb="5">
      <t>リエキ</t>
    </rPh>
    <phoneticPr fontId="3"/>
  </si>
  <si>
    <t>資金計画</t>
    <rPh sb="0" eb="2">
      <t>シキン</t>
    </rPh>
    <rPh sb="2" eb="4">
      <t>ケイカク</t>
    </rPh>
    <phoneticPr fontId="3"/>
  </si>
  <si>
    <t>調達</t>
    <rPh sb="0" eb="2">
      <t>チョウタツ</t>
    </rPh>
    <phoneticPr fontId="3"/>
  </si>
  <si>
    <t>（建物）</t>
    <rPh sb="1" eb="3">
      <t>タテモノ</t>
    </rPh>
    <phoneticPr fontId="3"/>
  </si>
  <si>
    <t>借入LTV</t>
    <rPh sb="0" eb="2">
      <t>カリイ</t>
    </rPh>
    <phoneticPr fontId="3"/>
  </si>
  <si>
    <t>築後年数</t>
    <rPh sb="0" eb="1">
      <t>チク</t>
    </rPh>
    <rPh sb="1" eb="2">
      <t>ゴ</t>
    </rPh>
    <rPh sb="2" eb="4">
      <t>ネンスウ</t>
    </rPh>
    <phoneticPr fontId="3"/>
  </si>
  <si>
    <t>（土地）</t>
    <rPh sb="1" eb="3">
      <t>トチ</t>
    </rPh>
    <phoneticPr fontId="3"/>
  </si>
  <si>
    <t>借入期間</t>
    <rPh sb="0" eb="2">
      <t>カリイ</t>
    </rPh>
    <rPh sb="2" eb="4">
      <t>キカン</t>
    </rPh>
    <phoneticPr fontId="3"/>
  </si>
  <si>
    <t>SRC</t>
    <phoneticPr fontId="3"/>
  </si>
  <si>
    <t>（諸経費）</t>
    <rPh sb="1" eb="4">
      <t>ショケイヒ</t>
    </rPh>
    <phoneticPr fontId="3"/>
  </si>
  <si>
    <t>返済回数</t>
    <rPh sb="0" eb="2">
      <t>ヘンサイ</t>
    </rPh>
    <rPh sb="2" eb="4">
      <t>カイスウ</t>
    </rPh>
    <phoneticPr fontId="3"/>
  </si>
  <si>
    <t>（リニューアル）</t>
    <phoneticPr fontId="3"/>
  </si>
  <si>
    <t>購入時必要自己資金額</t>
    <rPh sb="0" eb="3">
      <t>コウニュウジ</t>
    </rPh>
    <rPh sb="3" eb="5">
      <t>ヒツヨウ</t>
    </rPh>
    <rPh sb="5" eb="7">
      <t>ジコ</t>
    </rPh>
    <rPh sb="7" eb="9">
      <t>シキン</t>
    </rPh>
    <rPh sb="9" eb="10">
      <t>ガク</t>
    </rPh>
    <phoneticPr fontId="3"/>
  </si>
  <si>
    <t>敷金・保証金</t>
    <rPh sb="0" eb="2">
      <t>シキキン</t>
    </rPh>
    <rPh sb="3" eb="6">
      <t>ホショウキン</t>
    </rPh>
    <phoneticPr fontId="3"/>
  </si>
  <si>
    <t>借入金</t>
    <rPh sb="0" eb="2">
      <t>カリイレ</t>
    </rPh>
    <rPh sb="2" eb="3">
      <t>キン</t>
    </rPh>
    <phoneticPr fontId="3"/>
  </si>
  <si>
    <t>資金調達計</t>
    <rPh sb="0" eb="2">
      <t>シキン</t>
    </rPh>
    <rPh sb="2" eb="4">
      <t>チョウタツ</t>
    </rPh>
    <rPh sb="4" eb="5">
      <t>ケイ</t>
    </rPh>
    <phoneticPr fontId="3"/>
  </si>
  <si>
    <t>運用</t>
    <rPh sb="0" eb="2">
      <t>ウンヨウ</t>
    </rPh>
    <phoneticPr fontId="3"/>
  </si>
  <si>
    <t>土地建物取得費</t>
    <rPh sb="0" eb="2">
      <t>トチ</t>
    </rPh>
    <rPh sb="2" eb="4">
      <t>タテモノ</t>
    </rPh>
    <rPh sb="4" eb="6">
      <t>シュトク</t>
    </rPh>
    <rPh sb="6" eb="7">
      <t>ヒ</t>
    </rPh>
    <phoneticPr fontId="3"/>
  </si>
  <si>
    <t>資本的支出(CAPEX)</t>
    <rPh sb="0" eb="3">
      <t>シホンテキ</t>
    </rPh>
    <rPh sb="3" eb="5">
      <t>シシュツ</t>
    </rPh>
    <phoneticPr fontId="3"/>
  </si>
  <si>
    <t>その他費用</t>
    <rPh sb="2" eb="3">
      <t>タ</t>
    </rPh>
    <rPh sb="3" eb="5">
      <t>ヒヨウ</t>
    </rPh>
    <phoneticPr fontId="3"/>
  </si>
  <si>
    <t>借入金元金返済</t>
    <rPh sb="0" eb="2">
      <t>カリイレ</t>
    </rPh>
    <rPh sb="2" eb="3">
      <t>キン</t>
    </rPh>
    <rPh sb="3" eb="5">
      <t>ガンキン</t>
    </rPh>
    <rPh sb="5" eb="7">
      <t>ヘンサイ</t>
    </rPh>
    <phoneticPr fontId="3"/>
  </si>
  <si>
    <t>返済年数</t>
    <rPh sb="0" eb="2">
      <t>ヘンサイ</t>
    </rPh>
    <rPh sb="2" eb="4">
      <t>ネンスウ</t>
    </rPh>
    <phoneticPr fontId="3"/>
  </si>
  <si>
    <t>資金運用計</t>
    <rPh sb="0" eb="2">
      <t>シキン</t>
    </rPh>
    <rPh sb="2" eb="4">
      <t>ウンヨウ</t>
    </rPh>
    <rPh sb="4" eb="5">
      <t>ケイ</t>
    </rPh>
    <phoneticPr fontId="3"/>
  </si>
  <si>
    <t>収支</t>
    <rPh sb="0" eb="2">
      <t>シュウシ</t>
    </rPh>
    <phoneticPr fontId="3"/>
  </si>
  <si>
    <t>単年度（CF)</t>
    <rPh sb="0" eb="3">
      <t>タンネンド</t>
    </rPh>
    <phoneticPr fontId="3"/>
  </si>
  <si>
    <t>累計（CF)</t>
    <rPh sb="0" eb="2">
      <t>ルイケイ</t>
    </rPh>
    <phoneticPr fontId="3"/>
  </si>
  <si>
    <t>負債</t>
    <rPh sb="0" eb="2">
      <t>フサイ</t>
    </rPh>
    <phoneticPr fontId="3"/>
  </si>
  <si>
    <t>保証金</t>
    <rPh sb="0" eb="3">
      <t>ホショウキン</t>
    </rPh>
    <phoneticPr fontId="3"/>
  </si>
  <si>
    <t>借入金残高</t>
    <rPh sb="0" eb="2">
      <t>カリイレ</t>
    </rPh>
    <rPh sb="2" eb="3">
      <t>キン</t>
    </rPh>
    <rPh sb="3" eb="5">
      <t>ザンダカ</t>
    </rPh>
    <phoneticPr fontId="3"/>
  </si>
  <si>
    <t>負債合計</t>
    <rPh sb="0" eb="2">
      <t>フサイ</t>
    </rPh>
    <rPh sb="2" eb="4">
      <t>ゴウケイ</t>
    </rPh>
    <phoneticPr fontId="3"/>
  </si>
  <si>
    <t>建物築年数</t>
    <rPh sb="0" eb="2">
      <t>タテモノ</t>
    </rPh>
    <rPh sb="2" eb="3">
      <t>チク</t>
    </rPh>
    <rPh sb="3" eb="5">
      <t>ネンスウ</t>
    </rPh>
    <phoneticPr fontId="3"/>
  </si>
  <si>
    <t>【資金回収】</t>
    <rPh sb="1" eb="3">
      <t>シキン</t>
    </rPh>
    <rPh sb="3" eb="5">
      <t>カイシュウ</t>
    </rPh>
    <phoneticPr fontId="3"/>
  </si>
  <si>
    <t>投資自己資金回収(CF+弁済）</t>
    <rPh sb="0" eb="2">
      <t>トウシ</t>
    </rPh>
    <rPh sb="2" eb="4">
      <t>ジコ</t>
    </rPh>
    <rPh sb="4" eb="6">
      <t>シキン</t>
    </rPh>
    <rPh sb="6" eb="8">
      <t>カイシュウ</t>
    </rPh>
    <rPh sb="12" eb="14">
      <t>ベンサイ</t>
    </rPh>
    <phoneticPr fontId="3"/>
  </si>
  <si>
    <t>投資自己資金回収(CF）</t>
    <rPh sb="0" eb="2">
      <t>トウシ</t>
    </rPh>
    <rPh sb="2" eb="4">
      <t>ジコ</t>
    </rPh>
    <rPh sb="4" eb="6">
      <t>シキン</t>
    </rPh>
    <rPh sb="6" eb="8">
      <t>カイシュウ</t>
    </rPh>
    <phoneticPr fontId="3"/>
  </si>
  <si>
    <t>投資総資金回収(CF+弁済）</t>
    <rPh sb="0" eb="2">
      <t>トウシ</t>
    </rPh>
    <rPh sb="2" eb="3">
      <t>ソウ</t>
    </rPh>
    <rPh sb="3" eb="5">
      <t>シキン</t>
    </rPh>
    <rPh sb="5" eb="7">
      <t>カイシュウ</t>
    </rPh>
    <rPh sb="11" eb="13">
      <t>ベンサイ</t>
    </rPh>
    <phoneticPr fontId="3"/>
  </si>
  <si>
    <t>投資総資金回収(CF+弁済+売却）</t>
    <rPh sb="0" eb="2">
      <t>トウシ</t>
    </rPh>
    <rPh sb="2" eb="3">
      <t>ソウ</t>
    </rPh>
    <rPh sb="3" eb="5">
      <t>シキン</t>
    </rPh>
    <rPh sb="5" eb="7">
      <t>カイシュウ</t>
    </rPh>
    <rPh sb="11" eb="13">
      <t>ベンサイ</t>
    </rPh>
    <rPh sb="14" eb="16">
      <t>バイキャク</t>
    </rPh>
    <phoneticPr fontId="3"/>
  </si>
  <si>
    <t>average↓</t>
    <phoneticPr fontId="3"/>
  </si>
  <si>
    <t>NOI⇒</t>
    <phoneticPr fontId="3"/>
  </si>
  <si>
    <t>売
却
計
画</t>
    <rPh sb="0" eb="1">
      <t>バイ</t>
    </rPh>
    <rPh sb="2" eb="3">
      <t>キャク</t>
    </rPh>
    <rPh sb="4" eb="5">
      <t>ケイ</t>
    </rPh>
    <rPh sb="6" eb="7">
      <t>ガ</t>
    </rPh>
    <phoneticPr fontId="3"/>
  </si>
  <si>
    <t>caprate</t>
    <phoneticPr fontId="3"/>
  </si>
  <si>
    <t>売却金額</t>
    <rPh sb="0" eb="2">
      <t>バイキャク</t>
    </rPh>
    <rPh sb="2" eb="4">
      <t>キンガク</t>
    </rPh>
    <phoneticPr fontId="3"/>
  </si>
  <si>
    <t>原価（≒簿価）</t>
    <rPh sb="0" eb="2">
      <t>ゲンカ</t>
    </rPh>
    <rPh sb="4" eb="6">
      <t>ボカ</t>
    </rPh>
    <phoneticPr fontId="3"/>
  </si>
  <si>
    <t>事業利益（簿価ベース）</t>
    <rPh sb="0" eb="2">
      <t>ジギョウ</t>
    </rPh>
    <rPh sb="2" eb="4">
      <t>リエキ</t>
    </rPh>
    <rPh sb="5" eb="7">
      <t>ボカ</t>
    </rPh>
    <phoneticPr fontId="3"/>
  </si>
  <si>
    <t>返済累計額</t>
    <rPh sb="0" eb="2">
      <t>ヘンサイ</t>
    </rPh>
    <rPh sb="2" eb="5">
      <t>ルイケイガク</t>
    </rPh>
    <phoneticPr fontId="3"/>
  </si>
  <si>
    <t>残存キャッシュ</t>
    <rPh sb="0" eb="2">
      <t>ザンゾン</t>
    </rPh>
    <phoneticPr fontId="3"/>
  </si>
  <si>
    <t>投資損益</t>
    <rPh sb="0" eb="2">
      <t>トウシ</t>
    </rPh>
    <rPh sb="2" eb="4">
      <t>ソンエキ</t>
    </rPh>
    <phoneticPr fontId="3"/>
  </si>
  <si>
    <t>average↓</t>
    <phoneticPr fontId="3"/>
  </si>
  <si>
    <t>IRR：</t>
    <phoneticPr fontId="3"/>
  </si>
  <si>
    <t>減価償却①</t>
    <rPh sb="0" eb="2">
      <t>ゲンカ</t>
    </rPh>
    <rPh sb="2" eb="4">
      <t>ショウキャク</t>
    </rPh>
    <phoneticPr fontId="223"/>
  </si>
  <si>
    <t>耐用年数</t>
    <rPh sb="0" eb="2">
      <t>タイヨウ</t>
    </rPh>
    <rPh sb="2" eb="4">
      <t>ネンスウ</t>
    </rPh>
    <phoneticPr fontId="223"/>
  </si>
  <si>
    <t>築年数</t>
    <rPh sb="0" eb="1">
      <t>チク</t>
    </rPh>
    <rPh sb="1" eb="3">
      <t>ネンスウ</t>
    </rPh>
    <phoneticPr fontId="223"/>
  </si>
  <si>
    <t>残存年数</t>
    <rPh sb="0" eb="2">
      <t>ザンゾン</t>
    </rPh>
    <rPh sb="2" eb="4">
      <t>ネンスウ</t>
    </rPh>
    <phoneticPr fontId="223"/>
  </si>
  <si>
    <t>*</t>
    <phoneticPr fontId="15"/>
  </si>
  <si>
    <t>建物簿価</t>
    <rPh sb="0" eb="2">
      <t>タテモノ</t>
    </rPh>
    <rPh sb="2" eb="4">
      <t>ボカ</t>
    </rPh>
    <phoneticPr fontId="15"/>
  </si>
  <si>
    <t>設備割合</t>
    <rPh sb="0" eb="2">
      <t>セツビ</t>
    </rPh>
    <rPh sb="2" eb="4">
      <t>ワリアイ</t>
    </rPh>
    <phoneticPr fontId="15"/>
  </si>
  <si>
    <t>設備償却年数</t>
    <rPh sb="0" eb="2">
      <t>セツビ</t>
    </rPh>
    <rPh sb="2" eb="4">
      <t>ショウキャク</t>
    </rPh>
    <rPh sb="4" eb="6">
      <t>ネンスウ</t>
    </rPh>
    <phoneticPr fontId="15"/>
  </si>
  <si>
    <t>減価償却</t>
    <rPh sb="0" eb="2">
      <t>ゲンカ</t>
    </rPh>
    <rPh sb="2" eb="4">
      <t>ショウキャク</t>
    </rPh>
    <phoneticPr fontId="223"/>
  </si>
  <si>
    <t>*見積残存年数＝(法定耐用年数−経過年数)+(経過年数×0.2)</t>
    <phoneticPr fontId="15"/>
  </si>
  <si>
    <t>ADS⇒</t>
    <phoneticPr fontId="3"/>
  </si>
  <si>
    <t>EXIT</t>
    <phoneticPr fontId="3"/>
  </si>
  <si>
    <t>税引後（ATCF)</t>
    <rPh sb="0" eb="2">
      <t>ゼイビ</t>
    </rPh>
    <rPh sb="2" eb="3">
      <t>ゴ</t>
    </rPh>
    <phoneticPr fontId="3"/>
  </si>
  <si>
    <t>税引前（BTCF)</t>
    <rPh sb="0" eb="2">
      <t>ゼイビキ</t>
    </rPh>
    <rPh sb="2" eb="3">
      <t>マエ</t>
    </rPh>
    <phoneticPr fontId="3"/>
  </si>
  <si>
    <t>NOIベース：</t>
    <phoneticPr fontId="3"/>
  </si>
  <si>
    <t>NOIベース：</t>
    <phoneticPr fontId="3"/>
  </si>
  <si>
    <t>NOIベース：</t>
    <phoneticPr fontId="3"/>
  </si>
  <si>
    <t>（法定耐用年数・・・SRC事務所：50年、S事務所：35年）</t>
    <rPh sb="1" eb="3">
      <t>ホウテイ</t>
    </rPh>
    <rPh sb="3" eb="5">
      <t>タイヨウ</t>
    </rPh>
    <rPh sb="5" eb="7">
      <t>ネンスウ</t>
    </rPh>
    <rPh sb="13" eb="15">
      <t>ジム</t>
    </rPh>
    <rPh sb="15" eb="16">
      <t>ショ</t>
    </rPh>
    <rPh sb="19" eb="20">
      <t>ネン</t>
    </rPh>
    <rPh sb="22" eb="24">
      <t>ジム</t>
    </rPh>
    <rPh sb="24" eb="25">
      <t>ショ</t>
    </rPh>
    <rPh sb="28" eb="29">
      <t>ネン</t>
    </rPh>
    <phoneticPr fontId="3"/>
  </si>
  <si>
    <t>作成年の年末日付</t>
    <rPh sb="0" eb="2">
      <t>サクセイ</t>
    </rPh>
    <rPh sb="2" eb="3">
      <t>ネン</t>
    </rPh>
    <rPh sb="4" eb="6">
      <t>ネンマツ</t>
    </rPh>
    <rPh sb="6" eb="8">
      <t>ヒヅケ</t>
    </rPh>
    <phoneticPr fontId="4"/>
  </si>
  <si>
    <t xml:space="preserve"> リプランニング物件 購入の件</t>
    <rPh sb="11" eb="13">
      <t>コウニュウ</t>
    </rPh>
    <rPh sb="14" eb="15">
      <t>ケン</t>
    </rPh>
    <phoneticPr fontId="3"/>
  </si>
  <si>
    <t xml:space="preserve"> リプランニング物件 売却の件</t>
    <rPh sb="11" eb="13">
      <t>バイキャク</t>
    </rPh>
    <rPh sb="14" eb="15">
      <t>ケン</t>
    </rPh>
    <phoneticPr fontId="3"/>
  </si>
  <si>
    <t>決済条件
その他
特記事項</t>
    <rPh sb="7" eb="8">
      <t>タ</t>
    </rPh>
    <rPh sb="9" eb="11">
      <t>トッキ</t>
    </rPh>
    <rPh sb="11" eb="13">
      <t>ジコウ</t>
    </rPh>
    <phoneticPr fontId="3"/>
  </si>
  <si>
    <t>規模・構造</t>
    <rPh sb="0" eb="2">
      <t>キボ</t>
    </rPh>
    <rPh sb="3" eb="5">
      <t>コウゾウ</t>
    </rPh>
    <phoneticPr fontId="3"/>
  </si>
  <si>
    <t>東京都中央区銀座四丁目4番4号</t>
    <rPh sb="0" eb="3">
      <t>トウキョウト</t>
    </rPh>
    <rPh sb="3" eb="6">
      <t>チュウオウク</t>
    </rPh>
    <rPh sb="6" eb="8">
      <t>ギンザ</t>
    </rPh>
    <rPh sb="8" eb="9">
      <t>ヨン</t>
    </rPh>
    <rPh sb="9" eb="10">
      <t>チョウ</t>
    </rPh>
    <rPh sb="10" eb="11">
      <t>メ</t>
    </rPh>
    <rPh sb="12" eb="13">
      <t>バン</t>
    </rPh>
    <rPh sb="14" eb="15">
      <t>ゴウ</t>
    </rPh>
    <phoneticPr fontId="3"/>
  </si>
  <si>
    <t>買主所在地</t>
    <rPh sb="0" eb="2">
      <t>カイヌシ</t>
    </rPh>
    <rPh sb="2" eb="5">
      <t>ショザイチ</t>
    </rPh>
    <phoneticPr fontId="3"/>
  </si>
  <si>
    <t>所 在 地</t>
    <rPh sb="0" eb="1">
      <t>トコロ</t>
    </rPh>
    <rPh sb="2" eb="3">
      <t>ザイ</t>
    </rPh>
    <rPh sb="4" eb="5">
      <t>チ</t>
    </rPh>
    <phoneticPr fontId="192"/>
  </si>
  <si>
    <t>面　　積</t>
    <rPh sb="0" eb="1">
      <t>メン</t>
    </rPh>
    <rPh sb="3" eb="4">
      <t>セキ</t>
    </rPh>
    <phoneticPr fontId="4"/>
  </si>
  <si>
    <t>構　　造</t>
    <rPh sb="0" eb="1">
      <t>ガマエ</t>
    </rPh>
    <rPh sb="3" eb="4">
      <t>ヅクリ</t>
    </rPh>
    <phoneticPr fontId="4"/>
  </si>
  <si>
    <t>種　　類</t>
    <rPh sb="0" eb="1">
      <t>タネ</t>
    </rPh>
    <rPh sb="3" eb="4">
      <t>タグイ</t>
    </rPh>
    <phoneticPr fontId="4"/>
  </si>
  <si>
    <t>（議案内容）
表題の件につき、次の条件にて購入いたしたく、参考資料を添えて上程いたします。</t>
    <rPh sb="1" eb="3">
      <t>ギアン</t>
    </rPh>
    <rPh sb="3" eb="5">
      <t>ナイヨウ</t>
    </rPh>
    <rPh sb="7" eb="9">
      <t>ヒョウダイ</t>
    </rPh>
    <rPh sb="10" eb="11">
      <t>ケン</t>
    </rPh>
    <rPh sb="15" eb="16">
      <t>ツギ</t>
    </rPh>
    <rPh sb="17" eb="19">
      <t>ジョウケン</t>
    </rPh>
    <rPh sb="21" eb="23">
      <t>コウニュウ</t>
    </rPh>
    <rPh sb="29" eb="31">
      <t>サンコウ</t>
    </rPh>
    <rPh sb="31" eb="33">
      <t>シリョウ</t>
    </rPh>
    <rPh sb="34" eb="35">
      <t>ソ</t>
    </rPh>
    <rPh sb="37" eb="39">
      <t>ジョウテイ</t>
    </rPh>
    <phoneticPr fontId="133"/>
  </si>
  <si>
    <t>土　　　地</t>
    <rPh sb="0" eb="1">
      <t>ツチ</t>
    </rPh>
    <rPh sb="4" eb="5">
      <t>チ</t>
    </rPh>
    <phoneticPr fontId="133"/>
  </si>
  <si>
    <t>建　　　物</t>
    <rPh sb="0" eb="1">
      <t>ケン</t>
    </rPh>
    <rPh sb="4" eb="5">
      <t>モノ</t>
    </rPh>
    <phoneticPr fontId="133"/>
  </si>
  <si>
    <t>件　　　名</t>
    <rPh sb="0" eb="1">
      <t>ケン</t>
    </rPh>
    <rPh sb="4" eb="5">
      <t>メイ</t>
    </rPh>
    <phoneticPr fontId="4"/>
  </si>
  <si>
    <t>1.議案説明書、2.物件概要書、3.写真、4.地図、5.収支計算表、
6.事業計画書（購入時）、7.売主情報（会社謄本、会社概要等）
　　　　　　　　　　　　　　　　　　　　　　　　　　　　以上</t>
    <rPh sb="2" eb="4">
      <t>ギアン</t>
    </rPh>
    <rPh sb="4" eb="7">
      <t>セツメイショ</t>
    </rPh>
    <rPh sb="10" eb="12">
      <t>ブッケン</t>
    </rPh>
    <rPh sb="12" eb="15">
      <t>ガイヨウショ</t>
    </rPh>
    <rPh sb="18" eb="20">
      <t>シャシン</t>
    </rPh>
    <rPh sb="23" eb="25">
      <t>チズ</t>
    </rPh>
    <rPh sb="28" eb="30">
      <t>シュウシ</t>
    </rPh>
    <rPh sb="30" eb="32">
      <t>ケイサン</t>
    </rPh>
    <rPh sb="32" eb="33">
      <t>ヒョウ</t>
    </rPh>
    <rPh sb="37" eb="39">
      <t>ジギョウ</t>
    </rPh>
    <rPh sb="39" eb="42">
      <t>ケイカクショ</t>
    </rPh>
    <rPh sb="43" eb="45">
      <t>コウニュウ</t>
    </rPh>
    <rPh sb="45" eb="46">
      <t>ジ</t>
    </rPh>
    <rPh sb="50" eb="52">
      <t>ウリヌシ</t>
    </rPh>
    <rPh sb="52" eb="54">
      <t>ジョウホウ</t>
    </rPh>
    <rPh sb="55" eb="57">
      <t>カイシャ</t>
    </rPh>
    <rPh sb="57" eb="59">
      <t>トウホン</t>
    </rPh>
    <rPh sb="60" eb="62">
      <t>カイシャ</t>
    </rPh>
    <rPh sb="62" eb="64">
      <t>ガイヨウ</t>
    </rPh>
    <rPh sb="64" eb="65">
      <t>トウ</t>
    </rPh>
    <rPh sb="95" eb="97">
      <t>イジョウ</t>
    </rPh>
    <phoneticPr fontId="133"/>
  </si>
  <si>
    <t>1.議案説明書、2.物件概要書、3.写真、4.地図、5.収支計算表、
6.事業計画書（購入時）7.事業計画書（売却時）、
8.売主情報（会社謄本、会社概要等）　　　　　　　　　　以上</t>
    <rPh sb="2" eb="4">
      <t>ギアン</t>
    </rPh>
    <rPh sb="4" eb="7">
      <t>セツメイショ</t>
    </rPh>
    <rPh sb="10" eb="12">
      <t>ブッケン</t>
    </rPh>
    <rPh sb="12" eb="15">
      <t>ガイヨウショ</t>
    </rPh>
    <rPh sb="18" eb="20">
      <t>シャシン</t>
    </rPh>
    <rPh sb="23" eb="25">
      <t>チズ</t>
    </rPh>
    <rPh sb="28" eb="30">
      <t>シュウシ</t>
    </rPh>
    <rPh sb="30" eb="32">
      <t>ケイサン</t>
    </rPh>
    <rPh sb="32" eb="33">
      <t>ヒョウ</t>
    </rPh>
    <rPh sb="37" eb="39">
      <t>ジギョウ</t>
    </rPh>
    <rPh sb="39" eb="42">
      <t>ケイカクショ</t>
    </rPh>
    <rPh sb="43" eb="45">
      <t>コウニュウ</t>
    </rPh>
    <rPh sb="45" eb="46">
      <t>ジ</t>
    </rPh>
    <rPh sb="49" eb="51">
      <t>ジギョウ</t>
    </rPh>
    <rPh sb="51" eb="54">
      <t>ケイカクショ</t>
    </rPh>
    <rPh sb="55" eb="57">
      <t>バイキャク</t>
    </rPh>
    <rPh sb="57" eb="58">
      <t>ジ</t>
    </rPh>
    <rPh sb="63" eb="65">
      <t>ウリヌシ</t>
    </rPh>
    <rPh sb="65" eb="67">
      <t>ジョウホウ</t>
    </rPh>
    <rPh sb="68" eb="70">
      <t>カイシャ</t>
    </rPh>
    <rPh sb="70" eb="72">
      <t>トウホン</t>
    </rPh>
    <rPh sb="73" eb="75">
      <t>カイシャ</t>
    </rPh>
    <rPh sb="75" eb="77">
      <t>ガイヨウ</t>
    </rPh>
    <rPh sb="77" eb="78">
      <t>トウ</t>
    </rPh>
    <rPh sb="89" eb="91">
      <t>イジョウ</t>
    </rPh>
    <phoneticPr fontId="133"/>
  </si>
  <si>
    <t>　PDFにて結合したものを、経営企画部に提出する</t>
    <rPh sb="6" eb="8">
      <t>ケツゴウ</t>
    </rPh>
    <rPh sb="14" eb="16">
      <t>ケイエイ</t>
    </rPh>
    <rPh sb="16" eb="18">
      <t>キカク</t>
    </rPh>
    <rPh sb="18" eb="19">
      <t>ブ</t>
    </rPh>
    <rPh sb="20" eb="22">
      <t>テイシュツ</t>
    </rPh>
    <phoneticPr fontId="133"/>
  </si>
  <si>
    <t>　PDFにて結合したものを、経営企画部に提出する</t>
    <rPh sb="6" eb="7">
      <t>ケツ</t>
    </rPh>
    <rPh sb="14" eb="16">
      <t>ケイエイ</t>
    </rPh>
    <rPh sb="16" eb="18">
      <t>キカク</t>
    </rPh>
    <rPh sb="18" eb="19">
      <t>ブ</t>
    </rPh>
    <rPh sb="20" eb="22">
      <t>テイシュツ</t>
    </rPh>
    <phoneticPr fontId="133"/>
  </si>
  <si>
    <t>法 令 制 限</t>
    <rPh sb="0" eb="1">
      <t>ホウ</t>
    </rPh>
    <rPh sb="2" eb="3">
      <t>レイ</t>
    </rPh>
    <rPh sb="4" eb="5">
      <t>セイ</t>
    </rPh>
    <rPh sb="6" eb="7">
      <t>キリ</t>
    </rPh>
    <phoneticPr fontId="4"/>
  </si>
  <si>
    <t>ロスナイは必ず作動確認する。（天井隠蔽式の場合1100万円程度／約720坪⇒@15,000円）</t>
    <rPh sb="5" eb="6">
      <t>カナラ</t>
    </rPh>
    <rPh sb="7" eb="9">
      <t>サドウ</t>
    </rPh>
    <rPh sb="9" eb="11">
      <t>カクニン</t>
    </rPh>
    <rPh sb="15" eb="17">
      <t>テンジョウ</t>
    </rPh>
    <rPh sb="17" eb="19">
      <t>インペイ</t>
    </rPh>
    <rPh sb="19" eb="20">
      <t>シキ</t>
    </rPh>
    <rPh sb="21" eb="23">
      <t>バアイ</t>
    </rPh>
    <rPh sb="27" eb="29">
      <t>マンエン</t>
    </rPh>
    <rPh sb="29" eb="31">
      <t>テイド</t>
    </rPh>
    <rPh sb="32" eb="33">
      <t>ヤク</t>
    </rPh>
    <rPh sb="36" eb="37">
      <t>ツボ</t>
    </rPh>
    <rPh sb="45" eb="46">
      <t>エン</t>
    </rPh>
    <phoneticPr fontId="151"/>
  </si>
  <si>
    <t>敷金・保証金（購入時）</t>
    <rPh sb="0" eb="2">
      <t>シキキン</t>
    </rPh>
    <rPh sb="3" eb="6">
      <t>ホショウキン</t>
    </rPh>
    <rPh sb="7" eb="9">
      <t>コウニュウ</t>
    </rPh>
    <rPh sb="9" eb="10">
      <t>ジ</t>
    </rPh>
    <phoneticPr fontId="3"/>
  </si>
  <si>
    <r>
      <rPr>
        <sz val="14"/>
        <rFont val="ＭＳ Ｐ明朝"/>
        <family val="1"/>
        <charset val="128"/>
      </rPr>
      <t>事業計画</t>
    </r>
    <r>
      <rPr>
        <sz val="14"/>
        <rFont val="Times New Roman"/>
        <family val="1"/>
      </rPr>
      <t xml:space="preserve">1 </t>
    </r>
    <r>
      <rPr>
        <sz val="14"/>
        <rFont val="ＭＳ Ｐ明朝"/>
        <family val="1"/>
        <charset val="128"/>
      </rPr>
      <t>事業原価　</t>
    </r>
    <r>
      <rPr>
        <b/>
        <sz val="14"/>
        <color indexed="10"/>
        <rFont val="Times New Roman"/>
        <family val="1"/>
      </rPr>
      <t>A+B1+C1+E1</t>
    </r>
    <rPh sb="0" eb="2">
      <t>ジギョウ</t>
    </rPh>
    <rPh sb="2" eb="4">
      <t>ケイカク</t>
    </rPh>
    <rPh sb="6" eb="8">
      <t>ジギョウ</t>
    </rPh>
    <rPh sb="8" eb="10">
      <t>ゲンカ</t>
    </rPh>
    <phoneticPr fontId="3"/>
  </si>
  <si>
    <r>
      <rPr>
        <sz val="14"/>
        <rFont val="ＭＳ Ｐ明朝"/>
        <family val="1"/>
        <charset val="128"/>
      </rPr>
      <t>事業計画</t>
    </r>
    <r>
      <rPr>
        <sz val="14"/>
        <rFont val="Times New Roman"/>
        <family val="1"/>
      </rPr>
      <t xml:space="preserve">2 </t>
    </r>
    <r>
      <rPr>
        <sz val="14"/>
        <rFont val="ＭＳ Ｐ明朝"/>
        <family val="1"/>
        <charset val="128"/>
      </rPr>
      <t>事業原価　</t>
    </r>
    <r>
      <rPr>
        <b/>
        <sz val="14"/>
        <color indexed="10"/>
        <rFont val="Times New Roman"/>
        <family val="1"/>
      </rPr>
      <t>A+B2+C2+E2</t>
    </r>
    <rPh sb="0" eb="2">
      <t>ジギョウ</t>
    </rPh>
    <rPh sb="2" eb="4">
      <t>ケイカク</t>
    </rPh>
    <rPh sb="6" eb="8">
      <t>ジギョウ</t>
    </rPh>
    <rPh sb="8" eb="10">
      <t>ゲンカ</t>
    </rPh>
    <phoneticPr fontId="3"/>
  </si>
  <si>
    <r>
      <rPr>
        <sz val="14"/>
        <rFont val="ＭＳ Ｐ明朝"/>
        <family val="1"/>
        <charset val="128"/>
      </rPr>
      <t>事業計画</t>
    </r>
    <r>
      <rPr>
        <sz val="14"/>
        <rFont val="Times New Roman"/>
        <family val="1"/>
      </rPr>
      <t xml:space="preserve">3 </t>
    </r>
    <r>
      <rPr>
        <sz val="14"/>
        <rFont val="ＭＳ Ｐ明朝"/>
        <family val="1"/>
        <charset val="128"/>
      </rPr>
      <t>事業原価　</t>
    </r>
    <r>
      <rPr>
        <b/>
        <sz val="14"/>
        <color indexed="10"/>
        <rFont val="Times New Roman"/>
        <family val="1"/>
      </rPr>
      <t>A+B3+C3+E3</t>
    </r>
    <rPh sb="0" eb="2">
      <t>ジギョウ</t>
    </rPh>
    <rPh sb="2" eb="4">
      <t>ケイカク</t>
    </rPh>
    <rPh sb="6" eb="8">
      <t>ジギョウ</t>
    </rPh>
    <rPh sb="8" eb="10">
      <t>ゲンカ</t>
    </rPh>
    <phoneticPr fontId="3"/>
  </si>
  <si>
    <r>
      <rPr>
        <sz val="14"/>
        <rFont val="ＭＳ Ｐ明朝"/>
        <family val="1"/>
        <charset val="128"/>
      </rPr>
      <t>事業計画</t>
    </r>
    <r>
      <rPr>
        <sz val="14"/>
        <rFont val="Times New Roman"/>
        <family val="1"/>
      </rPr>
      <t xml:space="preserve">4 </t>
    </r>
    <r>
      <rPr>
        <sz val="14"/>
        <rFont val="ＭＳ Ｐ明朝"/>
        <family val="1"/>
        <charset val="128"/>
      </rPr>
      <t>事業原価　</t>
    </r>
    <r>
      <rPr>
        <b/>
        <sz val="14"/>
        <color indexed="10"/>
        <rFont val="Times New Roman"/>
        <family val="1"/>
      </rPr>
      <t>A+B4+C4+E4</t>
    </r>
    <rPh sb="0" eb="2">
      <t>ジギョウ</t>
    </rPh>
    <rPh sb="2" eb="4">
      <t>ケイカク</t>
    </rPh>
    <rPh sb="6" eb="8">
      <t>ジギョウ</t>
    </rPh>
    <rPh sb="8" eb="10">
      <t>ゲンカ</t>
    </rPh>
    <phoneticPr fontId="3"/>
  </si>
  <si>
    <r>
      <rPr>
        <sz val="14"/>
        <rFont val="ＭＳ Ｐ明朝"/>
        <family val="1"/>
        <charset val="128"/>
      </rPr>
      <t>事業計画</t>
    </r>
    <r>
      <rPr>
        <sz val="14"/>
        <rFont val="Times New Roman"/>
        <family val="1"/>
      </rPr>
      <t xml:space="preserve">1 </t>
    </r>
    <r>
      <rPr>
        <sz val="14"/>
        <rFont val="ＭＳ Ｐ明朝"/>
        <family val="1"/>
        <charset val="128"/>
      </rPr>
      <t>事業原価　</t>
    </r>
    <r>
      <rPr>
        <b/>
        <sz val="14"/>
        <color indexed="10"/>
        <rFont val="Times New Roman"/>
        <family val="1"/>
      </rPr>
      <t>A+B1+C1+D1+E1</t>
    </r>
    <rPh sb="0" eb="2">
      <t>ジギョウ</t>
    </rPh>
    <rPh sb="2" eb="4">
      <t>ケイカク</t>
    </rPh>
    <rPh sb="6" eb="8">
      <t>ジギョウ</t>
    </rPh>
    <rPh sb="8" eb="10">
      <t>ゲンカ</t>
    </rPh>
    <phoneticPr fontId="3"/>
  </si>
  <si>
    <r>
      <rPr>
        <sz val="14"/>
        <rFont val="ＭＳ Ｐ明朝"/>
        <family val="1"/>
        <charset val="128"/>
      </rPr>
      <t>事業計画</t>
    </r>
    <r>
      <rPr>
        <sz val="14"/>
        <rFont val="Times New Roman"/>
        <family val="1"/>
      </rPr>
      <t xml:space="preserve">2 </t>
    </r>
    <r>
      <rPr>
        <sz val="14"/>
        <rFont val="ＭＳ Ｐ明朝"/>
        <family val="1"/>
        <charset val="128"/>
      </rPr>
      <t>事業原価　</t>
    </r>
    <r>
      <rPr>
        <b/>
        <sz val="14"/>
        <color indexed="10"/>
        <rFont val="Times New Roman"/>
        <family val="1"/>
      </rPr>
      <t>A+B2+C2+D2+E2</t>
    </r>
    <rPh sb="0" eb="2">
      <t>ジギョウ</t>
    </rPh>
    <rPh sb="2" eb="4">
      <t>ケイカク</t>
    </rPh>
    <rPh sb="6" eb="8">
      <t>ジギョウ</t>
    </rPh>
    <rPh sb="8" eb="10">
      <t>ゲンカ</t>
    </rPh>
    <phoneticPr fontId="3"/>
  </si>
  <si>
    <r>
      <rPr>
        <sz val="14"/>
        <rFont val="ＭＳ Ｐ明朝"/>
        <family val="1"/>
        <charset val="128"/>
      </rPr>
      <t>事業計画</t>
    </r>
    <r>
      <rPr>
        <sz val="14"/>
        <rFont val="Times New Roman"/>
        <family val="1"/>
      </rPr>
      <t xml:space="preserve">3 </t>
    </r>
    <r>
      <rPr>
        <sz val="14"/>
        <rFont val="ＭＳ Ｐ明朝"/>
        <family val="1"/>
        <charset val="128"/>
      </rPr>
      <t>事業原価　</t>
    </r>
    <r>
      <rPr>
        <b/>
        <sz val="14"/>
        <color indexed="10"/>
        <rFont val="Times New Roman"/>
        <family val="1"/>
      </rPr>
      <t>A+B3+C3+D3+E3</t>
    </r>
    <rPh sb="0" eb="2">
      <t>ジギョウ</t>
    </rPh>
    <rPh sb="2" eb="4">
      <t>ケイカク</t>
    </rPh>
    <rPh sb="6" eb="8">
      <t>ジギョウ</t>
    </rPh>
    <rPh sb="8" eb="10">
      <t>ゲンカ</t>
    </rPh>
    <phoneticPr fontId="3"/>
  </si>
  <si>
    <r>
      <rPr>
        <sz val="14"/>
        <rFont val="ＭＳ Ｐ明朝"/>
        <family val="1"/>
        <charset val="128"/>
      </rPr>
      <t>事業計画</t>
    </r>
    <r>
      <rPr>
        <sz val="14"/>
        <rFont val="Times New Roman"/>
        <family val="1"/>
      </rPr>
      <t xml:space="preserve">4 </t>
    </r>
    <r>
      <rPr>
        <sz val="14"/>
        <rFont val="ＭＳ Ｐ明朝"/>
        <family val="1"/>
        <charset val="128"/>
      </rPr>
      <t>事業原価　</t>
    </r>
    <r>
      <rPr>
        <b/>
        <sz val="14"/>
        <color indexed="10"/>
        <rFont val="Times New Roman"/>
        <family val="1"/>
      </rPr>
      <t>A+B4+C4+D4+E4</t>
    </r>
    <rPh sb="0" eb="2">
      <t>ジギョウ</t>
    </rPh>
    <rPh sb="2" eb="4">
      <t>ケイカク</t>
    </rPh>
    <rPh sb="6" eb="8">
      <t>ジギョウ</t>
    </rPh>
    <rPh sb="8" eb="10">
      <t>ゲンカ</t>
    </rPh>
    <phoneticPr fontId="3"/>
  </si>
  <si>
    <r>
      <t>売却時仲介手数料等</t>
    </r>
    <r>
      <rPr>
        <b/>
        <sz val="18"/>
        <color rgb="FFFF0000"/>
        <rFont val="ＭＳ Ｐ明朝"/>
        <family val="1"/>
        <charset val="128"/>
      </rPr>
      <t>…</t>
    </r>
    <r>
      <rPr>
        <b/>
        <sz val="18"/>
        <color rgb="FFFF0000"/>
        <rFont val="Times New Roman"/>
        <family val="1"/>
      </rPr>
      <t>E1</t>
    </r>
    <rPh sb="0" eb="2">
      <t>バイキャク</t>
    </rPh>
    <rPh sb="2" eb="3">
      <t>ジ</t>
    </rPh>
    <rPh sb="3" eb="5">
      <t>チュウカイ</t>
    </rPh>
    <rPh sb="7" eb="8">
      <t>リョウ</t>
    </rPh>
    <rPh sb="8" eb="9">
      <t>トウ</t>
    </rPh>
    <phoneticPr fontId="3"/>
  </si>
  <si>
    <r>
      <t>売却時仲介手数料等</t>
    </r>
    <r>
      <rPr>
        <b/>
        <sz val="18"/>
        <color rgb="FFFF0000"/>
        <rFont val="ＭＳ Ｐ明朝"/>
        <family val="1"/>
        <charset val="128"/>
      </rPr>
      <t>…</t>
    </r>
    <r>
      <rPr>
        <b/>
        <sz val="18"/>
        <color rgb="FFFF0000"/>
        <rFont val="Times New Roman"/>
        <family val="1"/>
      </rPr>
      <t>E2</t>
    </r>
    <rPh sb="0" eb="2">
      <t>バイキャク</t>
    </rPh>
    <rPh sb="2" eb="3">
      <t>ジ</t>
    </rPh>
    <rPh sb="3" eb="5">
      <t>チュウカイ</t>
    </rPh>
    <rPh sb="7" eb="8">
      <t>リョウ</t>
    </rPh>
    <rPh sb="8" eb="9">
      <t>トウ</t>
    </rPh>
    <phoneticPr fontId="3"/>
  </si>
  <si>
    <r>
      <t>売却時仲介手数料等</t>
    </r>
    <r>
      <rPr>
        <b/>
        <sz val="18"/>
        <color rgb="FFFF0000"/>
        <rFont val="ＭＳ Ｐ明朝"/>
        <family val="1"/>
        <charset val="128"/>
      </rPr>
      <t>…</t>
    </r>
    <r>
      <rPr>
        <b/>
        <sz val="18"/>
        <color rgb="FFFF0000"/>
        <rFont val="Times New Roman"/>
        <family val="1"/>
      </rPr>
      <t>E3</t>
    </r>
    <rPh sb="0" eb="2">
      <t>バイキャク</t>
    </rPh>
    <rPh sb="2" eb="3">
      <t>ジ</t>
    </rPh>
    <rPh sb="3" eb="5">
      <t>チュウカイ</t>
    </rPh>
    <rPh sb="7" eb="8">
      <t>リョウ</t>
    </rPh>
    <rPh sb="8" eb="9">
      <t>トウ</t>
    </rPh>
    <phoneticPr fontId="3"/>
  </si>
  <si>
    <r>
      <t>売却時仲介手数料等</t>
    </r>
    <r>
      <rPr>
        <b/>
        <sz val="18"/>
        <color rgb="FFFF0000"/>
        <rFont val="ＭＳ Ｐ明朝"/>
        <family val="1"/>
        <charset val="128"/>
      </rPr>
      <t>…</t>
    </r>
    <r>
      <rPr>
        <b/>
        <sz val="18"/>
        <color rgb="FFFF0000"/>
        <rFont val="Times New Roman"/>
        <family val="1"/>
      </rPr>
      <t>E4</t>
    </r>
    <rPh sb="0" eb="2">
      <t>バイキャク</t>
    </rPh>
    <rPh sb="2" eb="3">
      <t>ジ</t>
    </rPh>
    <rPh sb="3" eb="5">
      <t>チュウカイ</t>
    </rPh>
    <rPh sb="7" eb="8">
      <t>リョウ</t>
    </rPh>
    <rPh sb="8" eb="9">
      <t>トウ</t>
    </rPh>
    <phoneticPr fontId="3"/>
  </si>
  <si>
    <t>※1 特に注記がない限り金額は全て税抜。　※2 事業原価には「売却時仲介手数料等」を含む。</t>
    <rPh sb="3" eb="4">
      <t>トク</t>
    </rPh>
    <rPh sb="5" eb="7">
      <t>チュウキ</t>
    </rPh>
    <rPh sb="10" eb="11">
      <t>カギ</t>
    </rPh>
    <rPh sb="12" eb="14">
      <t>キンガク</t>
    </rPh>
    <rPh sb="15" eb="16">
      <t>スベ</t>
    </rPh>
    <rPh sb="17" eb="18">
      <t>ゼイ</t>
    </rPh>
    <rPh sb="18" eb="19">
      <t>ヌ</t>
    </rPh>
    <rPh sb="24" eb="26">
      <t>ジギョウ</t>
    </rPh>
    <rPh sb="26" eb="28">
      <t>ゲンカ</t>
    </rPh>
    <rPh sb="31" eb="33">
      <t>バイキャク</t>
    </rPh>
    <rPh sb="33" eb="34">
      <t>ジ</t>
    </rPh>
    <rPh sb="34" eb="36">
      <t>チュウカイ</t>
    </rPh>
    <rPh sb="36" eb="39">
      <t>テスウリョウ</t>
    </rPh>
    <rPh sb="39" eb="40">
      <t>トウ</t>
    </rPh>
    <rPh sb="42" eb="43">
      <t>フク</t>
    </rPh>
    <phoneticPr fontId="3"/>
  </si>
  <si>
    <r>
      <t>事業原価</t>
    </r>
    <r>
      <rPr>
        <vertAlign val="superscript"/>
        <sz val="18"/>
        <rFont val="ＭＳ Ｐ明朝"/>
        <family val="1"/>
        <charset val="128"/>
      </rPr>
      <t>※2</t>
    </r>
    <rPh sb="0" eb="2">
      <t>ジギョウ</t>
    </rPh>
    <rPh sb="2" eb="4">
      <t>ゲンカ</t>
    </rPh>
    <phoneticPr fontId="3"/>
  </si>
  <si>
    <r>
      <t>事業原価</t>
    </r>
    <r>
      <rPr>
        <vertAlign val="superscript"/>
        <sz val="18"/>
        <rFont val="ＭＳ Ｐ明朝"/>
        <family val="1"/>
        <charset val="128"/>
      </rPr>
      <t>※2</t>
    </r>
    <r>
      <rPr>
        <sz val="18"/>
        <rFont val="ＭＳ Ｐ明朝"/>
        <family val="1"/>
        <charset val="128"/>
      </rPr>
      <t>（期中支出込）</t>
    </r>
    <rPh sb="0" eb="2">
      <t>ジギョウ</t>
    </rPh>
    <rPh sb="2" eb="4">
      <t>ゲンカ</t>
    </rPh>
    <rPh sb="7" eb="9">
      <t>キチュウ</t>
    </rPh>
    <rPh sb="9" eb="11">
      <t>シシュツ</t>
    </rPh>
    <rPh sb="11" eb="12">
      <t>コ</t>
    </rPh>
    <phoneticPr fontId="133"/>
  </si>
  <si>
    <t>）</t>
    <phoneticPr fontId="192"/>
  </si>
  <si>
    <t>円）※売主側媒介業者等へ支払い</t>
    <rPh sb="0" eb="1">
      <t>エン</t>
    </rPh>
    <rPh sb="3" eb="4">
      <t>ウ</t>
    </rPh>
    <rPh sb="4" eb="5">
      <t>シュ</t>
    </rPh>
    <rPh sb="5" eb="6">
      <t>ガワ</t>
    </rPh>
    <rPh sb="6" eb="8">
      <t>バイカイ</t>
    </rPh>
    <rPh sb="8" eb="11">
      <t>ギョウシャトウ</t>
    </rPh>
    <rPh sb="12" eb="14">
      <t>シハラ</t>
    </rPh>
    <phoneticPr fontId="192"/>
  </si>
  <si>
    <t>物件所在地</t>
    <phoneticPr fontId="192"/>
  </si>
  <si>
    <t>土地</t>
    <phoneticPr fontId="192"/>
  </si>
  <si>
    <t>建物</t>
    <rPh sb="0" eb="2">
      <t>タテモノ</t>
    </rPh>
    <phoneticPr fontId="192"/>
  </si>
  <si>
    <t>売却予定価格</t>
    <rPh sb="0" eb="2">
      <t>バイキャク</t>
    </rPh>
    <phoneticPr fontId="192"/>
  </si>
  <si>
    <t>買主</t>
    <rPh sb="0" eb="2">
      <t>カイヌシ</t>
    </rPh>
    <phoneticPr fontId="192"/>
  </si>
  <si>
    <t>売主</t>
    <rPh sb="0" eb="2">
      <t>ウリヌシ</t>
    </rPh>
    <phoneticPr fontId="192"/>
  </si>
  <si>
    <t>媒介業者等</t>
    <rPh sb="0" eb="2">
      <t>バイカイ</t>
    </rPh>
    <rPh sb="2" eb="4">
      <t>ギョウシャ</t>
    </rPh>
    <rPh sb="4" eb="5">
      <t>トウ</t>
    </rPh>
    <phoneticPr fontId="192"/>
  </si>
  <si>
    <t>仲介手数料</t>
    <rPh sb="0" eb="2">
      <t>チュウカイ</t>
    </rPh>
    <rPh sb="2" eb="5">
      <t>テスウリョウ</t>
    </rPh>
    <phoneticPr fontId="192"/>
  </si>
  <si>
    <t>売却予定価格</t>
    <rPh sb="0" eb="2">
      <t>バイキャク</t>
    </rPh>
    <rPh sb="2" eb="4">
      <t>ヨテイ</t>
    </rPh>
    <rPh sb="4" eb="6">
      <t>カカク</t>
    </rPh>
    <phoneticPr fontId="192"/>
  </si>
  <si>
    <t>事業利益</t>
    <rPh sb="0" eb="2">
      <t>ジギョウ</t>
    </rPh>
    <rPh sb="2" eb="4">
      <t>リエキ</t>
    </rPh>
    <phoneticPr fontId="192"/>
  </si>
  <si>
    <t>事業期間</t>
    <rPh sb="0" eb="2">
      <t>ジギョウ</t>
    </rPh>
    <rPh sb="2" eb="4">
      <t>キカン</t>
    </rPh>
    <phoneticPr fontId="192"/>
  </si>
  <si>
    <t>契約日／決済日</t>
    <rPh sb="0" eb="3">
      <t>ケイヤクビ</t>
    </rPh>
    <rPh sb="4" eb="7">
      <t>ケッサイビ</t>
    </rPh>
    <phoneticPr fontId="192"/>
  </si>
  <si>
    <t>売買条件等</t>
    <rPh sb="0" eb="2">
      <t>バイバイ</t>
    </rPh>
    <rPh sb="2" eb="4">
      <t>ジョウケン</t>
    </rPh>
    <rPh sb="4" eb="5">
      <t>トウ</t>
    </rPh>
    <phoneticPr fontId="192"/>
  </si>
  <si>
    <t>経理部</t>
    <rPh sb="0" eb="2">
      <t>ケイリ</t>
    </rPh>
    <rPh sb="2" eb="3">
      <t>ブ</t>
    </rPh>
    <phoneticPr fontId="3"/>
  </si>
  <si>
    <t>法務部</t>
    <rPh sb="0" eb="2">
      <t>ホウム</t>
    </rPh>
    <rPh sb="2" eb="3">
      <t>ブ</t>
    </rPh>
    <phoneticPr fontId="3"/>
  </si>
  <si>
    <t>経営企画部</t>
    <rPh sb="0" eb="2">
      <t>ケイエイ</t>
    </rPh>
    <rPh sb="2" eb="4">
      <t>キカク</t>
    </rPh>
    <rPh sb="4" eb="5">
      <t>ブ</t>
    </rPh>
    <phoneticPr fontId="3"/>
  </si>
  <si>
    <t xml:space="preserve">     新　規　・　枠　内</t>
    <rPh sb="11" eb="12">
      <t>ワク</t>
    </rPh>
    <rPh sb="13" eb="14">
      <t>ナイ</t>
    </rPh>
    <phoneticPr fontId="3"/>
  </si>
  <si>
    <t>購入予定価格</t>
    <phoneticPr fontId="192"/>
  </si>
  <si>
    <t>計画事業利益</t>
    <rPh sb="0" eb="2">
      <t>ケイカク</t>
    </rPh>
    <rPh sb="2" eb="4">
      <t>ジギョウ</t>
    </rPh>
    <rPh sb="4" eb="6">
      <t>リエキ</t>
    </rPh>
    <phoneticPr fontId="192"/>
  </si>
  <si>
    <t>計画事業期間</t>
    <rPh sb="0" eb="2">
      <t>ケイカク</t>
    </rPh>
    <rPh sb="2" eb="4">
      <t>ジギョウ</t>
    </rPh>
    <rPh sb="4" eb="6">
      <t>キカン</t>
    </rPh>
    <phoneticPr fontId="192"/>
  </si>
  <si>
    <t>資金計画</t>
    <rPh sb="0" eb="2">
      <t>シキン</t>
    </rPh>
    <rPh sb="2" eb="4">
      <t>ケイカク</t>
    </rPh>
    <phoneticPr fontId="192"/>
  </si>
  <si>
    <t>手付金</t>
    <rPh sb="0" eb="2">
      <t>テツケ</t>
    </rPh>
    <rPh sb="2" eb="3">
      <t>キン</t>
    </rPh>
    <phoneticPr fontId="192"/>
  </si>
  <si>
    <t>（賃貸収益を除く/売却時に媒介業者がいる場合、売却時仲介手数料を含む）</t>
    <rPh sb="1" eb="3">
      <t>チンタイ</t>
    </rPh>
    <rPh sb="3" eb="5">
      <t>シュウエキ</t>
    </rPh>
    <rPh sb="6" eb="7">
      <t>ノゾ</t>
    </rPh>
    <rPh sb="9" eb="11">
      <t>バイキャク</t>
    </rPh>
    <rPh sb="11" eb="12">
      <t>ジ</t>
    </rPh>
    <rPh sb="13" eb="15">
      <t>バイカイ</t>
    </rPh>
    <rPh sb="15" eb="17">
      <t>ギョウシャ</t>
    </rPh>
    <rPh sb="20" eb="22">
      <t>バアイ</t>
    </rPh>
    <rPh sb="23" eb="25">
      <t>バイキャク</t>
    </rPh>
    <rPh sb="25" eb="26">
      <t>ジ</t>
    </rPh>
    <rPh sb="26" eb="28">
      <t>チュウカイ</t>
    </rPh>
    <rPh sb="28" eb="31">
      <t>テスウリョウ</t>
    </rPh>
    <rPh sb="32" eb="33">
      <t>フク</t>
    </rPh>
    <phoneticPr fontId="3"/>
  </si>
  <si>
    <t>売 却 価 格</t>
    <rPh sb="0" eb="1">
      <t>バイ</t>
    </rPh>
    <rPh sb="2" eb="3">
      <t>キャク</t>
    </rPh>
    <rPh sb="4" eb="5">
      <t>アタイ</t>
    </rPh>
    <rPh sb="6" eb="7">
      <t>カク</t>
    </rPh>
    <phoneticPr fontId="3"/>
  </si>
  <si>
    <t>（議案内容）
表題の件につき、次の条件にて売却いたしたく、参考資料を添えて上程いたします。</t>
    <rPh sb="1" eb="3">
      <t>ギアン</t>
    </rPh>
    <rPh sb="3" eb="5">
      <t>ナイヨウ</t>
    </rPh>
    <rPh sb="7" eb="9">
      <t>ヒョウダイ</t>
    </rPh>
    <rPh sb="10" eb="11">
      <t>ケン</t>
    </rPh>
    <rPh sb="15" eb="16">
      <t>ツギ</t>
    </rPh>
    <rPh sb="17" eb="19">
      <t>ジョウケン</t>
    </rPh>
    <rPh sb="21" eb="23">
      <t>バイキャク</t>
    </rPh>
    <rPh sb="29" eb="31">
      <t>サンコウ</t>
    </rPh>
    <rPh sb="31" eb="33">
      <t>シリョウ</t>
    </rPh>
    <rPh sb="34" eb="35">
      <t>ソ</t>
    </rPh>
    <rPh sb="37" eb="39">
      <t>ジョウテイ</t>
    </rPh>
    <phoneticPr fontId="133"/>
  </si>
  <si>
    <t>（賃貸収益を除く/売却時に媒介業者がいる場合、売却時仲介手数料を含む）</t>
    <phoneticPr fontId="133"/>
  </si>
  <si>
    <t>賃 貸 収 支 一 覧 表</t>
    <rPh sb="0" eb="1">
      <t>チン</t>
    </rPh>
    <rPh sb="2" eb="3">
      <t>カシ</t>
    </rPh>
    <rPh sb="4" eb="5">
      <t>オサム</t>
    </rPh>
    <rPh sb="6" eb="7">
      <t>ササ</t>
    </rPh>
    <rPh sb="8" eb="9">
      <t>イチ</t>
    </rPh>
    <rPh sb="10" eb="11">
      <t>ラン</t>
    </rPh>
    <rPh sb="12" eb="13">
      <t>ヒョウ</t>
    </rPh>
    <phoneticPr fontId="276"/>
  </si>
  <si>
    <t>◆賃貸面積及び賃貸条件</t>
    <phoneticPr fontId="3"/>
  </si>
  <si>
    <t>店舗・事務所</t>
    <rPh sb="0" eb="2">
      <t>テンポ</t>
    </rPh>
    <rPh sb="3" eb="5">
      <t>ジム</t>
    </rPh>
    <rPh sb="5" eb="6">
      <t>ショ</t>
    </rPh>
    <phoneticPr fontId="3"/>
  </si>
  <si>
    <t>※申込ベース</t>
    <rPh sb="1" eb="3">
      <t>モウシコミ</t>
    </rPh>
    <phoneticPr fontId="3"/>
  </si>
  <si>
    <t>敷金（保証金）
※償却済　</t>
    <rPh sb="0" eb="2">
      <t>シキキン</t>
    </rPh>
    <rPh sb="3" eb="6">
      <t>ホショウキン</t>
    </rPh>
    <rPh sb="9" eb="11">
      <t>ショウキャク</t>
    </rPh>
    <rPh sb="11" eb="12">
      <t>ズ</t>
    </rPh>
    <phoneticPr fontId="3"/>
  </si>
  <si>
    <t>契約締結日</t>
    <rPh sb="0" eb="2">
      <t>ケイヤク</t>
    </rPh>
    <rPh sb="2" eb="4">
      <t>テイケツ</t>
    </rPh>
    <rPh sb="4" eb="5">
      <t>ビ</t>
    </rPh>
    <phoneticPr fontId="3"/>
  </si>
  <si>
    <t>飲食店舗</t>
    <rPh sb="0" eb="2">
      <t>インショク</t>
    </rPh>
    <rPh sb="2" eb="4">
      <t>テンポ</t>
    </rPh>
    <phoneticPr fontId="3"/>
  </si>
  <si>
    <t>申込予定
（和食店）</t>
    <rPh sb="0" eb="2">
      <t>モウシコミ</t>
    </rPh>
    <rPh sb="2" eb="4">
      <t>ヨテイ</t>
    </rPh>
    <rPh sb="6" eb="8">
      <t>ワショク</t>
    </rPh>
    <rPh sb="8" eb="9">
      <t>テン</t>
    </rPh>
    <phoneticPr fontId="3"/>
  </si>
  <si>
    <t>現テナント（洋菓子店）解約予定(H30.1.31)
［退去時、原状回復免除］</t>
    <rPh sb="0" eb="1">
      <t>ゲン</t>
    </rPh>
    <rPh sb="6" eb="7">
      <t>ヨウ</t>
    </rPh>
    <rPh sb="7" eb="9">
      <t>ガシ</t>
    </rPh>
    <rPh sb="9" eb="10">
      <t>ミセ</t>
    </rPh>
    <rPh sb="11" eb="13">
      <t>カイヤク</t>
    </rPh>
    <rPh sb="13" eb="15">
      <t>ヨテイ</t>
    </rPh>
    <rPh sb="27" eb="29">
      <t>タイキョ</t>
    </rPh>
    <rPh sb="29" eb="30">
      <t>ジ</t>
    </rPh>
    <rPh sb="31" eb="33">
      <t>ゲンジョウ</t>
    </rPh>
    <rPh sb="33" eb="35">
      <t>カイフク</t>
    </rPh>
    <rPh sb="35" eb="37">
      <t>メンジョ</t>
    </rPh>
    <phoneticPr fontId="3"/>
  </si>
  <si>
    <t>←備考欄に記載すること
　フリーレント（レントホリデー）、段階賃料、同居、転貸、
　保証会社利用、原状回復免除、解約、定期借家（解約不可期間）</t>
    <rPh sb="1" eb="3">
      <t>ビコウ</t>
    </rPh>
    <rPh sb="3" eb="4">
      <t>ラン</t>
    </rPh>
    <rPh sb="5" eb="7">
      <t>キサイ</t>
    </rPh>
    <rPh sb="29" eb="31">
      <t>ダンカイ</t>
    </rPh>
    <rPh sb="31" eb="33">
      <t>チンリョウ</t>
    </rPh>
    <rPh sb="34" eb="36">
      <t>ドウキョ</t>
    </rPh>
    <rPh sb="37" eb="39">
      <t>テンタイ</t>
    </rPh>
    <rPh sb="42" eb="44">
      <t>ホショウ</t>
    </rPh>
    <rPh sb="44" eb="46">
      <t>ガイシャ</t>
    </rPh>
    <rPh sb="46" eb="48">
      <t>リヨウ</t>
    </rPh>
    <rPh sb="49" eb="51">
      <t>ゲンジョウ</t>
    </rPh>
    <rPh sb="51" eb="53">
      <t>カイフク</t>
    </rPh>
    <rPh sb="53" eb="55">
      <t>メンジョ</t>
    </rPh>
    <rPh sb="56" eb="58">
      <t>カイヤク</t>
    </rPh>
    <rPh sb="59" eb="61">
      <t>テイキ</t>
    </rPh>
    <rPh sb="61" eb="63">
      <t>シャクヤ</t>
    </rPh>
    <rPh sb="64" eb="66">
      <t>カイヤク</t>
    </rPh>
    <rPh sb="66" eb="68">
      <t>フカ</t>
    </rPh>
    <rPh sb="68" eb="70">
      <t>キカン</t>
    </rPh>
    <phoneticPr fontId="276"/>
  </si>
  <si>
    <t>2F</t>
    <phoneticPr fontId="3"/>
  </si>
  <si>
    <t>法人
（IT企画）</t>
    <rPh sb="0" eb="2">
      <t>ホウジン</t>
    </rPh>
    <rPh sb="6" eb="8">
      <t>キカク</t>
    </rPh>
    <phoneticPr fontId="3"/>
  </si>
  <si>
    <t>3F</t>
    <phoneticPr fontId="3"/>
  </si>
  <si>
    <t>法人
（電気設計）</t>
    <rPh sb="0" eb="2">
      <t>ホウジン</t>
    </rPh>
    <rPh sb="4" eb="6">
      <t>デンキ</t>
    </rPh>
    <rPh sb="6" eb="8">
      <t>セッケイ</t>
    </rPh>
    <phoneticPr fontId="3"/>
  </si>
  <si>
    <t>4F</t>
    <phoneticPr fontId="3"/>
  </si>
  <si>
    <t>事務所
（応接内装付）</t>
    <rPh sb="0" eb="2">
      <t>ジム</t>
    </rPh>
    <rPh sb="2" eb="3">
      <t>ショ</t>
    </rPh>
    <rPh sb="5" eb="7">
      <t>オウセツ</t>
    </rPh>
    <rPh sb="7" eb="9">
      <t>ナイソウ</t>
    </rPh>
    <rPh sb="9" eb="10">
      <t>ツ</t>
    </rPh>
    <phoneticPr fontId="3"/>
  </si>
  <si>
    <t>法人
（エネルギー系）</t>
    <rPh sb="0" eb="2">
      <t>ホウジン</t>
    </rPh>
    <rPh sb="9" eb="10">
      <t>ケイ</t>
    </rPh>
    <phoneticPr fontId="3"/>
  </si>
  <si>
    <t>※4</t>
    <phoneticPr fontId="3"/>
  </si>
  <si>
    <t>5F</t>
    <phoneticPr fontId="3"/>
  </si>
  <si>
    <t>法人
（メーカー）</t>
    <rPh sb="0" eb="2">
      <t>ホウジン</t>
    </rPh>
    <phoneticPr fontId="3"/>
  </si>
  <si>
    <t>6F</t>
    <phoneticPr fontId="3"/>
  </si>
  <si>
    <t>法人
（弁護士）</t>
    <rPh sb="0" eb="2">
      <t>ホウジン</t>
    </rPh>
    <rPh sb="4" eb="7">
      <t>ベンゴシ</t>
    </rPh>
    <phoneticPr fontId="3"/>
  </si>
  <si>
    <t>賃料起算日：H30.2.1</t>
    <rPh sb="2" eb="5">
      <t>キサンビ</t>
    </rPh>
    <phoneticPr fontId="3"/>
  </si>
  <si>
    <t>7F</t>
    <phoneticPr fontId="3"/>
  </si>
  <si>
    <t>契約予定</t>
    <rPh sb="0" eb="2">
      <t>ケイヤク</t>
    </rPh>
    <rPh sb="2" eb="4">
      <t>ヨテイ</t>
    </rPh>
    <phoneticPr fontId="3"/>
  </si>
  <si>
    <t>※4　賃料免除期間3ヶ月（予定）</t>
    <phoneticPr fontId="3"/>
  </si>
  <si>
    <t>8F</t>
    <phoneticPr fontId="3"/>
  </si>
  <si>
    <t>法人
（医療系）</t>
    <rPh sb="0" eb="2">
      <t>ホウジン</t>
    </rPh>
    <rPh sb="4" eb="6">
      <t>イリョウ</t>
    </rPh>
    <rPh sb="6" eb="7">
      <t>ケイ</t>
    </rPh>
    <phoneticPr fontId="3"/>
  </si>
  <si>
    <t>※4　</t>
    <phoneticPr fontId="3"/>
  </si>
  <si>
    <t>9F</t>
    <phoneticPr fontId="3"/>
  </si>
  <si>
    <t>法人
（コンサル）</t>
    <rPh sb="0" eb="2">
      <t>ホウジン</t>
    </rPh>
    <phoneticPr fontId="3"/>
  </si>
  <si>
    <t>計</t>
    <phoneticPr fontId="3"/>
  </si>
  <si>
    <t>◆年間支出</t>
    <phoneticPr fontId="3"/>
  </si>
  <si>
    <r>
      <t>◆租税関係（</t>
    </r>
    <r>
      <rPr>
        <b/>
        <sz val="10"/>
        <color rgb="FF0070C0"/>
        <rFont val="MS UI Gothic"/>
        <family val="3"/>
        <charset val="128"/>
      </rPr>
      <t>H29</t>
    </r>
    <r>
      <rPr>
        <b/>
        <sz val="10"/>
        <rFont val="MS UI Gothic"/>
        <family val="3"/>
        <charset val="128"/>
      </rPr>
      <t>）</t>
    </r>
    <phoneticPr fontId="3"/>
  </si>
  <si>
    <t>建物</t>
    <phoneticPr fontId="3"/>
  </si>
  <si>
    <r>
      <t>　弊社が募集したフロア</t>
    </r>
    <r>
      <rPr>
        <sz val="11"/>
        <color rgb="FF0070C0"/>
        <rFont val="MS UI Gothic"/>
        <family val="3"/>
        <charset val="128"/>
      </rPr>
      <t>（2,3,5階）</t>
    </r>
    <r>
      <rPr>
        <sz val="11"/>
        <rFont val="MS UI Gothic"/>
        <family val="3"/>
        <charset val="128"/>
      </rPr>
      <t>の成約平均坪単価</t>
    </r>
    <rPh sb="1" eb="3">
      <t>ヘイシャ</t>
    </rPh>
    <rPh sb="4" eb="6">
      <t>ボシュウ</t>
    </rPh>
    <rPh sb="17" eb="18">
      <t>カイ</t>
    </rPh>
    <rPh sb="20" eb="22">
      <t>セイヤク</t>
    </rPh>
    <rPh sb="22" eb="24">
      <t>ヘイキン</t>
    </rPh>
    <rPh sb="24" eb="25">
      <t>ツボ</t>
    </rPh>
    <rPh sb="25" eb="27">
      <t>タンカ</t>
    </rPh>
    <phoneticPr fontId="3"/>
  </si>
  <si>
    <t>円</t>
    <rPh sb="0" eb="1">
      <t>エン</t>
    </rPh>
    <phoneticPr fontId="3"/>
  </si>
  <si>
    <r>
      <t>　従前より入居いただいているテナント様</t>
    </r>
    <r>
      <rPr>
        <sz val="11"/>
        <color rgb="FF0070C0"/>
        <rFont val="MS UI Gothic"/>
        <family val="3"/>
        <charset val="128"/>
      </rPr>
      <t>（2,5,8,9F）</t>
    </r>
    <r>
      <rPr>
        <sz val="11"/>
        <rFont val="MS UI Gothic"/>
        <family val="3"/>
        <charset val="128"/>
      </rPr>
      <t>の平均坪単価</t>
    </r>
    <rPh sb="1" eb="3">
      <t>ジュウゼン</t>
    </rPh>
    <rPh sb="5" eb="7">
      <t>ニュウキョ</t>
    </rPh>
    <rPh sb="18" eb="19">
      <t>サマ</t>
    </rPh>
    <rPh sb="30" eb="32">
      <t>ヘイキン</t>
    </rPh>
    <phoneticPr fontId="3"/>
  </si>
  <si>
    <t>　</t>
    <phoneticPr fontId="3"/>
  </si>
  <si>
    <t>⇒契約賃料等の坪単価に</t>
    <phoneticPr fontId="3"/>
  </si>
  <si>
    <t>の差異がございます。</t>
    <rPh sb="1" eb="3">
      <t>サイ</t>
    </rPh>
    <phoneticPr fontId="3"/>
  </si>
  <si>
    <t>※2</t>
    <phoneticPr fontId="3"/>
  </si>
  <si>
    <t>※3</t>
    <phoneticPr fontId="3"/>
  </si>
  <si>
    <t>《アップサイドの試算》</t>
    <phoneticPr fontId="3"/>
  </si>
  <si>
    <r>
      <t>　2. 従前より入居いただいているテナント様</t>
    </r>
    <r>
      <rPr>
        <sz val="11"/>
        <color rgb="FF0070C0"/>
        <rFont val="MS UI Gothic"/>
        <family val="3"/>
        <charset val="128"/>
      </rPr>
      <t>（2,5,8,9F）</t>
    </r>
    <r>
      <rPr>
        <sz val="11"/>
        <rFont val="MS UI Gothic"/>
        <family val="3"/>
        <charset val="128"/>
      </rPr>
      <t>が解約となり、テナント様が入れ替わった場合を想定すると、</t>
    </r>
    <rPh sb="4" eb="6">
      <t>ジュウゼン</t>
    </rPh>
    <rPh sb="8" eb="10">
      <t>ニュウキョ</t>
    </rPh>
    <rPh sb="21" eb="22">
      <t>サマ</t>
    </rPh>
    <rPh sb="33" eb="35">
      <t>カイヤク</t>
    </rPh>
    <rPh sb="43" eb="44">
      <t>サマ</t>
    </rPh>
    <rPh sb="45" eb="46">
      <t>イ</t>
    </rPh>
    <rPh sb="47" eb="48">
      <t>カ</t>
    </rPh>
    <rPh sb="51" eb="53">
      <t>バアイ</t>
    </rPh>
    <rPh sb="54" eb="56">
      <t>ソウテイ</t>
    </rPh>
    <phoneticPr fontId="3"/>
  </si>
  <si>
    <r>
      <rPr>
        <sz val="11"/>
        <color rgb="FF0070C0"/>
        <rFont val="MS UI Gothic"/>
        <family val="3"/>
        <charset val="128"/>
      </rPr>
      <t>2,5,8,9F</t>
    </r>
    <r>
      <rPr>
        <sz val="11"/>
        <rFont val="MS UI Gothic"/>
        <family val="3"/>
        <charset val="128"/>
      </rPr>
      <t>の面積合計</t>
    </r>
    <rPh sb="9" eb="11">
      <t>メンセキ</t>
    </rPh>
    <rPh sb="11" eb="13">
      <t>ゴウケイ</t>
    </rPh>
    <phoneticPr fontId="3"/>
  </si>
  <si>
    <t>に対して、</t>
    <rPh sb="1" eb="2">
      <t>タイ</t>
    </rPh>
    <phoneticPr fontId="3"/>
  </si>
  <si>
    <t>坪単価差額</t>
    <rPh sb="0" eb="1">
      <t>ツボ</t>
    </rPh>
    <rPh sb="1" eb="3">
      <t>タンカ</t>
    </rPh>
    <rPh sb="3" eb="5">
      <t>サガク</t>
    </rPh>
    <phoneticPr fontId="3"/>
  </si>
  <si>
    <t>を掛けると、</t>
    <rPh sb="1" eb="2">
      <t>カ</t>
    </rPh>
    <phoneticPr fontId="3"/>
  </si>
  <si>
    <t>月額</t>
    <rPh sb="0" eb="2">
      <t>ゲツガク</t>
    </rPh>
    <phoneticPr fontId="3"/>
  </si>
  <si>
    <t>の賃料アップとなり、</t>
    <rPh sb="1" eb="3">
      <t>チンリョウ</t>
    </rPh>
    <phoneticPr fontId="3"/>
  </si>
  <si>
    <t>年額にして</t>
    <rPh sb="0" eb="2">
      <t>ネンガク</t>
    </rPh>
    <phoneticPr fontId="3"/>
  </si>
  <si>
    <r>
      <t>（A）</t>
    </r>
    <r>
      <rPr>
        <sz val="11"/>
        <rFont val="MS UI Gothic"/>
        <family val="3"/>
        <charset val="128"/>
      </rPr>
      <t>の収入増になります。</t>
    </r>
    <rPh sb="4" eb="7">
      <t>シュウニュウゾウ</t>
    </rPh>
    <phoneticPr fontId="3"/>
  </si>
  <si>
    <r>
      <t>◆路線価評価額（</t>
    </r>
    <r>
      <rPr>
        <b/>
        <sz val="10"/>
        <color rgb="FF0070C0"/>
        <rFont val="MS UI Gothic"/>
        <family val="3"/>
        <charset val="128"/>
      </rPr>
      <t>H29</t>
    </r>
    <r>
      <rPr>
        <b/>
        <sz val="10"/>
        <rFont val="MS UI Gothic"/>
        <family val="3"/>
        <charset val="128"/>
      </rPr>
      <t>）</t>
    </r>
    <rPh sb="1" eb="4">
      <t>ロセンカ</t>
    </rPh>
    <rPh sb="4" eb="7">
      <t>ヒョウカガク</t>
    </rPh>
    <phoneticPr fontId="3"/>
  </si>
  <si>
    <t>NOI　 a－b</t>
    <phoneticPr fontId="3"/>
  </si>
  <si>
    <t>路線価</t>
  </si>
  <si>
    <t>　3. 次に、リノベーション未実施の室内の改修コストを試算すると・・・</t>
    <rPh sb="4" eb="5">
      <t>ツギ</t>
    </rPh>
    <rPh sb="14" eb="17">
      <t>ミジッシ</t>
    </rPh>
    <rPh sb="18" eb="20">
      <t>シツナイ</t>
    </rPh>
    <rPh sb="21" eb="23">
      <t>カイシュウ</t>
    </rPh>
    <rPh sb="27" eb="29">
      <t>シサン</t>
    </rPh>
    <phoneticPr fontId="3"/>
  </si>
  <si>
    <t>未リノベーション区画数</t>
    <phoneticPr fontId="3"/>
  </si>
  <si>
    <t>経費率  b／a</t>
    <phoneticPr fontId="3"/>
  </si>
  <si>
    <t>1フロアあたりのリニューアルコスト</t>
    <phoneticPr fontId="3"/>
  </si>
  <si>
    <t>（基準階実額）を掛けると、</t>
    <rPh sb="1" eb="3">
      <t>キジュン</t>
    </rPh>
    <rPh sb="3" eb="4">
      <t>カイ</t>
    </rPh>
    <rPh sb="4" eb="6">
      <t>ジツガク</t>
    </rPh>
    <rPh sb="8" eb="9">
      <t>カ</t>
    </rPh>
    <phoneticPr fontId="3"/>
  </si>
  <si>
    <t>総リノベーションコストは</t>
    <rPh sb="0" eb="1">
      <t>ソウ</t>
    </rPh>
    <phoneticPr fontId="3"/>
  </si>
  <si>
    <r>
      <t>（B）</t>
    </r>
    <r>
      <rPr>
        <sz val="11"/>
        <rFont val="MS UI Gothic"/>
        <family val="3"/>
        <charset val="128"/>
      </rPr>
      <t>となります。</t>
    </r>
    <phoneticPr fontId="3"/>
  </si>
  <si>
    <t>　4. これを、グロスキャップレートで概算評価（A÷キャップレート－B）すると・・・</t>
    <rPh sb="19" eb="21">
      <t>ガイサン</t>
    </rPh>
    <rPh sb="21" eb="23">
      <t>ヒョウカ</t>
    </rPh>
    <phoneticPr fontId="3"/>
  </si>
  <si>
    <t>で換算した場合</t>
    <rPh sb="1" eb="3">
      <t>カンサン</t>
    </rPh>
    <rPh sb="5" eb="7">
      <t>バアイ</t>
    </rPh>
    <phoneticPr fontId="3"/>
  </si>
  <si>
    <t>の評価額増になります。</t>
    <rPh sb="1" eb="4">
      <t>ヒョウカガク</t>
    </rPh>
    <rPh sb="4" eb="5">
      <t>ゾウ</t>
    </rPh>
    <phoneticPr fontId="3"/>
  </si>
  <si>
    <t>〃</t>
    <phoneticPr fontId="3"/>
  </si>
  <si>
    <r>
      <t>※1　弊社管理条件とさせていただきます。【※PM・BM費用合計：</t>
    </r>
    <r>
      <rPr>
        <sz val="11"/>
        <color rgb="FF0070C0"/>
        <rFont val="MS UI Gothic"/>
        <family val="3"/>
        <charset val="128"/>
      </rPr>
      <t>月額342,251円（税抜）</t>
    </r>
    <r>
      <rPr>
        <sz val="11"/>
        <color indexed="8"/>
        <rFont val="MS UI Gothic"/>
        <family val="3"/>
        <charset val="128"/>
      </rPr>
      <t>】</t>
    </r>
    <rPh sb="3" eb="5">
      <t>ヘイシャ</t>
    </rPh>
    <rPh sb="5" eb="7">
      <t>カンリ</t>
    </rPh>
    <rPh sb="7" eb="9">
      <t>ジョウケン</t>
    </rPh>
    <rPh sb="27" eb="29">
      <t>ヒヨウ</t>
    </rPh>
    <rPh sb="29" eb="31">
      <t>ゴウケイ</t>
    </rPh>
    <rPh sb="32" eb="34">
      <t>ゲツガク</t>
    </rPh>
    <rPh sb="41" eb="42">
      <t>エン</t>
    </rPh>
    <rPh sb="43" eb="45">
      <t>ゼイヌキ</t>
    </rPh>
    <phoneticPr fontId="3"/>
  </si>
  <si>
    <t>　　　　※上記管理費用内容には、建物運営管理（テナント対応・入金管理等）及び建物設備管理（各種点検）が含まれております。</t>
    <rPh sb="5" eb="6">
      <t>ウエ</t>
    </rPh>
    <phoneticPr fontId="3"/>
  </si>
  <si>
    <t>◆概算評価額表</t>
    <phoneticPr fontId="3"/>
  </si>
  <si>
    <t>※2　表記記載の固定資産税等は、地方税法他の関連法規に基づきなされた標準的な試算です。具体的な税額計算につきましては、税理士等の専門家にご相談下さい。</t>
    <rPh sb="3" eb="5">
      <t>ヒョウキ</t>
    </rPh>
    <rPh sb="5" eb="7">
      <t>キサイ</t>
    </rPh>
    <rPh sb="8" eb="10">
      <t>コテイ</t>
    </rPh>
    <rPh sb="10" eb="13">
      <t>シサンゼイ</t>
    </rPh>
    <rPh sb="13" eb="14">
      <t>トウ</t>
    </rPh>
    <rPh sb="16" eb="19">
      <t>チホウゼイ</t>
    </rPh>
    <rPh sb="19" eb="20">
      <t>ホウ</t>
    </rPh>
    <rPh sb="20" eb="21">
      <t>ホカ</t>
    </rPh>
    <rPh sb="22" eb="24">
      <t>カンレン</t>
    </rPh>
    <rPh sb="24" eb="26">
      <t>ホウキ</t>
    </rPh>
    <rPh sb="27" eb="28">
      <t>モト</t>
    </rPh>
    <rPh sb="34" eb="37">
      <t>ヒョウジュンテキ</t>
    </rPh>
    <rPh sb="38" eb="40">
      <t>シサン</t>
    </rPh>
    <rPh sb="43" eb="46">
      <t>グタイテキ</t>
    </rPh>
    <rPh sb="47" eb="49">
      <t>ゼイガク</t>
    </rPh>
    <rPh sb="49" eb="51">
      <t>ケイサン</t>
    </rPh>
    <rPh sb="59" eb="62">
      <t>ゼイリシ</t>
    </rPh>
    <rPh sb="62" eb="63">
      <t>トウ</t>
    </rPh>
    <rPh sb="64" eb="67">
      <t>センモンカ</t>
    </rPh>
    <rPh sb="69" eb="71">
      <t>ソウダン</t>
    </rPh>
    <rPh sb="71" eb="72">
      <t>クダ</t>
    </rPh>
    <phoneticPr fontId="3"/>
  </si>
  <si>
    <t>gross cap (upside)</t>
    <phoneticPr fontId="3"/>
  </si>
  <si>
    <t>GAP</t>
    <phoneticPr fontId="3"/>
  </si>
  <si>
    <r>
      <t>※3　火災保険料は、</t>
    </r>
    <r>
      <rPr>
        <sz val="11"/>
        <color rgb="FF0070C0"/>
        <rFont val="MS UI Gothic"/>
        <family val="3"/>
        <charset val="128"/>
      </rPr>
      <t>火災保険金額202,000千円</t>
    </r>
    <r>
      <rPr>
        <sz val="11"/>
        <rFont val="MS UI Gothic"/>
        <family val="3"/>
        <charset val="128"/>
      </rPr>
      <t>、施設賠償責任保険3億円（1事故あたり上限）を付保した場合の5年一括払保険料を5年で除した1年分の保険料を記載しております。</t>
    </r>
    <rPh sb="3" eb="5">
      <t>カサイ</t>
    </rPh>
    <rPh sb="5" eb="7">
      <t>ホケン</t>
    </rPh>
    <rPh sb="10" eb="12">
      <t>カサイ</t>
    </rPh>
    <rPh sb="12" eb="14">
      <t>ホケン</t>
    </rPh>
    <rPh sb="14" eb="16">
      <t>キンガク</t>
    </rPh>
    <rPh sb="23" eb="24">
      <t>セン</t>
    </rPh>
    <rPh sb="24" eb="25">
      <t>エン</t>
    </rPh>
    <rPh sb="26" eb="28">
      <t>シセツ</t>
    </rPh>
    <rPh sb="28" eb="30">
      <t>バイショウ</t>
    </rPh>
    <rPh sb="30" eb="32">
      <t>セキニン</t>
    </rPh>
    <rPh sb="32" eb="34">
      <t>ホケン</t>
    </rPh>
    <rPh sb="35" eb="37">
      <t>オクエン</t>
    </rPh>
    <rPh sb="39" eb="41">
      <t>ジコ</t>
    </rPh>
    <rPh sb="44" eb="46">
      <t>ジョウゲン</t>
    </rPh>
    <rPh sb="48" eb="49">
      <t>フ</t>
    </rPh>
    <rPh sb="52" eb="54">
      <t>バアイ</t>
    </rPh>
    <rPh sb="56" eb="57">
      <t>ネン</t>
    </rPh>
    <rPh sb="57" eb="60">
      <t>イッカツバライ</t>
    </rPh>
    <rPh sb="60" eb="63">
      <t>ホケンリョウ</t>
    </rPh>
    <rPh sb="65" eb="66">
      <t>ネン</t>
    </rPh>
    <rPh sb="67" eb="68">
      <t>ジョ</t>
    </rPh>
    <rPh sb="71" eb="73">
      <t>ネンブン</t>
    </rPh>
    <rPh sb="74" eb="77">
      <t>ホケンリョウ</t>
    </rPh>
    <rPh sb="78" eb="80">
      <t>キサイ</t>
    </rPh>
    <phoneticPr fontId="3"/>
  </si>
  <si>
    <t>※4　弊社とSFビルサポート株式会社との間にて、滞納保証契約が締結されております。</t>
    <rPh sb="3" eb="5">
      <t>ヘイシャ</t>
    </rPh>
    <rPh sb="14" eb="16">
      <t>カブシキ</t>
    </rPh>
    <rPh sb="16" eb="18">
      <t>カイシャ</t>
    </rPh>
    <rPh sb="20" eb="21">
      <t>アイダ</t>
    </rPh>
    <rPh sb="24" eb="26">
      <t>タイノウ</t>
    </rPh>
    <rPh sb="26" eb="28">
      <t>ホショウ</t>
    </rPh>
    <rPh sb="28" eb="30">
      <t>ケイヤク</t>
    </rPh>
    <rPh sb="31" eb="33">
      <t>テイケツ</t>
    </rPh>
    <phoneticPr fontId="3"/>
  </si>
  <si>
    <t>↑入居者入替後（賃貸面積増および賃料アップを勘案）</t>
    <rPh sb="8" eb="10">
      <t>チンタイ</t>
    </rPh>
    <rPh sb="10" eb="12">
      <t>メンセキ</t>
    </rPh>
    <rPh sb="12" eb="13">
      <t>ゾウ</t>
    </rPh>
    <phoneticPr fontId="3"/>
  </si>
  <si>
    <t>※1</t>
    <phoneticPr fontId="276"/>
  </si>
  <si>
    <r>
      <t>　5. 以上より、</t>
    </r>
    <r>
      <rPr>
        <sz val="11"/>
        <color rgb="FF0070C0"/>
        <rFont val="MS UI Gothic"/>
        <family val="3"/>
        <charset val="128"/>
      </rPr>
      <t>銀座グラスゲート</t>
    </r>
    <r>
      <rPr>
        <sz val="11"/>
        <rFont val="MS UI Gothic"/>
        <family val="3"/>
        <charset val="128"/>
      </rPr>
      <t>が将来に対して内包する付加価値は</t>
    </r>
    <r>
      <rPr>
        <b/>
        <sz val="11"/>
        <color rgb="FF0070C0"/>
        <rFont val="MS UI Gothic"/>
        <family val="3"/>
        <charset val="128"/>
      </rPr>
      <t>600～930万円程度</t>
    </r>
    <r>
      <rPr>
        <sz val="11"/>
        <rFont val="MS UI Gothic"/>
        <family val="3"/>
        <charset val="128"/>
      </rPr>
      <t>と考えられます。</t>
    </r>
    <rPh sb="4" eb="6">
      <t>イジョウ</t>
    </rPh>
    <rPh sb="9" eb="11">
      <t>ギンザ</t>
    </rPh>
    <rPh sb="18" eb="20">
      <t>ショウライ</t>
    </rPh>
    <rPh sb="21" eb="22">
      <t>タイ</t>
    </rPh>
    <rPh sb="24" eb="26">
      <t>ナイホウ</t>
    </rPh>
    <rPh sb="28" eb="30">
      <t>フカ</t>
    </rPh>
    <rPh sb="30" eb="32">
      <t>カチ</t>
    </rPh>
    <rPh sb="40" eb="42">
      <t>マンエン</t>
    </rPh>
    <rPh sb="42" eb="44">
      <t>テイド</t>
    </rPh>
    <rPh sb="45" eb="46">
      <t>カンガ</t>
    </rPh>
    <phoneticPr fontId="3"/>
  </si>
  <si>
    <r>
      <t>《</t>
    </r>
    <r>
      <rPr>
        <b/>
        <sz val="11"/>
        <color rgb="FF0070C0"/>
        <rFont val="MS UI Gothic"/>
        <family val="3"/>
        <charset val="128"/>
      </rPr>
      <t>銀座グラスゲート</t>
    </r>
    <r>
      <rPr>
        <b/>
        <sz val="11"/>
        <rFont val="MS UI Gothic"/>
        <family val="3"/>
        <charset val="128"/>
      </rPr>
      <t>が内包する付加価値について≫</t>
    </r>
    <rPh sb="1" eb="3">
      <t>ギンザ</t>
    </rPh>
    <phoneticPr fontId="3"/>
  </si>
  <si>
    <r>
      <t>1.</t>
    </r>
    <r>
      <rPr>
        <sz val="11"/>
        <color rgb="FF0070C0"/>
        <rFont val="MS UI Gothic"/>
        <family val="3"/>
        <charset val="128"/>
      </rPr>
      <t>銀座グラスゲート</t>
    </r>
    <r>
      <rPr>
        <sz val="11"/>
        <rFont val="MS UI Gothic"/>
        <family val="3"/>
        <charset val="128"/>
      </rPr>
      <t>の賃料水準について、弊社がリノベーション後に募集したフロアと従前のテナント様との間に、大幅な差額が発生しています。</t>
    </r>
    <rPh sb="2" eb="4">
      <t>ギンザ</t>
    </rPh>
    <rPh sb="30" eb="31">
      <t>ゴ</t>
    </rPh>
    <rPh sb="32" eb="34">
      <t>ボシュウ</t>
    </rPh>
    <rPh sb="40" eb="42">
      <t>ジュウゼン</t>
    </rPh>
    <rPh sb="47" eb="48">
      <t>サマ</t>
    </rPh>
    <rPh sb="50" eb="51">
      <t>アイダ</t>
    </rPh>
    <phoneticPr fontId="3"/>
  </si>
  <si>
    <t>※購入時物件名</t>
    <rPh sb="1" eb="4">
      <t>コウニュウジ</t>
    </rPh>
    <rPh sb="4" eb="6">
      <t>ブッケン</t>
    </rPh>
    <rPh sb="6" eb="7">
      <t>メイ</t>
    </rPh>
    <phoneticPr fontId="3"/>
  </si>
  <si>
    <t>※売却時物件名（物件名称が変更なくても記載すること）</t>
    <rPh sb="1" eb="3">
      <t>バイキャク</t>
    </rPh>
    <rPh sb="3" eb="4">
      <t>ジ</t>
    </rPh>
    <rPh sb="4" eb="6">
      <t>ブッケン</t>
    </rPh>
    <rPh sb="6" eb="7">
      <t>メイ</t>
    </rPh>
    <rPh sb="8" eb="10">
      <t>ブッケン</t>
    </rPh>
    <rPh sb="10" eb="12">
      <t>メイショウ</t>
    </rPh>
    <rPh sb="13" eb="15">
      <t>ヘンコウ</t>
    </rPh>
    <rPh sb="19" eb="21">
      <t>キサイ</t>
    </rPh>
    <phoneticPr fontId="3"/>
  </si>
  <si>
    <t>公簿</t>
    <rPh sb="0" eb="1">
      <t>コウ</t>
    </rPh>
    <rPh sb="1" eb="2">
      <t>ボ</t>
    </rPh>
    <phoneticPr fontId="4"/>
  </si>
  <si>
    <t>調査費用等予算　⇒　</t>
    <rPh sb="0" eb="2">
      <t>チョウサ</t>
    </rPh>
    <rPh sb="2" eb="4">
      <t>ヒヨウ</t>
    </rPh>
    <rPh sb="4" eb="5">
      <t>ナド</t>
    </rPh>
    <rPh sb="5" eb="7">
      <t>ヨサン</t>
    </rPh>
    <phoneticPr fontId="3"/>
  </si>
  <si>
    <t>工事費予算合計　⇒　</t>
    <rPh sb="0" eb="3">
      <t>コウジヒ</t>
    </rPh>
    <rPh sb="3" eb="5">
      <t>ヨサン</t>
    </rPh>
    <rPh sb="5" eb="6">
      <t>ゴウ</t>
    </rPh>
    <rPh sb="6" eb="7">
      <t>ケイ</t>
    </rPh>
    <phoneticPr fontId="3"/>
  </si>
  <si>
    <t>↓</t>
    <phoneticPr fontId="3"/>
  </si>
  <si>
    <t>商品化中RN計画、カメラ機能で撮影し事業計画書へ反映する。</t>
    <rPh sb="0" eb="3">
      <t>ショウヒンカ</t>
    </rPh>
    <rPh sb="3" eb="4">
      <t>チュウ</t>
    </rPh>
    <rPh sb="6" eb="8">
      <t>ケイカク</t>
    </rPh>
    <rPh sb="12" eb="14">
      <t>キノウ</t>
    </rPh>
    <rPh sb="15" eb="17">
      <t>サツエイ</t>
    </rPh>
    <rPh sb="18" eb="20">
      <t>ジギョウ</t>
    </rPh>
    <rPh sb="20" eb="23">
      <t>ケイカクショ</t>
    </rPh>
    <rPh sb="24" eb="26">
      <t>ハンエイ</t>
    </rPh>
    <phoneticPr fontId="3"/>
  </si>
  <si>
    <t>徒歩3分</t>
    <rPh sb="0" eb="2">
      <t>トホ</t>
    </rPh>
    <rPh sb="3" eb="4">
      <t>フン</t>
    </rPh>
    <phoneticPr fontId="4"/>
  </si>
  <si>
    <t>西側　幅員約6m 公道</t>
    <rPh sb="0" eb="2">
      <t>ニシガワ</t>
    </rPh>
    <rPh sb="3" eb="5">
      <t>フクイン</t>
    </rPh>
    <rPh sb="5" eb="6">
      <t>ヤク</t>
    </rPh>
    <rPh sb="9" eb="11">
      <t>コウドウ</t>
    </rPh>
    <phoneticPr fontId="4"/>
  </si>
  <si>
    <t>無</t>
  </si>
  <si>
    <t>公共下水</t>
    <rPh sb="0" eb="2">
      <t>コウキョウ</t>
    </rPh>
    <rPh sb="2" eb="4">
      <t>ゲスイ</t>
    </rPh>
    <phoneticPr fontId="4"/>
  </si>
  <si>
    <t>東京電力エナジーパートナー</t>
    <rPh sb="0" eb="2">
      <t>トウキョウ</t>
    </rPh>
    <rPh sb="2" eb="4">
      <t>デンリョク</t>
    </rPh>
    <phoneticPr fontId="4"/>
  </si>
  <si>
    <t>商業地域</t>
    <rPh sb="0" eb="2">
      <t>ショウギョウ</t>
    </rPh>
    <rPh sb="2" eb="4">
      <t>チイキ</t>
    </rPh>
    <phoneticPr fontId="4"/>
  </si>
  <si>
    <t>防火地域</t>
    <rPh sb="0" eb="2">
      <t>ボウカ</t>
    </rPh>
    <rPh sb="2" eb="4">
      <t>チイキ</t>
    </rPh>
    <phoneticPr fontId="4"/>
  </si>
  <si>
    <t>-</t>
    <phoneticPr fontId="4"/>
  </si>
  <si>
    <t>2F</t>
    <phoneticPr fontId="146"/>
  </si>
  <si>
    <t>3F</t>
    <phoneticPr fontId="146"/>
  </si>
  <si>
    <t>4F</t>
    <phoneticPr fontId="146"/>
  </si>
  <si>
    <t>5F</t>
    <phoneticPr fontId="146"/>
  </si>
  <si>
    <t>平置き</t>
    <rPh sb="0" eb="1">
      <t>ヒラ</t>
    </rPh>
    <rPh sb="1" eb="2">
      <t>オ</t>
    </rPh>
    <phoneticPr fontId="3"/>
  </si>
  <si>
    <t>-</t>
    <phoneticPr fontId="146"/>
  </si>
  <si>
    <t>No.1    発注</t>
    <rPh sb="8" eb="10">
      <t>ハッチュウ</t>
    </rPh>
    <phoneticPr fontId="3"/>
  </si>
  <si>
    <t>前面＋＋セットバック前面+工作物</t>
    <phoneticPr fontId="151"/>
  </si>
  <si>
    <t>外壁窓枠、表面補修、高圧洗浄、外壁補修、可視部塗装、屋上防水10年保証</t>
    <rPh sb="0" eb="2">
      <t>ガイヘキ</t>
    </rPh>
    <rPh sb="2" eb="4">
      <t>マドワク</t>
    </rPh>
    <rPh sb="5" eb="7">
      <t>ヒョウメン</t>
    </rPh>
    <rPh sb="7" eb="9">
      <t>ホシュウ</t>
    </rPh>
    <rPh sb="10" eb="12">
      <t>コウアツ</t>
    </rPh>
    <rPh sb="12" eb="14">
      <t>センジョウ</t>
    </rPh>
    <rPh sb="15" eb="17">
      <t>ガイヘキ</t>
    </rPh>
    <rPh sb="17" eb="19">
      <t>ホシュウ</t>
    </rPh>
    <rPh sb="20" eb="22">
      <t>カシ</t>
    </rPh>
    <rPh sb="22" eb="23">
      <t>ブ</t>
    </rPh>
    <rPh sb="23" eb="25">
      <t>トソウ</t>
    </rPh>
    <rPh sb="26" eb="28">
      <t>オクジョウ</t>
    </rPh>
    <rPh sb="28" eb="30">
      <t>ボウスイ</t>
    </rPh>
    <phoneticPr fontId="3"/>
  </si>
  <si>
    <t>⑪</t>
    <phoneticPr fontId="3"/>
  </si>
  <si>
    <t>⑫</t>
    <phoneticPr fontId="3"/>
  </si>
  <si>
    <t>UGS</t>
    <phoneticPr fontId="151"/>
  </si>
  <si>
    <t>LBS交換・電力計設置・水道メーター更新・電気点検指摘是正工事
揚上ポンプ・排水ポンプ・湧水ポンプ</t>
    <phoneticPr fontId="151"/>
  </si>
  <si>
    <t>電気・給排水設備・消防設備是正</t>
    <rPh sb="9" eb="11">
      <t>ショウボウ</t>
    </rPh>
    <rPh sb="11" eb="13">
      <t>セツビ</t>
    </rPh>
    <rPh sb="13" eb="15">
      <t>ゼセイ</t>
    </rPh>
    <phoneticPr fontId="3"/>
  </si>
  <si>
    <t xml:space="preserve">   ビルメンテナンス費用（清掃・設備）</t>
    <rPh sb="11" eb="13">
      <t>ヒヨウ</t>
    </rPh>
    <rPh sb="14" eb="16">
      <t>セイソウ</t>
    </rPh>
    <rPh sb="17" eb="19">
      <t>セツビ</t>
    </rPh>
    <phoneticPr fontId="3"/>
  </si>
  <si>
    <t>収支計算表(見込)／事業計画1</t>
    <rPh sb="0" eb="2">
      <t>シュウシ</t>
    </rPh>
    <rPh sb="2" eb="4">
      <t>ケイサン</t>
    </rPh>
    <rPh sb="4" eb="5">
      <t>ヒョウ</t>
    </rPh>
    <rPh sb="6" eb="8">
      <t>ミコ</t>
    </rPh>
    <rPh sb="10" eb="12">
      <t>ジギョウ</t>
    </rPh>
    <rPh sb="12" eb="14">
      <t>ケイカク</t>
    </rPh>
    <phoneticPr fontId="3"/>
  </si>
  <si>
    <t>〃</t>
    <phoneticPr fontId="3"/>
  </si>
  <si>
    <t>その他（建物適合判定費用）ＥＲＩ</t>
    <rPh sb="2" eb="3">
      <t>タ</t>
    </rPh>
    <rPh sb="4" eb="6">
      <t>タテモノ</t>
    </rPh>
    <rPh sb="6" eb="8">
      <t>テキゴウ</t>
    </rPh>
    <rPh sb="8" eb="10">
      <t>ハンテイ</t>
    </rPh>
    <rPh sb="10" eb="12">
      <t>ヒヨウ</t>
    </rPh>
    <phoneticPr fontId="133"/>
  </si>
  <si>
    <t>東京都台東区柳橋一丁目26番6号</t>
  </si>
  <si>
    <t>事　業　計　画　書</t>
  </si>
  <si>
    <t>サンブリッジビル</t>
  </si>
  <si>
    <t>＜事業計画　各シナリオ＞
　◆見込   LM：1.3階@14,000円・6階@7,000円・駐車場@40,000円
           PM：B1,1,2,4,5階：@2,000円UP
　◆下限　 LM：3階@13,000円 / PM:B1階：@1,000円UP・2階：@1,636円UP
　　　　　　　　　　　　　　　　　4階：@1,399円UP・5階：@1,756円UP
　◆ﾘｽｸ値  LM：3階@11,000円 / PM：賃料増額なし
　◆ﾁｬﾚﾝｼﾞ LM：1.3階@15,000円・6階@7,000円・駐車場@40,000円
           PM：B1,1,2,4,5階：@2,000円UP</t>
  </si>
  <si>
    <t>＜事業計画シナリオの基準＞
　見込　　LM：賃料はLM担当支店と協議の上、LMの意志を込めた「LM査定書」の目標金額
　　　　　PM：賃料増額交渉は、担当PM-AMLの意志を込めた見込増額幅を設定
　　　　　　　テナントHAPPYご移転は、担当PM-AMLの意志により最大3テナントまで読み込み可能
　　　　　FS：売却見込CAP（NOI)については、FS柳次長及び担当RP-AMLの意志を込めて設定（配分に影響有）
　下限　　LM：賃料はLM担当支店と協議の上、LMの意志を込めた「LM査定書」の下限金額
　　　　　PM：賃料増額交渉は、担当PM-AMLの意志を込めた下限増額幅を設定
　　　　　　　⇒10％や@1,000円に限られないが、テナントの業績・業種・社歴・性格・増減履歴・更新時期を勘案、
　　　　　　　　意志を込めて「責任を持ってやり切る」水準とし、無理な設定は避けるものとする
　　　　　　　テナントHAPPYご移転は、担当PM-AMLの意志により最大1テナントまで読み込み可能
　　　　　FS：売却下限CAP（NOI)については、FS柳次長及び担当RP-AMLの意志を込めて設定（配分に影響有）
　ﾘｽｸ値 　LM：原状回復オフィスの賃料で空室部分を設定
　　　　　PM：増額・ご移転は見込まない
　　　　　FS：下限CAPと同水準
　　　　　　　⇒この時、事業計画がどうなってしまうかを「リスク値」として認識する（工事費は下限計画のまま）
　ﾁｬﾚﾝｼﾞ　LM：KICK OFF MTG等にて設定した募集（チャレンジ）水準
　　　　　PM：増額・ご移転をポジティブに見込む
　　　　　FS：最高のお客様に出会えた場合のCAP水準（直接のお客様を想定し手数料なし）
　　　　　　　⇒本物件の内包する最大付加価値を認識する（工事費はチャレンジ計画）</t>
  </si>
  <si>
    <t>リプランニング事業部</t>
  </si>
  <si>
    <t>作成者　　　</t>
  </si>
  <si>
    <t>鵜沼　優理</t>
  </si>
  <si>
    <t>㊞</t>
  </si>
  <si>
    <t>項　　目</t>
  </si>
  <si>
    <t>金　　額</t>
  </si>
  <si>
    <t>備　　考</t>
  </si>
  <si>
    <t>土地及び建物　取得費用</t>
  </si>
  <si>
    <t>土地建物購入価格（税抜）</t>
  </si>
  <si>
    <t>土地建物購入価格（税込）</t>
  </si>
  <si>
    <t>-</t>
  </si>
  <si>
    <t>内建物消費税等（評価額按分）</t>
  </si>
  <si>
    <t>購入時仲介手数料等</t>
  </si>
  <si>
    <t>手数料 料率</t>
  </si>
  <si>
    <t>印紙代</t>
  </si>
  <si>
    <t>※融資を利用しない場合、手動修正</t>
  </si>
  <si>
    <t>司法書士費用</t>
  </si>
  <si>
    <t>実費（報酬額）</t>
  </si>
  <si>
    <t>登録免許税</t>
  </si>
  <si>
    <t>借入金額</t>
  </si>
  <si>
    <t>事業計画1（見込）</t>
  </si>
  <si>
    <t>売却価格（税抜）</t>
  </si>
  <si>
    <t>売却価格（税込）</t>
  </si>
  <si>
    <t>■評価倍率チェック</t>
  </si>
  <si>
    <t>不動産取得税</t>
  </si>
  <si>
    <t>LTP</t>
  </si>
  <si>
    <t>建物消費税等</t>
  </si>
  <si>
    <t>販売価格対固都税評価額</t>
  </si>
  <si>
    <t>融資アップフロントfee</t>
  </si>
  <si>
    <t>アップフロントfee 料率</t>
  </si>
  <si>
    <t>売却時仲介手数料等…E1</t>
  </si>
  <si>
    <t>販売価格対路線価評価額</t>
  </si>
  <si>
    <t>抵当権設定費用</t>
  </si>
  <si>
    <t>土地建物筆数</t>
  </si>
  <si>
    <t>満室時想定年間収入(GROSS)</t>
  </si>
  <si>
    <t>土地代÷路線価評価額</t>
  </si>
  <si>
    <t>その他（購入時信託報酬等）</t>
  </si>
  <si>
    <t>敷金・保証金（購入時）</t>
  </si>
  <si>
    <t>満室時想定年間収益 (NOI)</t>
  </si>
  <si>
    <t>購入時原状収入（事業期間分）　G</t>
  </si>
  <si>
    <t>■固定資産税評価額</t>
  </si>
  <si>
    <t xml:space="preserve"> 小　　　計（1）～（7）　・・・Ａ</t>
  </si>
  <si>
    <t>必要自己資金（計画1）</t>
  </si>
  <si>
    <t>満室時想定利回り(GROSS)</t>
  </si>
  <si>
    <t>（34）÷（32）※売却価格税込</t>
  </si>
  <si>
    <t>【土地坪単価】</t>
  </si>
  <si>
    <t>満室時想定利回り (NOI)</t>
  </si>
  <si>
    <t>（35）÷（32）※売却価格税込</t>
  </si>
  <si>
    <t>調査＆付加価値創造関連費用</t>
  </si>
  <si>
    <t>基本リノベーション工事費用</t>
  </si>
  <si>
    <t>工事単価（円/坪）</t>
  </si>
  <si>
    <t>事業利益</t>
  </si>
  <si>
    <t>売却価格税抜－A+B1+C1－（33）</t>
  </si>
  <si>
    <t>【販売価格／延床坪数】</t>
  </si>
  <si>
    <t>↓基本リノベーション内容</t>
  </si>
  <si>
    <t>延床面積(坪）</t>
  </si>
  <si>
    <t>対原価事業利益率（期中収益除く）</t>
  </si>
  <si>
    <t>(38)÷(A+B1+C1)</t>
  </si>
  <si>
    <t>事業計画2（下限）</t>
  </si>
  <si>
    <t>売却時仲介手数料等…E2</t>
  </si>
  <si>
    <t>（42）÷（40）※売却価格税込</t>
  </si>
  <si>
    <t>（43）÷（40）※売却価格税込</t>
  </si>
  <si>
    <t>売却価格税抜－A+B2+C2－（41）</t>
  </si>
  <si>
    <t>(46)÷(A+B2+C2)</t>
  </si>
  <si>
    <t>事業計画1の場合</t>
  </si>
  <si>
    <t>事業計画2の場合</t>
  </si>
  <si>
    <t>事業計画4の場合</t>
  </si>
  <si>
    <t>テナント賃料増額交渉用 工事費</t>
  </si>
  <si>
    <t>（リスク値／購入時）
事業計画3</t>
  </si>
  <si>
    <t>テナント賃料ご移転費用</t>
  </si>
  <si>
    <t>テナント移転時 工事費</t>
  </si>
  <si>
    <t>売却時仲介手数料等…E3</t>
  </si>
  <si>
    <t>テナント室内什器設置費用</t>
  </si>
  <si>
    <t>測量調査費用</t>
  </si>
  <si>
    <t>ER取得費用</t>
  </si>
  <si>
    <t>（50）÷（48）※売却価格税込</t>
  </si>
  <si>
    <t>耐震診断・設計調査費用</t>
  </si>
  <si>
    <t>（51）÷（48）※売却価格税込</t>
  </si>
  <si>
    <t>近隣対策費</t>
  </si>
  <si>
    <t>売却価格税抜－A+B3+C3－（49）</t>
  </si>
  <si>
    <t>その他（建物適合判定費用）ＥＲＩ</t>
  </si>
  <si>
    <t>…B2,3</t>
  </si>
  <si>
    <t>(54)÷(A+B3+C3)</t>
  </si>
  <si>
    <t>小　　　計（8）～（16）　・・・B1</t>
  </si>
  <si>
    <t>…B4</t>
  </si>
  <si>
    <t>（チャレンジ）
事業計画4</t>
  </si>
  <si>
    <t>関連費用
リーシング</t>
  </si>
  <si>
    <t>リーシング手数料</t>
  </si>
  <si>
    <t>手数料月数</t>
  </si>
  <si>
    <t>at home等広告費</t>
  </si>
  <si>
    <t>売却時仲介手数料等…E4</t>
  </si>
  <si>
    <t>パンフレット等印刷物制作費</t>
  </si>
  <si>
    <t>…C2</t>
  </si>
  <si>
    <t>テナント移転費負担（引越代）</t>
  </si>
  <si>
    <t>小　　　計（17）～（20）　・・・C1</t>
  </si>
  <si>
    <t>（58）÷（56）※売却価格税込</t>
  </si>
  <si>
    <t>　</t>
  </si>
  <si>
    <t>（59）÷（56）※売却価格税込</t>
  </si>
  <si>
    <t>期中運営費用</t>
  </si>
  <si>
    <t>借入金利額</t>
  </si>
  <si>
    <t>金利（対借入額）</t>
  </si>
  <si>
    <t>売却価格税抜－A+B4+C4－（57）</t>
  </si>
  <si>
    <t>期中信託報酬</t>
  </si>
  <si>
    <t>(62)÷(A+B4+C4)</t>
  </si>
  <si>
    <t xml:space="preserve">   ビルメンテナンス費用（清掃・設備）</t>
  </si>
  <si>
    <t>ビル運営管理費用（PM）</t>
  </si>
  <si>
    <t>自社PM</t>
  </si>
  <si>
    <t>スケジュール</t>
  </si>
  <si>
    <t>事業計画1</t>
  </si>
  <si>
    <t>事業計画2</t>
  </si>
  <si>
    <t>事業計画3</t>
  </si>
  <si>
    <t>事業計画4</t>
  </si>
  <si>
    <t>固定資産税・都市計画税等</t>
  </si>
  <si>
    <t>購入契約日</t>
  </si>
  <si>
    <t>火災保険料・賠責保険料</t>
  </si>
  <si>
    <t>購入決済日</t>
  </si>
  <si>
    <t>その他（道路占有料等）</t>
  </si>
  <si>
    <t>…D2</t>
  </si>
  <si>
    <t>売却契約日</t>
  </si>
  <si>
    <t>水道光熱費</t>
  </si>
  <si>
    <t>…D3</t>
  </si>
  <si>
    <t>売却決済【引渡】日</t>
  </si>
  <si>
    <t>小　　　計（21）～（26）　・・・D1</t>
  </si>
  <si>
    <t>予定日数</t>
  </si>
  <si>
    <t>収支サマリー
事業原価及び</t>
  </si>
  <si>
    <t>事業シナリオ</t>
  </si>
  <si>
    <t>事業原価※2</t>
  </si>
  <si>
    <t>対原価事業利益率</t>
  </si>
  <si>
    <t>事業原価※2（期中支出込）</t>
  </si>
  <si>
    <t>事業利益（期中収益込） G</t>
  </si>
  <si>
    <t>対原価利回り（gross)</t>
  </si>
  <si>
    <t>対原価利回り（NOI)</t>
  </si>
  <si>
    <t>事業計画1 事業原価　A+B1+C1+E1</t>
  </si>
  <si>
    <t>事業計画1 事業原価　A+B1+C1+D1+E1</t>
  </si>
  <si>
    <t>事業計画2 事業原価　A+B2+C2+E2</t>
  </si>
  <si>
    <t>事業計画2 事業原価　A+B2+C2+D2+E2</t>
  </si>
  <si>
    <t>事業計画3 事業原価　A+B3+C3+E3</t>
  </si>
  <si>
    <t>事業計画3 事業原価　A+B3+C3+D3+E3</t>
  </si>
  <si>
    <t>事業計画4 事業原価　A+B4+C4+E4</t>
  </si>
  <si>
    <t>事業計画4 事業原価　A+B4+C4+D4+E4</t>
  </si>
  <si>
    <t>※1 特に注記がない限り金額は全て税抜。　※2 事業原価には「売却時仲介手数料等」を含む。</t>
  </si>
  <si>
    <t>境界明示（官民・民民）</t>
    <rPh sb="0" eb="2">
      <t>キョウカイ</t>
    </rPh>
    <rPh sb="2" eb="4">
      <t>メイジ</t>
    </rPh>
    <rPh sb="5" eb="7">
      <t>カンミン</t>
    </rPh>
    <rPh sb="8" eb="9">
      <t>ミン</t>
    </rPh>
    <rPh sb="9" eb="10">
      <t>ミン</t>
    </rPh>
    <phoneticPr fontId="3"/>
  </si>
  <si>
    <t>①物件資料一式、②事業計画書、③取纏依頼書・買付証明書、④不動産売却申込書、⑤審査会所見表、⑥投資委員会議事録、</t>
    <rPh sb="29" eb="32">
      <t>フドウサン</t>
    </rPh>
    <rPh sb="32" eb="34">
      <t>バイキャク</t>
    </rPh>
    <rPh sb="34" eb="37">
      <t>モウシコミショ</t>
    </rPh>
    <phoneticPr fontId="3"/>
  </si>
  <si>
    <t>⑦反社チェック調査評価、⑧不動産売買契約証書（案）</t>
    <phoneticPr fontId="3"/>
  </si>
  <si>
    <t>迄</t>
    <rPh sb="0" eb="1">
      <t>マデ</t>
    </rPh>
    <phoneticPr fontId="192"/>
  </si>
  <si>
    <t>1,479,744</t>
    <phoneticPr fontId="192"/>
  </si>
  <si>
    <t>マミヤ・オーピー株式会社</t>
    <rPh sb="8" eb="10">
      <t>カブシキ</t>
    </rPh>
    <rPh sb="10" eb="12">
      <t>カイシャ</t>
    </rPh>
    <phoneticPr fontId="3"/>
  </si>
  <si>
    <t>東京都千代田区神田錦町3-18</t>
    <rPh sb="0" eb="3">
      <t>トウキョウト</t>
    </rPh>
    <rPh sb="3" eb="7">
      <t>チヨダク</t>
    </rPh>
    <rPh sb="7" eb="9">
      <t>カンダ</t>
    </rPh>
    <rPh sb="9" eb="10">
      <t>ニシキ</t>
    </rPh>
    <rPh sb="10" eb="11">
      <t>チョウ</t>
    </rPh>
    <phoneticPr fontId="3"/>
  </si>
  <si>
    <t>CBRE株式会社</t>
    <rPh sb="4" eb="6">
      <t>カブシキ</t>
    </rPh>
    <rPh sb="6" eb="8">
      <t>カイシャ</t>
    </rPh>
    <phoneticPr fontId="3"/>
  </si>
  <si>
    <t>MAMIYAビル</t>
    <phoneticPr fontId="3"/>
  </si>
  <si>
    <t>東京都千代田区神田錦町3-18</t>
    <rPh sb="0" eb="3">
      <t>トウキョウト</t>
    </rPh>
    <rPh sb="3" eb="7">
      <t>チヨダク</t>
    </rPh>
    <rPh sb="7" eb="9">
      <t>カンダ</t>
    </rPh>
    <rPh sb="9" eb="10">
      <t>ニシキ</t>
    </rPh>
    <rPh sb="10" eb="11">
      <t>マチ</t>
    </rPh>
    <phoneticPr fontId="3"/>
  </si>
  <si>
    <t>東京都千代田区神田錦町18番4、6、7</t>
    <rPh sb="0" eb="3">
      <t>トウキョウト</t>
    </rPh>
    <rPh sb="3" eb="7">
      <t>チヨダク</t>
    </rPh>
    <rPh sb="13" eb="14">
      <t>バン</t>
    </rPh>
    <phoneticPr fontId="3"/>
  </si>
  <si>
    <t>都営新宿線・都営三田線・東京メトロ半蔵門線</t>
    <rPh sb="0" eb="2">
      <t>トエイ</t>
    </rPh>
    <rPh sb="2" eb="5">
      <t>シンジュクセン</t>
    </rPh>
    <rPh sb="6" eb="8">
      <t>トエイ</t>
    </rPh>
    <rPh sb="8" eb="10">
      <t>ミタ</t>
    </rPh>
    <rPh sb="10" eb="11">
      <t>セン</t>
    </rPh>
    <rPh sb="12" eb="14">
      <t>トウキョウ</t>
    </rPh>
    <rPh sb="17" eb="21">
      <t>ハンゾウモンセン</t>
    </rPh>
    <phoneticPr fontId="3"/>
  </si>
  <si>
    <t>『神保町 』駅</t>
    <rPh sb="1" eb="4">
      <t>ジンボウチョウ</t>
    </rPh>
    <phoneticPr fontId="4"/>
  </si>
  <si>
    <t>都営新宿線</t>
    <rPh sb="0" eb="2">
      <t>トエイ</t>
    </rPh>
    <rPh sb="2" eb="5">
      <t>シンジュクセン</t>
    </rPh>
    <phoneticPr fontId="3"/>
  </si>
  <si>
    <t>『小川町』駅</t>
    <rPh sb="1" eb="4">
      <t>オガワチョウ</t>
    </rPh>
    <rPh sb="5" eb="6">
      <t>エキ</t>
    </rPh>
    <phoneticPr fontId="4"/>
  </si>
  <si>
    <t>（A9出口）</t>
    <rPh sb="3" eb="5">
      <t>デグチ</t>
    </rPh>
    <phoneticPr fontId="3"/>
  </si>
  <si>
    <t>（B7出口）</t>
    <rPh sb="3" eb="5">
      <t>デグチ</t>
    </rPh>
    <phoneticPr fontId="3"/>
  </si>
  <si>
    <t>徒歩5分</t>
    <rPh sb="0" eb="2">
      <t>トホ</t>
    </rPh>
    <rPh sb="3" eb="4">
      <t>フン</t>
    </rPh>
    <phoneticPr fontId="4"/>
  </si>
  <si>
    <t>東京メトロ千代田線</t>
    <rPh sb="0" eb="2">
      <t>トウキョウ</t>
    </rPh>
    <rPh sb="5" eb="9">
      <t>チヨダセン</t>
    </rPh>
    <phoneticPr fontId="3"/>
  </si>
  <si>
    <t>『新御茶ノ水』駅</t>
    <rPh sb="1" eb="4">
      <t>シンオチャ</t>
    </rPh>
    <rPh sb="5" eb="6">
      <t>ミズ</t>
    </rPh>
    <rPh sb="7" eb="8">
      <t>エキ</t>
    </rPh>
    <phoneticPr fontId="4"/>
  </si>
  <si>
    <t>（B3ｂ出口）</t>
    <rPh sb="4" eb="6">
      <t>デグチ</t>
    </rPh>
    <phoneticPr fontId="3"/>
  </si>
  <si>
    <t>徒歩5分</t>
    <rPh sb="0" eb="2">
      <t>トホ</t>
    </rPh>
    <rPh sb="3" eb="4">
      <t>フン</t>
    </rPh>
    <phoneticPr fontId="3"/>
  </si>
  <si>
    <t>東京メトロ丸ノ内線</t>
    <rPh sb="0" eb="2">
      <t>トウキョウ</t>
    </rPh>
    <rPh sb="5" eb="6">
      <t>マル</t>
    </rPh>
    <rPh sb="7" eb="8">
      <t>ウチ</t>
    </rPh>
    <rPh sb="8" eb="9">
      <t>セン</t>
    </rPh>
    <phoneticPr fontId="3"/>
  </si>
  <si>
    <t>『淡路町』駅</t>
    <rPh sb="1" eb="4">
      <t>アワジチョウ</t>
    </rPh>
    <rPh sb="5" eb="6">
      <t>エキ</t>
    </rPh>
    <phoneticPr fontId="4"/>
  </si>
  <si>
    <t>徒歩7分</t>
    <rPh sb="0" eb="2">
      <t>トホ</t>
    </rPh>
    <rPh sb="3" eb="4">
      <t>フン</t>
    </rPh>
    <phoneticPr fontId="3"/>
  </si>
  <si>
    <t>18番4</t>
    <rPh sb="2" eb="3">
      <t>バン</t>
    </rPh>
    <phoneticPr fontId="4"/>
  </si>
  <si>
    <t>鉄骨鉄筋コンクリート造陸屋根7階建</t>
    <rPh sb="0" eb="2">
      <t>テッコツ</t>
    </rPh>
    <rPh sb="2" eb="4">
      <t>テッキン</t>
    </rPh>
    <rPh sb="10" eb="11">
      <t>ゾウ</t>
    </rPh>
    <rPh sb="11" eb="12">
      <t>リク</t>
    </rPh>
    <rPh sb="12" eb="14">
      <t>ヤネ</t>
    </rPh>
    <rPh sb="15" eb="16">
      <t>カイ</t>
    </rPh>
    <rPh sb="16" eb="17">
      <t>タ</t>
    </rPh>
    <phoneticPr fontId="4"/>
  </si>
  <si>
    <t>事務所・車庫</t>
    <rPh sb="0" eb="2">
      <t>ジム</t>
    </rPh>
    <rPh sb="2" eb="3">
      <t>ショ</t>
    </rPh>
    <rPh sb="4" eb="6">
      <t>シャコ</t>
    </rPh>
    <phoneticPr fontId="4"/>
  </si>
  <si>
    <t>駐車場整備地区・神田錦町北部周辺地区地区計画</t>
    <rPh sb="0" eb="2">
      <t>チュウシャ</t>
    </rPh>
    <rPh sb="2" eb="3">
      <t>ジョウ</t>
    </rPh>
    <rPh sb="3" eb="5">
      <t>セイビ</t>
    </rPh>
    <rPh sb="5" eb="7">
      <t>チク</t>
    </rPh>
    <rPh sb="8" eb="10">
      <t>カンダ</t>
    </rPh>
    <rPh sb="10" eb="11">
      <t>ニシキ</t>
    </rPh>
    <rPh sb="11" eb="12">
      <t>チョウ</t>
    </rPh>
    <rPh sb="12" eb="14">
      <t>ホクブ</t>
    </rPh>
    <rPh sb="14" eb="16">
      <t>シュウヘン</t>
    </rPh>
    <rPh sb="16" eb="18">
      <t>チク</t>
    </rPh>
    <rPh sb="18" eb="20">
      <t>チク</t>
    </rPh>
    <rPh sb="20" eb="22">
      <t>ケイカク</t>
    </rPh>
    <phoneticPr fontId="4"/>
  </si>
  <si>
    <t>◆租税関係（H30）</t>
    <phoneticPr fontId="3"/>
  </si>
  <si>
    <t>概算</t>
    <rPh sb="0" eb="2">
      <t>ガイサン</t>
    </rPh>
    <phoneticPr fontId="3"/>
  </si>
  <si>
    <t>路線価（H30）</t>
    <phoneticPr fontId="3"/>
  </si>
  <si>
    <t>①-1に含む</t>
    <rPh sb="4" eb="5">
      <t>フク</t>
    </rPh>
    <phoneticPr fontId="151"/>
  </si>
  <si>
    <t>内装工事（7フロア）</t>
    <rPh sb="0" eb="2">
      <t>ナイソウ</t>
    </rPh>
    <rPh sb="2" eb="4">
      <t>コウジ</t>
    </rPh>
    <phoneticPr fontId="3"/>
  </si>
  <si>
    <t>モデルルーム用家具</t>
    <rPh sb="6" eb="7">
      <t>ヨウ</t>
    </rPh>
    <rPh sb="7" eb="9">
      <t>カグ</t>
    </rPh>
    <phoneticPr fontId="151"/>
  </si>
  <si>
    <t>衛生器具更新</t>
    <rPh sb="0" eb="2">
      <t>エイセイ</t>
    </rPh>
    <rPh sb="2" eb="4">
      <t>キグ</t>
    </rPh>
    <rPh sb="4" eb="6">
      <t>コウシン</t>
    </rPh>
    <phoneticPr fontId="3"/>
  </si>
  <si>
    <t>（7フロア×約60万円）</t>
    <phoneticPr fontId="151"/>
  </si>
  <si>
    <t>矢部　浩亮</t>
    <rPh sb="0" eb="2">
      <t>ヤベ</t>
    </rPh>
    <rPh sb="3" eb="4">
      <t>ヒロ</t>
    </rPh>
    <rPh sb="4" eb="5">
      <t>リョウ</t>
    </rPh>
    <phoneticPr fontId="3"/>
  </si>
  <si>
    <t>（080-9151-0877）</t>
    <phoneticPr fontId="3"/>
  </si>
  <si>
    <t>収支計算表(下限)／事業計画2</t>
    <rPh sb="0" eb="2">
      <t>シュウシ</t>
    </rPh>
    <rPh sb="2" eb="4">
      <t>ケイサン</t>
    </rPh>
    <rPh sb="4" eb="5">
      <t>ヒョウ</t>
    </rPh>
    <rPh sb="6" eb="8">
      <t>カゲン</t>
    </rPh>
    <rPh sb="10" eb="12">
      <t>ジギョウ</t>
    </rPh>
    <rPh sb="12" eb="14">
      <t>ケイカク</t>
    </rPh>
    <phoneticPr fontId="3"/>
  </si>
  <si>
    <t>収支計算表(リスク値・購入時)／事業計画3</t>
    <rPh sb="0" eb="2">
      <t>シュウシ</t>
    </rPh>
    <rPh sb="2" eb="4">
      <t>ケイサン</t>
    </rPh>
    <rPh sb="4" eb="5">
      <t>ヒョウ</t>
    </rPh>
    <rPh sb="9" eb="10">
      <t>アタイ</t>
    </rPh>
    <rPh sb="11" eb="13">
      <t>コウニュウ</t>
    </rPh>
    <rPh sb="13" eb="14">
      <t>ジ</t>
    </rPh>
    <rPh sb="16" eb="18">
      <t>ジギョウ</t>
    </rPh>
    <rPh sb="18" eb="20">
      <t>ケイカク</t>
    </rPh>
    <phoneticPr fontId="3"/>
  </si>
  <si>
    <t>収支計算表（チャレンジ)／事業計画4</t>
    <rPh sb="0" eb="2">
      <t>シュウシ</t>
    </rPh>
    <rPh sb="2" eb="4">
      <t>ケイサン</t>
    </rPh>
    <rPh sb="4" eb="5">
      <t>ヒョウ</t>
    </rPh>
    <rPh sb="13" eb="15">
      <t>ジギョウ</t>
    </rPh>
    <rPh sb="15" eb="17">
      <t>ケイカク</t>
    </rPh>
    <phoneticPr fontId="3"/>
  </si>
  <si>
    <t>基盤巻き上げ更新済み（2015年）</t>
    <rPh sb="0" eb="2">
      <t>キバン</t>
    </rPh>
    <rPh sb="2" eb="3">
      <t>マ</t>
    </rPh>
    <rPh sb="4" eb="5">
      <t>ア</t>
    </rPh>
    <rPh sb="6" eb="8">
      <t>コウシン</t>
    </rPh>
    <rPh sb="8" eb="9">
      <t>ズ</t>
    </rPh>
    <rPh sb="15" eb="16">
      <t>ネン</t>
    </rPh>
    <phoneticPr fontId="3"/>
  </si>
  <si>
    <t>2015年全館更新済み</t>
    <rPh sb="4" eb="5">
      <t>ネン</t>
    </rPh>
    <rPh sb="5" eb="7">
      <t>ゼンカン</t>
    </rPh>
    <rPh sb="7" eb="9">
      <t>コウシン</t>
    </rPh>
    <rPh sb="9" eb="10">
      <t>ズ</t>
    </rPh>
    <phoneticPr fontId="151"/>
  </si>
  <si>
    <t>自己使用中</t>
    <rPh sb="0" eb="2">
      <t>ジコ</t>
    </rPh>
    <rPh sb="2" eb="5">
      <t>シヨウチュウ</t>
    </rPh>
    <phoneticPr fontId="3"/>
  </si>
  <si>
    <t>自己使用中</t>
    <phoneticPr fontId="3"/>
  </si>
  <si>
    <t>自己使用中</t>
    <phoneticPr fontId="146"/>
  </si>
  <si>
    <t>-</t>
    <phoneticPr fontId="146"/>
  </si>
  <si>
    <t>（1-7F：@45万円）
8F造作工事：5000万円（増築2000万円、補強1000万円、階段部解体400万円、
螺旋階段600万円、内装600万円、構造計算・検証400万円）</t>
    <rPh sb="9" eb="11">
      <t>マンエン</t>
    </rPh>
    <rPh sb="15" eb="17">
      <t>ゾウサク</t>
    </rPh>
    <rPh sb="17" eb="19">
      <t>コウジ</t>
    </rPh>
    <rPh sb="24" eb="26">
      <t>マンエン</t>
    </rPh>
    <rPh sb="27" eb="29">
      <t>ゾウチク</t>
    </rPh>
    <rPh sb="33" eb="35">
      <t>マンエン</t>
    </rPh>
    <rPh sb="36" eb="38">
      <t>ホキョウ</t>
    </rPh>
    <rPh sb="42" eb="44">
      <t>マンエン</t>
    </rPh>
    <rPh sb="45" eb="47">
      <t>カイダン</t>
    </rPh>
    <rPh sb="47" eb="48">
      <t>ブ</t>
    </rPh>
    <rPh sb="48" eb="50">
      <t>カイタイ</t>
    </rPh>
    <rPh sb="53" eb="55">
      <t>マンエン</t>
    </rPh>
    <rPh sb="57" eb="59">
      <t>ラセン</t>
    </rPh>
    <rPh sb="59" eb="61">
      <t>カイダン</t>
    </rPh>
    <rPh sb="64" eb="66">
      <t>マンエン</t>
    </rPh>
    <rPh sb="67" eb="69">
      <t>ナイソウ</t>
    </rPh>
    <rPh sb="72" eb="74">
      <t>マンエン</t>
    </rPh>
    <rPh sb="75" eb="77">
      <t>コウゾウ</t>
    </rPh>
    <rPh sb="77" eb="79">
      <t>ケイサン</t>
    </rPh>
    <rPh sb="80" eb="82">
      <t>ケンショウ</t>
    </rPh>
    <rPh sb="85" eb="87">
      <t>マンエン</t>
    </rPh>
    <phoneticPr fontId="3"/>
  </si>
  <si>
    <t>-</t>
    <phoneticPr fontId="146"/>
  </si>
  <si>
    <t>-</t>
    <phoneticPr fontId="146"/>
  </si>
  <si>
    <t>-</t>
    <phoneticPr fontId="146"/>
  </si>
  <si>
    <t>-</t>
    <phoneticPr fontId="3"/>
  </si>
  <si>
    <t>-</t>
    <phoneticPr fontId="3"/>
  </si>
  <si>
    <t>7F+8F</t>
    <phoneticPr fontId="3"/>
  </si>
  <si>
    <t>屋上テラス工事（ウッドデッキ工事、ウッドウェンス工事、ハイカウンター・チェア作成費、照明、屋上緑化（プランター、同施工事））</t>
    <phoneticPr fontId="151"/>
  </si>
  <si>
    <t>7F+8F</t>
    <phoneticPr fontId="3"/>
  </si>
  <si>
    <t>ｚ</t>
    <phoneticPr fontId="146"/>
  </si>
  <si>
    <t>＜事業計画　各シナリオ＞
　◆見込   LM：@24,000円
　◆下限　 LM：@23,000円
　◆ﾘｽｸ値  LM：@18,000円
　◆ﾁｬﾚﾝｼﾞ LM：@25,000円
7階＋8階
　◆見込   LM：@26,000円
　◆下限　 LM：@25,000円
　◆ﾘｽｸ値  LM：@18,000円
　◆ﾁｬﾚﾝｼﾞ LM：@27,000円</t>
    <rPh sb="1" eb="3">
      <t>ジギョウ</t>
    </rPh>
    <rPh sb="3" eb="5">
      <t>ケイカク</t>
    </rPh>
    <rPh sb="6" eb="7">
      <t>カク</t>
    </rPh>
    <rPh sb="16" eb="18">
      <t>ミコ</t>
    </rPh>
    <rPh sb="31" eb="32">
      <t>エン</t>
    </rPh>
    <rPh sb="35" eb="37">
      <t>カゲン</t>
    </rPh>
    <rPh sb="49" eb="50">
      <t>エン</t>
    </rPh>
    <rPh sb="56" eb="57">
      <t>チ</t>
    </rPh>
    <rPh sb="69" eb="70">
      <t>エン</t>
    </rPh>
    <rPh sb="90" eb="91">
      <t>エン</t>
    </rPh>
    <rPh sb="94" eb="95">
      <t>カイ</t>
    </rPh>
    <rPh sb="97" eb="98">
      <t>カイ</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</si>
</sst>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0">
    <numFmt numFmtId="5" formatCode="&quot;¥&quot;#,##0;&quot;¥&quot;\-#,##0"/>
    <numFmt numFmtId="6" formatCode="&quot;¥&quot;#,##0;[Red]&quot;¥&quot;\-#,##0"/>
    <numFmt numFmtId="42" formatCode="_ &quot;¥&quot;* #,##0_ ;_ &quot;¥&quot;* \-#,##0_ ;_ &quot;¥&quot;* &quot;-&quot;_ ;_ @_ "/>
    <numFmt numFmtId="176" formatCode="\(\ \ &quot;築&quot;&quot;後&quot;##&quot;年&quot;\ \ \)"/>
    <numFmt numFmtId="177" formatCode="[$-411]ggge&quot;年&quot;m&quot;月&quot;d&quot;日新築&quot;;@"/>
    <numFmt numFmtId="178" formatCode="#,##0&quot;円也（税込）&quot;_ "/>
    <numFmt numFmtId="179" formatCode="[$-411]ggge&quot;年&quot;m&quot;月&quot;d&quot;日&quot;;@"/>
    <numFmt numFmtId="180" formatCode="yyyy&quot;年&quot;m&quot;月&quot;d&quot;日&quot;;@"/>
    <numFmt numFmtId="181" formatCode="&quot;＝&quot;\ #,##0&quot;円&quot;"/>
    <numFmt numFmtId="182" formatCode="#,##0\ &quot;円&quot;\)"/>
    <numFmt numFmtId="183" formatCode="#,##0\ &quot;円&quot;"/>
    <numFmt numFmtId="184" formatCode="0.000%"/>
    <numFmt numFmtId="185" formatCode="0.00_ "/>
    <numFmt numFmtId="186" formatCode="#,##0_ "/>
    <numFmt numFmtId="187" formatCode="0.00&quot;㎡&quot;"/>
    <numFmt numFmtId="188" formatCode="\(0.00&quot;坪&quot;\)"/>
    <numFmt numFmtId="189" formatCode="#,##0&quot;円&quot;"/>
    <numFmt numFmtId="190" formatCode="#,##0.00&quot;㎡&quot;_ "/>
    <numFmt numFmtId="191" formatCode="#,##0.00&quot;坪&quot;_ "/>
    <numFmt numFmtId="192" formatCode="#,##0_);[Red]\(#,##0\)"/>
    <numFmt numFmtId="193" formatCode="yyyy\.mm\.dd"/>
    <numFmt numFmtId="194" formatCode="#,##0&quot;年&quot;"/>
    <numFmt numFmtId="195" formatCode="&quot;土地：&quot;#,##0\ &quot;円&quot;"/>
    <numFmt numFmtId="196" formatCode="&quot;家屋：&quot;#,##0\ &quot;円&quot;"/>
    <numFmt numFmtId="197" formatCode="#,##0.0&quot;ヶ月&quot;_ "/>
    <numFmt numFmtId="198" formatCode="#,##0&quot;台&quot;_ "/>
    <numFmt numFmtId="199" formatCode="yyyy/m/d;@"/>
    <numFmt numFmtId="200" formatCode="#,##0&quot;円/㎡&quot;"/>
    <numFmt numFmtId="201" formatCode="0&quot;ヶ&quot;&quot;月&quot;"/>
    <numFmt numFmtId="202" formatCode="&quot;（&quot;* #,##0.00&quot;坪）&quot;"/>
    <numFmt numFmtId="203" formatCode="&quot;月額：&quot;#,##0\ &quot;円&quot;"/>
    <numFmt numFmtId="204" formatCode="&quot;料率 &quot;\ 0.00%"/>
    <numFmt numFmtId="205" formatCode="&quot;（&quot;0&quot;）&quot;"/>
    <numFmt numFmtId="206" formatCode="0.00&quot;倍&quot;"/>
    <numFmt numFmtId="207" formatCode="\ \ \ \ &quot;適用金利 &quot;###.##&quot;％&quot;"/>
    <numFmt numFmtId="208" formatCode="#,##0&quot;万円/坪&quot;"/>
    <numFmt numFmtId="209" formatCode="\ \ \ \ &quot;坪単価 &quot;###,##0&quot;円（税抜）&quot;"/>
    <numFmt numFmtId="210" formatCode="#,##0.00&quot;倍&quot;"/>
    <numFmt numFmtId="211" formatCode="&quot;対売買金額比　&quot;0.00%"/>
    <numFmt numFmtId="212" formatCode="&quot;賃料下限の場合のＬＭフィー⇒&quot;#,##0&quot;円&quot;"/>
    <numFmt numFmtId="213" formatCode="#,##0;[Red]#,##0"/>
    <numFmt numFmtId="214" formatCode="0&quot;日&quot;"/>
    <numFmt numFmtId="215" formatCode="&quot;事業計画2の場合⇒&quot;#,##0"/>
    <numFmt numFmtId="216" formatCode="&quot;事業計画3の場合⇒&quot;#,##0"/>
    <numFmt numFmtId="217" formatCode="&quot;リーシング期間（購入契約&quot;&quot;か&quot;&quot;ら&quot;&quot;売却契約&quot;&quot;&quot;&quot;ま&quot;&quot;で）&quot;\ #&quot;日&quot;"/>
    <numFmt numFmtId="218" formatCode="&quot;土地　&quot;#,##0&quot;円&quot;"/>
    <numFmt numFmtId="219" formatCode="&quot;建物　&quot;#,##0&quot;円&quot;"/>
    <numFmt numFmtId="220" formatCode="&quot;合計　&quot;#,##0&quot;円&quot;"/>
    <numFmt numFmtId="221" formatCode="&quot;金&quot;#,##0&quot;円&quot;_ "/>
    <numFmt numFmtId="222" formatCode="0_);\(0\)"/>
    <numFmt numFmtId="223" formatCode="#,##0_ ;[Red]\-#,##0\ "/>
    <numFmt numFmtId="224" formatCode="&quot;（SRC=&quot;#,###&quot;）／㎡&quot;"/>
    <numFmt numFmtId="225" formatCode="#,##0&quot;円&quot;_ "/>
    <numFmt numFmtId="226" formatCode="&quot;建物：&quot;#,##0\ &quot;円&quot;"/>
    <numFmt numFmtId="227" formatCode="&quot;事業計画2の場合 ⇒ &quot;#,##0&quot;円&quot;"/>
    <numFmt numFmtId="228" formatCode="&quot;事業計画3の場合 ⇒ &quot;#,##0&quot;円&quot;"/>
    <numFmt numFmtId="229" formatCode="&quot;事業計画4の場合 ⇒ &quot;#,##0&quot;円&quot;"/>
    <numFmt numFmtId="230" formatCode="&quot;事業計画2＆3の場合 ⇒ &quot;#,##0&quot;円&quot;"/>
    <numFmt numFmtId="231" formatCode="&quot;事業計画4の場合 ⇒&quot;#,##0"/>
    <numFmt numFmtId="232" formatCode="0&quot;筆&quot;"/>
    <numFmt numFmtId="233" formatCode="0_);[Red]\(0\)"/>
    <numFmt numFmtId="234" formatCode="&quot;路線価評価額　&quot;#,##0&quot;円&quot;"/>
    <numFmt numFmtId="235" formatCode="\(#,##0.00"/>
    <numFmt numFmtId="236" formatCode="&quot;金&quot;#,##0&quot;円也&quot;_ "/>
    <numFmt numFmtId="237" formatCode="&quot;路線価評価額　&quot;#,##0&quot;&quot;&quot;に&quot;&quot;て&quot;&quot;借&quot;&quot;入&quot;&quot;れ&quot;&quot;を&quot;&quot;お&quot;&quot;こ&quot;&quot;な&quot;&quot;い&quot;&quot;ま&quot;&quot;す&quot;."/>
    <numFmt numFmtId="238" formatCode="0&quot;日  （&quot;"/>
    <numFmt numFmtId="239" formatCode="&quot;金&quot;\ #,##0&quot;円也（消費税等込）&quot;_ "/>
    <numFmt numFmtId="240" formatCode="#,##0.00&quot;㎡&quot;"/>
    <numFmt numFmtId="241" formatCode="&quot;金&quot;#,##0&quot;円&quot;"/>
    <numFmt numFmtId="242" formatCode="&quot;金&quot;#,##0_ &quot;円&quot;"/>
    <numFmt numFmtId="243" formatCode="&quot;金&quot;#,##0_ &quot;円&quot;&quot;&quot;"/>
    <numFmt numFmtId="244" formatCode="#&quot;年&quot;"/>
    <numFmt numFmtId="245" formatCode="&quot;税&quot;&quot;前&quot;&quot;利&quot;&quot;益&quot;&quot;×&quot;0%"/>
    <numFmt numFmtId="246" formatCode="#,##0.0&quot;年&quot;_ "/>
    <numFmt numFmtId="247" formatCode="0&quot;回&quot;"/>
    <numFmt numFmtId="248" formatCode="0.0%"/>
    <numFmt numFmtId="249" formatCode="&quot;築&quot;#.#&quot;年&quot;"/>
    <numFmt numFmtId="250" formatCode="#,##0&quot;百万円&quot;"/>
    <numFmt numFmtId="251" formatCode="#,##0&quot;千円&quot;"/>
    <numFmt numFmtId="252" formatCode="&quot;第&quot;0&quot;号&quot;&quot;議&quot;&quot;案&quot;"/>
    <numFmt numFmtId="253" formatCode="&quot;第&quot;0&quot;号&quot;&quot;報&quot;&quot;告&quot;"/>
    <numFmt numFmtId="254" formatCode="0&quot;.&quot;"/>
    <numFmt numFmtId="255" formatCode="0.00&quot;％&quot;_ "/>
    <numFmt numFmtId="256" formatCode="0_ "/>
    <numFmt numFmtId="257" formatCode="#,##0&quot;ヶ月&quot;_ "/>
    <numFmt numFmtId="258" formatCode="#,##0.0;[Red]\-#,##0.0"/>
    <numFmt numFmtId="259" formatCode="&quot;経費率&quot;0.00%"/>
    <numFmt numFmtId="260" formatCode="&quot;（㎡＝&quot;#,##0&quot;円）&quot;"/>
    <numFmt numFmtId="261" formatCode="#,##0&quot;室&quot;"/>
    <numFmt numFmtId="262" formatCode="#,##0.00_ "/>
  </numFmts>
  <fonts count="299">
    <font>
      <sz val="11"/>
      <color theme="1"/>
      <name val="ＭＳ Ｐゴシック"/>
      <family val="3"/>
      <charset val="128"/>
      <scheme val="minor"/>
    </font>
    <font>
      <sz val="11"/>
      <color indexed="8"/>
      <name val="ＭＳ Ｐゴシック"/>
      <family val="3"/>
      <charset val="128"/>
    </font>
    <font>
      <sz val="11"/>
      <color indexed="8"/>
      <name val="ＭＳ Ｐゴシック"/>
      <family val="3"/>
      <charset val="128"/>
    </font>
    <font>
      <sz val="6"/>
      <name val="ＭＳ Ｐゴシック"/>
      <family val="3"/>
      <charset val="128"/>
    </font>
    <font>
      <sz val="6"/>
      <name val="ＭＳ Ｐゴシック"/>
      <family val="3"/>
      <charset val="128"/>
    </font>
    <font>
      <sz val="11"/>
      <color indexed="12"/>
      <name val="ＭＳ Ｐゴシック"/>
      <family val="3"/>
      <charset val="128"/>
    </font>
    <font>
      <sz val="10"/>
      <color indexed="12"/>
      <name val="ＭＳ Ｐ明朝"/>
      <family val="1"/>
      <charset val="128"/>
    </font>
    <font>
      <sz val="11"/>
      <name val="ＭＳ Ｐゴシック"/>
      <family val="3"/>
      <charset val="128"/>
    </font>
    <font>
      <sz val="10"/>
      <color indexed="12"/>
      <name val="MS UI Gothic"/>
      <family val="3"/>
      <charset val="128"/>
    </font>
    <font>
      <sz val="10"/>
      <name val="MS UI Gothic"/>
      <family val="3"/>
      <charset val="128"/>
    </font>
    <font>
      <b/>
      <sz val="11"/>
      <name val="ＭＳ Ｐゴシック"/>
      <family val="3"/>
      <charset val="128"/>
    </font>
    <font>
      <sz val="11"/>
      <color indexed="12"/>
      <name val="ＭＳ Ｐゴシック"/>
      <family val="3"/>
      <charset val="128"/>
    </font>
    <font>
      <sz val="11"/>
      <name val="Times New Roman"/>
      <family val="1"/>
    </font>
    <font>
      <b/>
      <sz val="18"/>
      <name val="ＭＳ 明朝"/>
      <family val="1"/>
      <charset val="128"/>
    </font>
    <font>
      <sz val="11"/>
      <name val="ＭＳ 明朝"/>
      <family val="1"/>
      <charset val="128"/>
    </font>
    <font>
      <sz val="6"/>
      <name val="ＭＳ 明朝"/>
      <family val="1"/>
      <charset val="128"/>
    </font>
    <font>
      <b/>
      <sz val="12"/>
      <name val="Times New Roman"/>
      <family val="1"/>
    </font>
    <font>
      <b/>
      <sz val="11"/>
      <name val="ＭＳ 明朝"/>
      <family val="1"/>
      <charset val="128"/>
    </font>
    <font>
      <b/>
      <sz val="11"/>
      <name val="Times New Roman"/>
      <family val="1"/>
    </font>
    <font>
      <sz val="6"/>
      <name val="Times New Roman"/>
      <family val="1"/>
    </font>
    <font>
      <sz val="8"/>
      <name val="ＭＳ 明朝"/>
      <family val="1"/>
      <charset val="128"/>
    </font>
    <font>
      <b/>
      <sz val="14"/>
      <name val="Times New Roman"/>
      <family val="1"/>
    </font>
    <font>
      <b/>
      <sz val="10"/>
      <name val="Times New Roman"/>
      <family val="1"/>
    </font>
    <font>
      <sz val="11"/>
      <name val="ＭＳ Ｐ明朝"/>
      <family val="1"/>
      <charset val="128"/>
    </font>
    <font>
      <sz val="12"/>
      <name val="ＭＳ 明朝"/>
      <family val="1"/>
      <charset val="128"/>
    </font>
    <font>
      <sz val="12"/>
      <name val="Times New Roman"/>
      <family val="1"/>
    </font>
    <font>
      <sz val="10.5"/>
      <name val="ＭＳ 明朝"/>
      <family val="1"/>
      <charset val="128"/>
    </font>
    <font>
      <sz val="10.5"/>
      <name val="Times New Roman"/>
      <family val="1"/>
    </font>
    <font>
      <sz val="10"/>
      <name val="ＭＳ Ｐ明朝"/>
      <family val="1"/>
      <charset val="128"/>
    </font>
    <font>
      <sz val="9"/>
      <name val="ＭＳ Ｐゴシック"/>
      <family val="3"/>
      <charset val="128"/>
    </font>
    <font>
      <sz val="9"/>
      <color indexed="81"/>
      <name val="ＭＳ Ｐゴシック"/>
      <family val="3"/>
      <charset val="128"/>
    </font>
    <font>
      <sz val="12"/>
      <name val="ＭＳ Ｐ明朝"/>
      <family val="1"/>
      <charset val="128"/>
    </font>
    <font>
      <u/>
      <sz val="11"/>
      <color indexed="36"/>
      <name val="ＭＳ Ｐゴシック"/>
      <family val="3"/>
      <charset val="128"/>
    </font>
    <font>
      <sz val="11"/>
      <color indexed="9"/>
      <name val="ＭＳ Ｐゴシック"/>
      <family val="3"/>
      <charset val="128"/>
    </font>
    <font>
      <sz val="11"/>
      <color indexed="60"/>
      <name val="ＭＳ Ｐゴシック"/>
      <family val="3"/>
      <charset val="128"/>
    </font>
    <font>
      <b/>
      <sz val="11"/>
      <color indexed="8"/>
      <name val="ＭＳ Ｐゴシック"/>
      <family val="3"/>
      <charset val="128"/>
    </font>
    <font>
      <sz val="11"/>
      <color indexed="17"/>
      <name val="ＭＳ Ｐゴシック"/>
      <family val="3"/>
      <charset val="128"/>
    </font>
    <font>
      <sz val="8"/>
      <color indexed="8"/>
      <name val="Times New Roman"/>
      <family val="1"/>
    </font>
    <font>
      <sz val="11"/>
      <name val="ＭＳ ゴシック"/>
      <family val="3"/>
      <charset val="128"/>
    </font>
    <font>
      <sz val="10"/>
      <name val="Times New Roman"/>
      <family val="1"/>
    </font>
    <font>
      <sz val="11"/>
      <name val="??"/>
      <family val="1"/>
    </font>
    <font>
      <sz val="11"/>
      <name val="?? ?????"/>
      <family val="3"/>
    </font>
    <font>
      <sz val="14"/>
      <name val="?? ??"/>
      <family val="1"/>
    </font>
    <font>
      <sz val="10"/>
      <name val="Arial"/>
      <family val="2"/>
    </font>
    <font>
      <u/>
      <sz val="8.4"/>
      <color indexed="12"/>
      <name val="Arial"/>
      <family val="2"/>
    </font>
    <font>
      <sz val="12"/>
      <name val="Arial"/>
      <family val="2"/>
    </font>
    <font>
      <sz val="11"/>
      <name val="?l?r ?o?S?V?b?N"/>
      <family val="3"/>
      <charset val="128"/>
    </font>
    <font>
      <sz val="11"/>
      <name val="?l?r ?o?S?V?b?N"/>
      <family val="3"/>
    </font>
    <font>
      <sz val="11"/>
      <name val="?l?r ?S?V?b?N"/>
      <family val="3"/>
    </font>
    <font>
      <sz val="11"/>
      <name val="??l"/>
      <family val="1"/>
    </font>
    <font>
      <sz val="10"/>
      <name val="ＭＳ 明朝"/>
      <family val="1"/>
      <charset val="128"/>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ＭＳ Ｐゴシック"/>
      <family val="3"/>
      <charset val="128"/>
    </font>
    <font>
      <sz val="10"/>
      <name val="Book Antiqua"/>
      <family val="1"/>
    </font>
    <font>
      <sz val="12"/>
      <color indexed="8"/>
      <name val="ＭＳ Ｐゴシック"/>
      <family val="3"/>
      <charset val="128"/>
    </font>
    <font>
      <sz val="10"/>
      <name val="Geneva"/>
      <family val="2"/>
    </font>
    <font>
      <sz val="12"/>
      <color indexed="9"/>
      <name val="ＭＳ Ｐゴシック"/>
      <family val="3"/>
      <charset val="128"/>
    </font>
    <font>
      <sz val="8"/>
      <name val="Arial"/>
      <family val="2"/>
    </font>
    <font>
      <sz val="8"/>
      <name val="Times New Roman"/>
      <family val="1"/>
    </font>
    <font>
      <sz val="10"/>
      <color indexed="8"/>
      <name val="Arial"/>
      <family val="2"/>
    </font>
    <font>
      <sz val="8"/>
      <color indexed="12"/>
      <name val="Times New Roman"/>
      <family val="1"/>
    </font>
    <font>
      <sz val="8"/>
      <name val="Palatino"/>
      <family val="1"/>
    </font>
    <font>
      <sz val="10"/>
      <name val="BERNHARD"/>
      <family val="1"/>
    </font>
    <font>
      <sz val="10"/>
      <name val="Helv"/>
      <family val="2"/>
    </font>
    <font>
      <sz val="8"/>
      <color indexed="14"/>
      <name val="Times New Roman"/>
      <family val="1"/>
    </font>
    <font>
      <sz val="10"/>
      <color indexed="12"/>
      <name val="Arial"/>
      <family val="2"/>
    </font>
    <font>
      <sz val="9"/>
      <name val="Times New Roman"/>
      <family val="1"/>
    </font>
    <font>
      <sz val="1"/>
      <color indexed="8"/>
      <name val="Courier"/>
      <family val="3"/>
    </font>
    <font>
      <i/>
      <sz val="1"/>
      <color indexed="8"/>
      <name val="Courier"/>
      <family val="3"/>
    </font>
    <font>
      <u/>
      <sz val="11"/>
      <color indexed="36"/>
      <name val="明朝"/>
      <family val="3"/>
      <charset val="128"/>
    </font>
    <font>
      <sz val="7"/>
      <name val="Palatino"/>
      <family val="1"/>
    </font>
    <font>
      <sz val="6"/>
      <color indexed="16"/>
      <name val="Palatino"/>
      <family val="1"/>
    </font>
    <font>
      <b/>
      <sz val="12"/>
      <name val="Arial"/>
      <family val="2"/>
    </font>
    <font>
      <b/>
      <sz val="8"/>
      <name val="Palatino"/>
      <family val="1"/>
    </font>
    <font>
      <sz val="18"/>
      <name val="Helvetica-Black"/>
      <family val="2"/>
    </font>
    <font>
      <i/>
      <sz val="14"/>
      <name val="Palatino"/>
      <family val="1"/>
    </font>
    <font>
      <u/>
      <sz val="11"/>
      <color indexed="12"/>
      <name val="明朝"/>
      <family val="3"/>
      <charset val="128"/>
    </font>
    <font>
      <sz val="10"/>
      <color indexed="14"/>
      <name val="Arial"/>
      <family val="2"/>
    </font>
    <font>
      <sz val="8"/>
      <color indexed="8"/>
      <name val="Arial"/>
      <family val="2"/>
    </font>
    <font>
      <sz val="12"/>
      <name val="Tms Rmn"/>
      <family val="1"/>
    </font>
    <font>
      <b/>
      <sz val="26"/>
      <name val="Times New Roman"/>
      <family val="1"/>
    </font>
    <font>
      <b/>
      <sz val="18"/>
      <name val="Times New Roman"/>
      <family val="1"/>
    </font>
    <font>
      <sz val="10"/>
      <color indexed="16"/>
      <name val="Helvetica-Black"/>
      <family val="2"/>
    </font>
    <font>
      <sz val="12"/>
      <name val="Book Antiqua"/>
      <family val="1"/>
    </font>
    <font>
      <sz val="10"/>
      <color indexed="10"/>
      <name val="Arial"/>
      <family val="2"/>
    </font>
    <font>
      <sz val="8"/>
      <color indexed="16"/>
      <name val="Century Schoolbook"/>
      <family val="1"/>
    </font>
    <font>
      <b/>
      <i/>
      <sz val="10"/>
      <name val="Times New Roman"/>
      <family val="1"/>
    </font>
    <font>
      <sz val="10"/>
      <color indexed="9"/>
      <name val="Arial"/>
      <family val="2"/>
    </font>
    <font>
      <b/>
      <sz val="11"/>
      <name val="Helv"/>
      <family val="2"/>
    </font>
    <font>
      <b/>
      <sz val="8"/>
      <name val="Tahoma"/>
      <family val="2"/>
    </font>
    <font>
      <b/>
      <sz val="9"/>
      <name val="Arial"/>
      <family val="2"/>
    </font>
    <font>
      <b/>
      <sz val="9"/>
      <name val="Palatino"/>
      <family val="1"/>
    </font>
    <font>
      <sz val="9"/>
      <color indexed="21"/>
      <name val="Helvetica-Black"/>
      <family val="2"/>
    </font>
    <font>
      <sz val="9"/>
      <name val="Helvetica-Black"/>
      <family val="2"/>
    </font>
    <font>
      <b/>
      <i/>
      <sz val="14"/>
      <name val="Times New Roman"/>
      <family val="1"/>
    </font>
    <font>
      <sz val="10"/>
      <color indexed="17"/>
      <name val="Times New Roman"/>
      <family val="1"/>
    </font>
    <font>
      <b/>
      <sz val="10"/>
      <name val="Arial"/>
      <family val="2"/>
    </font>
    <font>
      <sz val="10"/>
      <name val="細明朝体"/>
      <family val="3"/>
      <charset val="128"/>
    </font>
    <font>
      <b/>
      <sz val="12"/>
      <color indexed="8"/>
      <name val="ＭＳ Ｐゴシック"/>
      <family val="3"/>
      <charset val="128"/>
    </font>
    <font>
      <sz val="10"/>
      <name val="ＭＳ ゴシック"/>
      <family val="3"/>
      <charset val="128"/>
    </font>
    <font>
      <sz val="11"/>
      <color indexed="16"/>
      <name val="ＭＳ Ｐゴシック"/>
      <family val="3"/>
      <charset val="128"/>
    </font>
    <font>
      <sz val="14"/>
      <name val="ＭＳ 明朝"/>
      <family val="1"/>
      <charset val="128"/>
    </font>
    <font>
      <sz val="11"/>
      <color indexed="18"/>
      <name val="ＭＳ Ｐ明朝"/>
      <family val="1"/>
      <charset val="128"/>
    </font>
    <font>
      <b/>
      <sz val="14"/>
      <name val="ＭＳ Ｐ明朝"/>
      <family val="1"/>
      <charset val="128"/>
    </font>
    <font>
      <sz val="10"/>
      <name val="ＭＳ Ｐゴシック"/>
      <family val="3"/>
      <charset val="128"/>
    </font>
    <font>
      <b/>
      <i/>
      <u/>
      <sz val="18"/>
      <name val="ＭＳ Ｐ明朝"/>
      <family val="1"/>
      <charset val="128"/>
    </font>
    <font>
      <u/>
      <sz val="10"/>
      <name val="MS UI Gothic"/>
      <family val="3"/>
      <charset val="128"/>
    </font>
    <font>
      <sz val="11"/>
      <name val="MS UI Gothic"/>
      <family val="3"/>
      <charset val="128"/>
    </font>
    <font>
      <b/>
      <u/>
      <sz val="10"/>
      <name val="MS UI Gothic"/>
      <family val="3"/>
      <charset val="128"/>
    </font>
    <font>
      <b/>
      <sz val="10"/>
      <name val="MS UI Gothic"/>
      <family val="3"/>
      <charset val="128"/>
    </font>
    <font>
      <sz val="10"/>
      <color indexed="22"/>
      <name val="MS UI Gothic"/>
      <family val="3"/>
      <charset val="128"/>
    </font>
    <font>
      <sz val="10"/>
      <color indexed="55"/>
      <name val="MS UI Gothic"/>
      <family val="3"/>
      <charset val="128"/>
    </font>
    <font>
      <sz val="9"/>
      <name val="MS UI Gothic"/>
      <family val="3"/>
      <charset val="128"/>
    </font>
    <font>
      <sz val="8"/>
      <name val="MS UI Gothic"/>
      <family val="3"/>
      <charset val="128"/>
    </font>
    <font>
      <sz val="9"/>
      <color indexed="9"/>
      <name val="MS UI Gothic"/>
      <family val="3"/>
      <charset val="128"/>
    </font>
    <font>
      <b/>
      <sz val="10"/>
      <color indexed="10"/>
      <name val="MS UI Gothic"/>
      <family val="3"/>
      <charset val="128"/>
    </font>
    <font>
      <b/>
      <sz val="12"/>
      <name val="MS UI Gothic"/>
      <family val="3"/>
      <charset val="128"/>
    </font>
    <font>
      <b/>
      <sz val="11"/>
      <name val="MS UI Gothic"/>
      <family val="3"/>
      <charset val="128"/>
    </font>
    <font>
      <b/>
      <u/>
      <sz val="14"/>
      <name val="ＭＳ Ｐゴシック"/>
      <family val="3"/>
      <charset val="128"/>
    </font>
    <font>
      <b/>
      <sz val="14"/>
      <name val="ＭＳ Ｐゴシック"/>
      <family val="3"/>
      <charset val="128"/>
    </font>
    <font>
      <b/>
      <sz val="9"/>
      <color indexed="81"/>
      <name val="ＭＳ Ｐゴシック"/>
      <family val="3"/>
      <charset val="128"/>
    </font>
    <font>
      <sz val="11"/>
      <color indexed="10"/>
      <name val="ＭＳ Ｐゴシック"/>
      <family val="3"/>
      <charset val="128"/>
    </font>
    <font>
      <b/>
      <sz val="14"/>
      <name val="MS UI Gothic"/>
      <family val="3"/>
      <charset val="128"/>
    </font>
    <font>
      <sz val="18"/>
      <name val="ＭＳ Ｐ明朝"/>
      <family val="1"/>
      <charset val="128"/>
    </font>
    <font>
      <sz val="10"/>
      <color indexed="9"/>
      <name val="ＭＳ Ｐ明朝"/>
      <family val="1"/>
      <charset val="128"/>
    </font>
    <font>
      <sz val="11"/>
      <color indexed="9"/>
      <name val="ＭＳ Ｐ明朝"/>
      <family val="1"/>
      <charset val="128"/>
    </font>
    <font>
      <b/>
      <sz val="11"/>
      <color indexed="9"/>
      <name val="ＭＳ Ｐ明朝"/>
      <family val="1"/>
      <charset val="128"/>
    </font>
    <font>
      <sz val="10"/>
      <name val="MS UI Gothic"/>
      <family val="3"/>
      <charset val="128"/>
    </font>
    <font>
      <sz val="10"/>
      <name val="MS UI Gothic"/>
      <family val="3"/>
      <charset val="128"/>
    </font>
    <font>
      <sz val="6"/>
      <name val="ＭＳ Ｐゴシック"/>
      <family val="3"/>
      <charset val="128"/>
    </font>
    <font>
      <b/>
      <sz val="20"/>
      <name val="ＭＳ Ｐ明朝"/>
      <family val="1"/>
      <charset val="128"/>
    </font>
    <font>
      <sz val="20"/>
      <name val="ＭＳ Ｐ明朝"/>
      <family val="1"/>
      <charset val="128"/>
    </font>
    <font>
      <sz val="14"/>
      <name val="ＭＳ Ｐ明朝"/>
      <family val="1"/>
      <charset val="128"/>
    </font>
    <font>
      <sz val="14"/>
      <color indexed="8"/>
      <name val="ＭＳ Ｐ明朝"/>
      <family val="1"/>
      <charset val="128"/>
    </font>
    <font>
      <b/>
      <sz val="16"/>
      <color indexed="10"/>
      <name val="ＭＳ Ｐ明朝"/>
      <family val="1"/>
      <charset val="128"/>
    </font>
    <font>
      <sz val="15"/>
      <name val="ＭＳ Ｐ明朝"/>
      <family val="1"/>
      <charset val="128"/>
    </font>
    <font>
      <sz val="16"/>
      <name val="ＭＳ Ｐ明朝"/>
      <family val="1"/>
      <charset val="128"/>
    </font>
    <font>
      <sz val="16"/>
      <color indexed="8"/>
      <name val="ＭＳ Ｐ明朝"/>
      <family val="1"/>
      <charset val="128"/>
    </font>
    <font>
      <b/>
      <sz val="18"/>
      <name val="ＭＳ Ｐ明朝"/>
      <family val="1"/>
      <charset val="128"/>
    </font>
    <font>
      <b/>
      <sz val="18"/>
      <color indexed="10"/>
      <name val="ＭＳ Ｐ明朝"/>
      <family val="1"/>
      <charset val="128"/>
    </font>
    <font>
      <sz val="14"/>
      <name val="Times New Roman"/>
      <family val="1"/>
    </font>
    <font>
      <sz val="18"/>
      <name val="ＭＳ 明朝"/>
      <family val="1"/>
      <charset val="128"/>
    </font>
    <font>
      <sz val="6"/>
      <name val="ＭＳ Ｐゴシック"/>
      <family val="3"/>
      <charset val="128"/>
    </font>
    <font>
      <sz val="20"/>
      <color indexed="16"/>
      <name val="ＭＳ Ｐ明朝"/>
      <family val="1"/>
      <charset val="128"/>
    </font>
    <font>
      <sz val="9"/>
      <name val="ＭＳ ゴシック"/>
      <family val="3"/>
      <charset val="128"/>
    </font>
    <font>
      <b/>
      <u/>
      <sz val="9"/>
      <name val="ＭＳ ゴシック"/>
      <family val="3"/>
      <charset val="128"/>
    </font>
    <font>
      <sz val="8"/>
      <name val="ＭＳ ゴシック"/>
      <family val="3"/>
      <charset val="128"/>
    </font>
    <font>
      <sz val="6"/>
      <name val="ＭＳ Ｐゴシック"/>
      <family val="3"/>
      <charset val="128"/>
    </font>
    <font>
      <u/>
      <sz val="9"/>
      <color indexed="10"/>
      <name val="ＭＳ ゴシック"/>
      <family val="3"/>
      <charset val="128"/>
    </font>
    <font>
      <b/>
      <u/>
      <sz val="11"/>
      <name val="ＭＳ ゴシック"/>
      <family val="3"/>
      <charset val="128"/>
    </font>
    <font>
      <b/>
      <sz val="9"/>
      <color indexed="10"/>
      <name val="ＭＳ ゴシック"/>
      <family val="3"/>
      <charset val="128"/>
    </font>
    <font>
      <sz val="20"/>
      <color indexed="55"/>
      <name val="ＭＳ Ｐ明朝"/>
      <family val="1"/>
      <charset val="128"/>
    </font>
    <font>
      <b/>
      <sz val="20"/>
      <name val="Times New Roman"/>
      <family val="1"/>
    </font>
    <font>
      <sz val="20"/>
      <name val="Times New Roman"/>
      <family val="1"/>
    </font>
    <font>
      <sz val="18"/>
      <name val="Times New Roman"/>
      <family val="1"/>
    </font>
    <font>
      <b/>
      <i/>
      <u/>
      <sz val="28"/>
      <name val="Times New Roman"/>
      <family val="1"/>
    </font>
    <font>
      <sz val="16"/>
      <name val="Times New Roman"/>
      <family val="1"/>
    </font>
    <font>
      <sz val="18"/>
      <color indexed="12"/>
      <name val="Times New Roman"/>
      <family val="1"/>
    </font>
    <font>
      <u/>
      <sz val="20"/>
      <name val="Times New Roman"/>
      <family val="1"/>
    </font>
    <font>
      <u/>
      <sz val="14"/>
      <name val="Times New Roman"/>
      <family val="1"/>
    </font>
    <font>
      <sz val="14"/>
      <color indexed="8"/>
      <name val="Times New Roman"/>
      <family val="1"/>
    </font>
    <font>
      <sz val="11"/>
      <color indexed="8"/>
      <name val="Times New Roman"/>
      <family val="1"/>
    </font>
    <font>
      <sz val="16"/>
      <color indexed="8"/>
      <name val="Times New Roman"/>
      <family val="1"/>
    </font>
    <font>
      <sz val="15"/>
      <color indexed="8"/>
      <name val="Times New Roman"/>
      <family val="1"/>
    </font>
    <font>
      <b/>
      <sz val="22"/>
      <name val="Times New Roman"/>
      <family val="1"/>
    </font>
    <font>
      <sz val="22"/>
      <name val="Times New Roman"/>
      <family val="1"/>
    </font>
    <font>
      <sz val="22"/>
      <color indexed="8"/>
      <name val="Times New Roman"/>
      <family val="1"/>
    </font>
    <font>
      <sz val="22"/>
      <color indexed="12"/>
      <name val="Times New Roman"/>
      <family val="1"/>
    </font>
    <font>
      <sz val="14"/>
      <color indexed="22"/>
      <name val="Times New Roman"/>
      <family val="1"/>
    </font>
    <font>
      <sz val="15"/>
      <name val="Times New Roman"/>
      <family val="1"/>
    </font>
    <font>
      <sz val="16"/>
      <color indexed="10"/>
      <name val="Times New Roman"/>
      <family val="1"/>
    </font>
    <font>
      <b/>
      <sz val="15"/>
      <color indexed="10"/>
      <name val="Times New Roman"/>
      <family val="1"/>
    </font>
    <font>
      <b/>
      <sz val="16"/>
      <name val="Times New Roman"/>
      <family val="1"/>
    </font>
    <font>
      <sz val="20"/>
      <color indexed="16"/>
      <name val="Times New Roman"/>
      <family val="1"/>
    </font>
    <font>
      <b/>
      <sz val="14"/>
      <color indexed="10"/>
      <name val="Times New Roman"/>
      <family val="1"/>
    </font>
    <font>
      <sz val="14"/>
      <color indexed="16"/>
      <name val="Times New Roman"/>
      <family val="1"/>
    </font>
    <font>
      <sz val="20"/>
      <color indexed="22"/>
      <name val="Times New Roman"/>
      <family val="1"/>
    </font>
    <font>
      <sz val="15"/>
      <color indexed="22"/>
      <name val="Times New Roman"/>
      <family val="1"/>
    </font>
    <font>
      <b/>
      <sz val="18"/>
      <color indexed="10"/>
      <name val="Times New Roman"/>
      <family val="1"/>
    </font>
    <font>
      <b/>
      <sz val="16"/>
      <color indexed="10"/>
      <name val="Times New Roman"/>
      <family val="1"/>
    </font>
    <font>
      <sz val="20"/>
      <color indexed="55"/>
      <name val="Times New Roman"/>
      <family val="1"/>
    </font>
    <font>
      <sz val="16"/>
      <color indexed="22"/>
      <name val="Times New Roman"/>
      <family val="1"/>
    </font>
    <font>
      <sz val="15"/>
      <color indexed="12"/>
      <name val="Times New Roman"/>
      <family val="1"/>
    </font>
    <font>
      <sz val="22"/>
      <color indexed="22"/>
      <name val="Times New Roman"/>
      <family val="1"/>
    </font>
    <font>
      <sz val="16"/>
      <color indexed="12"/>
      <name val="Times New Roman"/>
      <family val="1"/>
    </font>
    <font>
      <b/>
      <sz val="20"/>
      <color indexed="16"/>
      <name val="Times New Roman"/>
      <family val="1"/>
    </font>
    <font>
      <sz val="22"/>
      <name val="ＭＳ 明朝"/>
      <family val="1"/>
      <charset val="128"/>
    </font>
    <font>
      <sz val="11"/>
      <name val="平成明朝"/>
      <family val="1"/>
      <charset val="128"/>
    </font>
    <font>
      <sz val="6"/>
      <name val="ＭＳ Ｐゴシック"/>
      <family val="3"/>
      <charset val="128"/>
    </font>
    <font>
      <sz val="12"/>
      <name val="平成明朝"/>
      <family val="1"/>
      <charset val="128"/>
    </font>
    <font>
      <sz val="10"/>
      <name val="平成明朝"/>
      <family val="1"/>
      <charset val="128"/>
    </font>
    <font>
      <sz val="9"/>
      <name val="平成明朝"/>
      <family val="1"/>
      <charset val="128"/>
    </font>
    <font>
      <u/>
      <sz val="18"/>
      <name val="Times New Roman"/>
      <family val="1"/>
    </font>
    <font>
      <u/>
      <sz val="18"/>
      <name val="ＭＳ Ｐ明朝"/>
      <family val="1"/>
      <charset val="128"/>
    </font>
    <font>
      <sz val="9"/>
      <color indexed="10"/>
      <name val="ＭＳ Ｐゴシック"/>
      <family val="3"/>
      <charset val="128"/>
    </font>
    <font>
      <b/>
      <sz val="11"/>
      <color indexed="10"/>
      <name val="Times New Roman"/>
      <family val="1"/>
    </font>
    <font>
      <b/>
      <sz val="11"/>
      <color indexed="10"/>
      <name val="ＭＳ 明朝"/>
      <family val="1"/>
      <charset val="128"/>
    </font>
    <font>
      <b/>
      <sz val="11"/>
      <name val="ＭＳ Ｐ明朝"/>
      <family val="1"/>
      <charset val="128"/>
    </font>
    <font>
      <b/>
      <sz val="9"/>
      <color indexed="10"/>
      <name val="ＭＳ Ｐゴシック"/>
      <family val="3"/>
      <charset val="128"/>
    </font>
    <font>
      <sz val="8"/>
      <color indexed="8"/>
      <name val="ＭＳ Ｐゴシック"/>
      <family val="3"/>
      <charset val="128"/>
    </font>
    <font>
      <sz val="6"/>
      <name val="ＭＳ Ｐゴシック"/>
      <family val="3"/>
      <charset val="128"/>
    </font>
    <font>
      <sz val="18"/>
      <color indexed="81"/>
      <name val="Meiryo UI"/>
      <family val="3"/>
      <charset val="128"/>
    </font>
    <font>
      <sz val="20"/>
      <color indexed="81"/>
      <name val="Meiryo UI"/>
      <family val="3"/>
      <charset val="128"/>
    </font>
    <font>
      <b/>
      <sz val="11"/>
      <color indexed="10"/>
      <name val="ＭＳ Ｐゴシック"/>
      <family val="3"/>
      <charset val="128"/>
    </font>
    <font>
      <sz val="9"/>
      <color indexed="8"/>
      <name val="ＭＳ Ｐゴシック"/>
      <family val="3"/>
      <charset val="128"/>
    </font>
    <font>
      <b/>
      <sz val="9"/>
      <color indexed="53"/>
      <name val="ＭＳ Ｐゴシック"/>
      <family val="3"/>
      <charset val="128"/>
    </font>
    <font>
      <b/>
      <sz val="9"/>
      <color indexed="15"/>
      <name val="ＭＳ Ｐゴシック"/>
      <family val="3"/>
      <charset val="128"/>
    </font>
    <font>
      <b/>
      <sz val="9"/>
      <color indexed="45"/>
      <name val="ＭＳ Ｐゴシック"/>
      <family val="3"/>
      <charset val="128"/>
    </font>
    <font>
      <sz val="8"/>
      <color indexed="22"/>
      <name val="ＭＳ Ｐゴシック"/>
      <family val="3"/>
      <charset val="128"/>
    </font>
    <font>
      <b/>
      <sz val="10"/>
      <name val="ＭＳ Ｐゴシック"/>
      <family val="3"/>
      <charset val="128"/>
    </font>
    <font>
      <b/>
      <sz val="8"/>
      <name val="ＭＳ Ｐゴシック"/>
      <family val="3"/>
      <charset val="128"/>
    </font>
    <font>
      <sz val="8"/>
      <color indexed="12"/>
      <name val="ＭＳ Ｐゴシック"/>
      <family val="3"/>
      <charset val="128"/>
    </font>
    <font>
      <sz val="8"/>
      <name val="ＭＳ Ｐゴシック"/>
      <family val="3"/>
      <charset val="128"/>
    </font>
    <font>
      <sz val="7"/>
      <color indexed="8"/>
      <name val="ＭＳ Ｐゴシック"/>
      <family val="3"/>
      <charset val="128"/>
    </font>
    <font>
      <sz val="8"/>
      <color indexed="23"/>
      <name val="ＭＳ Ｐゴシック"/>
      <family val="3"/>
      <charset val="128"/>
    </font>
    <font>
      <sz val="8"/>
      <color indexed="10"/>
      <name val="ＭＳ Ｐゴシック"/>
      <family val="3"/>
      <charset val="128"/>
    </font>
    <font>
      <b/>
      <sz val="8"/>
      <color indexed="9"/>
      <name val="ＭＳ Ｐゴシック"/>
      <family val="3"/>
      <charset val="128"/>
    </font>
    <font>
      <sz val="8"/>
      <color indexed="9"/>
      <name val="ＭＳ Ｐゴシック"/>
      <family val="3"/>
      <charset val="128"/>
    </font>
    <font>
      <b/>
      <sz val="8"/>
      <color indexed="8"/>
      <name val="ＭＳ Ｐゴシック"/>
      <family val="3"/>
      <charset val="128"/>
    </font>
    <font>
      <sz val="6"/>
      <name val="ＭＳ Ｐ明朝"/>
      <family val="1"/>
      <charset val="128"/>
    </font>
    <font>
      <b/>
      <sz val="8"/>
      <color indexed="81"/>
      <name val="ＭＳ ゴシック"/>
      <family val="3"/>
      <charset val="128"/>
    </font>
    <font>
      <sz val="8"/>
      <color indexed="81"/>
      <name val="ＭＳ ゴシック"/>
      <family val="3"/>
      <charset val="128"/>
    </font>
    <font>
      <b/>
      <sz val="8"/>
      <color indexed="10"/>
      <name val="ＭＳ ゴシック"/>
      <family val="3"/>
      <charset val="128"/>
    </font>
    <font>
      <b/>
      <sz val="8"/>
      <color indexed="12"/>
      <name val="ＭＳ Ｐゴシック"/>
      <family val="3"/>
      <charset val="128"/>
    </font>
    <font>
      <sz val="10"/>
      <color rgb="FF0070C0"/>
      <name val="MS UI Gothic"/>
      <family val="3"/>
      <charset val="128"/>
    </font>
    <font>
      <b/>
      <sz val="10"/>
      <color rgb="FF0070C0"/>
      <name val="MS UI Gothic"/>
      <family val="3"/>
      <charset val="128"/>
    </font>
    <font>
      <sz val="9"/>
      <color rgb="FF0070C0"/>
      <name val="MS UI Gothic"/>
      <family val="3"/>
      <charset val="128"/>
    </font>
    <font>
      <sz val="9"/>
      <color rgb="FFFF0000"/>
      <name val="ＭＳ ゴシック"/>
      <family val="3"/>
      <charset val="128"/>
    </font>
    <font>
      <b/>
      <sz val="9"/>
      <color rgb="FF0070C0"/>
      <name val="ＭＳ ゴシック"/>
      <family val="3"/>
      <charset val="128"/>
    </font>
    <font>
      <b/>
      <sz val="9"/>
      <color rgb="FF92D050"/>
      <name val="ＭＳ ゴシック"/>
      <family val="3"/>
      <charset val="128"/>
    </font>
    <font>
      <b/>
      <sz val="9"/>
      <color rgb="FFFF3300"/>
      <name val="ＭＳ ゴシック"/>
      <family val="3"/>
      <charset val="128"/>
    </font>
    <font>
      <b/>
      <sz val="9"/>
      <color rgb="FFFF0000"/>
      <name val="ＭＳ ゴシック"/>
      <family val="3"/>
      <charset val="128"/>
    </font>
    <font>
      <sz val="11"/>
      <color theme="1"/>
      <name val="Times New Roman"/>
      <family val="1"/>
    </font>
    <font>
      <sz val="16"/>
      <color rgb="FFFF0000"/>
      <name val="Times New Roman"/>
      <family val="1"/>
    </font>
    <font>
      <sz val="20"/>
      <color theme="0" tint="-0.34998626667073579"/>
      <name val="Times New Roman"/>
      <family val="1"/>
    </font>
    <font>
      <b/>
      <sz val="22"/>
      <color rgb="FF0000FF"/>
      <name val="Times New Roman"/>
      <family val="1"/>
    </font>
    <font>
      <sz val="16"/>
      <color theme="0" tint="-0.34998626667073579"/>
      <name val="Times New Roman"/>
      <family val="1"/>
    </font>
    <font>
      <sz val="22"/>
      <color rgb="FF0070C0"/>
      <name val="Times New Roman"/>
      <family val="1"/>
    </font>
    <font>
      <b/>
      <sz val="16"/>
      <color rgb="FFFF0000"/>
      <name val="Times New Roman"/>
      <family val="1"/>
    </font>
    <font>
      <b/>
      <sz val="18"/>
      <color rgb="FFFF0000"/>
      <name val="Times New Roman"/>
      <family val="1"/>
    </font>
    <font>
      <sz val="20"/>
      <color rgb="FF0000FF"/>
      <name val="Times New Roman"/>
      <family val="1"/>
    </font>
    <font>
      <b/>
      <sz val="16"/>
      <color rgb="FFFF0000"/>
      <name val="ＭＳ Ｐ明朝"/>
      <family val="1"/>
      <charset val="128"/>
    </font>
    <font>
      <sz val="11"/>
      <color rgb="FF0070C0"/>
      <name val="ＭＳ Ｐゴシック"/>
      <family val="3"/>
      <charset val="128"/>
      <scheme val="minor"/>
    </font>
    <font>
      <sz val="11"/>
      <color theme="1"/>
      <name val="ＭＳ 明朝"/>
      <family val="1"/>
      <charset val="128"/>
    </font>
    <font>
      <b/>
      <sz val="11"/>
      <color rgb="FFFF0000"/>
      <name val="ＭＳ Ｐ明朝"/>
      <family val="1"/>
      <charset val="128"/>
    </font>
    <font>
      <b/>
      <sz val="10"/>
      <color rgb="FFFF0000"/>
      <name val="ＭＳ Ｐゴシック"/>
      <family val="3"/>
      <charset val="128"/>
      <scheme val="minor"/>
    </font>
    <font>
      <b/>
      <sz val="16"/>
      <color rgb="FFFF0000"/>
      <name val="ＭＳ 明朝"/>
      <family val="1"/>
      <charset val="128"/>
    </font>
    <font>
      <b/>
      <sz val="20"/>
      <color rgb="FFFF0000"/>
      <name val="ＭＳ 明朝"/>
      <family val="1"/>
      <charset val="128"/>
    </font>
    <font>
      <b/>
      <sz val="26"/>
      <color rgb="FFFF0000"/>
      <name val="ＭＳ 明朝"/>
      <family val="1"/>
      <charset val="128"/>
    </font>
    <font>
      <b/>
      <sz val="10"/>
      <color rgb="FF0070C0"/>
      <name val="ＭＳ Ｐゴシック"/>
      <family val="3"/>
      <charset val="128"/>
    </font>
    <font>
      <b/>
      <sz val="8"/>
      <color rgb="FFFF0000"/>
      <name val="ＭＳ Ｐゴシック"/>
      <family val="3"/>
      <charset val="128"/>
    </font>
    <font>
      <sz val="8"/>
      <color rgb="FF0070C0"/>
      <name val="ＭＳ Ｐゴシック"/>
      <family val="3"/>
      <charset val="128"/>
    </font>
    <font>
      <b/>
      <sz val="8"/>
      <color rgb="FF0070C0"/>
      <name val="ＭＳ Ｐゴシック"/>
      <family val="3"/>
      <charset val="128"/>
    </font>
    <font>
      <b/>
      <sz val="20"/>
      <color rgb="FFFF0000"/>
      <name val="Times New Roman"/>
      <family val="1"/>
    </font>
    <font>
      <sz val="22"/>
      <color rgb="FF0000FF"/>
      <name val="Times New Roman"/>
      <family val="1"/>
    </font>
    <font>
      <b/>
      <sz val="36"/>
      <name val="ＭＳ 明朝"/>
      <family val="1"/>
      <charset val="128"/>
    </font>
    <font>
      <b/>
      <sz val="22"/>
      <color rgb="FFFF0000"/>
      <name val="ＭＳ 明朝"/>
      <family val="1"/>
      <charset val="128"/>
    </font>
    <font>
      <b/>
      <sz val="22"/>
      <name val="ＭＳ 明朝"/>
      <family val="1"/>
      <charset val="128"/>
    </font>
    <font>
      <b/>
      <sz val="16"/>
      <name val="ＭＳ 明朝"/>
      <family val="1"/>
      <charset val="128"/>
    </font>
    <font>
      <b/>
      <sz val="20"/>
      <name val="ＭＳ 明朝"/>
      <family val="1"/>
      <charset val="128"/>
    </font>
    <font>
      <sz val="11"/>
      <color rgb="FFFF0000"/>
      <name val="ＭＳ 明朝"/>
      <family val="1"/>
      <charset val="128"/>
    </font>
    <font>
      <b/>
      <sz val="14"/>
      <name val="ＭＳ 明朝"/>
      <family val="1"/>
      <charset val="128"/>
    </font>
    <font>
      <sz val="20"/>
      <name val="ＭＳ 明朝"/>
      <family val="1"/>
      <charset val="128"/>
    </font>
    <font>
      <sz val="9"/>
      <name val="ＭＳ 明朝"/>
      <family val="1"/>
      <charset val="128"/>
    </font>
    <font>
      <b/>
      <sz val="28"/>
      <name val="ＭＳ 明朝"/>
      <family val="1"/>
      <charset val="128"/>
    </font>
    <font>
      <b/>
      <sz val="12"/>
      <color rgb="FFFF0000"/>
      <name val="ＭＳ 明朝"/>
      <family val="1"/>
      <charset val="128"/>
    </font>
    <font>
      <sz val="14"/>
      <color theme="1"/>
      <name val="ＭＳ 明朝"/>
      <family val="1"/>
      <charset val="128"/>
    </font>
    <font>
      <sz val="13"/>
      <name val="ＭＳ 明朝"/>
      <family val="1"/>
      <charset val="128"/>
    </font>
    <font>
      <b/>
      <sz val="18"/>
      <color rgb="FFFF0000"/>
      <name val="ＭＳ Ｐ明朝"/>
      <family val="1"/>
      <charset val="128"/>
    </font>
    <font>
      <vertAlign val="superscript"/>
      <sz val="18"/>
      <name val="ＭＳ Ｐ明朝"/>
      <family val="1"/>
      <charset val="128"/>
    </font>
    <font>
      <b/>
      <sz val="26"/>
      <name val="平成明朝"/>
      <family val="1"/>
      <charset val="128"/>
    </font>
    <font>
      <b/>
      <u/>
      <sz val="11"/>
      <color indexed="10"/>
      <name val="ＭＳ ゴシック"/>
      <family val="3"/>
      <charset val="128"/>
    </font>
    <font>
      <sz val="6"/>
      <name val="ＭＳ Ｐゴシック"/>
      <family val="3"/>
      <charset val="128"/>
      <scheme val="minor"/>
    </font>
    <font>
      <b/>
      <u/>
      <sz val="14"/>
      <name val="ＭＳ 明朝"/>
      <family val="1"/>
      <charset val="128"/>
    </font>
    <font>
      <b/>
      <u/>
      <sz val="14"/>
      <name val="MS UI Gothic"/>
      <family val="3"/>
      <charset val="128"/>
    </font>
    <font>
      <u/>
      <sz val="11"/>
      <name val="MS UI Gothic"/>
      <family val="3"/>
      <charset val="128"/>
    </font>
    <font>
      <b/>
      <sz val="12"/>
      <color rgb="FFFF0000"/>
      <name val="MS UI Gothic"/>
      <family val="3"/>
      <charset val="128"/>
    </font>
    <font>
      <b/>
      <sz val="11"/>
      <color rgb="FF0070C0"/>
      <name val="MS UI Gothic"/>
      <family val="3"/>
      <charset val="128"/>
    </font>
    <font>
      <sz val="11"/>
      <color rgb="FF0070C0"/>
      <name val="MS UI Gothic"/>
      <family val="3"/>
      <charset val="128"/>
    </font>
    <font>
      <b/>
      <u/>
      <sz val="11"/>
      <color indexed="10"/>
      <name val="MS UI Gothic"/>
      <family val="3"/>
      <charset val="128"/>
    </font>
    <font>
      <sz val="11"/>
      <color indexed="8"/>
      <name val="MS UI Gothic"/>
      <family val="3"/>
      <charset val="128"/>
    </font>
    <font>
      <b/>
      <sz val="11"/>
      <color theme="1"/>
      <name val="MS UI Gothic"/>
      <family val="3"/>
      <charset val="128"/>
    </font>
    <font>
      <b/>
      <sz val="11"/>
      <color indexed="53"/>
      <name val="MS UI Gothic"/>
      <family val="3"/>
      <charset val="128"/>
    </font>
    <font>
      <sz val="11"/>
      <color indexed="9"/>
      <name val="MS UI Gothic"/>
      <family val="3"/>
      <charset val="128"/>
    </font>
    <font>
      <sz val="10"/>
      <color indexed="9"/>
      <name val="MS UI Gothic"/>
      <family val="3"/>
      <charset val="128"/>
    </font>
    <font>
      <b/>
      <sz val="11"/>
      <color indexed="10"/>
      <name val="MS UI Gothic"/>
      <family val="3"/>
      <charset val="128"/>
    </font>
    <font>
      <sz val="11"/>
      <color indexed="53"/>
      <name val="MS UI Gothic"/>
      <family val="3"/>
      <charset val="128"/>
    </font>
    <font>
      <b/>
      <u/>
      <sz val="9"/>
      <color indexed="10"/>
      <name val="ＭＳ ゴシック"/>
      <family val="3"/>
      <charset val="128"/>
    </font>
    <font>
      <b/>
      <u/>
      <sz val="9"/>
      <color indexed="10"/>
      <name val="ＭＳ Ｐゴシック"/>
      <family val="3"/>
      <charset val="128"/>
    </font>
    <font>
      <sz val="9"/>
      <color rgb="FFFF0000"/>
      <name val="ＭＳ Ｐゴシック"/>
      <family val="3"/>
      <charset val="128"/>
      <scheme val="minor"/>
    </font>
    <font>
      <sz val="9"/>
      <color rgb="FFFF0000"/>
      <name val="ＭＳ Ｐゴシック"/>
      <family val="3"/>
      <charset val="128"/>
    </font>
    <font>
      <sz val="14"/>
      <color theme="0" tint="-0.34998626667073579"/>
      <name val="Times New Roman"/>
      <family val="1"/>
    </font>
    <font>
      <sz val="11"/>
      <color theme="1"/>
      <name val="ＭＳ Ｐゴシック"/>
      <family val="3"/>
      <charset val="128"/>
      <scheme val="minor"/>
    </font>
    <font>
      <sz val="10"/>
      <color theme="1"/>
      <name val="MS UI Gothic"/>
      <family val="3"/>
      <charset val="128"/>
    </font>
    <font>
      <sz val="11"/>
      <color theme="1"/>
      <name val="MS UI Gothic"/>
      <family val="3"/>
      <charset val="128"/>
    </font>
  </fonts>
  <fills count="82">
    <fill>
      <patternFill patternType="none"/>
    </fill>
    <fill>
      <patternFill patternType="gray125"/>
    </fill>
    <fill>
      <patternFill patternType="solid">
        <fgColor indexed="43"/>
      </patternFill>
    </fill>
    <fill>
      <patternFill patternType="solid">
        <fgColor indexed="47"/>
      </patternFill>
    </fill>
    <fill>
      <patternFill patternType="solid">
        <fgColor indexed="9"/>
      </patternFill>
    </fill>
    <fill>
      <patternFill patternType="solid">
        <fgColor indexed="31"/>
      </patternFill>
    </fill>
    <fill>
      <patternFill patternType="solid">
        <fgColor indexed="41"/>
      </patternFill>
    </fill>
    <fill>
      <patternFill patternType="solid">
        <fgColor indexed="44"/>
      </patternFill>
    </fill>
    <fill>
      <patternFill patternType="solid">
        <fgColor indexed="22"/>
      </patternFill>
    </fill>
    <fill>
      <patternFill patternType="solid">
        <fgColor indexed="46"/>
      </patternFill>
    </fill>
    <fill>
      <patternFill patternType="solid">
        <fgColor indexed="51"/>
      </patternFill>
    </fill>
    <fill>
      <patternFill patternType="solid">
        <fgColor indexed="49"/>
      </patternFill>
    </fill>
    <fill>
      <patternFill patternType="solid">
        <fgColor indexed="30"/>
      </patternFill>
    </fill>
    <fill>
      <patternFill patternType="solid">
        <fgColor indexed="29"/>
      </patternFill>
    </fill>
    <fill>
      <patternFill patternType="solid">
        <fgColor indexed="22"/>
        <bgColor indexed="64"/>
      </patternFill>
    </fill>
    <fill>
      <patternFill patternType="solid">
        <fgColor indexed="26"/>
        <bgColor indexed="64"/>
      </patternFill>
    </fill>
    <fill>
      <patternFill patternType="gray0625">
        <fgColor indexed="22"/>
        <bgColor indexed="22"/>
      </patternFill>
    </fill>
    <fill>
      <patternFill patternType="solid">
        <fgColor indexed="63"/>
        <bgColor indexed="64"/>
      </patternFill>
    </fill>
    <fill>
      <patternFill patternType="solid">
        <fgColor indexed="62"/>
        <bgColor indexed="64"/>
      </patternFill>
    </fill>
    <fill>
      <patternFill patternType="solid">
        <fgColor indexed="38"/>
        <bgColor indexed="64"/>
      </patternFill>
    </fill>
    <fill>
      <patternFill patternType="solid">
        <fgColor indexed="36"/>
        <bgColor indexed="64"/>
      </patternFill>
    </fill>
    <fill>
      <patternFill patternType="solid">
        <fgColor indexed="30"/>
        <bgColor indexed="64"/>
      </patternFill>
    </fill>
    <fill>
      <patternFill patternType="solid">
        <fgColor indexed="61"/>
        <bgColor indexed="64"/>
      </patternFill>
    </fill>
    <fill>
      <patternFill patternType="solid">
        <fgColor indexed="29"/>
        <bgColor indexed="64"/>
      </patternFill>
    </fill>
    <fill>
      <patternFill patternType="solid">
        <fgColor indexed="9"/>
        <bgColor indexed="64"/>
      </patternFill>
    </fill>
    <fill>
      <patternFill patternType="solid">
        <fgColor indexed="16"/>
        <bgColor indexed="64"/>
      </patternFill>
    </fill>
    <fill>
      <patternFill patternType="solid">
        <fgColor indexed="8"/>
        <bgColor indexed="64"/>
      </patternFill>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45"/>
        <bgColor indexed="45"/>
      </patternFill>
    </fill>
    <fill>
      <patternFill patternType="solid">
        <fgColor indexed="43"/>
        <bgColor indexed="43"/>
      </patternFill>
    </fill>
    <fill>
      <patternFill patternType="solid">
        <fgColor indexed="47"/>
        <bgColor indexed="64"/>
      </patternFill>
    </fill>
    <fill>
      <patternFill patternType="solid">
        <fgColor indexed="48"/>
        <bgColor indexed="64"/>
      </patternFill>
    </fill>
    <fill>
      <patternFill patternType="solid">
        <fgColor indexed="45"/>
        <bgColor indexed="64"/>
      </patternFill>
    </fill>
    <fill>
      <patternFill patternType="solid">
        <fgColor indexed="49"/>
        <bgColor indexed="64"/>
      </patternFill>
    </fill>
    <fill>
      <patternFill patternType="solid">
        <fgColor indexed="55"/>
        <bgColor indexed="64"/>
      </patternFill>
    </fill>
    <fill>
      <patternFill patternType="solid">
        <fgColor indexed="43"/>
        <bgColor indexed="64"/>
      </patternFill>
    </fill>
    <fill>
      <patternFill patternType="solid">
        <fgColor indexed="44"/>
        <bgColor indexed="64"/>
      </patternFill>
    </fill>
    <fill>
      <patternFill patternType="solid">
        <fgColor indexed="41"/>
        <bgColor indexed="64"/>
      </patternFill>
    </fill>
    <fill>
      <patternFill patternType="solid">
        <fgColor indexed="51"/>
        <bgColor indexed="64"/>
      </patternFill>
    </fill>
    <fill>
      <patternFill patternType="solid">
        <fgColor indexed="42"/>
        <bgColor indexed="64"/>
      </patternFill>
    </fill>
    <fill>
      <patternFill patternType="solid">
        <fgColor indexed="13"/>
        <bgColor indexed="64"/>
      </patternFill>
    </fill>
    <fill>
      <patternFill patternType="lightGray">
        <fgColor indexed="47"/>
        <bgColor indexed="9"/>
      </patternFill>
    </fill>
    <fill>
      <patternFill patternType="lightGray">
        <fgColor indexed="44"/>
        <bgColor indexed="9"/>
      </patternFill>
    </fill>
    <fill>
      <patternFill patternType="lightGray">
        <fgColor indexed="45"/>
        <bgColor indexed="9"/>
      </patternFill>
    </fill>
    <fill>
      <patternFill patternType="solid">
        <fgColor indexed="52"/>
        <bgColor indexed="64"/>
      </patternFill>
    </fill>
    <fill>
      <patternFill patternType="lightGray">
        <fgColor indexed="52"/>
        <bgColor indexed="9"/>
      </patternFill>
    </fill>
    <fill>
      <patternFill patternType="lightGray">
        <fgColor indexed="52"/>
      </patternFill>
    </fill>
    <fill>
      <patternFill patternType="solid">
        <fgColor indexed="53"/>
        <bgColor indexed="64"/>
      </patternFill>
    </fill>
    <fill>
      <patternFill patternType="solid">
        <fgColor indexed="54"/>
        <bgColor indexed="64"/>
      </patternFill>
    </fill>
    <fill>
      <patternFill patternType="mediumGray">
        <fgColor indexed="9"/>
        <bgColor indexed="47"/>
      </patternFill>
    </fill>
    <fill>
      <patternFill patternType="solid">
        <fgColor indexed="24"/>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FFC000"/>
        <bgColor indexed="64"/>
      </patternFill>
    </fill>
    <fill>
      <patternFill patternType="solid">
        <fgColor rgb="FFFFCCFF"/>
        <bgColor indexed="64"/>
      </patternFill>
    </fill>
    <fill>
      <patternFill patternType="solid">
        <fgColor rgb="FF99FF99"/>
        <bgColor indexed="64"/>
      </patternFill>
    </fill>
    <fill>
      <patternFill patternType="solid">
        <fgColor rgb="FF99FFCC"/>
        <bgColor indexed="64"/>
      </patternFill>
    </fill>
    <fill>
      <patternFill patternType="solid">
        <fgColor theme="0" tint="-0.499984740745262"/>
        <bgColor indexed="64"/>
      </patternFill>
    </fill>
    <fill>
      <patternFill patternType="solid">
        <fgColor rgb="FFFFFF99"/>
        <bgColor indexed="64"/>
      </patternFill>
    </fill>
    <fill>
      <patternFill patternType="solid">
        <fgColor rgb="FFFF99FF"/>
        <bgColor indexed="64"/>
      </patternFill>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FF66"/>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indexed="10"/>
        <bgColor indexed="64"/>
      </patternFill>
    </fill>
    <fill>
      <patternFill patternType="solid">
        <fgColor theme="0" tint="-0.14999847407452621"/>
        <bgColor indexed="64"/>
      </patternFill>
    </fill>
    <fill>
      <patternFill patternType="solid">
        <fgColor theme="2"/>
        <bgColor indexed="64"/>
      </patternFill>
    </fill>
  </fills>
  <borders count="246">
    <border>
      <left/>
      <right/>
      <top/>
      <bottom/>
      <diagonal/>
    </border>
    <border>
      <left/>
      <right/>
      <top style="hair">
        <color indexed="8"/>
      </top>
      <bottom style="hair">
        <color indexed="8"/>
      </bottom>
      <diagonal/>
    </border>
    <border>
      <left/>
      <right/>
      <top/>
      <bottom style="medium">
        <color indexed="18"/>
      </bottom>
      <diagonal/>
    </border>
    <border>
      <left style="medium">
        <color indexed="64"/>
      </left>
      <right/>
      <top style="medium">
        <color indexed="64"/>
      </top>
      <bottom/>
      <diagonal/>
    </border>
    <border>
      <left/>
      <right/>
      <top/>
      <bottom style="medium">
        <color indexed="64"/>
      </bottom>
      <diagonal/>
    </border>
    <border>
      <left/>
      <right/>
      <top/>
      <bottom style="thin">
        <color indexed="44"/>
      </bottom>
      <diagonal/>
    </border>
    <border>
      <left/>
      <right/>
      <top/>
      <bottom style="dotted">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medium">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dotted">
        <color indexed="64"/>
      </top>
      <bottom style="dotted">
        <color indexed="64"/>
      </bottom>
      <diagonal/>
    </border>
    <border>
      <left/>
      <right/>
      <top style="thin">
        <color indexed="62"/>
      </top>
      <bottom style="double">
        <color indexed="62"/>
      </bottom>
      <diagonal/>
    </border>
    <border>
      <left style="thin">
        <color indexed="64"/>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style="thin">
        <color indexed="64"/>
      </left>
      <right style="thin">
        <color indexed="64"/>
      </right>
      <top style="hair">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double">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thin">
        <color indexed="64"/>
      </top>
      <bottom style="thin">
        <color indexed="64"/>
      </bottom>
      <diagonal/>
    </border>
    <border>
      <left/>
      <right style="thin">
        <color indexed="64"/>
      </right>
      <top style="thin">
        <color indexed="64"/>
      </top>
      <bottom/>
      <diagonal/>
    </border>
    <border>
      <left style="hair">
        <color indexed="64"/>
      </left>
      <right/>
      <top style="thin">
        <color indexed="64"/>
      </top>
      <bottom style="hair">
        <color indexed="64"/>
      </bottom>
      <diagonal/>
    </border>
    <border>
      <left/>
      <right style="thin">
        <color indexed="64"/>
      </right>
      <top/>
      <bottom/>
      <diagonal/>
    </border>
    <border>
      <left style="hair">
        <color indexed="64"/>
      </left>
      <right/>
      <top style="hair">
        <color indexed="64"/>
      </top>
      <bottom style="hair">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hair">
        <color indexed="64"/>
      </right>
      <top style="hair">
        <color indexed="64"/>
      </top>
      <bottom/>
      <diagonal/>
    </border>
    <border>
      <left style="hair">
        <color indexed="64"/>
      </left>
      <right/>
      <top style="hair">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double">
        <color indexed="64"/>
      </bottom>
      <diagonal/>
    </border>
    <border>
      <left/>
      <right/>
      <top/>
      <bottom style="dashed">
        <color indexed="64"/>
      </bottom>
      <diagonal/>
    </border>
    <border>
      <left/>
      <right/>
      <top style="dashed">
        <color indexed="64"/>
      </top>
      <bottom/>
      <diagonal/>
    </border>
    <border>
      <left/>
      <right style="double">
        <color indexed="64"/>
      </right>
      <top style="thin">
        <color indexed="64"/>
      </top>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style="double">
        <color indexed="64"/>
      </left>
      <right style="thin">
        <color indexed="64"/>
      </right>
      <top/>
      <bottom style="thin">
        <color indexed="64"/>
      </bottom>
      <diagonal/>
    </border>
    <border>
      <left style="hair">
        <color indexed="64"/>
      </left>
      <right style="thin">
        <color indexed="64"/>
      </right>
      <top style="thin">
        <color indexed="64"/>
      </top>
      <bottom/>
      <diagonal/>
    </border>
    <border>
      <left style="hair">
        <color indexed="64"/>
      </left>
      <right style="double">
        <color indexed="64"/>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right style="double">
        <color indexed="64"/>
      </right>
      <top style="hair">
        <color indexed="64"/>
      </top>
      <bottom style="hair">
        <color indexed="64"/>
      </bottom>
      <diagonal/>
    </border>
    <border>
      <left style="double">
        <color indexed="64"/>
      </left>
      <right style="thin">
        <color indexed="64"/>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style="thin">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thin">
        <color indexed="64"/>
      </bottom>
      <diagonal/>
    </border>
    <border>
      <left/>
      <right style="medium">
        <color indexed="64"/>
      </right>
      <top/>
      <bottom style="thin">
        <color indexed="64"/>
      </bottom>
      <diagonal/>
    </border>
    <border>
      <left style="hair">
        <color indexed="64"/>
      </left>
      <right style="double">
        <color indexed="64"/>
      </right>
      <top style="hair">
        <color indexed="64"/>
      </top>
      <bottom/>
      <diagonal/>
    </border>
    <border>
      <left style="double">
        <color indexed="64"/>
      </left>
      <right style="thin">
        <color indexed="64"/>
      </right>
      <top style="thin">
        <color indexed="64"/>
      </top>
      <bottom style="hair">
        <color indexed="64"/>
      </bottom>
      <diagonal/>
    </border>
    <border>
      <left style="hair">
        <color indexed="64"/>
      </left>
      <right style="thin">
        <color indexed="64"/>
      </right>
      <top style="hair">
        <color indexed="64"/>
      </top>
      <bottom/>
      <diagonal/>
    </border>
    <border>
      <left style="double">
        <color indexed="64"/>
      </left>
      <right style="thin">
        <color indexed="64"/>
      </right>
      <top style="hair">
        <color indexed="64"/>
      </top>
      <bottom/>
      <diagonal/>
    </border>
    <border>
      <left/>
      <right style="thin">
        <color indexed="64"/>
      </right>
      <top style="hair">
        <color indexed="64"/>
      </top>
      <bottom/>
      <diagonal/>
    </border>
    <border>
      <left style="double">
        <color indexed="64"/>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style="hair">
        <color indexed="64"/>
      </top>
      <bottom style="double">
        <color indexed="64"/>
      </bottom>
      <diagonal/>
    </border>
    <border>
      <left/>
      <right style="thin">
        <color indexed="64"/>
      </right>
      <top style="hair">
        <color indexed="64"/>
      </top>
      <bottom style="double">
        <color indexed="64"/>
      </bottom>
      <diagonal/>
    </border>
    <border>
      <left style="double">
        <color indexed="64"/>
      </left>
      <right style="thin">
        <color indexed="64"/>
      </right>
      <top style="hair">
        <color indexed="64"/>
      </top>
      <bottom style="double">
        <color indexed="64"/>
      </bottom>
      <diagonal/>
    </border>
    <border>
      <left/>
      <right/>
      <top style="hair">
        <color indexed="64"/>
      </top>
      <bottom style="double">
        <color indexed="64"/>
      </bottom>
      <diagonal/>
    </border>
    <border>
      <left style="thin">
        <color indexed="64"/>
      </left>
      <right style="hair">
        <color indexed="64"/>
      </right>
      <top style="double">
        <color indexed="64"/>
      </top>
      <bottom style="thin">
        <color indexed="64"/>
      </bottom>
      <diagonal/>
    </border>
    <border>
      <left/>
      <right style="double">
        <color indexed="64"/>
      </right>
      <top style="double">
        <color indexed="64"/>
      </top>
      <bottom style="thin">
        <color indexed="64"/>
      </bottom>
      <diagonal/>
    </border>
    <border>
      <left/>
      <right/>
      <top style="double">
        <color indexed="64"/>
      </top>
      <bottom style="thin">
        <color indexed="64"/>
      </bottom>
      <diagonal/>
    </border>
    <border>
      <left/>
      <right style="hair">
        <color indexed="64"/>
      </right>
      <top style="hair">
        <color indexed="64"/>
      </top>
      <bottom style="hair">
        <color indexed="64"/>
      </bottom>
      <diagonal/>
    </border>
    <border>
      <left style="double">
        <color indexed="64"/>
      </left>
      <right style="thin">
        <color indexed="64"/>
      </right>
      <top/>
      <bottom/>
      <diagonal/>
    </border>
    <border>
      <left/>
      <right style="thin">
        <color indexed="64"/>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medium">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medium">
        <color indexed="64"/>
      </left>
      <right style="hair">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right/>
      <top/>
      <bottom style="double">
        <color indexed="64"/>
      </bottom>
      <diagonal/>
    </border>
    <border>
      <left style="thin">
        <color indexed="64"/>
      </left>
      <right style="thin">
        <color indexed="64"/>
      </right>
      <top style="medium">
        <color indexed="64"/>
      </top>
      <bottom style="medium">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double">
        <color indexed="64"/>
      </left>
      <right style="double">
        <color indexed="64"/>
      </right>
      <top style="double">
        <color indexed="64"/>
      </top>
      <bottom style="double">
        <color indexed="64"/>
      </bottom>
      <diagonal/>
    </border>
    <border>
      <left style="thin">
        <color indexed="64"/>
      </left>
      <right style="hair">
        <color indexed="64"/>
      </right>
      <top style="medium">
        <color indexed="64"/>
      </top>
      <bottom/>
      <diagonal/>
    </border>
    <border>
      <left style="hair">
        <color indexed="64"/>
      </left>
      <right style="thin">
        <color indexed="64"/>
      </right>
      <top style="medium">
        <color indexed="64"/>
      </top>
      <bottom/>
      <diagonal/>
    </border>
    <border>
      <left/>
      <right style="hair">
        <color indexed="64"/>
      </right>
      <top style="medium">
        <color indexed="64"/>
      </top>
      <bottom style="hair">
        <color indexed="64"/>
      </bottom>
      <diagonal/>
    </border>
    <border>
      <left style="thin">
        <color indexed="64"/>
      </left>
      <right style="hair">
        <color indexed="64"/>
      </right>
      <top/>
      <bottom/>
      <diagonal/>
    </border>
    <border>
      <left/>
      <right style="hair">
        <color indexed="64"/>
      </right>
      <top/>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right/>
      <top style="medium">
        <color indexed="64"/>
      </top>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hair">
        <color indexed="64"/>
      </right>
      <top style="medium">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hair">
        <color indexed="64"/>
      </right>
      <top style="hair">
        <color indexed="64"/>
      </top>
      <bottom style="medium">
        <color indexed="64"/>
      </bottom>
      <diagonal/>
    </border>
    <border>
      <left/>
      <right style="thin">
        <color indexed="64"/>
      </right>
      <top style="hair">
        <color indexed="64"/>
      </top>
      <bottom style="medium">
        <color indexed="64"/>
      </bottom>
      <diagonal/>
    </border>
    <border>
      <left/>
      <right style="thin">
        <color indexed="64"/>
      </right>
      <top/>
      <bottom style="medium">
        <color indexed="64"/>
      </bottom>
      <diagonal/>
    </border>
    <border>
      <left/>
      <right/>
      <top style="hair">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top/>
      <bottom style="hair">
        <color indexed="64"/>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double">
        <color indexed="64"/>
      </left>
      <right style="hair">
        <color indexed="64"/>
      </right>
      <top style="double">
        <color indexed="64"/>
      </top>
      <bottom style="thin">
        <color indexed="64"/>
      </bottom>
      <diagonal/>
    </border>
    <border>
      <left style="hair">
        <color indexed="64"/>
      </left>
      <right style="thin">
        <color indexed="64"/>
      </right>
      <top style="double">
        <color indexed="64"/>
      </top>
      <bottom style="thin">
        <color indexed="64"/>
      </bottom>
      <diagonal/>
    </border>
    <border>
      <left style="hair">
        <color indexed="64"/>
      </left>
      <right style="double">
        <color indexed="64"/>
      </right>
      <top style="thin">
        <color indexed="64"/>
      </top>
      <bottom style="hair">
        <color indexed="64"/>
      </bottom>
      <diagonal/>
    </border>
    <border>
      <left/>
      <right style="hair">
        <color indexed="64"/>
      </right>
      <top style="hair">
        <color indexed="64"/>
      </top>
      <bottom style="thin">
        <color indexed="64"/>
      </bottom>
      <diagonal/>
    </border>
    <border>
      <left/>
      <right style="medium">
        <color indexed="64"/>
      </right>
      <top style="thin">
        <color indexed="64"/>
      </top>
      <bottom style="medium">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style="hair">
        <color indexed="64"/>
      </bottom>
      <diagonal/>
    </border>
    <border>
      <left/>
      <right/>
      <top style="dotted">
        <color indexed="64"/>
      </top>
      <bottom/>
      <diagonal/>
    </border>
    <border>
      <left style="thin">
        <color indexed="64"/>
      </left>
      <right/>
      <top style="double">
        <color indexed="64"/>
      </top>
      <bottom/>
      <diagonal/>
    </border>
    <border>
      <left/>
      <right/>
      <top style="double">
        <color indexed="64"/>
      </top>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double">
        <color indexed="64"/>
      </left>
      <right/>
      <top style="hair">
        <color indexed="64"/>
      </top>
      <bottom style="medium">
        <color indexed="64"/>
      </bottom>
      <diagonal/>
    </border>
    <border>
      <left style="double">
        <color indexed="64"/>
      </left>
      <right/>
      <top style="hair">
        <color indexed="64"/>
      </top>
      <bottom style="hair">
        <color indexed="64"/>
      </bottom>
      <diagonal/>
    </border>
    <border>
      <left style="hair">
        <color indexed="64"/>
      </left>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double">
        <color indexed="64"/>
      </left>
      <right/>
      <top style="medium">
        <color indexed="64"/>
      </top>
      <bottom style="thin">
        <color indexed="64"/>
      </bottom>
      <diagonal/>
    </border>
    <border>
      <left style="hair">
        <color indexed="64"/>
      </left>
      <right/>
      <top style="medium">
        <color indexed="64"/>
      </top>
      <bottom style="thin">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bottom/>
      <diagonal/>
    </border>
    <border>
      <left style="medium">
        <color indexed="64"/>
      </left>
      <right/>
      <top style="medium">
        <color indexed="64"/>
      </top>
      <bottom style="medium">
        <color indexed="64"/>
      </bottom>
      <diagonal/>
    </border>
    <border>
      <left/>
      <right style="hair">
        <color indexed="64"/>
      </right>
      <top/>
      <bottom style="hair">
        <color indexed="64"/>
      </bottom>
      <diagonal/>
    </border>
    <border>
      <left style="hair">
        <color indexed="64"/>
      </left>
      <right/>
      <top style="thin">
        <color indexed="64"/>
      </top>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style="medium">
        <color indexed="64"/>
      </left>
      <right style="thin">
        <color indexed="64"/>
      </right>
      <top/>
      <bottom style="thin">
        <color indexed="64"/>
      </bottom>
      <diagonal/>
    </border>
    <border>
      <left style="hair">
        <color indexed="64"/>
      </left>
      <right style="double">
        <color indexed="64"/>
      </right>
      <top/>
      <bottom/>
      <diagonal/>
    </border>
    <border>
      <left style="double">
        <color indexed="64"/>
      </left>
      <right style="hair">
        <color indexed="64"/>
      </right>
      <top/>
      <bottom/>
      <diagonal/>
    </border>
    <border>
      <left style="double">
        <color indexed="64"/>
      </left>
      <right style="hair">
        <color indexed="64"/>
      </right>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bottom style="hair">
        <color indexed="64"/>
      </bottom>
      <diagonal/>
    </border>
    <border>
      <left style="hair">
        <color indexed="64"/>
      </left>
      <right style="medium">
        <color indexed="64"/>
      </right>
      <top/>
      <bottom style="medium">
        <color indexed="64"/>
      </bottom>
      <diagonal/>
    </border>
    <border>
      <left style="hair">
        <color indexed="64"/>
      </left>
      <right style="medium">
        <color indexed="64"/>
      </right>
      <top style="medium">
        <color indexed="64"/>
      </top>
      <bottom style="thin">
        <color indexed="64"/>
      </bottom>
      <diagonal/>
    </border>
    <border>
      <left style="hair">
        <color indexed="64"/>
      </left>
      <right style="medium">
        <color indexed="64"/>
      </right>
      <top style="hair">
        <color indexed="64"/>
      </top>
      <bottom style="double">
        <color indexed="64"/>
      </bottom>
      <diagonal/>
    </border>
    <border>
      <left style="double">
        <color indexed="64"/>
      </left>
      <right style="hair">
        <color indexed="64"/>
      </right>
      <top style="double">
        <color indexed="64"/>
      </top>
      <bottom/>
      <diagonal/>
    </border>
    <border>
      <left style="hair">
        <color indexed="64"/>
      </left>
      <right style="hair">
        <color indexed="64"/>
      </right>
      <top style="double">
        <color indexed="64"/>
      </top>
      <bottom/>
      <diagonal/>
    </border>
    <border>
      <left style="double">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hair">
        <color indexed="64"/>
      </left>
      <right style="double">
        <color indexed="64"/>
      </right>
      <top style="double">
        <color indexed="64"/>
      </top>
      <bottom/>
      <diagonal/>
    </border>
    <border>
      <left style="hair">
        <color indexed="64"/>
      </left>
      <right style="double">
        <color indexed="64"/>
      </right>
      <top/>
      <bottom style="double">
        <color indexed="64"/>
      </bottom>
      <diagonal/>
    </border>
    <border>
      <left style="hair">
        <color indexed="64"/>
      </left>
      <right style="medium">
        <color indexed="64"/>
      </right>
      <top style="hair">
        <color indexed="64"/>
      </top>
      <bottom/>
      <diagonal/>
    </border>
    <border>
      <left style="hair">
        <color indexed="64"/>
      </left>
      <right style="medium">
        <color indexed="64"/>
      </right>
      <top style="thin">
        <color indexed="64"/>
      </top>
      <bottom style="hair">
        <color indexed="64"/>
      </bottom>
      <diagonal/>
    </border>
    <border>
      <left style="medium">
        <color indexed="64"/>
      </left>
      <right style="thin">
        <color indexed="64"/>
      </right>
      <top style="hair">
        <color indexed="64"/>
      </top>
      <bottom/>
      <diagonal/>
    </border>
    <border>
      <left style="hair">
        <color indexed="64"/>
      </left>
      <right style="medium">
        <color indexed="64"/>
      </right>
      <top style="thin">
        <color indexed="64"/>
      </top>
      <bottom style="thin">
        <color indexed="64"/>
      </bottom>
      <diagonal/>
    </border>
    <border>
      <left style="hair">
        <color indexed="64"/>
      </left>
      <right style="medium">
        <color indexed="64"/>
      </right>
      <top style="hair">
        <color indexed="64"/>
      </top>
      <bottom style="thin">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medium">
        <color indexed="64"/>
      </right>
      <top style="medium">
        <color indexed="64"/>
      </top>
      <bottom style="hair">
        <color indexed="64"/>
      </bottom>
      <diagonal/>
    </border>
    <border>
      <left style="hair">
        <color indexed="64"/>
      </left>
      <right style="medium">
        <color indexed="64"/>
      </right>
      <top/>
      <bottom/>
      <diagonal/>
    </border>
    <border>
      <left/>
      <right style="hair">
        <color indexed="64"/>
      </right>
      <top style="hair">
        <color indexed="64"/>
      </top>
      <bottom style="medium">
        <color indexed="64"/>
      </bottom>
      <diagonal/>
    </border>
    <border>
      <left style="thin">
        <color indexed="64"/>
      </left>
      <right style="medium">
        <color indexed="64"/>
      </right>
      <top style="medium">
        <color indexed="64"/>
      </top>
      <bottom style="thin">
        <color indexed="64"/>
      </bottom>
      <diagonal/>
    </border>
    <border>
      <left style="hair">
        <color indexed="64"/>
      </left>
      <right style="medium">
        <color indexed="64"/>
      </right>
      <top style="medium">
        <color indexed="64"/>
      </top>
      <bottom/>
      <diagonal/>
    </border>
    <border>
      <left style="double">
        <color indexed="64"/>
      </left>
      <right/>
      <top/>
      <bottom style="hair">
        <color indexed="64"/>
      </bottom>
      <diagonal/>
    </border>
    <border>
      <left style="thin">
        <color indexed="64"/>
      </left>
      <right/>
      <top style="hair">
        <color indexed="64"/>
      </top>
      <bottom style="double">
        <color indexed="64"/>
      </bottom>
      <diagonal/>
    </border>
    <border>
      <left/>
      <right style="double">
        <color indexed="64"/>
      </right>
      <top style="hair">
        <color indexed="64"/>
      </top>
      <bottom style="double">
        <color indexed="64"/>
      </bottom>
      <diagonal/>
    </border>
    <border>
      <left style="thin">
        <color indexed="64"/>
      </left>
      <right/>
      <top style="double">
        <color indexed="64"/>
      </top>
      <bottom style="thin">
        <color indexed="64"/>
      </bottom>
      <diagonal/>
    </border>
    <border>
      <left/>
      <right style="hair">
        <color indexed="64"/>
      </right>
      <top style="double">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double">
        <color indexed="64"/>
      </bottom>
      <diagonal/>
    </border>
  </borders>
  <cellStyleXfs count="478">
    <xf numFmtId="0" fontId="0" fillId="0" borderId="0">
      <alignment vertical="center"/>
    </xf>
    <xf numFmtId="0" fontId="38" fillId="0" borderId="0" applyFont="0" applyFill="0" applyBorder="0" applyAlignment="0" applyProtection="0"/>
    <xf numFmtId="0" fontId="39" fillId="0" borderId="0">
      <alignment horizontal="center"/>
    </xf>
    <xf numFmtId="0" fontId="39" fillId="0" borderId="0" applyFont="0" applyFill="0" applyBorder="0" applyAlignment="0"/>
    <xf numFmtId="0" fontId="38" fillId="0" borderId="0" applyFont="0" applyFill="0" applyBorder="0" applyAlignment="0" applyProtection="0"/>
    <xf numFmtId="0" fontId="40" fillId="0" borderId="0" applyFont="0" applyFill="0" applyBorder="0" applyAlignment="0" applyProtection="0"/>
    <xf numFmtId="0" fontId="41" fillId="0" borderId="0" applyFont="0" applyFill="0" applyBorder="0" applyAlignment="0" applyProtection="0"/>
    <xf numFmtId="1" fontId="42" fillId="0" borderId="0"/>
    <xf numFmtId="0" fontId="38" fillId="0" borderId="0" applyFont="0" applyFill="0" applyBorder="0" applyAlignment="0" applyProtection="0"/>
    <xf numFmtId="0" fontId="43" fillId="0" borderId="0" applyFont="0" applyFill="0" applyBorder="0" applyAlignment="0" applyProtection="0"/>
    <xf numFmtId="0" fontId="44" fillId="0" borderId="0" applyNumberFormat="0" applyFill="0" applyBorder="0" applyAlignment="0" applyProtection="0">
      <alignment vertical="top"/>
      <protection locked="0"/>
    </xf>
    <xf numFmtId="0" fontId="43" fillId="0" borderId="0" applyFont="0" applyFill="0" applyBorder="0" applyAlignment="0" applyProtection="0"/>
    <xf numFmtId="1" fontId="42" fillId="0" borderId="0"/>
    <xf numFmtId="1" fontId="45" fillId="0" borderId="0"/>
    <xf numFmtId="40" fontId="46" fillId="0" borderId="0" applyFont="0" applyFill="0" applyBorder="0" applyAlignment="0" applyProtection="0"/>
    <xf numFmtId="38" fontId="47" fillId="0" borderId="0" applyFont="0" applyFill="0" applyBorder="0" applyAlignment="0" applyProtection="0"/>
    <xf numFmtId="40" fontId="46" fillId="0" borderId="0" applyFont="0" applyFill="0" applyBorder="0" applyAlignment="0" applyProtection="0"/>
    <xf numFmtId="38" fontId="47" fillId="0" borderId="0" applyFont="0" applyFill="0" applyBorder="0" applyAlignment="0" applyProtection="0"/>
    <xf numFmtId="0" fontId="48" fillId="0" borderId="0"/>
    <xf numFmtId="0" fontId="49" fillId="0" borderId="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50"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50"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50"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50"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50"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50"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50"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50"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50"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39"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39"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51" fillId="0" borderId="0" applyNumberFormat="0" applyFill="0" applyBorder="0" applyAlignment="0" applyProtection="0"/>
    <xf numFmtId="0" fontId="7" fillId="2" borderId="0" applyNumberFormat="0" applyFont="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Protection="0">
      <alignment horizontal="right"/>
    </xf>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Protection="0">
      <alignment horizontal="right"/>
    </xf>
    <xf numFmtId="0" fontId="7" fillId="0" borderId="0" applyFont="0" applyFill="0" applyBorder="0" applyProtection="0">
      <alignment horizontal="right"/>
    </xf>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Protection="0">
      <alignment horizontal="right"/>
    </xf>
    <xf numFmtId="0" fontId="7" fillId="0" borderId="0" applyFont="0" applyFill="0" applyBorder="0" applyProtection="0">
      <alignment horizontal="right"/>
    </xf>
    <xf numFmtId="0" fontId="7" fillId="0" borderId="0" applyFont="0" applyFill="0" applyBorder="0" applyProtection="0">
      <alignment horizontal="right"/>
    </xf>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52" fillId="0" borderId="0" applyNumberFormat="0" applyFill="0" applyBorder="0" applyProtection="0">
      <alignment vertical="top"/>
    </xf>
    <xf numFmtId="0" fontId="53" fillId="0" borderId="1" applyNumberFormat="0" applyFill="0" applyAlignment="0" applyProtection="0"/>
    <xf numFmtId="0" fontId="54" fillId="0" borderId="2" applyNumberFormat="0" applyFill="0" applyProtection="0">
      <alignment horizontal="center"/>
    </xf>
    <xf numFmtId="0" fontId="54" fillId="0" borderId="0" applyNumberFormat="0" applyFill="0" applyBorder="0" applyProtection="0">
      <alignment horizontal="left"/>
    </xf>
    <xf numFmtId="0" fontId="55" fillId="0" borderId="0" applyNumberFormat="0" applyFill="0" applyBorder="0" applyProtection="0">
      <alignment horizontal="centerContinuous"/>
    </xf>
    <xf numFmtId="0" fontId="38" fillId="0" borderId="0" applyFont="0" applyFill="0" applyBorder="0" applyAlignment="0" applyProtection="0"/>
    <xf numFmtId="0" fontId="50"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50"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50"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50"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50"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38" fillId="0" borderId="0" applyFont="0" applyFill="0" applyBorder="0" applyAlignment="0" applyProtection="0"/>
    <xf numFmtId="0" fontId="50" fillId="0" borderId="0" applyFont="0" applyFill="0" applyBorder="0" applyAlignment="0" applyProtection="0"/>
    <xf numFmtId="0" fontId="38" fillId="0" borderId="0" applyFont="0" applyFill="0" applyBorder="0" applyAlignment="0" applyProtection="0"/>
    <xf numFmtId="0" fontId="50" fillId="0" borderId="0" applyFont="0" applyFill="0" applyBorder="0" applyAlignment="0" applyProtection="0"/>
    <xf numFmtId="0" fontId="38" fillId="0" borderId="0" applyFont="0" applyFill="0" applyBorder="0" applyAlignment="0" applyProtection="0"/>
    <xf numFmtId="0" fontId="50" fillId="0" borderId="0" applyFont="0" applyFill="0" applyBorder="0" applyAlignment="0" applyProtection="0"/>
    <xf numFmtId="0" fontId="38" fillId="0" borderId="0" applyFont="0" applyFill="0" applyBorder="0" applyAlignment="0" applyProtection="0"/>
    <xf numFmtId="0" fontId="50" fillId="0" borderId="0" applyFont="0" applyFill="0" applyBorder="0" applyAlignment="0" applyProtection="0"/>
    <xf numFmtId="0" fontId="38" fillId="0" borderId="0" applyFont="0" applyFill="0" applyBorder="0" applyAlignment="0" applyProtection="0"/>
    <xf numFmtId="0" fontId="50"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50" fillId="0" borderId="0" applyFont="0" applyFill="0" applyBorder="0" applyAlignment="0" applyProtection="0"/>
    <xf numFmtId="0" fontId="49" fillId="0" borderId="0" applyFont="0" applyFill="0" applyBorder="0" applyAlignment="0" applyProtection="0"/>
    <xf numFmtId="0" fontId="49" fillId="0" borderId="0" applyFont="0" applyFill="0" applyBorder="0" applyAlignment="0" applyProtection="0"/>
    <xf numFmtId="0" fontId="56" fillId="0" borderId="0"/>
    <xf numFmtId="0" fontId="56" fillId="0" borderId="0"/>
    <xf numFmtId="0" fontId="57" fillId="0" borderId="3" applyNumberFormat="0" applyFont="0" applyFill="0" applyBorder="0" applyAlignment="0"/>
    <xf numFmtId="0" fontId="58" fillId="4" borderId="0" applyNumberFormat="0" applyBorder="0" applyAlignment="0" applyProtection="0"/>
    <xf numFmtId="0" fontId="58" fillId="3" borderId="0" applyNumberFormat="0" applyBorder="0" applyAlignment="0" applyProtection="0"/>
    <xf numFmtId="0" fontId="58" fillId="5" borderId="0" applyNumberFormat="0" applyBorder="0" applyAlignment="0" applyProtection="0"/>
    <xf numFmtId="0" fontId="58" fillId="4" borderId="0" applyNumberFormat="0" applyBorder="0" applyAlignment="0" applyProtection="0"/>
    <xf numFmtId="0" fontId="58" fillId="6" borderId="0" applyNumberFormat="0" applyBorder="0" applyAlignment="0" applyProtection="0"/>
    <xf numFmtId="0" fontId="58" fillId="3" borderId="0" applyNumberFormat="0" applyBorder="0" applyAlignment="0" applyProtection="0"/>
    <xf numFmtId="0" fontId="58" fillId="7" borderId="0" applyNumberFormat="0" applyBorder="0" applyAlignment="0" applyProtection="0"/>
    <xf numFmtId="0" fontId="58" fillId="3" borderId="0" applyNumberFormat="0" applyBorder="0" applyAlignment="0" applyProtection="0"/>
    <xf numFmtId="0" fontId="58" fillId="5" borderId="0" applyNumberFormat="0" applyBorder="0" applyAlignment="0" applyProtection="0"/>
    <xf numFmtId="0" fontId="58" fillId="9" borderId="0" applyNumberFormat="0" applyBorder="0" applyAlignment="0" applyProtection="0"/>
    <xf numFmtId="0" fontId="58" fillId="7" borderId="0" applyNumberFormat="0" applyBorder="0" applyAlignment="0" applyProtection="0"/>
    <xf numFmtId="0" fontId="58" fillId="10" borderId="0" applyNumberFormat="0" applyBorder="0" applyAlignment="0" applyProtection="0"/>
    <xf numFmtId="0" fontId="59" fillId="0" borderId="0">
      <alignment horizontal="center"/>
    </xf>
    <xf numFmtId="0" fontId="60" fillId="12" borderId="0" applyNumberFormat="0" applyBorder="0" applyAlignment="0" applyProtection="0"/>
    <xf numFmtId="0" fontId="60" fillId="13" borderId="0" applyNumberFormat="0" applyBorder="0" applyAlignment="0" applyProtection="0"/>
    <xf numFmtId="0" fontId="60" fillId="5" borderId="0" applyNumberFormat="0" applyBorder="0" applyAlignment="0" applyProtection="0"/>
    <xf numFmtId="0" fontId="60" fillId="8" borderId="0" applyNumberFormat="0" applyBorder="0" applyAlignment="0" applyProtection="0"/>
    <xf numFmtId="0" fontId="60" fillId="11" borderId="0" applyNumberFormat="0" applyBorder="0" applyAlignment="0" applyProtection="0"/>
    <xf numFmtId="0" fontId="60" fillId="3" borderId="0" applyNumberFormat="0" applyBorder="0" applyAlignment="0" applyProtection="0"/>
    <xf numFmtId="0" fontId="59" fillId="0" borderId="0">
      <alignment horizontal="center"/>
    </xf>
    <xf numFmtId="0" fontId="61" fillId="0" borderId="0" applyNumberFormat="0" applyAlignment="0"/>
    <xf numFmtId="0" fontId="62" fillId="0" borderId="4" applyNumberFormat="0" applyFont="0" applyFill="0" applyAlignment="0" applyProtection="0"/>
    <xf numFmtId="0" fontId="62" fillId="0" borderId="5" applyNumberFormat="0" applyFont="0" applyFill="0" applyAlignment="0" applyProtection="0"/>
    <xf numFmtId="0" fontId="63" fillId="0" borderId="0" applyFill="0" applyBorder="0" applyAlignment="0"/>
    <xf numFmtId="0" fontId="43" fillId="0" borderId="0" applyFill="0" applyBorder="0" applyAlignment="0"/>
    <xf numFmtId="0" fontId="41" fillId="0" borderId="0" applyFill="0" applyBorder="0" applyAlignment="0"/>
    <xf numFmtId="0" fontId="41" fillId="0" borderId="0" applyFill="0" applyBorder="0" applyAlignment="0"/>
    <xf numFmtId="0" fontId="25" fillId="0" borderId="0" applyFill="0" applyBorder="0" applyAlignment="0"/>
    <xf numFmtId="0" fontId="41" fillId="0" borderId="0" applyFill="0" applyBorder="0" applyAlignment="0"/>
    <xf numFmtId="0" fontId="41" fillId="0" borderId="0" applyFill="0" applyBorder="0" applyAlignment="0"/>
    <xf numFmtId="0" fontId="43" fillId="0" borderId="0" applyFill="0" applyBorder="0" applyAlignment="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37" fontId="43" fillId="0" borderId="0" applyFont="0" applyFill="0" applyBorder="0" applyAlignment="0" applyProtection="0"/>
    <xf numFmtId="0" fontId="39" fillId="0" borderId="0" applyFont="0" applyFill="0" applyBorder="0" applyAlignment="0" applyProtection="0"/>
    <xf numFmtId="0" fontId="43" fillId="0" borderId="0" applyFont="0" applyFill="0" applyBorder="0" applyAlignment="0" applyProtection="0"/>
    <xf numFmtId="0" fontId="41" fillId="0" borderId="0" applyFont="0" applyFill="0" applyBorder="0" applyAlignment="0" applyProtection="0"/>
    <xf numFmtId="0" fontId="64" fillId="0" borderId="0" applyFont="0" applyFill="0" applyBorder="0" applyAlignment="0" applyProtection="0"/>
    <xf numFmtId="0" fontId="65" fillId="0" borderId="0" applyFont="0" applyFill="0" applyBorder="0" applyAlignment="0" applyProtection="0">
      <alignment horizontal="right"/>
    </xf>
    <xf numFmtId="0" fontId="65" fillId="0" borderId="0" applyFont="0" applyFill="0" applyBorder="0" applyAlignment="0" applyProtection="0">
      <alignment horizontal="right"/>
    </xf>
    <xf numFmtId="0" fontId="43" fillId="0" borderId="0" applyFont="0" applyFill="0" applyBorder="0" applyAlignment="0" applyProtection="0"/>
    <xf numFmtId="0" fontId="66" fillId="0" borderId="0"/>
    <xf numFmtId="0" fontId="67" fillId="0" borderId="0"/>
    <xf numFmtId="0" fontId="66" fillId="0" borderId="0"/>
    <xf numFmtId="0" fontId="67" fillId="0" borderId="0"/>
    <xf numFmtId="0" fontId="41" fillId="0" borderId="0">
      <alignment horizontal="center"/>
    </xf>
    <xf numFmtId="0" fontId="39" fillId="0" borderId="0" applyFont="0" applyFill="0" applyBorder="0" applyAlignment="0" applyProtection="0"/>
    <xf numFmtId="0" fontId="39" fillId="0" borderId="0" applyFont="0" applyFill="0" applyBorder="0" applyAlignment="0" applyProtection="0"/>
    <xf numFmtId="0" fontId="43" fillId="0" borderId="0" applyFont="0" applyFill="0" applyBorder="0" applyAlignment="0" applyProtection="0"/>
    <xf numFmtId="0" fontId="43" fillId="0" borderId="0" applyFont="0" applyFill="0" applyBorder="0" applyAlignment="0" applyProtection="0"/>
    <xf numFmtId="0" fontId="43" fillId="0" borderId="0" applyFont="0" applyFill="0" applyBorder="0" applyAlignment="0" applyProtection="0"/>
    <xf numFmtId="0" fontId="37" fillId="0" borderId="0" applyFont="0" applyFill="0" applyBorder="0" applyAlignment="0" applyProtection="0"/>
    <xf numFmtId="0" fontId="65" fillId="0" borderId="0" applyFont="0" applyFill="0" applyBorder="0" applyAlignment="0" applyProtection="0">
      <alignment horizontal="right"/>
    </xf>
    <xf numFmtId="0" fontId="65" fillId="0" borderId="0" applyFont="0" applyFill="0" applyBorder="0" applyAlignment="0" applyProtection="0">
      <alignment horizontal="right"/>
    </xf>
    <xf numFmtId="0" fontId="43" fillId="0" borderId="0" applyFont="0" applyFill="0" applyBorder="0" applyAlignment="0" applyProtection="0"/>
    <xf numFmtId="14" fontId="25" fillId="0" borderId="0" applyFont="0" applyFill="0" applyBorder="0" applyAlignment="0" applyProtection="0"/>
    <xf numFmtId="14" fontId="39" fillId="0" borderId="0" applyFont="0" applyFill="0" applyBorder="0" applyAlignment="0" applyProtection="0"/>
    <xf numFmtId="0" fontId="65" fillId="0" borderId="0" applyFont="0" applyFill="0" applyBorder="0" applyAlignment="0" applyProtection="0"/>
    <xf numFmtId="14" fontId="63" fillId="0" borderId="0" applyFill="0" applyBorder="0" applyAlignment="0"/>
    <xf numFmtId="0" fontId="62" fillId="0" borderId="0" applyFont="0" applyFill="0" applyBorder="0" applyProtection="0">
      <alignment horizontal="right"/>
    </xf>
    <xf numFmtId="0" fontId="43" fillId="0" borderId="0"/>
    <xf numFmtId="0" fontId="68" fillId="0" borderId="0" applyFont="0" applyFill="0" applyBorder="0" applyAlignment="0" applyProtection="0"/>
    <xf numFmtId="0" fontId="65" fillId="0" borderId="6" applyNumberFormat="0" applyFont="0" applyFill="0" applyAlignment="0" applyProtection="0"/>
    <xf numFmtId="0" fontId="50" fillId="0" borderId="0">
      <alignment horizontal="left"/>
    </xf>
    <xf numFmtId="0" fontId="69" fillId="0" borderId="0" applyFill="0" applyBorder="0" applyAlignment="0"/>
    <xf numFmtId="0" fontId="69" fillId="0" borderId="0" applyFill="0" applyBorder="0" applyAlignment="0"/>
    <xf numFmtId="0" fontId="69" fillId="0" borderId="0" applyFill="0" applyBorder="0" applyAlignment="0"/>
    <xf numFmtId="0" fontId="69" fillId="0" borderId="0" applyFill="0" applyBorder="0" applyAlignment="0"/>
    <xf numFmtId="0" fontId="69" fillId="0" borderId="0" applyFill="0" applyBorder="0" applyAlignment="0"/>
    <xf numFmtId="0" fontId="70" fillId="0" borderId="0">
      <alignment horizontal="left"/>
    </xf>
    <xf numFmtId="0" fontId="45" fillId="0" borderId="0" applyFont="0" applyFill="0" applyBorder="0" applyAlignment="0" applyProtection="0"/>
    <xf numFmtId="0" fontId="71" fillId="0" borderId="0">
      <protection locked="0"/>
    </xf>
    <xf numFmtId="0" fontId="71" fillId="0" borderId="0">
      <protection locked="0"/>
    </xf>
    <xf numFmtId="0" fontId="72" fillId="0" borderId="0">
      <protection locked="0"/>
    </xf>
    <xf numFmtId="0" fontId="71" fillId="0" borderId="0">
      <protection locked="0"/>
    </xf>
    <xf numFmtId="0" fontId="71" fillId="0" borderId="0">
      <protection locked="0"/>
    </xf>
    <xf numFmtId="0" fontId="71" fillId="0" borderId="0">
      <protection locked="0"/>
    </xf>
    <xf numFmtId="0" fontId="72" fillId="0" borderId="0">
      <protection locked="0"/>
    </xf>
    <xf numFmtId="0" fontId="73" fillId="0" borderId="0" applyNumberFormat="0" applyFill="0" applyBorder="0" applyAlignment="0" applyProtection="0">
      <alignment vertical="top"/>
      <protection locked="0"/>
    </xf>
    <xf numFmtId="0" fontId="74" fillId="0" borderId="0" applyFill="0" applyBorder="0" applyProtection="0">
      <alignment horizontal="left"/>
    </xf>
    <xf numFmtId="38" fontId="61" fillId="14" borderId="0" applyNumberFormat="0" applyBorder="0" applyAlignment="0" applyProtection="0"/>
    <xf numFmtId="0" fontId="65" fillId="0" borderId="0" applyFont="0" applyFill="0" applyBorder="0" applyAlignment="0" applyProtection="0">
      <alignment horizontal="right"/>
    </xf>
    <xf numFmtId="0" fontId="75" fillId="0" borderId="0" applyProtection="0">
      <alignment horizontal="right"/>
    </xf>
    <xf numFmtId="0" fontId="76" fillId="0" borderId="7" applyNumberFormat="0" applyAlignment="0" applyProtection="0">
      <alignment horizontal="left" vertical="center"/>
    </xf>
    <xf numFmtId="0" fontId="76" fillId="0" borderId="8">
      <alignment horizontal="left" vertical="center"/>
    </xf>
    <xf numFmtId="0" fontId="77" fillId="0" borderId="0">
      <alignment horizontal="center"/>
    </xf>
    <xf numFmtId="0" fontId="78" fillId="0" borderId="0" applyProtection="0">
      <alignment horizontal="left"/>
    </xf>
    <xf numFmtId="0" fontId="79" fillId="0" borderId="0" applyProtection="0">
      <alignment horizontal="left"/>
    </xf>
    <xf numFmtId="0" fontId="80" fillId="0" borderId="0" applyNumberFormat="0" applyFill="0" applyBorder="0" applyAlignment="0" applyProtection="0">
      <alignment vertical="top"/>
      <protection locked="0"/>
    </xf>
    <xf numFmtId="0" fontId="22" fillId="0" borderId="6">
      <alignment vertical="top"/>
    </xf>
    <xf numFmtId="10" fontId="61" fillId="15" borderId="9" applyNumberFormat="0" applyBorder="0" applyAlignment="0" applyProtection="0"/>
    <xf numFmtId="0" fontId="81" fillId="0" borderId="0" applyFill="0" applyBorder="0" applyAlignment="0"/>
    <xf numFmtId="0" fontId="81" fillId="0" borderId="0" applyFill="0" applyBorder="0" applyAlignment="0"/>
    <xf numFmtId="0" fontId="81" fillId="0" borderId="0" applyFill="0" applyBorder="0" applyAlignment="0"/>
    <xf numFmtId="0" fontId="81" fillId="0" borderId="0" applyFill="0" applyBorder="0" applyAlignment="0"/>
    <xf numFmtId="0" fontId="81" fillId="0" borderId="0" applyFill="0" applyBorder="0" applyAlignment="0"/>
    <xf numFmtId="38" fontId="39" fillId="0" borderId="0"/>
    <xf numFmtId="38" fontId="22" fillId="1" borderId="10"/>
    <xf numFmtId="0" fontId="43" fillId="0" borderId="0" applyFont="0" applyFill="0" applyBorder="0" applyAlignment="0" applyProtection="0"/>
    <xf numFmtId="0" fontId="43" fillId="0" borderId="0" applyFont="0" applyFill="0" applyBorder="0" applyAlignment="0" applyProtection="0"/>
    <xf numFmtId="0" fontId="43" fillId="0" borderId="0" applyFont="0" applyFill="0" applyBorder="0" applyAlignment="0" applyProtection="0"/>
    <xf numFmtId="0" fontId="43" fillId="0" borderId="0" applyFont="0" applyFill="0" applyBorder="0" applyAlignment="0" applyProtection="0"/>
    <xf numFmtId="0" fontId="62" fillId="0" borderId="0" applyFont="0" applyFill="0" applyBorder="0" applyAlignment="0" applyProtection="0"/>
    <xf numFmtId="0" fontId="62" fillId="0" borderId="0" applyFont="0" applyFill="0" applyBorder="0" applyAlignment="0" applyProtection="0"/>
    <xf numFmtId="0" fontId="25" fillId="0" borderId="0" applyFont="0" applyFill="0" applyBorder="0" applyAlignment="0" applyProtection="0"/>
    <xf numFmtId="0" fontId="65" fillId="0" borderId="0" applyFont="0" applyFill="0" applyBorder="0" applyAlignment="0" applyProtection="0">
      <alignment horizontal="right"/>
    </xf>
    <xf numFmtId="0" fontId="43" fillId="0" borderId="0" applyNumberFormat="0" applyFont="0" applyFill="0" applyBorder="0" applyAlignment="0" applyProtection="0"/>
    <xf numFmtId="0" fontId="43" fillId="0" borderId="0" applyFont="0" applyFill="0" applyBorder="0" applyAlignment="0" applyProtection="0"/>
    <xf numFmtId="0" fontId="82" fillId="0" borderId="11">
      <alignment horizontal="left"/>
    </xf>
    <xf numFmtId="0" fontId="43" fillId="0" borderId="0" applyFont="0" applyFill="0" applyBorder="0" applyAlignment="0" applyProtection="0"/>
    <xf numFmtId="0" fontId="83" fillId="0" borderId="0"/>
    <xf numFmtId="0" fontId="43" fillId="0" borderId="0"/>
    <xf numFmtId="0" fontId="43" fillId="0" borderId="0"/>
    <xf numFmtId="0" fontId="84" fillId="0" borderId="0" applyFill="0" applyBorder="0" applyProtection="0">
      <alignment horizontal="left"/>
    </xf>
    <xf numFmtId="0" fontId="85" fillId="0" borderId="0" applyFill="0" applyBorder="0" applyProtection="0">
      <alignment horizontal="left"/>
    </xf>
    <xf numFmtId="1" fontId="86" fillId="0" borderId="0" applyProtection="0">
      <alignment horizontal="right" vertical="center"/>
    </xf>
    <xf numFmtId="0" fontId="39" fillId="0" borderId="0" applyFont="0" applyFill="0" applyBorder="0" applyAlignment="0" applyProtection="0"/>
    <xf numFmtId="10" fontId="39" fillId="0" borderId="0" applyFont="0" applyFill="0" applyBorder="0" applyAlignment="0" applyProtection="0"/>
    <xf numFmtId="9" fontId="25" fillId="0" borderId="0" applyFont="0" applyFill="0" applyBorder="0" applyAlignment="0" applyProtection="0"/>
    <xf numFmtId="0" fontId="25" fillId="0" borderId="0" applyFont="0" applyFill="0" applyBorder="0" applyAlignment="0" applyProtection="0"/>
    <xf numFmtId="10" fontId="43" fillId="0" borderId="0" applyFont="0" applyFill="0" applyBorder="0" applyAlignment="0" applyProtection="0"/>
    <xf numFmtId="0" fontId="62" fillId="0" borderId="0" applyFont="0" applyFill="0" applyBorder="0" applyProtection="0">
      <alignment horizontal="right"/>
    </xf>
    <xf numFmtId="10" fontId="87" fillId="0" borderId="0" applyFont="0" applyFill="0" applyBorder="0" applyAlignment="0" applyProtection="0"/>
    <xf numFmtId="0" fontId="88" fillId="0" borderId="0" applyFill="0" applyBorder="0" applyAlignment="0"/>
    <xf numFmtId="0" fontId="88" fillId="0" borderId="0" applyFill="0" applyBorder="0" applyAlignment="0"/>
    <xf numFmtId="0" fontId="88" fillId="0" borderId="0" applyFill="0" applyBorder="0" applyAlignment="0"/>
    <xf numFmtId="0" fontId="88" fillId="0" borderId="0" applyFill="0" applyBorder="0" applyAlignment="0"/>
    <xf numFmtId="0" fontId="88" fillId="0" borderId="0" applyFill="0" applyBorder="0" applyAlignment="0"/>
    <xf numFmtId="4" fontId="70" fillId="0" borderId="0">
      <alignment horizontal="right"/>
    </xf>
    <xf numFmtId="4" fontId="89" fillId="0" borderId="0">
      <alignment horizontal="right"/>
    </xf>
    <xf numFmtId="0" fontId="90" fillId="0" borderId="0">
      <alignment horizontal="left"/>
    </xf>
    <xf numFmtId="0" fontId="22" fillId="16" borderId="12" applyNumberFormat="0" applyFont="0" applyBorder="0" applyAlignment="0" applyProtection="0"/>
    <xf numFmtId="0" fontId="39" fillId="17" borderId="0" applyNumberFormat="0" applyFont="0" applyBorder="0" applyAlignment="0" applyProtection="0"/>
    <xf numFmtId="0" fontId="91" fillId="18" borderId="0" applyNumberFormat="0" applyBorder="0" applyAlignment="0" applyProtection="0"/>
    <xf numFmtId="0" fontId="43" fillId="0" borderId="0" applyNumberFormat="0" applyFont="0" applyFill="0" applyBorder="0" applyAlignment="0" applyProtection="0"/>
    <xf numFmtId="0" fontId="91" fillId="19" borderId="0" applyNumberFormat="0" applyBorder="0" applyAlignment="0" applyProtection="0"/>
    <xf numFmtId="0" fontId="91" fillId="19" borderId="0" applyNumberFormat="0" applyBorder="0" applyAlignment="0" applyProtection="0"/>
    <xf numFmtId="3" fontId="43" fillId="0" borderId="0" applyNumberFormat="0" applyFont="0" applyFill="0" applyBorder="0" applyAlignment="0" applyProtection="0"/>
    <xf numFmtId="0" fontId="91" fillId="20" borderId="0" applyNumberFormat="0" applyBorder="0" applyAlignment="0" applyProtection="0"/>
    <xf numFmtId="0" fontId="91" fillId="20" borderId="0" applyNumberFormat="0" applyBorder="0" applyAlignment="0" applyProtection="0"/>
    <xf numFmtId="3" fontId="43" fillId="0" borderId="0" applyNumberFormat="0" applyFont="0" applyFill="0" applyBorder="0" applyAlignment="0" applyProtection="0"/>
    <xf numFmtId="0" fontId="43" fillId="21" borderId="0" applyNumberFormat="0" applyBorder="0" applyAlignment="0" applyProtection="0"/>
    <xf numFmtId="0" fontId="91" fillId="21" borderId="0" applyNumberFormat="0" applyBorder="0" applyAlignment="0" applyProtection="0"/>
    <xf numFmtId="3" fontId="43" fillId="0" borderId="0" applyNumberFormat="0" applyFont="0" applyFill="0" applyBorder="0" applyAlignment="0" applyProtection="0"/>
    <xf numFmtId="3" fontId="91" fillId="22" borderId="0" applyNumberFormat="0" applyBorder="0" applyAlignment="0" applyProtection="0"/>
    <xf numFmtId="3" fontId="91" fillId="22" borderId="0" applyNumberFormat="0" applyBorder="0" applyAlignment="0" applyProtection="0"/>
    <xf numFmtId="3" fontId="43" fillId="0" borderId="0" applyNumberFormat="0" applyFont="0" applyFill="0" applyBorder="0" applyAlignment="0" applyProtection="0"/>
    <xf numFmtId="3" fontId="91" fillId="23" borderId="0" applyNumberFormat="0" applyBorder="0" applyAlignment="0" applyProtection="0"/>
    <xf numFmtId="3" fontId="91" fillId="23" borderId="0" applyNumberFormat="0" applyBorder="0" applyAlignment="0" applyProtection="0"/>
    <xf numFmtId="0" fontId="43" fillId="0" borderId="0" applyFont="0" applyFill="0" applyBorder="0" applyAlignment="0" applyProtection="0"/>
    <xf numFmtId="3" fontId="43" fillId="0" borderId="0" applyFont="0" applyFill="0" applyBorder="0" applyAlignment="0" applyProtection="0"/>
    <xf numFmtId="0" fontId="43" fillId="23" borderId="0" applyNumberFormat="0" applyFont="0" applyBorder="0" applyAlignment="0" applyProtection="0"/>
    <xf numFmtId="4" fontId="43" fillId="0" borderId="0" applyFont="0" applyFill="0" applyBorder="0" applyAlignment="0" applyProtection="0"/>
    <xf numFmtId="0" fontId="92" fillId="0" borderId="0"/>
    <xf numFmtId="38" fontId="39" fillId="0" borderId="13"/>
    <xf numFmtId="0" fontId="93" fillId="24" borderId="0">
      <alignment horizontal="centerContinuous"/>
      <protection locked="0"/>
    </xf>
    <xf numFmtId="0" fontId="94" fillId="0" borderId="0" applyFill="0" applyBorder="0" applyProtection="0">
      <alignment horizontal="center" vertical="center"/>
    </xf>
    <xf numFmtId="0" fontId="95" fillId="0" borderId="0" applyBorder="0" applyProtection="0">
      <alignment vertical="center"/>
    </xf>
    <xf numFmtId="0" fontId="95" fillId="0" borderId="10" applyBorder="0" applyProtection="0">
      <alignment horizontal="right" vertical="center"/>
    </xf>
    <xf numFmtId="0" fontId="96" fillId="25" borderId="0" applyBorder="0" applyProtection="0">
      <alignment horizontal="centerContinuous" vertical="center"/>
    </xf>
    <xf numFmtId="0" fontId="96" fillId="26" borderId="10" applyBorder="0" applyProtection="0">
      <alignment horizontal="centerContinuous" vertical="center"/>
    </xf>
    <xf numFmtId="0" fontId="94" fillId="0" borderId="0" applyFill="0" applyBorder="0" applyProtection="0"/>
    <xf numFmtId="0" fontId="97" fillId="0" borderId="0" applyFill="0" applyBorder="0" applyProtection="0">
      <alignment horizontal="left"/>
    </xf>
    <xf numFmtId="0" fontId="74" fillId="0" borderId="14" applyFill="0" applyBorder="0" applyProtection="0">
      <alignment horizontal="left" vertical="top"/>
    </xf>
    <xf numFmtId="49" fontId="63" fillId="0" borderId="0" applyFill="0" applyBorder="0" applyAlignment="0"/>
    <xf numFmtId="0" fontId="63" fillId="0" borderId="0" applyFill="0" applyBorder="0" applyAlignment="0"/>
    <xf numFmtId="0" fontId="63" fillId="0" borderId="0" applyFill="0" applyBorder="0" applyAlignment="0"/>
    <xf numFmtId="40" fontId="18" fillId="0" borderId="0"/>
    <xf numFmtId="0" fontId="98" fillId="0" borderId="0">
      <alignment wrapText="1"/>
    </xf>
    <xf numFmtId="0" fontId="21" fillId="0" borderId="0" applyAlignment="0">
      <alignment wrapText="1"/>
    </xf>
    <xf numFmtId="0" fontId="22" fillId="14" borderId="0">
      <alignment vertical="top"/>
    </xf>
    <xf numFmtId="37" fontId="99" fillId="0" borderId="15" applyNumberFormat="0" applyFill="0" applyBorder="0" applyAlignment="0">
      <protection locked="0"/>
    </xf>
    <xf numFmtId="0" fontId="100" fillId="14" borderId="0">
      <alignment horizontal="center"/>
    </xf>
    <xf numFmtId="0" fontId="62" fillId="0" borderId="0" applyFont="0" applyFill="0" applyBorder="0" applyProtection="0">
      <alignment horizontal="right"/>
    </xf>
    <xf numFmtId="0" fontId="1" fillId="27"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3" fillId="31"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33" fillId="30"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33" fillId="30" borderId="0" applyNumberFormat="0" applyBorder="0" applyAlignment="0" applyProtection="0"/>
    <xf numFmtId="0" fontId="1" fillId="33"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1" fillId="29" borderId="0" applyNumberFormat="0" applyBorder="0" applyAlignment="0" applyProtection="0"/>
    <xf numFmtId="0" fontId="1" fillId="34" borderId="0" applyNumberFormat="0" applyBorder="0" applyAlignment="0" applyProtection="0"/>
    <xf numFmtId="0" fontId="33" fillId="34" borderId="0" applyNumberFormat="0" applyBorder="0" applyAlignment="0" applyProtection="0"/>
    <xf numFmtId="0" fontId="38" fillId="0" borderId="0" applyFont="0" applyFill="0" applyBorder="0" applyAlignment="0" applyProtection="0"/>
    <xf numFmtId="0" fontId="38" fillId="0" borderId="0" applyFont="0" applyFill="0" applyBorder="0" applyAlignment="0" applyProtection="0"/>
    <xf numFmtId="9" fontId="2" fillId="0" borderId="0" applyFont="0" applyFill="0" applyBorder="0" applyAlignment="0" applyProtection="0">
      <alignment vertical="center"/>
    </xf>
    <xf numFmtId="9" fontId="7" fillId="0" borderId="0" applyFont="0" applyFill="0" applyBorder="0" applyAlignment="0" applyProtection="0"/>
    <xf numFmtId="9" fontId="7" fillId="0" borderId="0" applyFont="0" applyFill="0" applyBorder="0" applyAlignment="0" applyProtection="0">
      <alignment vertical="center"/>
    </xf>
    <xf numFmtId="0" fontId="7" fillId="0" borderId="0" applyNumberFormat="0" applyBorder="0" applyAlignment="0"/>
    <xf numFmtId="0" fontId="101" fillId="0" borderId="0"/>
    <xf numFmtId="0" fontId="7" fillId="0" borderId="16"/>
    <xf numFmtId="0" fontId="35" fillId="35" borderId="0" applyNumberFormat="0" applyBorder="0" applyAlignment="0" applyProtection="0"/>
    <xf numFmtId="0" fontId="35" fillId="36" borderId="0" applyNumberFormat="0" applyBorder="0" applyAlignment="0" applyProtection="0"/>
    <xf numFmtId="0" fontId="35" fillId="37" borderId="0" applyNumberFormat="0" applyBorder="0" applyAlignment="0" applyProtection="0"/>
    <xf numFmtId="0" fontId="50" fillId="0" borderId="0">
      <alignment vertical="center"/>
    </xf>
    <xf numFmtId="38" fontId="2" fillId="0" borderId="0" applyFont="0" applyFill="0" applyBorder="0" applyAlignment="0" applyProtection="0">
      <alignment vertical="center"/>
    </xf>
    <xf numFmtId="38" fontId="7" fillId="0" borderId="0" applyFont="0" applyFill="0" applyBorder="0" applyAlignment="0" applyProtection="0"/>
    <xf numFmtId="38" fontId="7" fillId="0" borderId="0" applyFont="0" applyFill="0" applyBorder="0" applyAlignment="0" applyProtection="0">
      <alignment vertical="center"/>
    </xf>
    <xf numFmtId="38" fontId="12" fillId="0" borderId="0" applyFont="0" applyFill="0" applyBorder="0" applyAlignment="0" applyProtection="0"/>
    <xf numFmtId="0" fontId="102" fillId="0" borderId="17" applyNumberFormat="0" applyFill="0" applyAlignment="0" applyProtection="0"/>
    <xf numFmtId="0" fontId="24" fillId="4" borderId="0"/>
    <xf numFmtId="3" fontId="103" fillId="0" borderId="18" applyFill="0" applyProtection="0">
      <protection locked="0"/>
    </xf>
    <xf numFmtId="0" fontId="48" fillId="0" borderId="0" applyFont="0" applyFill="0" applyBorder="0" applyAlignment="0" applyProtection="0"/>
    <xf numFmtId="0" fontId="48" fillId="0" borderId="0" applyFont="0" applyFill="0" applyBorder="0" applyAlignment="0" applyProtection="0"/>
    <xf numFmtId="6" fontId="2" fillId="0" borderId="0" applyFont="0" applyFill="0" applyBorder="0" applyAlignment="0" applyProtection="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xf numFmtId="0" fontId="7" fillId="0" borderId="0">
      <alignment vertical="center"/>
    </xf>
    <xf numFmtId="0" fontId="7" fillId="0" borderId="0"/>
    <xf numFmtId="0" fontId="7" fillId="0" borderId="0"/>
    <xf numFmtId="0" fontId="7" fillId="0" borderId="0"/>
    <xf numFmtId="0" fontId="7" fillId="0" borderId="0"/>
    <xf numFmtId="0" fontId="7" fillId="0" borderId="0"/>
    <xf numFmtId="49" fontId="14" fillId="0" borderId="0"/>
    <xf numFmtId="49" fontId="14" fillId="0" borderId="0" applyBorder="0"/>
    <xf numFmtId="49" fontId="14" fillId="0" borderId="0" applyNumberFormat="0" applyFill="0" applyBorder="0" applyAlignment="0" applyProtection="0"/>
    <xf numFmtId="0" fontId="31" fillId="0" borderId="0">
      <alignment vertical="center"/>
    </xf>
    <xf numFmtId="0" fontId="29" fillId="0" borderId="0"/>
    <xf numFmtId="0" fontId="32" fillId="0" borderId="0" applyNumberFormat="0" applyFill="0" applyBorder="0" applyAlignment="0" applyProtection="0">
      <alignment vertical="top"/>
      <protection locked="0"/>
    </xf>
    <xf numFmtId="0" fontId="104" fillId="38" borderId="0" applyNumberFormat="0" applyBorder="0" applyAlignment="0" applyProtection="0"/>
    <xf numFmtId="0" fontId="34" fillId="39" borderId="0" applyNumberFormat="0" applyBorder="0" applyAlignment="0" applyProtection="0"/>
    <xf numFmtId="0" fontId="105" fillId="0" borderId="0"/>
    <xf numFmtId="0" fontId="36" fillId="32" borderId="0" applyNumberFormat="0" applyBorder="0" applyAlignment="0" applyProtection="0"/>
    <xf numFmtId="0" fontId="38" fillId="0" borderId="0" applyFont="0" applyFill="0" applyBorder="0" applyAlignment="0" applyProtection="0"/>
    <xf numFmtId="6" fontId="7" fillId="0" borderId="0" applyFont="0" applyFill="0" applyBorder="0" applyAlignment="0" applyProtection="0"/>
    <xf numFmtId="6"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2666">
    <xf numFmtId="0" fontId="0" fillId="0" borderId="0" xfId="0">
      <alignment vertical="center"/>
    </xf>
    <xf numFmtId="0" fontId="5" fillId="0" borderId="0" xfId="0" applyFont="1">
      <alignment vertical="center"/>
    </xf>
    <xf numFmtId="0" fontId="6" fillId="0" borderId="0" xfId="0" applyFont="1" applyFill="1" applyBorder="1" applyAlignment="1">
      <alignment vertical="center"/>
    </xf>
    <xf numFmtId="176" fontId="12" fillId="0" borderId="0" xfId="463" applyNumberFormat="1" applyFont="1"/>
    <xf numFmtId="176" fontId="0" fillId="0" borderId="0" xfId="0" applyNumberFormat="1">
      <alignment vertical="center"/>
    </xf>
    <xf numFmtId="176" fontId="16" fillId="0" borderId="19" xfId="463" applyNumberFormat="1" applyFont="1" applyBorder="1" applyAlignment="1">
      <alignment vertical="center"/>
    </xf>
    <xf numFmtId="176" fontId="16" fillId="0" borderId="20" xfId="463" applyNumberFormat="1" applyFont="1" applyBorder="1" applyAlignment="1">
      <alignment vertical="center"/>
    </xf>
    <xf numFmtId="176" fontId="18" fillId="0" borderId="13" xfId="463" applyNumberFormat="1" applyFont="1" applyBorder="1" applyAlignment="1">
      <alignment vertical="center"/>
    </xf>
    <xf numFmtId="176" fontId="18" fillId="0" borderId="21" xfId="463" applyNumberFormat="1" applyFont="1" applyBorder="1" applyAlignment="1">
      <alignment vertical="center"/>
    </xf>
    <xf numFmtId="176" fontId="18" fillId="0" borderId="0" xfId="463" applyNumberFormat="1" applyFont="1" applyAlignment="1">
      <alignment vertical="center"/>
    </xf>
    <xf numFmtId="176" fontId="18" fillId="0" borderId="22" xfId="463" applyNumberFormat="1" applyFont="1" applyBorder="1" applyAlignment="1">
      <alignment vertical="center"/>
    </xf>
    <xf numFmtId="176" fontId="12" fillId="0" borderId="23" xfId="463" applyNumberFormat="1" applyFont="1" applyBorder="1"/>
    <xf numFmtId="176" fontId="12" fillId="0" borderId="13" xfId="463" applyNumberFormat="1" applyFont="1" applyBorder="1" applyAlignment="1">
      <alignment vertical="center"/>
    </xf>
    <xf numFmtId="176" fontId="12" fillId="0" borderId="13" xfId="463" applyNumberFormat="1" applyFont="1" applyBorder="1" applyAlignment="1">
      <alignment horizontal="left" vertical="center"/>
    </xf>
    <xf numFmtId="176" fontId="12" fillId="0" borderId="21" xfId="463" applyNumberFormat="1" applyFont="1" applyBorder="1" applyAlignment="1">
      <alignment horizontal="left" vertical="center"/>
    </xf>
    <xf numFmtId="176" fontId="12" fillId="0" borderId="23" xfId="463" applyNumberFormat="1" applyFont="1" applyBorder="1" applyAlignment="1">
      <alignment horizontal="left" vertical="center"/>
    </xf>
    <xf numFmtId="176" fontId="12" fillId="0" borderId="9" xfId="463" applyNumberFormat="1" applyFont="1" applyBorder="1" applyAlignment="1">
      <alignment horizontal="center" vertical="center"/>
    </xf>
    <xf numFmtId="176" fontId="14" fillId="0" borderId="0" xfId="463" applyNumberFormat="1" applyFont="1"/>
    <xf numFmtId="176" fontId="26" fillId="0" borderId="0" xfId="463" applyNumberFormat="1" applyFont="1" applyAlignment="1">
      <alignment vertical="center"/>
    </xf>
    <xf numFmtId="176" fontId="27" fillId="0" borderId="0" xfId="463" applyNumberFormat="1" applyFont="1" applyAlignment="1">
      <alignment vertical="center"/>
    </xf>
    <xf numFmtId="40" fontId="18" fillId="0" borderId="24" xfId="442" applyNumberFormat="1" applyFont="1" applyBorder="1" applyAlignment="1">
      <alignment horizontal="right" vertical="center"/>
    </xf>
    <xf numFmtId="40" fontId="18" fillId="0" borderId="8" xfId="442" applyNumberFormat="1" applyFont="1" applyBorder="1" applyAlignment="1">
      <alignment horizontal="right" vertical="center"/>
    </xf>
    <xf numFmtId="38" fontId="23" fillId="0" borderId="25" xfId="442" applyFont="1" applyFill="1" applyBorder="1">
      <alignment vertical="center"/>
    </xf>
    <xf numFmtId="10" fontId="23" fillId="40" borderId="26" xfId="432" applyNumberFormat="1" applyFont="1" applyFill="1" applyBorder="1">
      <alignment vertical="center"/>
    </xf>
    <xf numFmtId="38" fontId="23" fillId="0" borderId="27" xfId="442" applyFont="1" applyFill="1" applyBorder="1">
      <alignment vertical="center"/>
    </xf>
    <xf numFmtId="10" fontId="23" fillId="40" borderId="28" xfId="432" applyNumberFormat="1" applyFont="1" applyFill="1" applyBorder="1">
      <alignment vertical="center"/>
    </xf>
    <xf numFmtId="38" fontId="106" fillId="0" borderId="29" xfId="442" applyFont="1" applyFill="1" applyBorder="1">
      <alignment vertical="center"/>
    </xf>
    <xf numFmtId="38" fontId="23" fillId="0" borderId="0" xfId="442" applyFont="1" applyBorder="1">
      <alignment vertical="center"/>
    </xf>
    <xf numFmtId="10" fontId="23" fillId="40" borderId="30" xfId="432" applyNumberFormat="1" applyFont="1" applyFill="1" applyBorder="1">
      <alignment vertical="center"/>
    </xf>
    <xf numFmtId="0" fontId="28" fillId="0" borderId="31" xfId="0" applyFont="1" applyFill="1" applyBorder="1" applyAlignment="1">
      <alignment vertical="center"/>
    </xf>
    <xf numFmtId="38" fontId="106" fillId="0" borderId="27" xfId="442" applyFont="1" applyFill="1" applyBorder="1">
      <alignment vertical="center"/>
    </xf>
    <xf numFmtId="10" fontId="23" fillId="40" borderId="32" xfId="432" applyNumberFormat="1" applyFont="1" applyFill="1" applyBorder="1">
      <alignment vertical="center"/>
    </xf>
    <xf numFmtId="10" fontId="23" fillId="40" borderId="33" xfId="432" applyNumberFormat="1" applyFont="1" applyFill="1" applyBorder="1">
      <alignment vertical="center"/>
    </xf>
    <xf numFmtId="10" fontId="23" fillId="40" borderId="34" xfId="432" applyNumberFormat="1" applyFont="1" applyFill="1" applyBorder="1">
      <alignment vertical="center"/>
    </xf>
    <xf numFmtId="0" fontId="109" fillId="0" borderId="0" xfId="460" applyNumberFormat="1" applyFont="1" applyAlignment="1">
      <alignment vertical="center"/>
    </xf>
    <xf numFmtId="0" fontId="9" fillId="0" borderId="0" xfId="460" applyNumberFormat="1" applyFont="1" applyAlignment="1">
      <alignment vertical="center"/>
    </xf>
    <xf numFmtId="0" fontId="110" fillId="0" borderId="0" xfId="460" applyNumberFormat="1" applyFont="1" applyAlignment="1">
      <alignment horizontal="right"/>
    </xf>
    <xf numFmtId="0" fontId="9" fillId="0" borderId="35" xfId="460" applyNumberFormat="1" applyFont="1" applyBorder="1" applyAlignment="1">
      <alignment horizontal="center" vertical="center"/>
    </xf>
    <xf numFmtId="0" fontId="9" fillId="0" borderId="36" xfId="460" applyNumberFormat="1" applyFont="1" applyFill="1" applyBorder="1" applyAlignment="1">
      <alignment horizontal="left" vertical="center" indent="1"/>
    </xf>
    <xf numFmtId="0" fontId="9" fillId="0" borderId="19" xfId="460" applyNumberFormat="1" applyFont="1" applyFill="1" applyBorder="1" applyAlignment="1">
      <alignment vertical="center"/>
    </xf>
    <xf numFmtId="0" fontId="9" fillId="0" borderId="0" xfId="460" applyNumberFormat="1" applyFont="1" applyFill="1" applyBorder="1" applyAlignment="1">
      <alignment vertical="center"/>
    </xf>
    <xf numFmtId="0" fontId="9" fillId="0" borderId="0" xfId="460" applyNumberFormat="1" applyFont="1" applyFill="1" applyAlignment="1">
      <alignment vertical="center"/>
    </xf>
    <xf numFmtId="0" fontId="28" fillId="0" borderId="38" xfId="0" applyFont="1" applyFill="1" applyBorder="1" applyAlignment="1">
      <alignment vertical="center"/>
    </xf>
    <xf numFmtId="0" fontId="9" fillId="0" borderId="38" xfId="460" applyFont="1" applyFill="1" applyBorder="1" applyAlignment="1">
      <alignment horizontal="left"/>
    </xf>
    <xf numFmtId="0" fontId="9" fillId="0" borderId="0" xfId="462" applyNumberFormat="1" applyFont="1" applyFill="1" applyBorder="1" applyAlignment="1">
      <alignment vertical="center"/>
    </xf>
    <xf numFmtId="0" fontId="9" fillId="0" borderId="0" xfId="462" applyNumberFormat="1" applyFont="1" applyFill="1" applyAlignment="1">
      <alignment vertical="center"/>
    </xf>
    <xf numFmtId="0" fontId="9" fillId="0" borderId="31" xfId="460" applyFont="1" applyFill="1" applyBorder="1" applyAlignment="1">
      <alignment horizontal="left"/>
    </xf>
    <xf numFmtId="0" fontId="28" fillId="0" borderId="41" xfId="0" applyFont="1" applyFill="1" applyBorder="1" applyAlignment="1">
      <alignment vertical="center"/>
    </xf>
    <xf numFmtId="0" fontId="9" fillId="0" borderId="41" xfId="460" applyFont="1" applyFill="1" applyBorder="1" applyAlignment="1">
      <alignment horizontal="left"/>
    </xf>
    <xf numFmtId="0" fontId="110" fillId="0" borderId="0" xfId="462" applyNumberFormat="1" applyFont="1" applyFill="1" applyBorder="1" applyAlignment="1">
      <alignment vertical="center"/>
    </xf>
    <xf numFmtId="0" fontId="112" fillId="0" borderId="0" xfId="462" applyNumberFormat="1" applyFont="1" applyFill="1" applyAlignment="1">
      <alignment vertical="center"/>
    </xf>
    <xf numFmtId="0" fontId="9" fillId="0" borderId="12" xfId="460" applyNumberFormat="1" applyFont="1" applyFill="1" applyBorder="1" applyAlignment="1">
      <alignment horizontal="left" vertical="center" indent="1"/>
    </xf>
    <xf numFmtId="0" fontId="9" fillId="0" borderId="13" xfId="460" applyNumberFormat="1" applyFont="1" applyFill="1" applyBorder="1" applyAlignment="1">
      <alignment vertical="center"/>
    </xf>
    <xf numFmtId="0" fontId="113" fillId="0" borderId="0" xfId="462" applyNumberFormat="1" applyFont="1" applyFill="1" applyAlignment="1">
      <alignment vertical="center"/>
    </xf>
    <xf numFmtId="0" fontId="9" fillId="0" borderId="18" xfId="460" applyNumberFormat="1" applyFont="1" applyFill="1" applyBorder="1" applyAlignment="1">
      <alignment horizontal="left" vertical="center" indent="1"/>
    </xf>
    <xf numFmtId="0" fontId="9" fillId="0" borderId="10" xfId="460" applyFont="1" applyFill="1" applyBorder="1" applyAlignment="1">
      <alignment vertical="center"/>
    </xf>
    <xf numFmtId="0" fontId="9" fillId="0" borderId="0" xfId="462" applyFont="1" applyFill="1" applyBorder="1" applyAlignment="1">
      <alignment vertical="center"/>
    </xf>
    <xf numFmtId="0" fontId="9" fillId="0" borderId="14" xfId="460" applyNumberFormat="1" applyFont="1" applyBorder="1" applyAlignment="1">
      <alignment horizontal="left" vertical="center" indent="1"/>
    </xf>
    <xf numFmtId="0" fontId="9" fillId="0" borderId="0" xfId="460" applyFont="1" applyBorder="1" applyAlignment="1">
      <alignment vertical="center"/>
    </xf>
    <xf numFmtId="0" fontId="9" fillId="0" borderId="22" xfId="460" applyNumberFormat="1" applyFont="1" applyBorder="1" applyAlignment="1">
      <alignment vertical="center"/>
    </xf>
    <xf numFmtId="0" fontId="9" fillId="0" borderId="0" xfId="460" applyFont="1" applyFill="1" applyBorder="1" applyAlignment="1">
      <alignment vertical="center"/>
    </xf>
    <xf numFmtId="0" fontId="9" fillId="0" borderId="42" xfId="460" applyNumberFormat="1" applyFont="1" applyBorder="1" applyAlignment="1">
      <alignment horizontal="left" vertical="center" indent="1"/>
    </xf>
    <xf numFmtId="177" fontId="9" fillId="0" borderId="4" xfId="460" applyNumberFormat="1" applyFont="1" applyBorder="1" applyAlignment="1">
      <alignment vertical="center"/>
    </xf>
    <xf numFmtId="0" fontId="9" fillId="0" borderId="0" xfId="460" applyNumberFormat="1" applyFont="1" applyBorder="1" applyAlignment="1">
      <alignment horizontal="center" vertical="center"/>
    </xf>
    <xf numFmtId="0" fontId="9" fillId="0" borderId="0" xfId="460" applyNumberFormat="1" applyFont="1" applyBorder="1" applyAlignment="1">
      <alignment horizontal="left" vertical="center" indent="1"/>
    </xf>
    <xf numFmtId="0" fontId="9" fillId="0" borderId="0" xfId="460" applyNumberFormat="1" applyFont="1" applyBorder="1" applyAlignment="1">
      <alignment vertical="center"/>
    </xf>
    <xf numFmtId="0" fontId="9" fillId="0" borderId="0" xfId="460" applyFont="1" applyFill="1" applyAlignment="1">
      <alignment vertical="center"/>
    </xf>
    <xf numFmtId="0" fontId="113" fillId="0" borderId="0" xfId="460" applyNumberFormat="1" applyFont="1" applyFill="1" applyAlignment="1">
      <alignment vertical="center"/>
    </xf>
    <xf numFmtId="0" fontId="114" fillId="0" borderId="0" xfId="460" applyFont="1" applyFill="1" applyAlignment="1">
      <alignment vertical="center"/>
    </xf>
    <xf numFmtId="0" fontId="113" fillId="0" borderId="0" xfId="460" applyNumberFormat="1" applyFont="1" applyFill="1" applyAlignment="1">
      <alignment horizontal="left" vertical="center" indent="1"/>
    </xf>
    <xf numFmtId="0" fontId="9" fillId="0" borderId="0" xfId="460" applyNumberFormat="1" applyFont="1" applyFill="1" applyAlignment="1">
      <alignment horizontal="center" vertical="center"/>
    </xf>
    <xf numFmtId="0" fontId="115" fillId="0" borderId="0" xfId="460" applyNumberFormat="1" applyFont="1" applyFill="1" applyAlignment="1">
      <alignment vertical="center"/>
    </xf>
    <xf numFmtId="0" fontId="9" fillId="0" borderId="9" xfId="460" applyNumberFormat="1" applyFont="1" applyFill="1" applyBorder="1" applyAlignment="1">
      <alignment horizontal="center" vertical="center"/>
    </xf>
    <xf numFmtId="0" fontId="9" fillId="0" borderId="43" xfId="462" applyNumberFormat="1" applyFont="1" applyFill="1" applyBorder="1" applyAlignment="1">
      <alignment horizontal="center" vertical="center"/>
    </xf>
    <xf numFmtId="0" fontId="9" fillId="0" borderId="9" xfId="462" applyNumberFormat="1" applyFont="1" applyFill="1" applyBorder="1" applyAlignment="1">
      <alignment horizontal="center" vertical="center"/>
    </xf>
    <xf numFmtId="38" fontId="9" fillId="0" borderId="44" xfId="442" applyFont="1" applyFill="1" applyBorder="1" applyAlignment="1">
      <alignment vertical="center"/>
    </xf>
    <xf numFmtId="0" fontId="113" fillId="0" borderId="45" xfId="460" applyNumberFormat="1" applyFont="1" applyFill="1" applyBorder="1" applyAlignment="1">
      <alignment horizontal="center" vertical="center"/>
    </xf>
    <xf numFmtId="38" fontId="113" fillId="0" borderId="45" xfId="442" applyFont="1" applyFill="1" applyBorder="1" applyAlignment="1">
      <alignment vertical="center"/>
    </xf>
    <xf numFmtId="38" fontId="113" fillId="0" borderId="9" xfId="442" applyFont="1" applyFill="1" applyBorder="1" applyAlignment="1">
      <alignment vertical="center"/>
    </xf>
    <xf numFmtId="0" fontId="113" fillId="0" borderId="0" xfId="460" applyFont="1" applyFill="1" applyBorder="1" applyAlignment="1">
      <alignment vertical="center"/>
    </xf>
    <xf numFmtId="0" fontId="9" fillId="0" borderId="0" xfId="455" applyFont="1" applyFill="1" applyBorder="1" applyAlignment="1">
      <alignment horizontal="center" vertical="center"/>
    </xf>
    <xf numFmtId="0" fontId="113" fillId="0" borderId="0" xfId="460" applyNumberFormat="1" applyFont="1" applyFill="1" applyBorder="1" applyAlignment="1">
      <alignment horizontal="center" vertical="center"/>
    </xf>
    <xf numFmtId="0" fontId="113" fillId="0" borderId="0" xfId="462" applyNumberFormat="1" applyFont="1" applyFill="1" applyAlignment="1">
      <alignment horizontal="center" vertical="center"/>
    </xf>
    <xf numFmtId="0" fontId="9" fillId="0" borderId="0" xfId="462" applyNumberFormat="1" applyFont="1" applyFill="1" applyAlignment="1">
      <alignment horizontal="center" vertical="center"/>
    </xf>
    <xf numFmtId="0" fontId="9" fillId="0" borderId="0" xfId="462" applyFont="1" applyFill="1" applyAlignment="1">
      <alignment vertical="center"/>
    </xf>
    <xf numFmtId="0" fontId="113" fillId="0" borderId="0" xfId="462" applyNumberFormat="1" applyFont="1" applyFill="1" applyAlignment="1">
      <alignment horizontal="left" vertical="center" indent="1"/>
    </xf>
    <xf numFmtId="0" fontId="9" fillId="0" borderId="46" xfId="460" applyNumberFormat="1" applyFont="1" applyFill="1" applyBorder="1" applyAlignment="1">
      <alignment vertical="center"/>
    </xf>
    <xf numFmtId="0" fontId="113" fillId="0" borderId="46" xfId="460" applyNumberFormat="1" applyFont="1" applyFill="1" applyBorder="1" applyAlignment="1">
      <alignment horizontal="center" vertical="center"/>
    </xf>
    <xf numFmtId="0" fontId="113" fillId="0" borderId="46" xfId="460" applyFont="1" applyFill="1" applyBorder="1" applyAlignment="1">
      <alignment vertical="center"/>
    </xf>
    <xf numFmtId="0" fontId="9" fillId="0" borderId="46" xfId="455" applyFont="1" applyFill="1" applyBorder="1" applyAlignment="1">
      <alignment horizontal="center" vertical="center"/>
    </xf>
    <xf numFmtId="0" fontId="113" fillId="0" borderId="10" xfId="460" applyNumberFormat="1" applyFont="1" applyFill="1" applyBorder="1" applyAlignment="1">
      <alignment vertical="center"/>
    </xf>
    <xf numFmtId="0" fontId="9" fillId="0" borderId="10" xfId="460" applyNumberFormat="1" applyFont="1" applyFill="1" applyBorder="1" applyAlignment="1">
      <alignment vertical="center"/>
    </xf>
    <xf numFmtId="0" fontId="113" fillId="0" borderId="10" xfId="460" applyNumberFormat="1" applyFont="1" applyBorder="1" applyAlignment="1">
      <alignment vertical="center"/>
    </xf>
    <xf numFmtId="0" fontId="113" fillId="0" borderId="0" xfId="460" applyNumberFormat="1" applyFont="1" applyBorder="1" applyAlignment="1">
      <alignment vertical="center"/>
    </xf>
    <xf numFmtId="0" fontId="117" fillId="0" borderId="0" xfId="460" applyNumberFormat="1" applyFont="1" applyFill="1" applyAlignment="1">
      <alignment vertical="center"/>
    </xf>
    <xf numFmtId="38" fontId="9" fillId="0" borderId="47" xfId="445" applyFont="1" applyFill="1" applyBorder="1"/>
    <xf numFmtId="0" fontId="9" fillId="0" borderId="47" xfId="457" applyFont="1" applyFill="1" applyBorder="1" applyAlignment="1">
      <alignment horizontal="center"/>
    </xf>
    <xf numFmtId="0" fontId="118" fillId="41" borderId="9" xfId="460" applyNumberFormat="1" applyFont="1" applyFill="1" applyBorder="1" applyAlignment="1">
      <alignment horizontal="center" vertical="center"/>
    </xf>
    <xf numFmtId="0" fontId="114" fillId="0" borderId="0" xfId="460" applyNumberFormat="1" applyFont="1" applyFill="1" applyAlignment="1">
      <alignment vertical="center"/>
    </xf>
    <xf numFmtId="0" fontId="9" fillId="0" borderId="48" xfId="460" applyNumberFormat="1" applyFont="1" applyFill="1" applyBorder="1" applyAlignment="1">
      <alignment horizontal="left" vertical="center" indent="1"/>
    </xf>
    <xf numFmtId="0" fontId="9" fillId="0" borderId="46" xfId="460" applyNumberFormat="1" applyFont="1" applyFill="1" applyBorder="1" applyAlignment="1">
      <alignment horizontal="left" vertical="center" indent="1"/>
    </xf>
    <xf numFmtId="0" fontId="113" fillId="0" borderId="49" xfId="457" applyFont="1" applyFill="1" applyBorder="1" applyAlignment="1">
      <alignment horizontal="left"/>
    </xf>
    <xf numFmtId="10" fontId="116" fillId="0" borderId="9" xfId="432" applyNumberFormat="1" applyFont="1" applyFill="1" applyBorder="1" applyAlignment="1">
      <alignment horizontal="center" vertical="center"/>
    </xf>
    <xf numFmtId="0" fontId="9" fillId="0" borderId="39" xfId="460" applyNumberFormat="1" applyFont="1" applyFill="1" applyBorder="1" applyAlignment="1">
      <alignment horizontal="left" vertical="center" indent="1"/>
    </xf>
    <xf numFmtId="0" fontId="9" fillId="0" borderId="31" xfId="460" applyNumberFormat="1" applyFont="1" applyFill="1" applyBorder="1" applyAlignment="1">
      <alignment horizontal="left" vertical="center" indent="1"/>
    </xf>
    <xf numFmtId="0" fontId="9" fillId="0" borderId="50" xfId="457" applyFont="1" applyFill="1" applyBorder="1" applyAlignment="1">
      <alignment horizontal="left" shrinkToFit="1"/>
    </xf>
    <xf numFmtId="10" fontId="117" fillId="0" borderId="0" xfId="460" applyNumberFormat="1" applyFont="1" applyFill="1" applyAlignment="1">
      <alignment vertical="center"/>
    </xf>
    <xf numFmtId="0" fontId="9" fillId="0" borderId="51" xfId="460" applyNumberFormat="1" applyFont="1" applyFill="1" applyBorder="1" applyAlignment="1">
      <alignment horizontal="left" vertical="center" indent="1"/>
    </xf>
    <xf numFmtId="0" fontId="9" fillId="0" borderId="52" xfId="460" applyNumberFormat="1" applyFont="1" applyFill="1" applyBorder="1" applyAlignment="1">
      <alignment horizontal="left" vertical="center" indent="1"/>
    </xf>
    <xf numFmtId="38" fontId="9" fillId="0" borderId="53" xfId="442" applyFont="1" applyFill="1" applyBorder="1" applyAlignment="1">
      <alignment vertical="center"/>
    </xf>
    <xf numFmtId="0" fontId="9" fillId="0" borderId="44" xfId="457" applyFont="1" applyFill="1" applyBorder="1" applyAlignment="1">
      <alignment horizontal="left" shrinkToFit="1"/>
    </xf>
    <xf numFmtId="38" fontId="9" fillId="0" borderId="53" xfId="442" applyFont="1" applyFill="1" applyBorder="1" applyAlignment="1">
      <alignment horizontal="right" vertical="center"/>
    </xf>
    <xf numFmtId="38" fontId="9" fillId="0" borderId="49" xfId="442" applyFont="1" applyFill="1" applyBorder="1" applyAlignment="1">
      <alignment horizontal="right" vertical="center"/>
    </xf>
    <xf numFmtId="0" fontId="9" fillId="0" borderId="49" xfId="457" applyFont="1" applyFill="1" applyBorder="1" applyAlignment="1">
      <alignment horizontal="left" shrinkToFit="1"/>
    </xf>
    <xf numFmtId="0" fontId="9" fillId="0" borderId="40" xfId="460" applyNumberFormat="1" applyFont="1" applyFill="1" applyBorder="1" applyAlignment="1">
      <alignment horizontal="left" vertical="center" indent="1"/>
    </xf>
    <xf numFmtId="0" fontId="9" fillId="0" borderId="41" xfId="460" applyNumberFormat="1" applyFont="1" applyFill="1" applyBorder="1" applyAlignment="1">
      <alignment horizontal="left" vertical="center" indent="1"/>
    </xf>
    <xf numFmtId="38" fontId="9" fillId="0" borderId="49" xfId="442" applyFont="1" applyFill="1" applyBorder="1" applyAlignment="1">
      <alignment vertical="center"/>
    </xf>
    <xf numFmtId="0" fontId="113" fillId="0" borderId="45" xfId="457" applyFont="1" applyFill="1" applyBorder="1" applyAlignment="1">
      <alignment horizontal="left"/>
    </xf>
    <xf numFmtId="38" fontId="113" fillId="0" borderId="45" xfId="442" applyFont="1" applyFill="1" applyBorder="1" applyAlignment="1"/>
    <xf numFmtId="0" fontId="114" fillId="0" borderId="0" xfId="460" applyNumberFormat="1" applyFont="1" applyAlignment="1">
      <alignment vertical="center"/>
    </xf>
    <xf numFmtId="38" fontId="9" fillId="0" borderId="0" xfId="442" applyFont="1" applyFill="1" applyAlignment="1">
      <alignment horizontal="center" vertical="center"/>
    </xf>
    <xf numFmtId="0" fontId="9" fillId="0" borderId="0" xfId="460" applyFont="1" applyFill="1" applyBorder="1" applyAlignment="1">
      <alignment horizontal="center" vertical="center"/>
    </xf>
    <xf numFmtId="0" fontId="115" fillId="0" borderId="0" xfId="460" applyFont="1" applyFill="1" applyAlignment="1">
      <alignment vertical="center"/>
    </xf>
    <xf numFmtId="0" fontId="113" fillId="0" borderId="0" xfId="460" applyNumberFormat="1" applyFont="1" applyFill="1" applyAlignment="1">
      <alignment horizontal="right" vertical="center"/>
    </xf>
    <xf numFmtId="0" fontId="9" fillId="0" borderId="43" xfId="460" applyNumberFormat="1" applyFont="1" applyFill="1" applyBorder="1" applyAlignment="1">
      <alignment vertical="center"/>
    </xf>
    <xf numFmtId="0" fontId="116" fillId="0" borderId="0" xfId="460" applyNumberFormat="1" applyFont="1" applyFill="1" applyAlignment="1">
      <alignment horizontal="left" vertical="center"/>
    </xf>
    <xf numFmtId="0" fontId="120" fillId="42" borderId="54" xfId="460" applyNumberFormat="1" applyFont="1" applyFill="1" applyBorder="1" applyAlignment="1">
      <alignment horizontal="center" vertical="center"/>
    </xf>
    <xf numFmtId="38" fontId="121" fillId="42" borderId="55" xfId="442" applyFont="1" applyFill="1" applyBorder="1" applyAlignment="1">
      <alignment vertical="center"/>
    </xf>
    <xf numFmtId="0" fontId="9" fillId="0" borderId="49" xfId="460" applyNumberFormat="1" applyFont="1" applyFill="1" applyBorder="1" applyAlignment="1">
      <alignment vertical="center"/>
    </xf>
    <xf numFmtId="10" fontId="116" fillId="0" borderId="0" xfId="432" applyNumberFormat="1" applyFont="1" applyFill="1" applyBorder="1" applyAlignment="1">
      <alignment horizontal="center" vertical="center"/>
    </xf>
    <xf numFmtId="0" fontId="9" fillId="0" borderId="47" xfId="460" applyNumberFormat="1" applyFont="1" applyFill="1" applyBorder="1" applyAlignment="1">
      <alignment horizontal="center" vertical="center"/>
    </xf>
    <xf numFmtId="38" fontId="9" fillId="0" borderId="47" xfId="442" applyFont="1" applyFill="1" applyBorder="1" applyAlignment="1">
      <alignment vertical="center"/>
    </xf>
    <xf numFmtId="0" fontId="9" fillId="0" borderId="47" xfId="460" applyNumberFormat="1" applyFont="1" applyFill="1" applyBorder="1" applyAlignment="1">
      <alignment vertical="center"/>
    </xf>
    <xf numFmtId="0" fontId="116" fillId="0" borderId="0" xfId="460" applyNumberFormat="1" applyFont="1" applyFill="1" applyBorder="1" applyAlignment="1">
      <alignment horizontal="center" vertical="center"/>
    </xf>
    <xf numFmtId="0" fontId="9" fillId="0" borderId="49" xfId="460" applyNumberFormat="1" applyFont="1" applyFill="1" applyBorder="1" applyAlignment="1">
      <alignment horizontal="center" vertical="center"/>
    </xf>
    <xf numFmtId="0" fontId="113" fillId="0" borderId="54" xfId="460" applyNumberFormat="1" applyFont="1" applyFill="1" applyBorder="1" applyAlignment="1">
      <alignment horizontal="center" vertical="center"/>
    </xf>
    <xf numFmtId="10" fontId="113" fillId="0" borderId="55" xfId="432" applyNumberFormat="1" applyFont="1" applyFill="1" applyBorder="1" applyAlignment="1">
      <alignment vertical="center"/>
    </xf>
    <xf numFmtId="0" fontId="9" fillId="0" borderId="45" xfId="460" applyNumberFormat="1" applyFont="1" applyFill="1" applyBorder="1" applyAlignment="1">
      <alignment vertical="center"/>
    </xf>
    <xf numFmtId="38" fontId="9" fillId="0" borderId="0" xfId="442" applyFont="1" applyAlignment="1">
      <alignment vertical="center"/>
    </xf>
    <xf numFmtId="38" fontId="9" fillId="0" borderId="0" xfId="442" applyFont="1" applyBorder="1" applyAlignment="1">
      <alignment vertical="center"/>
    </xf>
    <xf numFmtId="0" fontId="122" fillId="0" borderId="0" xfId="461" applyFont="1" applyFill="1"/>
    <xf numFmtId="0" fontId="7" fillId="0" borderId="0" xfId="461" applyFill="1"/>
    <xf numFmtId="38" fontId="1" fillId="0" borderId="0" xfId="442" applyFont="1" applyFill="1" applyAlignment="1"/>
    <xf numFmtId="0" fontId="0" fillId="0" borderId="0" xfId="0" applyFill="1">
      <alignment vertical="center"/>
    </xf>
    <xf numFmtId="0" fontId="123" fillId="0" borderId="0" xfId="461" applyFont="1" applyFill="1"/>
    <xf numFmtId="0" fontId="7" fillId="0" borderId="0" xfId="461" applyFill="1" applyAlignment="1">
      <alignment horizontal="right"/>
    </xf>
    <xf numFmtId="0" fontId="7" fillId="0" borderId="46" xfId="461" applyFill="1" applyBorder="1"/>
    <xf numFmtId="38" fontId="1" fillId="0" borderId="46" xfId="442" applyFont="1" applyFill="1" applyBorder="1" applyAlignment="1"/>
    <xf numFmtId="38" fontId="1" fillId="0" borderId="56" xfId="442" applyFont="1" applyFill="1" applyBorder="1" applyAlignment="1"/>
    <xf numFmtId="38" fontId="1" fillId="0" borderId="0" xfId="442" applyFont="1" applyFill="1" applyBorder="1" applyAlignment="1"/>
    <xf numFmtId="38" fontId="7" fillId="0" borderId="0" xfId="461" applyNumberFormat="1" applyFill="1"/>
    <xf numFmtId="40" fontId="1" fillId="0" borderId="0" xfId="442" applyNumberFormat="1" applyFont="1" applyFill="1" applyAlignment="1"/>
    <xf numFmtId="38" fontId="1" fillId="0" borderId="57" xfId="442" applyFont="1" applyFill="1" applyBorder="1" applyAlignment="1"/>
    <xf numFmtId="38" fontId="7" fillId="0" borderId="0" xfId="442" applyFont="1" applyFill="1" applyAlignment="1"/>
    <xf numFmtId="38" fontId="7" fillId="0" borderId="0" xfId="442" applyNumberFormat="1" applyFont="1" applyFill="1" applyAlignment="1"/>
    <xf numFmtId="38" fontId="7" fillId="0" borderId="0" xfId="442" quotePrefix="1" applyFont="1" applyFill="1" applyAlignment="1"/>
    <xf numFmtId="0" fontId="7" fillId="0" borderId="3" xfId="461" applyFill="1" applyBorder="1" applyAlignment="1">
      <alignment shrinkToFit="1"/>
    </xf>
    <xf numFmtId="38" fontId="10" fillId="0" borderId="58" xfId="461" applyNumberFormat="1" applyFont="1" applyFill="1" applyBorder="1"/>
    <xf numFmtId="0" fontId="7" fillId="0" borderId="59" xfId="461" applyFill="1" applyBorder="1"/>
    <xf numFmtId="38" fontId="10" fillId="0" borderId="22" xfId="461" applyNumberFormat="1" applyFont="1" applyFill="1" applyBorder="1"/>
    <xf numFmtId="0" fontId="7" fillId="0" borderId="22" xfId="461" applyFill="1" applyBorder="1"/>
    <xf numFmtId="0" fontId="7" fillId="0" borderId="60" xfId="461" applyFill="1" applyBorder="1"/>
    <xf numFmtId="38" fontId="10" fillId="0" borderId="61" xfId="461" applyNumberFormat="1" applyFont="1" applyFill="1" applyBorder="1"/>
    <xf numFmtId="3" fontId="7" fillId="0" borderId="0" xfId="461" applyNumberFormat="1" applyFill="1"/>
    <xf numFmtId="38" fontId="113" fillId="0" borderId="0" xfId="442" applyFont="1" applyFill="1" applyBorder="1" applyAlignment="1">
      <alignment vertical="center"/>
    </xf>
    <xf numFmtId="0" fontId="9" fillId="0" borderId="9" xfId="460" applyNumberFormat="1" applyFont="1" applyBorder="1" applyAlignment="1">
      <alignment vertical="center"/>
    </xf>
    <xf numFmtId="0" fontId="9" fillId="0" borderId="45" xfId="460" applyNumberFormat="1" applyFont="1" applyBorder="1" applyAlignment="1">
      <alignment vertical="center"/>
    </xf>
    <xf numFmtId="38" fontId="9" fillId="0" borderId="45" xfId="442" applyFont="1" applyBorder="1" applyAlignment="1">
      <alignment vertical="center"/>
    </xf>
    <xf numFmtId="49" fontId="9" fillId="0" borderId="47" xfId="460" applyNumberFormat="1" applyFont="1" applyBorder="1" applyAlignment="1">
      <alignment vertical="center"/>
    </xf>
    <xf numFmtId="38" fontId="9" fillId="0" borderId="47" xfId="442" applyFont="1" applyBorder="1" applyAlignment="1">
      <alignment vertical="center"/>
    </xf>
    <xf numFmtId="49" fontId="9" fillId="0" borderId="44" xfId="460" applyNumberFormat="1" applyFont="1" applyBorder="1" applyAlignment="1">
      <alignment vertical="center"/>
    </xf>
    <xf numFmtId="38" fontId="9" fillId="0" borderId="44" xfId="442" applyFont="1" applyBorder="1" applyAlignment="1">
      <alignment vertical="center"/>
    </xf>
    <xf numFmtId="49" fontId="9" fillId="0" borderId="62" xfId="460" applyNumberFormat="1" applyFont="1" applyBorder="1" applyAlignment="1">
      <alignment vertical="center"/>
    </xf>
    <xf numFmtId="38" fontId="9" fillId="0" borderId="62" xfId="442" applyFont="1" applyBorder="1" applyAlignment="1">
      <alignment vertical="center"/>
    </xf>
    <xf numFmtId="0" fontId="9" fillId="0" borderId="9" xfId="457" applyFont="1" applyFill="1" applyBorder="1" applyAlignment="1">
      <alignment horizontal="center"/>
    </xf>
    <xf numFmtId="0" fontId="9" fillId="0" borderId="9" xfId="457" applyFont="1" applyFill="1" applyBorder="1" applyAlignment="1">
      <alignment horizontal="center" shrinkToFit="1"/>
    </xf>
    <xf numFmtId="0" fontId="9" fillId="0" borderId="43" xfId="460" applyNumberFormat="1" applyFont="1" applyBorder="1" applyAlignment="1">
      <alignment vertical="center"/>
    </xf>
    <xf numFmtId="0" fontId="9" fillId="0" borderId="43" xfId="457" applyFont="1" applyFill="1" applyBorder="1" applyAlignment="1">
      <alignment horizontal="center"/>
    </xf>
    <xf numFmtId="0" fontId="9" fillId="0" borderId="43" xfId="457" applyFont="1" applyFill="1" applyBorder="1" applyAlignment="1">
      <alignment horizontal="center" shrinkToFit="1"/>
    </xf>
    <xf numFmtId="38" fontId="9" fillId="0" borderId="45" xfId="442" applyFont="1" applyBorder="1" applyAlignment="1">
      <alignment horizontal="right" vertical="center"/>
    </xf>
    <xf numFmtId="14" fontId="9" fillId="0" borderId="0" xfId="460" applyNumberFormat="1" applyFont="1" applyFill="1" applyAlignment="1">
      <alignment vertical="center"/>
    </xf>
    <xf numFmtId="176" fontId="12" fillId="0" borderId="8" xfId="463" applyNumberFormat="1" applyFont="1" applyBorder="1" applyAlignment="1">
      <alignment horizontal="right" vertical="center"/>
    </xf>
    <xf numFmtId="0" fontId="23" fillId="0" borderId="0" xfId="454" applyFont="1">
      <alignment vertical="center"/>
    </xf>
    <xf numFmtId="0" fontId="23" fillId="0" borderId="0" xfId="454" applyFont="1" applyBorder="1">
      <alignment vertical="center"/>
    </xf>
    <xf numFmtId="0" fontId="23" fillId="0" borderId="0" xfId="454" applyFont="1" applyAlignment="1">
      <alignment horizontal="center" vertical="center"/>
    </xf>
    <xf numFmtId="0" fontId="28" fillId="0" borderId="0" xfId="454" applyFont="1">
      <alignment vertical="center"/>
    </xf>
    <xf numFmtId="0" fontId="23" fillId="0" borderId="0" xfId="454" applyFont="1" applyFill="1" applyBorder="1">
      <alignment vertical="center"/>
    </xf>
    <xf numFmtId="0" fontId="128" fillId="43" borderId="63" xfId="454" applyFont="1" applyFill="1" applyBorder="1" applyAlignment="1">
      <alignment horizontal="center" vertical="center"/>
    </xf>
    <xf numFmtId="0" fontId="128" fillId="43" borderId="8" xfId="454" applyFont="1" applyFill="1" applyBorder="1" applyAlignment="1">
      <alignment horizontal="center" vertical="center"/>
    </xf>
    <xf numFmtId="0" fontId="128" fillId="43" borderId="12" xfId="454" applyFont="1" applyFill="1" applyBorder="1" applyAlignment="1">
      <alignment vertical="center"/>
    </xf>
    <xf numFmtId="0" fontId="128" fillId="43" borderId="13" xfId="454" applyFont="1" applyFill="1" applyBorder="1" applyAlignment="1">
      <alignment vertical="center"/>
    </xf>
    <xf numFmtId="0" fontId="128" fillId="43" borderId="64" xfId="454" applyFont="1" applyFill="1" applyBorder="1" applyAlignment="1">
      <alignment vertical="center"/>
    </xf>
    <xf numFmtId="0" fontId="23" fillId="0" borderId="25" xfId="454" applyFont="1" applyBorder="1" applyAlignment="1">
      <alignment horizontal="center" vertical="center"/>
    </xf>
    <xf numFmtId="0" fontId="28" fillId="0" borderId="65" xfId="454" applyFont="1" applyBorder="1">
      <alignment vertical="center"/>
    </xf>
    <xf numFmtId="0" fontId="6" fillId="0" borderId="47" xfId="454" applyFont="1" applyFill="1" applyBorder="1">
      <alignment vertical="center"/>
    </xf>
    <xf numFmtId="0" fontId="128" fillId="43" borderId="14" xfId="454" applyFont="1" applyFill="1" applyBorder="1" applyAlignment="1">
      <alignment vertical="center"/>
    </xf>
    <xf numFmtId="0" fontId="128" fillId="43" borderId="0" xfId="454" applyFont="1" applyFill="1" applyBorder="1" applyAlignment="1">
      <alignment vertical="center"/>
    </xf>
    <xf numFmtId="0" fontId="128" fillId="43" borderId="66" xfId="454" applyFont="1" applyFill="1" applyBorder="1" applyAlignment="1">
      <alignment vertical="center"/>
    </xf>
    <xf numFmtId="0" fontId="23" fillId="0" borderId="27" xfId="454" applyFont="1" applyBorder="1" applyAlignment="1">
      <alignment horizontal="center" vertical="center"/>
    </xf>
    <xf numFmtId="0" fontId="28" fillId="0" borderId="67" xfId="454" applyFont="1" applyBorder="1">
      <alignment vertical="center"/>
    </xf>
    <xf numFmtId="0" fontId="28" fillId="0" borderId="44" xfId="454" applyFont="1" applyFill="1" applyBorder="1">
      <alignment vertical="center"/>
    </xf>
    <xf numFmtId="0" fontId="128" fillId="43" borderId="45" xfId="454" applyFont="1" applyFill="1" applyBorder="1">
      <alignment vertical="center"/>
    </xf>
    <xf numFmtId="0" fontId="129" fillId="43" borderId="24" xfId="454" applyFont="1" applyFill="1" applyBorder="1" applyAlignment="1">
      <alignment horizontal="center" vertical="center"/>
    </xf>
    <xf numFmtId="0" fontId="128" fillId="43" borderId="8" xfId="454" applyFont="1" applyFill="1" applyBorder="1">
      <alignment vertical="center"/>
    </xf>
    <xf numFmtId="38" fontId="129" fillId="43" borderId="63" xfId="442" applyFont="1" applyFill="1" applyBorder="1">
      <alignment vertical="center"/>
    </xf>
    <xf numFmtId="0" fontId="128" fillId="43" borderId="68" xfId="454" applyFont="1" applyFill="1" applyBorder="1" applyAlignment="1">
      <alignment horizontal="left" vertical="center"/>
    </xf>
    <xf numFmtId="0" fontId="28" fillId="0" borderId="0" xfId="454" applyFont="1" applyBorder="1">
      <alignment vertical="center"/>
    </xf>
    <xf numFmtId="0" fontId="23" fillId="0" borderId="0" xfId="454" applyFont="1" applyBorder="1" applyAlignment="1">
      <alignment horizontal="center" vertical="center"/>
    </xf>
    <xf numFmtId="0" fontId="128" fillId="43" borderId="12" xfId="454" applyFont="1" applyFill="1" applyBorder="1">
      <alignment vertical="center"/>
    </xf>
    <xf numFmtId="0" fontId="128" fillId="43" borderId="43" xfId="454" applyFont="1" applyFill="1" applyBorder="1">
      <alignment vertical="center"/>
    </xf>
    <xf numFmtId="0" fontId="6" fillId="0" borderId="26" xfId="454" applyFont="1" applyFill="1" applyBorder="1">
      <alignment vertical="center"/>
    </xf>
    <xf numFmtId="0" fontId="128" fillId="43" borderId="14" xfId="454" applyFont="1" applyFill="1" applyBorder="1">
      <alignment vertical="center"/>
    </xf>
    <xf numFmtId="0" fontId="128" fillId="43" borderId="69" xfId="454" applyFont="1" applyFill="1" applyBorder="1">
      <alignment vertical="center"/>
    </xf>
    <xf numFmtId="0" fontId="6" fillId="0" borderId="28" xfId="454" applyFont="1" applyFill="1" applyBorder="1" applyAlignment="1">
      <alignment horizontal="center" vertical="center" shrinkToFit="1"/>
    </xf>
    <xf numFmtId="10" fontId="6" fillId="0" borderId="28" xfId="454" applyNumberFormat="1" applyFont="1" applyFill="1" applyBorder="1">
      <alignment vertical="center"/>
    </xf>
    <xf numFmtId="0" fontId="23" fillId="0" borderId="0" xfId="454" applyFont="1" applyAlignment="1">
      <alignment horizontal="left" vertical="center"/>
    </xf>
    <xf numFmtId="0" fontId="28" fillId="0" borderId="28" xfId="454" applyFont="1" applyFill="1" applyBorder="1" applyAlignment="1">
      <alignment horizontal="center" vertical="center"/>
    </xf>
    <xf numFmtId="0" fontId="23" fillId="0" borderId="0" xfId="454" applyFont="1" applyFill="1" applyAlignment="1">
      <alignment horizontal="center" vertical="center"/>
    </xf>
    <xf numFmtId="0" fontId="28" fillId="0" borderId="0" xfId="454" applyFont="1" applyFill="1" applyAlignment="1">
      <alignment horizontal="center" vertical="center"/>
    </xf>
    <xf numFmtId="0" fontId="28" fillId="0" borderId="30" xfId="454" applyFont="1" applyFill="1" applyBorder="1" applyAlignment="1">
      <alignment horizontal="center" vertical="center"/>
    </xf>
    <xf numFmtId="0" fontId="23" fillId="0" borderId="0" xfId="454" applyFont="1" applyFill="1">
      <alignment vertical="center"/>
    </xf>
    <xf numFmtId="0" fontId="23" fillId="43" borderId="24" xfId="454" applyFont="1" applyFill="1" applyBorder="1" applyAlignment="1">
      <alignment horizontal="center" vertical="center"/>
    </xf>
    <xf numFmtId="10" fontId="129" fillId="43" borderId="70" xfId="432" applyNumberFormat="1" applyFont="1" applyFill="1" applyBorder="1">
      <alignment vertical="center"/>
    </xf>
    <xf numFmtId="0" fontId="28" fillId="43" borderId="64" xfId="454" applyFont="1" applyFill="1" applyBorder="1" applyAlignment="1">
      <alignment horizontal="left" vertical="center"/>
    </xf>
    <xf numFmtId="0" fontId="28" fillId="0" borderId="26" xfId="454" applyFont="1" applyFill="1" applyBorder="1" applyAlignment="1">
      <alignment vertical="center"/>
    </xf>
    <xf numFmtId="0" fontId="28" fillId="0" borderId="28" xfId="454" applyFont="1" applyFill="1" applyBorder="1" applyAlignment="1">
      <alignment vertical="center"/>
    </xf>
    <xf numFmtId="0" fontId="130" fillId="43" borderId="8" xfId="454" applyFont="1" applyFill="1" applyBorder="1" applyAlignment="1">
      <alignment horizontal="left" vertical="center"/>
    </xf>
    <xf numFmtId="0" fontId="23" fillId="0" borderId="0" xfId="454" applyFont="1" applyFill="1" applyBorder="1" applyAlignment="1">
      <alignment horizontal="center" vertical="center"/>
    </xf>
    <xf numFmtId="0" fontId="28" fillId="0" borderId="37" xfId="454" applyFont="1" applyBorder="1" applyAlignment="1">
      <alignment horizontal="distributed" vertical="center"/>
    </xf>
    <xf numFmtId="188" fontId="23" fillId="0" borderId="0" xfId="454" applyNumberFormat="1" applyFont="1" applyFill="1" applyAlignment="1">
      <alignment horizontal="left" vertical="center"/>
    </xf>
    <xf numFmtId="0" fontId="28" fillId="0" borderId="40" xfId="454" applyFont="1" applyBorder="1" applyAlignment="1">
      <alignment horizontal="distributed" vertical="center"/>
    </xf>
    <xf numFmtId="0" fontId="23" fillId="0" borderId="0" xfId="454" applyFont="1" applyFill="1" applyAlignment="1">
      <alignment horizontal="left" vertical="center"/>
    </xf>
    <xf numFmtId="0" fontId="28" fillId="0" borderId="25" xfId="454" applyFont="1" applyBorder="1" applyAlignment="1">
      <alignment horizontal="distributed" vertical="center"/>
    </xf>
    <xf numFmtId="187" fontId="28" fillId="0" borderId="65" xfId="454" applyNumberFormat="1" applyFont="1" applyFill="1" applyBorder="1" applyAlignment="1">
      <alignment horizontal="center" vertical="center"/>
    </xf>
    <xf numFmtId="188" fontId="28" fillId="0" borderId="38" xfId="454" applyNumberFormat="1" applyFont="1" applyFill="1" applyBorder="1" applyAlignment="1">
      <alignment vertical="center" shrinkToFit="1"/>
    </xf>
    <xf numFmtId="188" fontId="28" fillId="0" borderId="38" xfId="454" applyNumberFormat="1" applyFont="1" applyFill="1" applyBorder="1" applyAlignment="1">
      <alignment vertical="center"/>
    </xf>
    <xf numFmtId="0" fontId="28" fillId="0" borderId="30" xfId="454" applyFont="1" applyFill="1" applyBorder="1" applyAlignment="1">
      <alignment vertical="center"/>
    </xf>
    <xf numFmtId="0" fontId="28" fillId="0" borderId="71" xfId="454" applyFont="1" applyBorder="1" applyAlignment="1">
      <alignment horizontal="distributed" vertical="center"/>
    </xf>
    <xf numFmtId="187" fontId="28" fillId="0" borderId="72" xfId="454" applyNumberFormat="1" applyFont="1" applyFill="1" applyBorder="1" applyAlignment="1">
      <alignment horizontal="center" vertical="center"/>
    </xf>
    <xf numFmtId="188" fontId="28" fillId="0" borderId="41" xfId="454" applyNumberFormat="1" applyFont="1" applyFill="1" applyBorder="1" applyAlignment="1">
      <alignment vertical="center" shrinkToFit="1"/>
    </xf>
    <xf numFmtId="0" fontId="28" fillId="0" borderId="41" xfId="454" applyFont="1" applyFill="1" applyBorder="1" applyAlignment="1">
      <alignment horizontal="distributed" vertical="center"/>
    </xf>
    <xf numFmtId="0" fontId="28" fillId="43" borderId="8" xfId="454" applyFont="1" applyFill="1" applyBorder="1">
      <alignment vertical="center"/>
    </xf>
    <xf numFmtId="0" fontId="28" fillId="43" borderId="70" xfId="454" applyFont="1" applyFill="1" applyBorder="1" applyAlignment="1">
      <alignment horizontal="left" vertical="center"/>
    </xf>
    <xf numFmtId="0" fontId="28" fillId="0" borderId="38" xfId="454" applyFont="1" applyBorder="1" applyAlignment="1">
      <alignment horizontal="distributed" vertical="center"/>
    </xf>
    <xf numFmtId="0" fontId="28" fillId="0" borderId="37" xfId="454" applyFont="1" applyBorder="1" applyAlignment="1">
      <alignment vertical="center"/>
    </xf>
    <xf numFmtId="0" fontId="28" fillId="0" borderId="38" xfId="454" applyFont="1" applyBorder="1" applyAlignment="1">
      <alignment vertical="center"/>
    </xf>
    <xf numFmtId="0" fontId="23" fillId="0" borderId="38" xfId="454" applyFont="1" applyBorder="1">
      <alignment vertical="center"/>
    </xf>
    <xf numFmtId="0" fontId="28" fillId="0" borderId="31" xfId="454" applyFont="1" applyBorder="1" applyAlignment="1">
      <alignment horizontal="distributed" vertical="center"/>
    </xf>
    <xf numFmtId="0" fontId="28" fillId="0" borderId="39" xfId="454" applyFont="1" applyFill="1" applyBorder="1" applyAlignment="1">
      <alignment vertical="center"/>
    </xf>
    <xf numFmtId="0" fontId="28" fillId="0" borderId="31" xfId="454" applyFont="1" applyFill="1" applyBorder="1" applyAlignment="1">
      <alignment vertical="center"/>
    </xf>
    <xf numFmtId="0" fontId="23" fillId="0" borderId="31" xfId="454" applyFont="1" applyBorder="1">
      <alignment vertical="center"/>
    </xf>
    <xf numFmtId="0" fontId="28" fillId="0" borderId="27" xfId="454" applyFont="1" applyBorder="1" applyAlignment="1">
      <alignment horizontal="distributed" vertical="center"/>
    </xf>
    <xf numFmtId="188" fontId="28" fillId="0" borderId="31" xfId="454" applyNumberFormat="1" applyFont="1" applyFill="1" applyBorder="1" applyAlignment="1">
      <alignment vertical="center" shrinkToFit="1"/>
    </xf>
    <xf numFmtId="0" fontId="107" fillId="0" borderId="31" xfId="454" applyFont="1" applyFill="1" applyBorder="1" applyAlignment="1">
      <alignment horizontal="left" vertical="center"/>
    </xf>
    <xf numFmtId="0" fontId="28" fillId="0" borderId="29" xfId="454" applyFont="1" applyBorder="1" applyAlignment="1">
      <alignment horizontal="distributed" vertical="center"/>
    </xf>
    <xf numFmtId="0" fontId="107" fillId="0" borderId="41" xfId="454" applyFont="1" applyFill="1" applyBorder="1" applyAlignment="1">
      <alignment horizontal="left" vertical="center"/>
    </xf>
    <xf numFmtId="0" fontId="28" fillId="0" borderId="37" xfId="454" applyFont="1" applyFill="1" applyBorder="1" applyAlignment="1">
      <alignment vertical="center"/>
    </xf>
    <xf numFmtId="0" fontId="28" fillId="0" borderId="38" xfId="454" applyFont="1" applyFill="1" applyBorder="1" applyAlignment="1">
      <alignment vertical="center"/>
    </xf>
    <xf numFmtId="0" fontId="128" fillId="43" borderId="18" xfId="454" applyFont="1" applyFill="1" applyBorder="1">
      <alignment vertical="center"/>
    </xf>
    <xf numFmtId="0" fontId="23" fillId="43" borderId="8" xfId="454" applyFont="1" applyFill="1" applyBorder="1" applyAlignment="1">
      <alignment horizontal="center" vertical="center"/>
    </xf>
    <xf numFmtId="0" fontId="128" fillId="43" borderId="66" xfId="454" applyFont="1" applyFill="1" applyBorder="1">
      <alignment vertical="center"/>
    </xf>
    <xf numFmtId="0" fontId="128" fillId="43" borderId="10" xfId="454" applyFont="1" applyFill="1" applyBorder="1">
      <alignment vertical="center"/>
    </xf>
    <xf numFmtId="0" fontId="128" fillId="43" borderId="64" xfId="454" applyFont="1" applyFill="1" applyBorder="1">
      <alignment vertical="center"/>
    </xf>
    <xf numFmtId="0" fontId="128" fillId="43" borderId="68" xfId="454" applyFont="1" applyFill="1" applyBorder="1">
      <alignment vertical="center"/>
    </xf>
    <xf numFmtId="0" fontId="128" fillId="43" borderId="70" xfId="454" applyFont="1" applyFill="1" applyBorder="1" applyAlignment="1">
      <alignment horizontal="left" vertical="center"/>
    </xf>
    <xf numFmtId="0" fontId="129" fillId="43" borderId="8" xfId="454" applyFont="1" applyFill="1" applyBorder="1" applyAlignment="1">
      <alignment horizontal="center" vertical="center"/>
    </xf>
    <xf numFmtId="0" fontId="128" fillId="43" borderId="24" xfId="454" applyFont="1" applyFill="1" applyBorder="1">
      <alignment vertical="center"/>
    </xf>
    <xf numFmtId="0" fontId="128" fillId="43" borderId="70" xfId="454" applyFont="1" applyFill="1" applyBorder="1">
      <alignment vertical="center"/>
    </xf>
    <xf numFmtId="10" fontId="129" fillId="43" borderId="73" xfId="432" applyNumberFormat="1" applyFont="1" applyFill="1" applyBorder="1">
      <alignment vertical="center"/>
    </xf>
    <xf numFmtId="0" fontId="7" fillId="0" borderId="0" xfId="454">
      <alignment vertical="center"/>
    </xf>
    <xf numFmtId="0" fontId="28" fillId="0" borderId="32" xfId="454" applyFont="1" applyBorder="1">
      <alignment vertical="center"/>
    </xf>
    <xf numFmtId="0" fontId="28" fillId="0" borderId="34" xfId="454" applyFont="1" applyBorder="1">
      <alignment vertical="center"/>
    </xf>
    <xf numFmtId="38" fontId="129" fillId="43" borderId="9" xfId="442" applyFont="1" applyFill="1" applyBorder="1" applyAlignment="1">
      <alignment vertical="center"/>
    </xf>
    <xf numFmtId="0" fontId="128" fillId="43" borderId="13" xfId="454" applyFont="1" applyFill="1" applyBorder="1">
      <alignment vertical="center"/>
    </xf>
    <xf numFmtId="0" fontId="108" fillId="0" borderId="33" xfId="454" applyFont="1" applyBorder="1" applyAlignment="1">
      <alignment vertical="center" shrinkToFit="1"/>
    </xf>
    <xf numFmtId="0" fontId="28" fillId="0" borderId="26" xfId="454" applyFont="1" applyFill="1" applyBorder="1">
      <alignment vertical="center"/>
    </xf>
    <xf numFmtId="0" fontId="128" fillId="43" borderId="0" xfId="454" applyFont="1" applyFill="1" applyBorder="1">
      <alignment vertical="center"/>
    </xf>
    <xf numFmtId="0" fontId="28" fillId="0" borderId="28" xfId="454" applyFont="1" applyFill="1" applyBorder="1">
      <alignment vertical="center"/>
    </xf>
    <xf numFmtId="0" fontId="28" fillId="0" borderId="0" xfId="454" applyFont="1" applyFill="1" applyBorder="1">
      <alignment vertical="center"/>
    </xf>
    <xf numFmtId="0" fontId="125" fillId="0" borderId="0" xfId="0" applyFont="1">
      <alignment vertical="center"/>
    </xf>
    <xf numFmtId="38" fontId="114" fillId="0" borderId="0" xfId="442" applyFont="1" applyFill="1" applyAlignment="1">
      <alignment vertical="center"/>
    </xf>
    <xf numFmtId="49" fontId="9" fillId="0" borderId="53" xfId="460" applyNumberFormat="1" applyFont="1" applyBorder="1" applyAlignment="1">
      <alignment vertical="center"/>
    </xf>
    <xf numFmtId="38" fontId="9" fillId="0" borderId="53" xfId="442" applyFont="1" applyBorder="1" applyAlignment="1">
      <alignment vertical="center"/>
    </xf>
    <xf numFmtId="0" fontId="114" fillId="0" borderId="74" xfId="460" applyNumberFormat="1" applyFont="1" applyBorder="1" applyAlignment="1">
      <alignment vertical="center"/>
    </xf>
    <xf numFmtId="38" fontId="114" fillId="0" borderId="74" xfId="442" applyFont="1" applyBorder="1" applyAlignment="1">
      <alignment vertical="center"/>
    </xf>
    <xf numFmtId="200" fontId="9" fillId="0" borderId="26" xfId="442" applyNumberFormat="1" applyFont="1" applyFill="1" applyBorder="1" applyAlignment="1">
      <alignment vertical="center"/>
    </xf>
    <xf numFmtId="0" fontId="0" fillId="0" borderId="9" xfId="0" applyBorder="1">
      <alignment vertical="center"/>
    </xf>
    <xf numFmtId="0" fontId="7" fillId="0" borderId="9" xfId="0" applyFont="1" applyBorder="1">
      <alignment vertical="center"/>
    </xf>
    <xf numFmtId="0" fontId="6" fillId="0" borderId="9" xfId="0" applyFont="1" applyFill="1" applyBorder="1" applyAlignment="1">
      <alignment vertical="center"/>
    </xf>
    <xf numFmtId="0" fontId="5" fillId="0" borderId="9" xfId="0" applyFont="1" applyFill="1" applyBorder="1">
      <alignment vertical="center"/>
    </xf>
    <xf numFmtId="0" fontId="7" fillId="0" borderId="24" xfId="0" applyFont="1" applyBorder="1">
      <alignment vertical="center"/>
    </xf>
    <xf numFmtId="0" fontId="7" fillId="0" borderId="70" xfId="0" applyFont="1" applyBorder="1">
      <alignment vertical="center"/>
    </xf>
    <xf numFmtId="0" fontId="0" fillId="0" borderId="47" xfId="0" applyBorder="1">
      <alignment vertical="center"/>
    </xf>
    <xf numFmtId="0" fontId="6" fillId="0" borderId="47" xfId="0" applyFont="1" applyFill="1" applyBorder="1" applyAlignment="1">
      <alignment vertical="center"/>
    </xf>
    <xf numFmtId="0" fontId="8" fillId="0" borderId="37" xfId="460" applyFont="1" applyFill="1" applyBorder="1" applyAlignment="1">
      <alignment horizontal="left"/>
    </xf>
    <xf numFmtId="0" fontId="5" fillId="0" borderId="26" xfId="0" applyFont="1" applyFill="1" applyBorder="1">
      <alignment vertical="center"/>
    </xf>
    <xf numFmtId="0" fontId="8" fillId="0" borderId="47" xfId="460" applyFont="1" applyFill="1" applyBorder="1" applyAlignment="1">
      <alignment horizontal="left"/>
    </xf>
    <xf numFmtId="0" fontId="0" fillId="0" borderId="44" xfId="0" applyBorder="1">
      <alignment vertical="center"/>
    </xf>
    <xf numFmtId="0" fontId="6" fillId="0" borderId="44" xfId="0" applyFont="1" applyFill="1" applyBorder="1" applyAlignment="1">
      <alignment vertical="center"/>
    </xf>
    <xf numFmtId="0" fontId="8" fillId="0" borderId="39" xfId="460" applyFont="1" applyFill="1" applyBorder="1" applyAlignment="1">
      <alignment horizontal="left"/>
    </xf>
    <xf numFmtId="0" fontId="5" fillId="0" borderId="28" xfId="0" applyFont="1" applyFill="1" applyBorder="1">
      <alignment vertical="center"/>
    </xf>
    <xf numFmtId="0" fontId="8" fillId="0" borderId="44" xfId="460" applyFont="1" applyFill="1" applyBorder="1" applyAlignment="1">
      <alignment horizontal="left"/>
    </xf>
    <xf numFmtId="0" fontId="0" fillId="0" borderId="49" xfId="0" applyBorder="1">
      <alignment vertical="center"/>
    </xf>
    <xf numFmtId="14" fontId="11" fillId="0" borderId="9" xfId="0" applyNumberFormat="1" applyFont="1" applyBorder="1" applyAlignment="1">
      <alignment horizontal="left" vertical="center"/>
    </xf>
    <xf numFmtId="0" fontId="5" fillId="0" borderId="9" xfId="0" applyFont="1" applyBorder="1">
      <alignment vertical="center"/>
    </xf>
    <xf numFmtId="0" fontId="0" fillId="0" borderId="43" xfId="0" applyBorder="1">
      <alignment vertical="center"/>
    </xf>
    <xf numFmtId="0" fontId="6" fillId="0" borderId="43" xfId="0" applyFont="1" applyFill="1" applyBorder="1" applyAlignment="1">
      <alignment vertical="center"/>
    </xf>
    <xf numFmtId="0" fontId="5" fillId="0" borderId="24" xfId="0" applyFont="1" applyBorder="1">
      <alignment vertical="center"/>
    </xf>
    <xf numFmtId="0" fontId="0" fillId="0" borderId="70" xfId="0" applyBorder="1">
      <alignment vertical="center"/>
    </xf>
    <xf numFmtId="0" fontId="5" fillId="0" borderId="12" xfId="0" applyFont="1" applyBorder="1">
      <alignment vertical="center"/>
    </xf>
    <xf numFmtId="0" fontId="5" fillId="0" borderId="13" xfId="0" applyFont="1" applyBorder="1">
      <alignment vertical="center"/>
    </xf>
    <xf numFmtId="0" fontId="5" fillId="0" borderId="14" xfId="0" applyFont="1" applyBorder="1">
      <alignment vertical="center"/>
    </xf>
    <xf numFmtId="0" fontId="5" fillId="0" borderId="0" xfId="0" applyFont="1" applyBorder="1">
      <alignment vertical="center"/>
    </xf>
    <xf numFmtId="14" fontId="5" fillId="0" borderId="9" xfId="0" applyNumberFormat="1" applyFont="1" applyBorder="1" applyAlignment="1">
      <alignment horizontal="left" vertical="center"/>
    </xf>
    <xf numFmtId="176" fontId="9" fillId="0" borderId="13" xfId="460" applyNumberFormat="1" applyFont="1" applyFill="1" applyBorder="1" applyAlignment="1">
      <alignment vertical="center"/>
    </xf>
    <xf numFmtId="0" fontId="0" fillId="0" borderId="24" xfId="0" applyBorder="1">
      <alignment vertical="center"/>
    </xf>
    <xf numFmtId="176" fontId="9" fillId="0" borderId="8" xfId="460" applyNumberFormat="1" applyFont="1" applyFill="1" applyBorder="1" applyAlignment="1">
      <alignment vertical="center"/>
    </xf>
    <xf numFmtId="0" fontId="5" fillId="0" borderId="70" xfId="0" applyFont="1" applyBorder="1">
      <alignment vertical="center"/>
    </xf>
    <xf numFmtId="2" fontId="5" fillId="0" borderId="24" xfId="0" applyNumberFormat="1" applyFont="1" applyBorder="1">
      <alignment vertical="center"/>
    </xf>
    <xf numFmtId="0" fontId="5" fillId="0" borderId="8" xfId="0" applyFont="1" applyBorder="1">
      <alignment vertical="center"/>
    </xf>
    <xf numFmtId="0" fontId="5" fillId="0" borderId="10" xfId="0" applyFont="1" applyBorder="1">
      <alignment vertical="center"/>
    </xf>
    <xf numFmtId="189" fontId="9" fillId="0" borderId="0" xfId="442" applyNumberFormat="1" applyFont="1" applyFill="1" applyAlignment="1">
      <alignment horizontal="left" vertical="center"/>
    </xf>
    <xf numFmtId="183" fontId="9" fillId="0" borderId="30" xfId="442" applyNumberFormat="1" applyFont="1" applyFill="1" applyBorder="1" applyAlignment="1">
      <alignment vertical="center"/>
    </xf>
    <xf numFmtId="0" fontId="0" fillId="0" borderId="37" xfId="0" applyBorder="1">
      <alignment vertical="center"/>
    </xf>
    <xf numFmtId="0" fontId="0" fillId="0" borderId="40" xfId="0" applyBorder="1">
      <alignment vertical="center"/>
    </xf>
    <xf numFmtId="200" fontId="9" fillId="0" borderId="26" xfId="442" applyNumberFormat="1" applyFont="1" applyFill="1" applyBorder="1" applyAlignment="1">
      <alignment vertical="center" shrinkToFit="1"/>
    </xf>
    <xf numFmtId="0" fontId="9" fillId="0" borderId="9" xfId="0" applyNumberFormat="1" applyFont="1" applyFill="1" applyBorder="1" applyAlignment="1">
      <alignment horizontal="center" vertical="center"/>
    </xf>
    <xf numFmtId="0" fontId="9" fillId="0" borderId="18" xfId="0" applyNumberFormat="1" applyFont="1" applyFill="1" applyBorder="1" applyAlignment="1">
      <alignment horizontal="center" vertical="center"/>
    </xf>
    <xf numFmtId="0" fontId="9" fillId="0" borderId="0" xfId="0" applyNumberFormat="1" applyFont="1" applyFill="1" applyAlignment="1">
      <alignment vertical="center"/>
    </xf>
    <xf numFmtId="190" fontId="113" fillId="0" borderId="18" xfId="0" applyNumberFormat="1" applyFont="1" applyBorder="1" applyAlignment="1">
      <alignment horizontal="right" vertical="center"/>
    </xf>
    <xf numFmtId="202" fontId="113" fillId="0" borderId="68" xfId="0" applyNumberFormat="1" applyFont="1" applyBorder="1" applyAlignment="1">
      <alignment horizontal="right" vertical="center"/>
    </xf>
    <xf numFmtId="186" fontId="113" fillId="0" borderId="45" xfId="0" applyNumberFormat="1" applyFont="1" applyBorder="1" applyAlignment="1">
      <alignment vertical="center"/>
    </xf>
    <xf numFmtId="0" fontId="9" fillId="0" borderId="0" xfId="0" applyNumberFormat="1" applyFont="1" applyAlignment="1">
      <alignment vertical="center"/>
    </xf>
    <xf numFmtId="0" fontId="113" fillId="0" borderId="9" xfId="0" applyNumberFormat="1" applyFont="1" applyBorder="1" applyAlignment="1">
      <alignment horizontal="center" vertical="center"/>
    </xf>
    <xf numFmtId="190" fontId="113" fillId="0" borderId="24" xfId="0" applyNumberFormat="1" applyFont="1" applyBorder="1" applyAlignment="1">
      <alignment vertical="center"/>
    </xf>
    <xf numFmtId="202" fontId="113" fillId="0" borderId="70" xfId="0" applyNumberFormat="1" applyFont="1" applyBorder="1" applyAlignment="1">
      <alignment vertical="center"/>
    </xf>
    <xf numFmtId="186" fontId="113" fillId="0" borderId="9" xfId="0" applyNumberFormat="1" applyFont="1" applyBorder="1" applyAlignment="1">
      <alignment vertical="center"/>
    </xf>
    <xf numFmtId="197" fontId="113" fillId="0" borderId="0" xfId="0" applyNumberFormat="1" applyFont="1" applyBorder="1" applyAlignment="1">
      <alignment vertical="center"/>
    </xf>
    <xf numFmtId="193" fontId="9" fillId="0" borderId="0" xfId="455" applyNumberFormat="1" applyFont="1" applyFill="1" applyBorder="1" applyAlignment="1">
      <alignment horizontal="center" vertical="center"/>
    </xf>
    <xf numFmtId="0" fontId="114" fillId="0" borderId="0" xfId="0" applyNumberFormat="1" applyFont="1" applyFill="1" applyBorder="1" applyAlignment="1">
      <alignment vertical="center"/>
    </xf>
    <xf numFmtId="0" fontId="131" fillId="0" borderId="18" xfId="0" applyNumberFormat="1" applyFont="1" applyFill="1" applyBorder="1" applyAlignment="1">
      <alignment horizontal="center" vertical="center"/>
    </xf>
    <xf numFmtId="0" fontId="131" fillId="0" borderId="9" xfId="0" applyNumberFormat="1" applyFont="1" applyFill="1" applyBorder="1" applyAlignment="1">
      <alignment horizontal="center" vertical="center"/>
    </xf>
    <xf numFmtId="0" fontId="131" fillId="0" borderId="9" xfId="462" applyNumberFormat="1" applyFont="1" applyFill="1" applyBorder="1" applyAlignment="1">
      <alignment horizontal="center" vertical="center"/>
    </xf>
    <xf numFmtId="0" fontId="9" fillId="0" borderId="12" xfId="462" applyNumberFormat="1" applyFont="1" applyBorder="1" applyAlignment="1">
      <alignment horizontal="center" vertical="center"/>
    </xf>
    <xf numFmtId="0" fontId="9" fillId="0" borderId="64" xfId="462" applyNumberFormat="1" applyFont="1" applyBorder="1" applyAlignment="1">
      <alignment horizontal="center" vertical="center"/>
    </xf>
    <xf numFmtId="0" fontId="9" fillId="0" borderId="0" xfId="462" applyNumberFormat="1" applyFont="1" applyAlignment="1">
      <alignment vertical="center"/>
    </xf>
    <xf numFmtId="0" fontId="9" fillId="0" borderId="18" xfId="462" applyNumberFormat="1" applyFont="1" applyBorder="1" applyAlignment="1">
      <alignment horizontal="center" vertical="center"/>
    </xf>
    <xf numFmtId="0" fontId="9" fillId="0" borderId="9" xfId="462" applyNumberFormat="1" applyFont="1" applyBorder="1" applyAlignment="1">
      <alignment horizontal="center" vertical="center"/>
    </xf>
    <xf numFmtId="0" fontId="131" fillId="0" borderId="18" xfId="462" applyNumberFormat="1" applyFont="1" applyBorder="1" applyAlignment="1">
      <alignment horizontal="right" vertical="center"/>
    </xf>
    <xf numFmtId="0" fontId="131" fillId="0" borderId="9" xfId="462" applyNumberFormat="1" applyFont="1" applyBorder="1" applyAlignment="1">
      <alignment horizontal="center" vertical="center"/>
    </xf>
    <xf numFmtId="0" fontId="9" fillId="0" borderId="45" xfId="462" applyNumberFormat="1" applyFont="1" applyBorder="1" applyAlignment="1">
      <alignment horizontal="center" vertical="center"/>
    </xf>
    <xf numFmtId="0" fontId="113" fillId="0" borderId="45" xfId="462" applyNumberFormat="1" applyFont="1" applyBorder="1" applyAlignment="1">
      <alignment horizontal="center" vertical="center"/>
    </xf>
    <xf numFmtId="198" fontId="113" fillId="0" borderId="45" xfId="462" applyNumberFormat="1" applyFont="1" applyBorder="1" applyAlignment="1">
      <alignment vertical="center"/>
    </xf>
    <xf numFmtId="186" fontId="113" fillId="0" borderId="45" xfId="462" applyNumberFormat="1" applyFont="1" applyBorder="1" applyAlignment="1">
      <alignment vertical="center"/>
    </xf>
    <xf numFmtId="198" fontId="113" fillId="0" borderId="9" xfId="462" applyNumberFormat="1" applyFont="1" applyBorder="1" applyAlignment="1">
      <alignment horizontal="right" vertical="center"/>
    </xf>
    <xf numFmtId="0" fontId="229" fillId="0" borderId="0" xfId="0" applyFont="1">
      <alignment vertical="center"/>
    </xf>
    <xf numFmtId="10" fontId="113" fillId="62" borderId="56" xfId="432" applyNumberFormat="1" applyFont="1" applyFill="1" applyBorder="1" applyAlignment="1">
      <alignment vertical="center"/>
    </xf>
    <xf numFmtId="0" fontId="9" fillId="0" borderId="76" xfId="460" applyNumberFormat="1" applyFont="1" applyFill="1" applyBorder="1" applyAlignment="1">
      <alignment vertical="center"/>
    </xf>
    <xf numFmtId="0" fontId="113" fillId="0" borderId="76" xfId="460" applyNumberFormat="1" applyFont="1" applyFill="1" applyBorder="1" applyAlignment="1">
      <alignment horizontal="center" vertical="center"/>
    </xf>
    <xf numFmtId="0" fontId="113" fillId="0" borderId="76" xfId="460" applyFont="1" applyFill="1" applyBorder="1" applyAlignment="1">
      <alignment vertical="center"/>
    </xf>
    <xf numFmtId="0" fontId="9" fillId="0" borderId="76" xfId="455" applyFont="1" applyFill="1" applyBorder="1" applyAlignment="1">
      <alignment horizontal="center" vertical="center"/>
    </xf>
    <xf numFmtId="0" fontId="0" fillId="0" borderId="76" xfId="0" applyBorder="1">
      <alignment vertical="center"/>
    </xf>
    <xf numFmtId="0" fontId="9" fillId="0" borderId="77" xfId="460" applyNumberFormat="1" applyFont="1" applyFill="1" applyBorder="1" applyAlignment="1">
      <alignment vertical="center"/>
    </xf>
    <xf numFmtId="0" fontId="113" fillId="0" borderId="77" xfId="460" applyNumberFormat="1" applyFont="1" applyFill="1" applyBorder="1" applyAlignment="1">
      <alignment horizontal="center" vertical="center"/>
    </xf>
    <xf numFmtId="0" fontId="113" fillId="0" borderId="77" xfId="460" applyFont="1" applyFill="1" applyBorder="1" applyAlignment="1">
      <alignment vertical="center"/>
    </xf>
    <xf numFmtId="0" fontId="9" fillId="0" borderId="77" xfId="455" applyFont="1" applyFill="1" applyBorder="1" applyAlignment="1">
      <alignment horizontal="center" vertical="center"/>
    </xf>
    <xf numFmtId="0" fontId="0" fillId="0" borderId="77" xfId="0" applyBorder="1">
      <alignment vertical="center"/>
    </xf>
    <xf numFmtId="0" fontId="131" fillId="0" borderId="31" xfId="460" applyNumberFormat="1" applyFont="1" applyFill="1" applyBorder="1" applyAlignment="1">
      <alignment vertical="center"/>
    </xf>
    <xf numFmtId="0" fontId="131" fillId="0" borderId="14" xfId="460" applyNumberFormat="1" applyFont="1" applyFill="1" applyBorder="1" applyAlignment="1">
      <alignment horizontal="left" vertical="center" indent="1"/>
    </xf>
    <xf numFmtId="0" fontId="131" fillId="0" borderId="0" xfId="460" applyNumberFormat="1" applyFont="1" applyFill="1" applyBorder="1" applyAlignment="1">
      <alignment vertical="center"/>
    </xf>
    <xf numFmtId="0" fontId="131" fillId="0" borderId="18" xfId="460" applyNumberFormat="1" applyFont="1" applyFill="1" applyBorder="1" applyAlignment="1">
      <alignment horizontal="left" vertical="center" indent="1"/>
    </xf>
    <xf numFmtId="0" fontId="131" fillId="0" borderId="10" xfId="460" applyFont="1" applyFill="1" applyBorder="1" applyAlignment="1">
      <alignment vertical="center"/>
    </xf>
    <xf numFmtId="0" fontId="0" fillId="0" borderId="46" xfId="0" applyBorder="1">
      <alignment vertical="center"/>
    </xf>
    <xf numFmtId="38" fontId="113" fillId="0" borderId="56" xfId="442" applyNumberFormat="1" applyFont="1" applyFill="1" applyBorder="1" applyAlignment="1">
      <alignment horizontal="right" vertical="center"/>
    </xf>
    <xf numFmtId="9" fontId="131" fillId="0" borderId="31" xfId="432" applyFont="1" applyFill="1" applyBorder="1" applyAlignment="1">
      <alignment vertical="center"/>
    </xf>
    <xf numFmtId="38" fontId="9" fillId="0" borderId="45" xfId="442" applyFont="1" applyFill="1" applyBorder="1" applyAlignment="1">
      <alignment horizontal="right" vertical="center"/>
    </xf>
    <xf numFmtId="0" fontId="9" fillId="0" borderId="69" xfId="460" applyNumberFormat="1" applyFont="1" applyFill="1" applyBorder="1" applyAlignment="1">
      <alignment horizontal="left" vertical="center" shrinkToFit="1"/>
    </xf>
    <xf numFmtId="0" fontId="132" fillId="0" borderId="14" xfId="460" applyNumberFormat="1" applyFont="1" applyFill="1" applyBorder="1" applyAlignment="1">
      <alignment horizontal="left" vertical="center" shrinkToFit="1"/>
    </xf>
    <xf numFmtId="9" fontId="9" fillId="0" borderId="14" xfId="432" applyFont="1" applyFill="1" applyBorder="1" applyAlignment="1">
      <alignment vertical="center" shrinkToFit="1"/>
    </xf>
    <xf numFmtId="203" fontId="9" fillId="0" borderId="0" xfId="460" applyNumberFormat="1" applyFont="1" applyFill="1" applyAlignment="1">
      <alignment horizontal="center" vertical="center" shrinkToFit="1"/>
    </xf>
    <xf numFmtId="203" fontId="228" fillId="0" borderId="14" xfId="460" applyNumberFormat="1" applyFont="1" applyFill="1" applyBorder="1" applyAlignment="1">
      <alignment horizontal="left" vertical="center" shrinkToFit="1"/>
    </xf>
    <xf numFmtId="10" fontId="230" fillId="0" borderId="9" xfId="432" applyNumberFormat="1" applyFont="1" applyFill="1" applyBorder="1" applyAlignment="1">
      <alignment horizontal="center" vertical="center"/>
    </xf>
    <xf numFmtId="10" fontId="116" fillId="63" borderId="9" xfId="432" applyNumberFormat="1" applyFont="1" applyFill="1" applyBorder="1" applyAlignment="1">
      <alignment horizontal="center" vertical="center"/>
    </xf>
    <xf numFmtId="10" fontId="116" fillId="64" borderId="9" xfId="432" applyNumberFormat="1" applyFont="1" applyFill="1" applyBorder="1" applyAlignment="1">
      <alignment horizontal="center" vertical="center"/>
    </xf>
    <xf numFmtId="176" fontId="24" fillId="0" borderId="0" xfId="463" applyNumberFormat="1" applyFont="1" applyBorder="1" applyAlignment="1"/>
    <xf numFmtId="176" fontId="145" fillId="0" borderId="0" xfId="463" applyNumberFormat="1" applyFont="1" applyAlignment="1">
      <alignment horizontal="center" vertical="center"/>
    </xf>
    <xf numFmtId="176" fontId="24" fillId="0" borderId="0" xfId="463" applyNumberFormat="1" applyFont="1" applyAlignment="1">
      <alignment vertical="center"/>
    </xf>
    <xf numFmtId="49" fontId="148" fillId="0" borderId="0" xfId="0" applyNumberFormat="1" applyFont="1" applyAlignment="1">
      <alignment horizontal="center" vertical="center"/>
    </xf>
    <xf numFmtId="0" fontId="148" fillId="0" borderId="0" xfId="0" applyFont="1" applyAlignment="1">
      <alignment horizontal="left" vertical="center"/>
    </xf>
    <xf numFmtId="49" fontId="148" fillId="0" borderId="0" xfId="0" applyNumberFormat="1" applyFont="1" applyAlignment="1">
      <alignment horizontal="right" vertical="center"/>
    </xf>
    <xf numFmtId="186" fontId="148" fillId="0" borderId="0" xfId="0" applyNumberFormat="1" applyFont="1" applyAlignment="1">
      <alignment vertical="center"/>
    </xf>
    <xf numFmtId="223" fontId="148" fillId="0" borderId="0" xfId="0" applyNumberFormat="1" applyFont="1" applyAlignment="1">
      <alignment vertical="center"/>
    </xf>
    <xf numFmtId="0" fontId="148" fillId="0" borderId="0" xfId="0" applyFont="1" applyAlignment="1">
      <alignment vertical="center"/>
    </xf>
    <xf numFmtId="49" fontId="149" fillId="0" borderId="0" xfId="0" applyNumberFormat="1" applyFont="1" applyAlignment="1">
      <alignment horizontal="left" vertical="center"/>
    </xf>
    <xf numFmtId="0" fontId="148" fillId="0" borderId="0" xfId="0" applyFont="1" applyBorder="1" applyAlignment="1">
      <alignment vertical="center"/>
    </xf>
    <xf numFmtId="49" fontId="148" fillId="0" borderId="12" xfId="0" applyNumberFormat="1" applyFont="1" applyBorder="1" applyAlignment="1">
      <alignment horizontal="center" vertical="center"/>
    </xf>
    <xf numFmtId="0" fontId="148" fillId="0" borderId="13" xfId="0" applyFont="1" applyBorder="1" applyAlignment="1">
      <alignment horizontal="left" vertical="center"/>
    </xf>
    <xf numFmtId="223" fontId="148" fillId="0" borderId="78" xfId="0" applyNumberFormat="1" applyFont="1" applyBorder="1" applyAlignment="1">
      <alignment vertical="center"/>
    </xf>
    <xf numFmtId="223" fontId="148" fillId="0" borderId="79" xfId="0" applyNumberFormat="1" applyFont="1" applyBorder="1" applyAlignment="1">
      <alignment vertical="center"/>
    </xf>
    <xf numFmtId="0" fontId="148" fillId="0" borderId="64" xfId="0" applyFont="1" applyBorder="1" applyAlignment="1">
      <alignment vertical="center"/>
    </xf>
    <xf numFmtId="49" fontId="148" fillId="0" borderId="18" xfId="0" applyNumberFormat="1" applyFont="1" applyBorder="1" applyAlignment="1">
      <alignment horizontal="center" vertical="center"/>
    </xf>
    <xf numFmtId="0" fontId="148" fillId="0" borderId="10" xfId="0" applyFont="1" applyBorder="1" applyAlignment="1">
      <alignment horizontal="center" vertical="center"/>
    </xf>
    <xf numFmtId="186" fontId="148" fillId="0" borderId="80" xfId="0" applyNumberFormat="1" applyFont="1" applyBorder="1" applyAlignment="1">
      <alignment horizontal="center" vertical="center"/>
    </xf>
    <xf numFmtId="186" fontId="148" fillId="0" borderId="10" xfId="0" applyNumberFormat="1" applyFont="1" applyBorder="1" applyAlignment="1">
      <alignment horizontal="center" vertical="center"/>
    </xf>
    <xf numFmtId="186" fontId="148" fillId="0" borderId="68" xfId="0" applyNumberFormat="1" applyFont="1" applyBorder="1" applyAlignment="1">
      <alignment horizontal="center" vertical="center"/>
    </xf>
    <xf numFmtId="186" fontId="148" fillId="0" borderId="18" xfId="0" applyNumberFormat="1" applyFont="1" applyBorder="1" applyAlignment="1">
      <alignment horizontal="center" vertical="center"/>
    </xf>
    <xf numFmtId="223" fontId="148" fillId="0" borderId="80" xfId="0" applyNumberFormat="1" applyFont="1" applyBorder="1" applyAlignment="1">
      <alignment horizontal="center" vertical="center"/>
    </xf>
    <xf numFmtId="223" fontId="148" fillId="0" borderId="81" xfId="0" applyNumberFormat="1" applyFont="1" applyBorder="1" applyAlignment="1">
      <alignment horizontal="center" vertical="center"/>
    </xf>
    <xf numFmtId="186" fontId="148" fillId="61" borderId="82" xfId="0" applyNumberFormat="1" applyFont="1" applyFill="1" applyBorder="1" applyAlignment="1">
      <alignment horizontal="right" vertical="center"/>
    </xf>
    <xf numFmtId="0" fontId="148" fillId="61" borderId="0" xfId="0" applyFont="1" applyFill="1" applyBorder="1" applyAlignment="1">
      <alignment vertical="center"/>
    </xf>
    <xf numFmtId="0" fontId="148" fillId="61" borderId="0" xfId="0" applyFont="1" applyFill="1" applyAlignment="1">
      <alignment vertical="center"/>
    </xf>
    <xf numFmtId="49" fontId="148" fillId="61" borderId="39" xfId="0" applyNumberFormat="1" applyFont="1" applyFill="1" applyBorder="1" applyAlignment="1">
      <alignment horizontal="center" vertical="center"/>
    </xf>
    <xf numFmtId="186" fontId="148" fillId="61" borderId="83" xfId="0" applyNumberFormat="1" applyFont="1" applyFill="1" applyBorder="1" applyAlignment="1">
      <alignment horizontal="right" vertical="center"/>
    </xf>
    <xf numFmtId="186" fontId="148" fillId="61" borderId="83" xfId="0" applyNumberFormat="1" applyFont="1" applyFill="1" applyBorder="1" applyAlignment="1">
      <alignment vertical="center"/>
    </xf>
    <xf numFmtId="223" fontId="148" fillId="61" borderId="84" xfId="0" applyNumberFormat="1" applyFont="1" applyFill="1" applyBorder="1" applyAlignment="1">
      <alignment vertical="center" shrinkToFit="1"/>
    </xf>
    <xf numFmtId="0" fontId="148" fillId="0" borderId="0" xfId="0" applyFont="1" applyFill="1" applyBorder="1" applyAlignment="1">
      <alignment vertical="center"/>
    </xf>
    <xf numFmtId="0" fontId="148" fillId="0" borderId="0" xfId="0" applyFont="1" applyFill="1" applyAlignment="1">
      <alignment vertical="center"/>
    </xf>
    <xf numFmtId="186" fontId="148" fillId="61" borderId="85" xfId="0" applyNumberFormat="1" applyFont="1" applyFill="1" applyBorder="1" applyAlignment="1">
      <alignment vertical="center"/>
    </xf>
    <xf numFmtId="223" fontId="148" fillId="0" borderId="86" xfId="0" applyNumberFormat="1" applyFont="1" applyBorder="1" applyAlignment="1">
      <alignment vertical="center"/>
    </xf>
    <xf numFmtId="0" fontId="148" fillId="0" borderId="87" xfId="0" applyFont="1" applyBorder="1" applyAlignment="1">
      <alignment vertical="center"/>
    </xf>
    <xf numFmtId="223" fontId="148" fillId="0" borderId="0" xfId="0" applyNumberFormat="1" applyFont="1" applyBorder="1" applyAlignment="1">
      <alignment vertical="center"/>
    </xf>
    <xf numFmtId="186" fontId="148" fillId="0" borderId="0" xfId="0" applyNumberFormat="1" applyFont="1" applyAlignment="1">
      <alignment horizontal="center" vertical="center"/>
    </xf>
    <xf numFmtId="49" fontId="148" fillId="0" borderId="0" xfId="0" applyNumberFormat="1" applyFont="1" applyAlignment="1">
      <alignment horizontal="left" vertical="center"/>
    </xf>
    <xf numFmtId="186" fontId="148" fillId="0" borderId="0" xfId="0" applyNumberFormat="1" applyFont="1" applyFill="1" applyBorder="1" applyAlignment="1">
      <alignment vertical="center"/>
    </xf>
    <xf numFmtId="49" fontId="148" fillId="0" borderId="0" xfId="0" applyNumberFormat="1" applyFont="1" applyFill="1" applyBorder="1" applyAlignment="1">
      <alignment horizontal="center" vertical="center"/>
    </xf>
    <xf numFmtId="0" fontId="148" fillId="0" borderId="0" xfId="0" applyFont="1" applyFill="1" applyBorder="1" applyAlignment="1">
      <alignment horizontal="left" vertical="center"/>
    </xf>
    <xf numFmtId="186" fontId="148" fillId="0" borderId="0" xfId="0" applyNumberFormat="1" applyFont="1" applyAlignment="1">
      <alignment horizontal="right" vertical="center"/>
    </xf>
    <xf numFmtId="186" fontId="148" fillId="42" borderId="56" xfId="0" applyNumberFormat="1" applyFont="1" applyFill="1" applyBorder="1" applyAlignment="1">
      <alignment vertical="center"/>
    </xf>
    <xf numFmtId="0" fontId="148" fillId="0" borderId="0" xfId="0" applyFont="1" applyAlignment="1">
      <alignment horizontal="right" vertical="center"/>
    </xf>
    <xf numFmtId="185" fontId="9" fillId="0" borderId="0" xfId="460" applyNumberFormat="1" applyFont="1" applyFill="1" applyBorder="1" applyAlignment="1">
      <alignment vertical="center"/>
    </xf>
    <xf numFmtId="185" fontId="9" fillId="0" borderId="0" xfId="460" applyNumberFormat="1" applyFont="1" applyBorder="1" applyAlignment="1">
      <alignment vertical="center"/>
    </xf>
    <xf numFmtId="176" fontId="9" fillId="0" borderId="4" xfId="460" applyNumberFormat="1" applyFont="1" applyBorder="1" applyAlignment="1">
      <alignment horizontal="center" vertical="center"/>
    </xf>
    <xf numFmtId="0" fontId="9" fillId="0" borderId="58" xfId="460" applyNumberFormat="1" applyFont="1" applyBorder="1" applyAlignment="1">
      <alignment vertical="center"/>
    </xf>
    <xf numFmtId="0" fontId="9" fillId="0" borderId="22" xfId="460" applyFont="1" applyBorder="1" applyAlignment="1">
      <alignment vertical="center"/>
    </xf>
    <xf numFmtId="10" fontId="9" fillId="0" borderId="22" xfId="432" applyNumberFormat="1" applyFont="1" applyBorder="1" applyAlignment="1">
      <alignment vertical="center"/>
    </xf>
    <xf numFmtId="0" fontId="9" fillId="0" borderId="61" xfId="460" applyNumberFormat="1" applyFont="1" applyBorder="1" applyAlignment="1">
      <alignment vertical="center"/>
    </xf>
    <xf numFmtId="0" fontId="9" fillId="0" borderId="88" xfId="460" applyNumberFormat="1" applyFont="1" applyBorder="1" applyAlignment="1">
      <alignment vertical="center"/>
    </xf>
    <xf numFmtId="0" fontId="9" fillId="0" borderId="89" xfId="460" applyNumberFormat="1" applyFont="1" applyBorder="1" applyAlignment="1">
      <alignment vertical="center"/>
    </xf>
    <xf numFmtId="0" fontId="9" fillId="0" borderId="90" xfId="460" applyNumberFormat="1" applyFont="1" applyBorder="1" applyAlignment="1">
      <alignment vertical="center"/>
    </xf>
    <xf numFmtId="0" fontId="9" fillId="0" borderId="21" xfId="460" applyNumberFormat="1" applyFont="1" applyBorder="1" applyAlignment="1">
      <alignment vertical="center"/>
    </xf>
    <xf numFmtId="0" fontId="9" fillId="0" borderId="91" xfId="460" applyNumberFormat="1" applyFont="1" applyBorder="1" applyAlignment="1">
      <alignment vertical="center"/>
    </xf>
    <xf numFmtId="0" fontId="7" fillId="0" borderId="0" xfId="0" applyFont="1" applyAlignment="1">
      <alignment vertical="center"/>
    </xf>
    <xf numFmtId="14" fontId="148" fillId="0" borderId="13" xfId="0" applyNumberFormat="1" applyFont="1" applyBorder="1" applyAlignment="1">
      <alignment horizontal="center" vertical="center"/>
    </xf>
    <xf numFmtId="14" fontId="148" fillId="0" borderId="64" xfId="0" applyNumberFormat="1" applyFont="1" applyBorder="1" applyAlignment="1">
      <alignment horizontal="center" vertical="center"/>
    </xf>
    <xf numFmtId="14" fontId="148" fillId="0" borderId="12" xfId="0" applyNumberFormat="1" applyFont="1" applyBorder="1" applyAlignment="1">
      <alignment vertical="center"/>
    </xf>
    <xf numFmtId="223" fontId="148" fillId="0" borderId="13" xfId="0" applyNumberFormat="1" applyFont="1" applyBorder="1" applyAlignment="1">
      <alignment vertical="center"/>
    </xf>
    <xf numFmtId="223" fontId="148" fillId="0" borderId="10" xfId="0" applyNumberFormat="1" applyFont="1" applyBorder="1" applyAlignment="1">
      <alignment horizontal="center" vertical="center"/>
    </xf>
    <xf numFmtId="0" fontId="148" fillId="0" borderId="68" xfId="0" applyFont="1" applyBorder="1" applyAlignment="1">
      <alignment vertical="center"/>
    </xf>
    <xf numFmtId="38" fontId="148" fillId="61" borderId="31" xfId="443" applyFont="1" applyFill="1" applyBorder="1" applyAlignment="1">
      <alignment horizontal="right" vertical="center"/>
    </xf>
    <xf numFmtId="3" fontId="148" fillId="61" borderId="71" xfId="0" applyNumberFormat="1" applyFont="1" applyFill="1" applyBorder="1" applyAlignment="1">
      <alignment vertical="center"/>
    </xf>
    <xf numFmtId="223" fontId="148" fillId="61" borderId="92" xfId="433" applyNumberFormat="1" applyFont="1" applyFill="1" applyBorder="1" applyAlignment="1">
      <alignment horizontal="right" vertical="center"/>
    </xf>
    <xf numFmtId="223" fontId="148" fillId="61" borderId="93" xfId="0" applyNumberFormat="1" applyFont="1" applyFill="1" applyBorder="1" applyAlignment="1">
      <alignment horizontal="left" vertical="center" wrapText="1"/>
    </xf>
    <xf numFmtId="223" fontId="148" fillId="61" borderId="37" xfId="0" applyNumberFormat="1" applyFont="1" applyFill="1" applyBorder="1" applyAlignment="1">
      <alignment horizontal="center" vertical="center"/>
    </xf>
    <xf numFmtId="186" fontId="148" fillId="61" borderId="94" xfId="0" applyNumberFormat="1" applyFont="1" applyFill="1" applyBorder="1" applyAlignment="1">
      <alignment vertical="center"/>
    </xf>
    <xf numFmtId="223" fontId="148" fillId="61" borderId="95" xfId="0" applyNumberFormat="1" applyFont="1" applyFill="1" applyBorder="1" applyAlignment="1">
      <alignment vertical="center" shrinkToFit="1"/>
    </xf>
    <xf numFmtId="223" fontId="148" fillId="61" borderId="39" xfId="0" applyNumberFormat="1" applyFont="1" applyFill="1" applyBorder="1" applyAlignment="1">
      <alignment horizontal="center" vertical="center"/>
    </xf>
    <xf numFmtId="0" fontId="148" fillId="61" borderId="28" xfId="0" applyFont="1" applyFill="1" applyBorder="1" applyAlignment="1">
      <alignment vertical="center"/>
    </xf>
    <xf numFmtId="0" fontId="148" fillId="61" borderId="96" xfId="0" applyFont="1" applyFill="1" applyBorder="1" applyAlignment="1">
      <alignment vertical="center"/>
    </xf>
    <xf numFmtId="223" fontId="148" fillId="61" borderId="52" xfId="0" applyNumberFormat="1" applyFont="1" applyFill="1" applyBorder="1" applyAlignment="1">
      <alignment vertical="center"/>
    </xf>
    <xf numFmtId="38" fontId="148" fillId="61" borderId="97" xfId="443" applyFont="1" applyFill="1" applyBorder="1" applyAlignment="1">
      <alignment vertical="center"/>
    </xf>
    <xf numFmtId="186" fontId="148" fillId="61" borderId="98" xfId="0" applyNumberFormat="1" applyFont="1" applyFill="1" applyBorder="1" applyAlignment="1">
      <alignment vertical="center"/>
    </xf>
    <xf numFmtId="223" fontId="148" fillId="61" borderId="31" xfId="0" applyNumberFormat="1" applyFont="1" applyFill="1" applyBorder="1" applyAlignment="1">
      <alignment vertical="center"/>
    </xf>
    <xf numFmtId="38" fontId="148" fillId="61" borderId="98" xfId="443" applyFont="1" applyFill="1" applyBorder="1" applyAlignment="1">
      <alignment vertical="center"/>
    </xf>
    <xf numFmtId="186" fontId="148" fillId="61" borderId="52" xfId="0" applyNumberFormat="1" applyFont="1" applyFill="1" applyBorder="1" applyAlignment="1">
      <alignment vertical="center"/>
    </xf>
    <xf numFmtId="38" fontId="148" fillId="61" borderId="99" xfId="443" applyFont="1" applyFill="1" applyBorder="1" applyAlignment="1">
      <alignment vertical="center"/>
    </xf>
    <xf numFmtId="3" fontId="148" fillId="61" borderId="100" xfId="0" applyNumberFormat="1" applyFont="1" applyFill="1" applyBorder="1" applyAlignment="1">
      <alignment vertical="center"/>
    </xf>
    <xf numFmtId="223" fontId="148" fillId="61" borderId="101" xfId="0" applyNumberFormat="1" applyFont="1" applyFill="1" applyBorder="1" applyAlignment="1">
      <alignment vertical="center" shrinkToFit="1"/>
    </xf>
    <xf numFmtId="223" fontId="148" fillId="61" borderId="102" xfId="0" applyNumberFormat="1" applyFont="1" applyFill="1" applyBorder="1" applyAlignment="1">
      <alignment vertical="center"/>
    </xf>
    <xf numFmtId="0" fontId="148" fillId="61" borderId="100" xfId="0" applyFont="1" applyFill="1" applyBorder="1" applyAlignment="1">
      <alignment vertical="center"/>
    </xf>
    <xf numFmtId="186" fontId="148" fillId="42" borderId="103" xfId="0" applyNumberFormat="1" applyFont="1" applyFill="1" applyBorder="1" applyAlignment="1">
      <alignment vertical="center"/>
    </xf>
    <xf numFmtId="223" fontId="148" fillId="47" borderId="104" xfId="433" applyNumberFormat="1" applyFont="1" applyFill="1" applyBorder="1" applyAlignment="1">
      <alignment vertical="center"/>
    </xf>
    <xf numFmtId="223" fontId="148" fillId="0" borderId="105" xfId="0" applyNumberFormat="1" applyFont="1" applyBorder="1" applyAlignment="1">
      <alignment vertical="center"/>
    </xf>
    <xf numFmtId="0" fontId="148" fillId="0" borderId="0" xfId="0" applyFont="1" applyFill="1" applyBorder="1" applyAlignment="1">
      <alignment horizontal="left" vertical="center" shrinkToFit="1"/>
    </xf>
    <xf numFmtId="186" fontId="148" fillId="0" borderId="0" xfId="0" applyNumberFormat="1" applyFont="1" applyFill="1" applyBorder="1" applyAlignment="1">
      <alignment horizontal="center" vertical="center"/>
    </xf>
    <xf numFmtId="0" fontId="38" fillId="0" borderId="0" xfId="0" applyFont="1" applyAlignment="1">
      <alignment vertical="center" wrapText="1"/>
    </xf>
    <xf numFmtId="0" fontId="7" fillId="0" borderId="0" xfId="0" applyFont="1" applyBorder="1" applyAlignment="1">
      <alignment vertical="center"/>
    </xf>
    <xf numFmtId="14" fontId="148" fillId="0" borderId="0" xfId="0" applyNumberFormat="1" applyFont="1" applyAlignment="1">
      <alignment vertical="center"/>
    </xf>
    <xf numFmtId="14" fontId="231" fillId="0" borderId="78" xfId="0" applyNumberFormat="1" applyFont="1" applyBorder="1" applyAlignment="1">
      <alignment horizontal="center" vertical="center"/>
    </xf>
    <xf numFmtId="38" fontId="148" fillId="61" borderId="52" xfId="443" applyFont="1" applyFill="1" applyBorder="1" applyAlignment="1">
      <alignment horizontal="right" vertical="center"/>
    </xf>
    <xf numFmtId="0" fontId="232" fillId="61" borderId="106" xfId="0" applyFont="1" applyFill="1" applyBorder="1" applyAlignment="1">
      <alignment horizontal="left" vertical="center"/>
    </xf>
    <xf numFmtId="0" fontId="233" fillId="61" borderId="31" xfId="0" applyFont="1" applyFill="1" applyBorder="1" applyAlignment="1">
      <alignment horizontal="left" vertical="center"/>
    </xf>
    <xf numFmtId="223" fontId="148" fillId="65" borderId="51" xfId="0" applyNumberFormat="1" applyFont="1" applyFill="1" applyBorder="1" applyAlignment="1">
      <alignment vertical="center"/>
    </xf>
    <xf numFmtId="0" fontId="148" fillId="65" borderId="96" xfId="0" applyFont="1" applyFill="1" applyBorder="1" applyAlignment="1">
      <alignment vertical="center"/>
    </xf>
    <xf numFmtId="0" fontId="148" fillId="65" borderId="0" xfId="0" applyFont="1" applyFill="1" applyBorder="1" applyAlignment="1">
      <alignment vertical="center"/>
    </xf>
    <xf numFmtId="0" fontId="148" fillId="65" borderId="0" xfId="0" applyFont="1" applyFill="1" applyAlignment="1">
      <alignment vertical="center"/>
    </xf>
    <xf numFmtId="223" fontId="148" fillId="65" borderId="52" xfId="0" applyNumberFormat="1" applyFont="1" applyFill="1" applyBorder="1" applyAlignment="1">
      <alignment vertical="center"/>
    </xf>
    <xf numFmtId="49" fontId="148" fillId="65" borderId="39" xfId="0" applyNumberFormat="1" applyFont="1" applyFill="1" applyBorder="1" applyAlignment="1">
      <alignment horizontal="center" vertical="center"/>
    </xf>
    <xf numFmtId="38" fontId="148" fillId="0" borderId="98" xfId="443" applyFont="1" applyFill="1" applyBorder="1" applyAlignment="1">
      <alignment vertical="center"/>
    </xf>
    <xf numFmtId="223" fontId="148" fillId="0" borderId="92" xfId="433" applyNumberFormat="1" applyFont="1" applyFill="1" applyBorder="1" applyAlignment="1">
      <alignment horizontal="right" vertical="center"/>
    </xf>
    <xf numFmtId="223" fontId="148" fillId="0" borderId="95" xfId="0" applyNumberFormat="1" applyFont="1" applyFill="1" applyBorder="1" applyAlignment="1">
      <alignment vertical="center" shrinkToFit="1"/>
    </xf>
    <xf numFmtId="223" fontId="148" fillId="0" borderId="52" xfId="0" applyNumberFormat="1" applyFont="1" applyFill="1" applyBorder="1" applyAlignment="1">
      <alignment vertical="center"/>
    </xf>
    <xf numFmtId="223" fontId="148" fillId="61" borderId="107" xfId="0" applyNumberFormat="1" applyFont="1" applyFill="1" applyBorder="1" applyAlignment="1">
      <alignment horizontal="left" vertical="center" wrapText="1"/>
    </xf>
    <xf numFmtId="223" fontId="148" fillId="61" borderId="48" xfId="0" applyNumberFormat="1" applyFont="1" applyFill="1" applyBorder="1" applyAlignment="1">
      <alignment horizontal="center" vertical="center"/>
    </xf>
    <xf numFmtId="0" fontId="148" fillId="61" borderId="108" xfId="0" applyFont="1" applyFill="1" applyBorder="1" applyAlignment="1">
      <alignment vertical="center" shrinkToFit="1"/>
    </xf>
    <xf numFmtId="186" fontId="148" fillId="61" borderId="33" xfId="0" applyNumberFormat="1" applyFont="1" applyFill="1" applyBorder="1" applyAlignment="1">
      <alignment horizontal="right" vertical="center"/>
    </xf>
    <xf numFmtId="176" fontId="12" fillId="0" borderId="69" xfId="463" applyNumberFormat="1" applyFont="1" applyBorder="1" applyAlignment="1">
      <alignment horizontal="center" vertical="center"/>
    </xf>
    <xf numFmtId="176" fontId="12" fillId="0" borderId="45" xfId="463" applyNumberFormat="1" applyFont="1" applyBorder="1" applyAlignment="1">
      <alignment horizontal="center" vertical="center"/>
    </xf>
    <xf numFmtId="176" fontId="12" fillId="0" borderId="8" xfId="463" applyNumberFormat="1" applyFont="1" applyBorder="1" applyAlignment="1">
      <alignment horizontal="left" vertical="center"/>
    </xf>
    <xf numFmtId="176" fontId="18" fillId="0" borderId="10" xfId="463" applyNumberFormat="1" applyFont="1" applyBorder="1" applyAlignment="1">
      <alignment horizontal="left" vertical="center"/>
    </xf>
    <xf numFmtId="0" fontId="0" fillId="0" borderId="0" xfId="0" applyAlignment="1">
      <alignment horizontal="center" vertical="center"/>
    </xf>
    <xf numFmtId="232" fontId="5" fillId="0" borderId="9" xfId="0" applyNumberFormat="1" applyFont="1" applyBorder="1">
      <alignment vertical="center"/>
    </xf>
    <xf numFmtId="49" fontId="148" fillId="0" borderId="0" xfId="0" applyNumberFormat="1" applyFont="1" applyBorder="1" applyAlignment="1">
      <alignment horizontal="center" vertical="center"/>
    </xf>
    <xf numFmtId="0" fontId="148" fillId="0" borderId="0" xfId="0" applyFont="1" applyBorder="1" applyAlignment="1">
      <alignment horizontal="left" vertical="center"/>
    </xf>
    <xf numFmtId="186" fontId="148" fillId="0" borderId="0" xfId="0" applyNumberFormat="1" applyFont="1" applyBorder="1" applyAlignment="1">
      <alignment vertical="center"/>
    </xf>
    <xf numFmtId="14" fontId="231" fillId="0" borderId="0" xfId="0" applyNumberFormat="1" applyFont="1" applyBorder="1" applyAlignment="1">
      <alignment horizontal="center" vertical="center"/>
    </xf>
    <xf numFmtId="0" fontId="148" fillId="61" borderId="109" xfId="0" applyFont="1" applyFill="1" applyBorder="1" applyAlignment="1">
      <alignment horizontal="center" vertical="center"/>
    </xf>
    <xf numFmtId="0" fontId="233" fillId="61" borderId="110" xfId="0" applyFont="1" applyFill="1" applyBorder="1" applyAlignment="1">
      <alignment horizontal="left" vertical="center"/>
    </xf>
    <xf numFmtId="186" fontId="148" fillId="61" borderId="110" xfId="0" applyNumberFormat="1" applyFont="1" applyFill="1" applyBorder="1" applyAlignment="1">
      <alignment horizontal="right" vertical="center"/>
    </xf>
    <xf numFmtId="49" fontId="148" fillId="61" borderId="109" xfId="0" applyNumberFormat="1" applyFont="1" applyFill="1" applyBorder="1" applyAlignment="1">
      <alignment horizontal="center" vertical="center"/>
    </xf>
    <xf numFmtId="186" fontId="148" fillId="61" borderId="110" xfId="0" applyNumberFormat="1" applyFont="1" applyFill="1" applyBorder="1" applyAlignment="1">
      <alignment vertical="center"/>
    </xf>
    <xf numFmtId="49" fontId="148" fillId="65" borderId="109" xfId="0" applyNumberFormat="1" applyFont="1" applyFill="1" applyBorder="1" applyAlignment="1">
      <alignment horizontal="center" vertical="center"/>
    </xf>
    <xf numFmtId="0" fontId="234" fillId="65" borderId="110" xfId="0" applyFont="1" applyFill="1" applyBorder="1" applyAlignment="1">
      <alignment horizontal="left" vertical="center"/>
    </xf>
    <xf numFmtId="186" fontId="148" fillId="65" borderId="110" xfId="0" applyNumberFormat="1" applyFont="1" applyFill="1" applyBorder="1" applyAlignment="1">
      <alignment vertical="center"/>
    </xf>
    <xf numFmtId="0" fontId="232" fillId="61" borderId="110" xfId="0" applyFont="1" applyFill="1" applyBorder="1" applyAlignment="1">
      <alignment horizontal="left" vertical="center"/>
    </xf>
    <xf numFmtId="49" fontId="148" fillId="0" borderId="109" xfId="0" applyNumberFormat="1" applyFont="1" applyFill="1" applyBorder="1" applyAlignment="1">
      <alignment horizontal="center" vertical="center"/>
    </xf>
    <xf numFmtId="0" fontId="232" fillId="0" borderId="110" xfId="0" applyFont="1" applyFill="1" applyBorder="1" applyAlignment="1">
      <alignment horizontal="left" vertical="center"/>
    </xf>
    <xf numFmtId="186" fontId="148" fillId="0" borderId="110" xfId="0" applyNumberFormat="1" applyFont="1" applyFill="1" applyBorder="1" applyAlignment="1">
      <alignment vertical="center"/>
    </xf>
    <xf numFmtId="0" fontId="148" fillId="61" borderId="110" xfId="0" applyFont="1" applyFill="1" applyBorder="1" applyAlignment="1">
      <alignment horizontal="left" vertical="center"/>
    </xf>
    <xf numFmtId="49" fontId="148" fillId="0" borderId="111" xfId="0" applyNumberFormat="1" applyFont="1" applyBorder="1" applyAlignment="1">
      <alignment horizontal="center" vertical="center"/>
    </xf>
    <xf numFmtId="0" fontId="148" fillId="0" borderId="112" xfId="0" applyFont="1" applyBorder="1" applyAlignment="1">
      <alignment horizontal="left" vertical="center"/>
    </xf>
    <xf numFmtId="186" fontId="148" fillId="0" borderId="112" xfId="0" applyNumberFormat="1" applyFont="1" applyBorder="1" applyAlignment="1">
      <alignment vertical="center"/>
    </xf>
    <xf numFmtId="49" fontId="148" fillId="61" borderId="113" xfId="0" applyNumberFormat="1" applyFont="1" applyFill="1" applyBorder="1" applyAlignment="1">
      <alignment horizontal="center" vertical="center"/>
    </xf>
    <xf numFmtId="0" fontId="148" fillId="61" borderId="114" xfId="0" applyFont="1" applyFill="1" applyBorder="1" applyAlignment="1">
      <alignment horizontal="left" vertical="center"/>
    </xf>
    <xf numFmtId="186" fontId="148" fillId="61" borderId="114" xfId="0" applyNumberFormat="1" applyFont="1" applyFill="1" applyBorder="1" applyAlignment="1">
      <alignment vertical="center"/>
    </xf>
    <xf numFmtId="0" fontId="148" fillId="61" borderId="115" xfId="0" applyFont="1" applyFill="1" applyBorder="1" applyAlignment="1">
      <alignment horizontal="center" vertical="center"/>
    </xf>
    <xf numFmtId="0" fontId="233" fillId="61" borderId="116" xfId="0" applyFont="1" applyFill="1" applyBorder="1" applyAlignment="1">
      <alignment horizontal="left" vertical="center"/>
    </xf>
    <xf numFmtId="186" fontId="148" fillId="61" borderId="116" xfId="0" applyNumberFormat="1" applyFont="1" applyFill="1" applyBorder="1" applyAlignment="1">
      <alignment horizontal="right" vertical="center"/>
    </xf>
    <xf numFmtId="49" fontId="148" fillId="0" borderId="117" xfId="0" applyNumberFormat="1" applyFont="1" applyBorder="1" applyAlignment="1">
      <alignment horizontal="center" vertical="center"/>
    </xf>
    <xf numFmtId="0" fontId="148" fillId="0" borderId="118" xfId="0" applyFont="1" applyBorder="1" applyAlignment="1">
      <alignment horizontal="center" vertical="center"/>
    </xf>
    <xf numFmtId="186" fontId="148" fillId="0" borderId="118" xfId="0" applyNumberFormat="1" applyFont="1" applyBorder="1" applyAlignment="1">
      <alignment horizontal="center" vertical="center"/>
    </xf>
    <xf numFmtId="49" fontId="235" fillId="0" borderId="0" xfId="0" applyNumberFormat="1" applyFont="1" applyBorder="1" applyAlignment="1">
      <alignment horizontal="center" vertical="center"/>
    </xf>
    <xf numFmtId="0" fontId="235" fillId="0" borderId="0" xfId="0" applyFont="1" applyBorder="1" applyAlignment="1">
      <alignment horizontal="left" vertical="center"/>
    </xf>
    <xf numFmtId="49" fontId="148" fillId="0" borderId="119" xfId="0" applyNumberFormat="1" applyFont="1" applyBorder="1" applyAlignment="1">
      <alignment horizontal="center" vertical="center"/>
    </xf>
    <xf numFmtId="0" fontId="148" fillId="0" borderId="119" xfId="0" applyFont="1" applyBorder="1" applyAlignment="1">
      <alignment horizontal="left" vertical="center"/>
    </xf>
    <xf numFmtId="186" fontId="148" fillId="0" borderId="119" xfId="0" applyNumberFormat="1" applyFont="1" applyBorder="1" applyAlignment="1">
      <alignment vertical="center"/>
    </xf>
    <xf numFmtId="223" fontId="148" fillId="0" borderId="119" xfId="0" applyNumberFormat="1" applyFont="1" applyBorder="1" applyAlignment="1">
      <alignment vertical="center"/>
    </xf>
    <xf numFmtId="0" fontId="148" fillId="0" borderId="119" xfId="0" applyFont="1" applyBorder="1" applyAlignment="1">
      <alignment vertical="center"/>
    </xf>
    <xf numFmtId="0" fontId="156" fillId="0" borderId="0" xfId="0" applyFont="1" applyAlignment="1">
      <alignment horizontal="center" vertical="center"/>
    </xf>
    <xf numFmtId="0" fontId="157" fillId="0" borderId="0" xfId="0" applyFont="1" applyAlignment="1">
      <alignment horizontal="center" vertical="center"/>
    </xf>
    <xf numFmtId="0" fontId="236" fillId="0" borderId="0" xfId="0" applyFont="1" applyAlignment="1">
      <alignment horizontal="center" vertical="center"/>
    </xf>
    <xf numFmtId="0" fontId="158" fillId="0" borderId="0" xfId="0" applyFont="1" applyAlignment="1">
      <alignment horizontal="center" vertical="center"/>
    </xf>
    <xf numFmtId="0" fontId="158" fillId="0" borderId="0" xfId="0" applyFont="1" applyAlignment="1">
      <alignment vertical="center"/>
    </xf>
    <xf numFmtId="205" fontId="158" fillId="0" borderId="0" xfId="0" applyNumberFormat="1" applyFont="1" applyAlignment="1">
      <alignment vertical="center" shrinkToFit="1"/>
    </xf>
    <xf numFmtId="0" fontId="158" fillId="0" borderId="0" xfId="0" applyFont="1" applyAlignment="1">
      <alignment vertical="center" shrinkToFit="1"/>
    </xf>
    <xf numFmtId="179" fontId="157" fillId="0" borderId="0" xfId="0" applyNumberFormat="1" applyFont="1" applyBorder="1" applyAlignment="1">
      <alignment horizontal="right" vertical="center"/>
    </xf>
    <xf numFmtId="179" fontId="157" fillId="61" borderId="0" xfId="0" applyNumberFormat="1" applyFont="1" applyFill="1" applyBorder="1" applyAlignment="1">
      <alignment horizontal="right" vertical="center"/>
    </xf>
    <xf numFmtId="179" fontId="157" fillId="0" borderId="0" xfId="0" applyNumberFormat="1" applyFont="1" applyFill="1" applyBorder="1" applyAlignment="1">
      <alignment horizontal="right" vertical="center"/>
    </xf>
    <xf numFmtId="0" fontId="158" fillId="0" borderId="0" xfId="0" applyFont="1" applyAlignment="1">
      <alignment horizontal="left" vertical="center"/>
    </xf>
    <xf numFmtId="0" fontId="159" fillId="0" borderId="0" xfId="0" applyFont="1" applyAlignment="1">
      <alignment horizontal="left" vertical="center" shrinkToFit="1"/>
    </xf>
    <xf numFmtId="0" fontId="157" fillId="0" borderId="0" xfId="0" applyFont="1" applyBorder="1" applyAlignment="1">
      <alignment horizontal="center" vertical="center"/>
    </xf>
    <xf numFmtId="0" fontId="237" fillId="61" borderId="0" xfId="0" applyFont="1" applyFill="1" applyBorder="1" applyAlignment="1">
      <alignment horizontal="left" vertical="center" wrapText="1"/>
    </xf>
    <xf numFmtId="179" fontId="161" fillId="0" borderId="0" xfId="0" applyNumberFormat="1" applyFont="1" applyFill="1" applyBorder="1" applyAlignment="1">
      <alignment horizontal="center" vertical="center"/>
    </xf>
    <xf numFmtId="58" fontId="238" fillId="0" borderId="0" xfId="0" applyNumberFormat="1" applyFont="1" applyFill="1" applyAlignment="1">
      <alignment horizontal="left" vertical="center"/>
    </xf>
    <xf numFmtId="0" fontId="144" fillId="0" borderId="0" xfId="0" applyFont="1" applyAlignment="1">
      <alignment vertical="center"/>
    </xf>
    <xf numFmtId="205" fontId="144" fillId="0" borderId="0" xfId="0" applyNumberFormat="1" applyFont="1" applyAlignment="1">
      <alignment horizontal="center" vertical="center" shrinkToFit="1"/>
    </xf>
    <xf numFmtId="0" fontId="164" fillId="0" borderId="120" xfId="0" applyFont="1" applyFill="1" applyBorder="1" applyAlignment="1">
      <alignment horizontal="center" vertical="center" shrinkToFit="1"/>
    </xf>
    <xf numFmtId="0" fontId="21" fillId="0" borderId="0" xfId="0" applyFont="1" applyBorder="1" applyAlignment="1">
      <alignment horizontal="center" vertical="center" wrapText="1"/>
    </xf>
    <xf numFmtId="0" fontId="144" fillId="0" borderId="0" xfId="0" applyFont="1" applyAlignment="1">
      <alignment horizontal="center" vertical="center"/>
    </xf>
    <xf numFmtId="205" fontId="167" fillId="65" borderId="121" xfId="0" applyNumberFormat="1" applyFont="1" applyFill="1" applyBorder="1" applyAlignment="1">
      <alignment horizontal="center" vertical="center" shrinkToFit="1"/>
    </xf>
    <xf numFmtId="0" fontId="160" fillId="65" borderId="122" xfId="0" applyFont="1" applyFill="1" applyBorder="1" applyAlignment="1">
      <alignment vertical="center" wrapText="1"/>
    </xf>
    <xf numFmtId="3" fontId="239" fillId="65" borderId="123" xfId="0" applyNumberFormat="1" applyFont="1" applyFill="1" applyBorder="1" applyAlignment="1">
      <alignment vertical="center" shrinkToFit="1"/>
    </xf>
    <xf numFmtId="0" fontId="160" fillId="65" borderId="108" xfId="0" applyFont="1" applyFill="1" applyBorder="1" applyAlignment="1">
      <alignment horizontal="center" vertical="center" wrapText="1"/>
    </xf>
    <xf numFmtId="3" fontId="164" fillId="0" borderId="0" xfId="0" applyNumberFormat="1" applyFont="1" applyFill="1" applyBorder="1" applyAlignment="1">
      <alignment horizontal="center" vertical="center" shrinkToFit="1"/>
    </xf>
    <xf numFmtId="205" fontId="167" fillId="65" borderId="27" xfId="0" applyNumberFormat="1" applyFont="1" applyFill="1" applyBorder="1" applyAlignment="1">
      <alignment horizontal="center" vertical="center" shrinkToFit="1"/>
    </xf>
    <xf numFmtId="207" fontId="166" fillId="65" borderId="33" xfId="0" applyNumberFormat="1" applyFont="1" applyFill="1" applyBorder="1" applyAlignment="1">
      <alignment horizontal="center" vertical="center" shrinkToFit="1"/>
    </xf>
    <xf numFmtId="0" fontId="144" fillId="65" borderId="44" xfId="0" applyFont="1" applyFill="1" applyBorder="1" applyAlignment="1">
      <alignment vertical="center"/>
    </xf>
    <xf numFmtId="207" fontId="166" fillId="65" borderId="28" xfId="0" applyNumberFormat="1" applyFont="1" applyFill="1" applyBorder="1" applyAlignment="1">
      <alignment horizontal="center" vertical="center" shrinkToFit="1"/>
    </xf>
    <xf numFmtId="205" fontId="167" fillId="61" borderId="27" xfId="0" applyNumberFormat="1" applyFont="1" applyFill="1" applyBorder="1" applyAlignment="1">
      <alignment horizontal="center" vertical="center" shrinkToFit="1"/>
    </xf>
    <xf numFmtId="0" fontId="166" fillId="61" borderId="33" xfId="0" applyFont="1" applyFill="1" applyBorder="1" applyAlignment="1">
      <alignment horizontal="left" vertical="center" wrapText="1"/>
    </xf>
    <xf numFmtId="3" fontId="170" fillId="61" borderId="44" xfId="0" applyNumberFormat="1" applyFont="1" applyFill="1" applyBorder="1" applyAlignment="1">
      <alignment horizontal="right" vertical="center" shrinkToFit="1"/>
    </xf>
    <xf numFmtId="0" fontId="166" fillId="61" borderId="28" xfId="0" applyFont="1" applyFill="1" applyBorder="1" applyAlignment="1">
      <alignment horizontal="center" vertical="center" shrinkToFit="1"/>
    </xf>
    <xf numFmtId="10" fontId="164" fillId="0" borderId="0" xfId="0" applyNumberFormat="1" applyFont="1" applyFill="1" applyBorder="1" applyAlignment="1">
      <alignment horizontal="center" vertical="center" shrinkToFit="1"/>
    </xf>
    <xf numFmtId="0" fontId="144" fillId="0" borderId="0" xfId="0" applyFont="1" applyFill="1" applyBorder="1" applyAlignment="1">
      <alignment horizontal="center" vertical="center"/>
    </xf>
    <xf numFmtId="0" fontId="144" fillId="0" borderId="0" xfId="0" applyFont="1" applyAlignment="1">
      <alignment horizontal="left" vertical="center"/>
    </xf>
    <xf numFmtId="205" fontId="167" fillId="0" borderId="27" xfId="0" applyNumberFormat="1" applyFont="1" applyFill="1" applyBorder="1" applyAlignment="1">
      <alignment horizontal="center" vertical="center" shrinkToFit="1"/>
    </xf>
    <xf numFmtId="0" fontId="160" fillId="0" borderId="33" xfId="0" applyFont="1" applyFill="1" applyBorder="1" applyAlignment="1">
      <alignment horizontal="left" vertical="center" wrapText="1"/>
    </xf>
    <xf numFmtId="3" fontId="169" fillId="0" borderId="44" xfId="0" applyNumberFormat="1" applyFont="1" applyFill="1" applyBorder="1" applyAlignment="1">
      <alignment horizontal="right" vertical="center" shrinkToFit="1"/>
    </xf>
    <xf numFmtId="0" fontId="160" fillId="0" borderId="28" xfId="0" applyFont="1" applyFill="1" applyBorder="1" applyAlignment="1">
      <alignment horizontal="center" vertical="center" shrinkToFit="1"/>
    </xf>
    <xf numFmtId="9" fontId="144" fillId="0" borderId="0" xfId="0" applyNumberFormat="1" applyFont="1" applyBorder="1" applyAlignment="1">
      <alignment horizontal="center" vertical="center" shrinkToFit="1"/>
    </xf>
    <xf numFmtId="0" fontId="160" fillId="0" borderId="96" xfId="0" applyFont="1" applyFill="1" applyBorder="1" applyAlignment="1">
      <alignment horizontal="center" vertical="center" shrinkToFit="1"/>
    </xf>
    <xf numFmtId="3" fontId="144" fillId="0" borderId="0" xfId="0" applyNumberFormat="1" applyFont="1" applyBorder="1" applyAlignment="1">
      <alignment horizontal="center" vertical="center" shrinkToFit="1"/>
    </xf>
    <xf numFmtId="205" fontId="144" fillId="0" borderId="0" xfId="0" applyNumberFormat="1" applyFont="1" applyAlignment="1">
      <alignment vertical="center" shrinkToFit="1"/>
    </xf>
    <xf numFmtId="195" fontId="240" fillId="0" borderId="0" xfId="0" applyNumberFormat="1" applyFont="1" applyAlignment="1">
      <alignment horizontal="right" shrinkToFit="1"/>
    </xf>
    <xf numFmtId="226" fontId="240" fillId="0" borderId="0" xfId="0" applyNumberFormat="1" applyFont="1" applyAlignment="1">
      <alignment horizontal="right"/>
    </xf>
    <xf numFmtId="226" fontId="240" fillId="61" borderId="0" xfId="0" applyNumberFormat="1" applyFont="1" applyFill="1" applyAlignment="1">
      <alignment horizontal="right"/>
    </xf>
    <xf numFmtId="0" fontId="144" fillId="0" borderId="0" xfId="0" applyFont="1" applyFill="1" applyAlignment="1">
      <alignment vertical="center"/>
    </xf>
    <xf numFmtId="3" fontId="169" fillId="0" borderId="31" xfId="0" applyNumberFormat="1" applyFont="1" applyFill="1" applyBorder="1" applyAlignment="1">
      <alignment horizontal="right" vertical="center" shrinkToFit="1"/>
    </xf>
    <xf numFmtId="0" fontId="160" fillId="66" borderId="124" xfId="0" applyFont="1" applyFill="1" applyBorder="1" applyAlignment="1">
      <alignment horizontal="center" vertical="center"/>
    </xf>
    <xf numFmtId="3" fontId="172" fillId="0" borderId="0" xfId="0" applyNumberFormat="1" applyFont="1" applyBorder="1" applyAlignment="1">
      <alignment horizontal="center" vertical="center" shrinkToFit="1"/>
    </xf>
    <xf numFmtId="205" fontId="173" fillId="65" borderId="123" xfId="0" applyNumberFormat="1" applyFont="1" applyFill="1" applyBorder="1" applyAlignment="1">
      <alignment horizontal="center" vertical="center" shrinkToFit="1"/>
    </xf>
    <xf numFmtId="0" fontId="173" fillId="65" borderId="123" xfId="0" applyFont="1" applyFill="1" applyBorder="1" applyAlignment="1">
      <alignment horizontal="left" vertical="center" wrapText="1"/>
    </xf>
    <xf numFmtId="3" fontId="239" fillId="65" borderId="123" xfId="0" applyNumberFormat="1" applyFont="1" applyFill="1" applyBorder="1" applyAlignment="1">
      <alignment horizontal="right" vertical="center" shrinkToFit="1"/>
    </xf>
    <xf numFmtId="0" fontId="173" fillId="65" borderId="125" xfId="0" applyFont="1" applyFill="1" applyBorder="1" applyAlignment="1">
      <alignment horizontal="center" vertical="center" shrinkToFit="1"/>
    </xf>
    <xf numFmtId="3" fontId="169" fillId="65" borderId="126" xfId="0" applyNumberFormat="1" applyFont="1" applyFill="1" applyBorder="1" applyAlignment="1">
      <alignment horizontal="right" vertical="center" shrinkToFit="1"/>
    </xf>
    <xf numFmtId="3" fontId="169" fillId="61" borderId="0" xfId="0" applyNumberFormat="1" applyFont="1" applyFill="1" applyBorder="1" applyAlignment="1">
      <alignment horizontal="right" vertical="center" shrinkToFit="1"/>
    </xf>
    <xf numFmtId="226" fontId="160" fillId="61" borderId="0" xfId="0" applyNumberFormat="1" applyFont="1" applyFill="1" applyAlignment="1">
      <alignment horizontal="left" vertical="center"/>
    </xf>
    <xf numFmtId="186" fontId="144" fillId="0" borderId="0" xfId="0" applyNumberFormat="1" applyFont="1" applyBorder="1" applyAlignment="1">
      <alignment vertical="center"/>
    </xf>
    <xf numFmtId="0" fontId="144" fillId="0" borderId="0" xfId="0" applyFont="1" applyBorder="1" applyAlignment="1">
      <alignment horizontal="center" vertical="center"/>
    </xf>
    <xf numFmtId="0" fontId="144" fillId="66" borderId="127" xfId="0" applyFont="1" applyFill="1" applyBorder="1" applyAlignment="1">
      <alignment horizontal="center" vertical="center"/>
    </xf>
    <xf numFmtId="9" fontId="172" fillId="0" borderId="0" xfId="0" applyNumberFormat="1" applyFont="1" applyBorder="1" applyAlignment="1">
      <alignment horizontal="center" vertical="center" shrinkToFit="1"/>
    </xf>
    <xf numFmtId="205" fontId="173" fillId="65" borderId="44" xfId="0" applyNumberFormat="1" applyFont="1" applyFill="1" applyBorder="1" applyAlignment="1">
      <alignment horizontal="center" vertical="center" shrinkToFit="1"/>
    </xf>
    <xf numFmtId="0" fontId="173" fillId="65" borderId="44" xfId="0" applyFont="1" applyFill="1" applyBorder="1" applyAlignment="1">
      <alignment horizontal="center" vertical="center" wrapText="1"/>
    </xf>
    <xf numFmtId="0" fontId="144" fillId="65" borderId="0" xfId="0" applyFont="1" applyFill="1" applyBorder="1" applyAlignment="1">
      <alignment vertical="center"/>
    </xf>
    <xf numFmtId="0" fontId="173" fillId="65" borderId="44" xfId="0" applyFont="1" applyFill="1" applyBorder="1" applyAlignment="1">
      <alignment horizontal="center" vertical="center" shrinkToFit="1"/>
    </xf>
    <xf numFmtId="3" fontId="170" fillId="65" borderId="128" xfId="0" applyNumberFormat="1" applyFont="1" applyFill="1" applyBorder="1" applyAlignment="1">
      <alignment horizontal="right" vertical="center" wrapText="1"/>
    </xf>
    <xf numFmtId="3" fontId="170" fillId="61" borderId="0" xfId="0" applyNumberFormat="1" applyFont="1" applyFill="1" applyBorder="1" applyAlignment="1">
      <alignment horizontal="right" vertical="center" wrapText="1"/>
    </xf>
    <xf numFmtId="0" fontId="144" fillId="0" borderId="0" xfId="0" applyFont="1" applyBorder="1" applyAlignment="1">
      <alignment vertical="center"/>
    </xf>
    <xf numFmtId="205" fontId="173" fillId="0" borderId="27" xfId="0" applyNumberFormat="1" applyFont="1" applyBorder="1" applyAlignment="1">
      <alignment horizontal="center" vertical="center" shrinkToFit="1"/>
    </xf>
    <xf numFmtId="0" fontId="160" fillId="0" borderId="33" xfId="0" applyFont="1" applyFill="1" applyBorder="1" applyAlignment="1">
      <alignment horizontal="left" vertical="center" shrinkToFit="1"/>
    </xf>
    <xf numFmtId="3" fontId="169" fillId="0" borderId="31" xfId="0" applyNumberFormat="1" applyFont="1" applyFill="1" applyBorder="1" applyAlignment="1">
      <alignment horizontal="right" vertical="center"/>
    </xf>
    <xf numFmtId="0" fontId="144" fillId="66" borderId="129" xfId="0" applyFont="1" applyFill="1" applyBorder="1" applyAlignment="1">
      <alignment horizontal="center" vertical="center"/>
    </xf>
    <xf numFmtId="205" fontId="173" fillId="0" borderId="44" xfId="0" applyNumberFormat="1" applyFont="1" applyFill="1" applyBorder="1" applyAlignment="1">
      <alignment horizontal="center" vertical="center" shrinkToFit="1"/>
    </xf>
    <xf numFmtId="0" fontId="173" fillId="0" borderId="44" xfId="0" applyFont="1" applyFill="1" applyBorder="1" applyAlignment="1">
      <alignment horizontal="left" vertical="center" wrapText="1"/>
    </xf>
    <xf numFmtId="3" fontId="169" fillId="0" borderId="44" xfId="0" applyNumberFormat="1" applyFont="1" applyFill="1" applyBorder="1" applyAlignment="1">
      <alignment horizontal="right" vertical="center" wrapText="1"/>
    </xf>
    <xf numFmtId="0" fontId="173" fillId="0" borderId="44" xfId="0" applyFont="1" applyFill="1" applyBorder="1" applyAlignment="1">
      <alignment horizontal="center" vertical="center" shrinkToFit="1"/>
    </xf>
    <xf numFmtId="10" fontId="171" fillId="0" borderId="128" xfId="0" applyNumberFormat="1" applyFont="1" applyFill="1" applyBorder="1" applyAlignment="1">
      <alignment horizontal="right" vertical="center" shrinkToFit="1"/>
    </xf>
    <xf numFmtId="10" fontId="171" fillId="61" borderId="0" xfId="0" applyNumberFormat="1" applyFont="1" applyFill="1" applyBorder="1" applyAlignment="1">
      <alignment horizontal="right" vertical="center" shrinkToFit="1"/>
    </xf>
    <xf numFmtId="0" fontId="160" fillId="0" borderId="66" xfId="0" applyFont="1" applyBorder="1" applyAlignment="1">
      <alignment horizontal="center" vertical="center"/>
    </xf>
    <xf numFmtId="205" fontId="173" fillId="0" borderId="44" xfId="0" applyNumberFormat="1" applyFont="1" applyBorder="1" applyAlignment="1">
      <alignment horizontal="center" vertical="center" shrinkToFit="1"/>
    </xf>
    <xf numFmtId="0" fontId="173" fillId="0" borderId="44" xfId="0" applyFont="1" applyBorder="1" applyAlignment="1">
      <alignment horizontal="left" vertical="center" wrapText="1"/>
    </xf>
    <xf numFmtId="0" fontId="173" fillId="0" borderId="39" xfId="0" applyFont="1" applyFill="1" applyBorder="1" applyAlignment="1">
      <alignment horizontal="center" vertical="center" shrinkToFit="1"/>
    </xf>
    <xf numFmtId="209" fontId="160" fillId="0" borderId="128" xfId="0" applyNumberFormat="1" applyFont="1" applyBorder="1" applyAlignment="1">
      <alignment vertical="center"/>
    </xf>
    <xf numFmtId="209" fontId="144" fillId="61" borderId="0" xfId="0" applyNumberFormat="1" applyFont="1" applyFill="1" applyBorder="1" applyAlignment="1">
      <alignment vertical="center"/>
    </xf>
    <xf numFmtId="0" fontId="144" fillId="61" borderId="0" xfId="0" applyFont="1" applyFill="1" applyBorder="1" applyAlignment="1">
      <alignment vertical="center"/>
    </xf>
    <xf numFmtId="205" fontId="173" fillId="0" borderId="29" xfId="0" applyNumberFormat="1" applyFont="1" applyBorder="1" applyAlignment="1">
      <alignment horizontal="center" vertical="center" shrinkToFit="1"/>
    </xf>
    <xf numFmtId="0" fontId="160" fillId="0" borderId="34" xfId="0" applyFont="1" applyFill="1" applyBorder="1" applyAlignment="1">
      <alignment horizontal="left" vertical="center" wrapText="1"/>
    </xf>
    <xf numFmtId="3" fontId="241" fillId="0" borderId="40" xfId="0" applyNumberFormat="1" applyFont="1" applyFill="1" applyBorder="1" applyAlignment="1">
      <alignment horizontal="right" vertical="center" shrinkToFit="1"/>
    </xf>
    <xf numFmtId="192" fontId="169" fillId="0" borderId="128" xfId="0" applyNumberFormat="1" applyFont="1" applyFill="1" applyBorder="1" applyAlignment="1">
      <alignment horizontal="right" vertical="center" shrinkToFit="1"/>
    </xf>
    <xf numFmtId="192" fontId="169" fillId="61" borderId="0" xfId="0" applyNumberFormat="1" applyFont="1" applyFill="1" applyBorder="1" applyAlignment="1">
      <alignment horizontal="right" vertical="center" shrinkToFit="1"/>
    </xf>
    <xf numFmtId="0" fontId="176" fillId="61" borderId="0" xfId="0" applyFont="1" applyFill="1" applyAlignment="1">
      <alignment horizontal="left" vertical="center"/>
    </xf>
    <xf numFmtId="0" fontId="144" fillId="61" borderId="0" xfId="0" applyFont="1" applyFill="1" applyAlignment="1">
      <alignment horizontal="left" vertical="center"/>
    </xf>
    <xf numFmtId="3" fontId="168" fillId="67" borderId="130" xfId="0" applyNumberFormat="1" applyFont="1" applyFill="1" applyBorder="1" applyAlignment="1">
      <alignment horizontal="right" vertical="center" shrinkToFit="1"/>
    </xf>
    <xf numFmtId="0" fontId="160" fillId="66" borderId="131" xfId="0" applyFont="1" applyFill="1" applyBorder="1" applyAlignment="1">
      <alignment horizontal="center" vertical="center"/>
    </xf>
    <xf numFmtId="184" fontId="168" fillId="0" borderId="53" xfId="0" applyNumberFormat="1" applyFont="1" applyFill="1" applyBorder="1" applyAlignment="1">
      <alignment horizontal="right" vertical="center"/>
    </xf>
    <xf numFmtId="0" fontId="173" fillId="0" borderId="44" xfId="0" applyFont="1" applyBorder="1" applyAlignment="1">
      <alignment horizontal="center" vertical="center" shrinkToFit="1"/>
    </xf>
    <xf numFmtId="9" fontId="177" fillId="61" borderId="0" xfId="0" applyNumberFormat="1" applyFont="1" applyFill="1" applyBorder="1" applyAlignment="1">
      <alignment horizontal="left" vertical="center" shrinkToFit="1"/>
    </xf>
    <xf numFmtId="0" fontId="144" fillId="61" borderId="0" xfId="0" applyFont="1" applyFill="1" applyAlignment="1">
      <alignment vertical="center"/>
    </xf>
    <xf numFmtId="195" fontId="240" fillId="0" borderId="0" xfId="0" applyNumberFormat="1" applyFont="1" applyAlignment="1">
      <alignment horizontal="right" vertical="top" shrinkToFit="1"/>
    </xf>
    <xf numFmtId="3" fontId="164" fillId="0" borderId="0" xfId="0" applyNumberFormat="1" applyFont="1" applyBorder="1" applyAlignment="1">
      <alignment horizontal="center" vertical="center" shrinkToFit="1"/>
    </xf>
    <xf numFmtId="184" fontId="168" fillId="0" borderId="132" xfId="0" applyNumberFormat="1" applyFont="1" applyFill="1" applyBorder="1" applyAlignment="1">
      <alignment horizontal="right" vertical="center"/>
    </xf>
    <xf numFmtId="0" fontId="173" fillId="0" borderId="28" xfId="0" applyFont="1" applyBorder="1" applyAlignment="1">
      <alignment horizontal="center" vertical="center" shrinkToFit="1"/>
    </xf>
    <xf numFmtId="5" fontId="177" fillId="61" borderId="0" xfId="0" applyNumberFormat="1" applyFont="1" applyFill="1" applyBorder="1" applyAlignment="1">
      <alignment horizontal="right" vertical="center" shrinkToFit="1"/>
    </xf>
    <xf numFmtId="38" fontId="144" fillId="61" borderId="0" xfId="443" applyFont="1" applyFill="1" applyAlignment="1">
      <alignment vertical="center" shrinkToFit="1"/>
    </xf>
    <xf numFmtId="205" fontId="173" fillId="0" borderId="133" xfId="0" applyNumberFormat="1" applyFont="1" applyFill="1" applyBorder="1" applyAlignment="1">
      <alignment horizontal="center" vertical="center" shrinkToFit="1"/>
    </xf>
    <xf numFmtId="0" fontId="160" fillId="0" borderId="134" xfId="0" applyFont="1" applyFill="1" applyBorder="1" applyAlignment="1">
      <alignment vertical="center" shrinkToFit="1"/>
    </xf>
    <xf numFmtId="0" fontId="160" fillId="0" borderId="135" xfId="0" applyFont="1" applyFill="1" applyBorder="1" applyAlignment="1">
      <alignment horizontal="center" vertical="center" wrapText="1"/>
    </xf>
    <xf numFmtId="205" fontId="173" fillId="61" borderId="44" xfId="0" applyNumberFormat="1" applyFont="1" applyFill="1" applyBorder="1" applyAlignment="1">
      <alignment horizontal="center" vertical="center" shrinkToFit="1"/>
    </xf>
    <xf numFmtId="0" fontId="173" fillId="61" borderId="44" xfId="0" applyFont="1" applyFill="1" applyBorder="1" applyAlignment="1">
      <alignment horizontal="left" vertical="center" shrinkToFit="1"/>
    </xf>
    <xf numFmtId="0" fontId="144" fillId="0" borderId="44" xfId="0" applyFont="1" applyBorder="1" applyAlignment="1">
      <alignment horizontal="center" vertical="center" shrinkToFit="1"/>
    </xf>
    <xf numFmtId="205" fontId="173" fillId="0" borderId="136" xfId="0" applyNumberFormat="1" applyFont="1" applyFill="1" applyBorder="1" applyAlignment="1">
      <alignment horizontal="center" vertical="center" shrinkToFit="1"/>
    </xf>
    <xf numFmtId="211" fontId="158" fillId="0" borderId="69" xfId="433" applyNumberFormat="1" applyFont="1" applyFill="1" applyBorder="1" applyAlignment="1">
      <alignment horizontal="right" vertical="center" shrinkToFit="1"/>
    </xf>
    <xf numFmtId="0" fontId="160" fillId="0" borderId="137" xfId="0" applyFont="1" applyFill="1" applyBorder="1" applyAlignment="1">
      <alignment horizontal="center" vertical="center" wrapText="1"/>
    </xf>
    <xf numFmtId="0" fontId="144" fillId="0" borderId="0" xfId="0" applyFont="1" applyFill="1" applyBorder="1" applyAlignment="1">
      <alignment horizontal="center" vertical="center" wrapText="1"/>
    </xf>
    <xf numFmtId="205" fontId="173" fillId="61" borderId="138" xfId="0" applyNumberFormat="1" applyFont="1" applyFill="1" applyBorder="1" applyAlignment="1">
      <alignment horizontal="center" vertical="center" shrinkToFit="1"/>
    </xf>
    <xf numFmtId="10" fontId="168" fillId="61" borderId="138" xfId="0" applyNumberFormat="1" applyFont="1" applyFill="1" applyBorder="1" applyAlignment="1">
      <alignment horizontal="right" vertical="center"/>
    </xf>
    <xf numFmtId="0" fontId="173" fillId="0" borderId="139" xfId="0" applyFont="1" applyBorder="1" applyAlignment="1">
      <alignment horizontal="center" vertical="center" shrinkToFit="1"/>
    </xf>
    <xf numFmtId="42" fontId="177" fillId="61" borderId="0" xfId="0" applyNumberFormat="1" applyFont="1" applyFill="1" applyBorder="1" applyAlignment="1">
      <alignment horizontal="right" vertical="center" shrinkToFit="1"/>
    </xf>
    <xf numFmtId="205" fontId="173" fillId="0" borderId="12" xfId="0" applyNumberFormat="1" applyFont="1" applyFill="1" applyBorder="1" applyAlignment="1">
      <alignment horizontal="center" vertical="center" shrinkToFit="1"/>
    </xf>
    <xf numFmtId="0" fontId="242" fillId="0" borderId="13" xfId="0" applyFont="1" applyFill="1" applyBorder="1" applyAlignment="1">
      <alignment vertical="center" shrinkToFit="1"/>
    </xf>
    <xf numFmtId="211" fontId="158" fillId="0" borderId="13" xfId="433" applyNumberFormat="1" applyFont="1" applyFill="1" applyBorder="1" applyAlignment="1">
      <alignment horizontal="right" vertical="center" shrinkToFit="1"/>
    </xf>
    <xf numFmtId="0" fontId="160" fillId="0" borderId="13" xfId="0" applyFont="1" applyFill="1" applyBorder="1" applyAlignment="1">
      <alignment horizontal="center" vertical="center" wrapText="1"/>
    </xf>
    <xf numFmtId="4" fontId="169" fillId="0" borderId="13" xfId="0" applyNumberFormat="1" applyFont="1" applyFill="1" applyBorder="1" applyAlignment="1">
      <alignment horizontal="right" vertical="center" wrapText="1"/>
    </xf>
    <xf numFmtId="0" fontId="169" fillId="0" borderId="13" xfId="0" applyFont="1" applyFill="1" applyBorder="1" applyAlignment="1">
      <alignment horizontal="right" vertical="center" wrapText="1"/>
    </xf>
    <xf numFmtId="0" fontId="169" fillId="0" borderId="21" xfId="0" applyFont="1" applyFill="1" applyBorder="1" applyAlignment="1">
      <alignment horizontal="right" vertical="center" wrapText="1"/>
    </xf>
    <xf numFmtId="0" fontId="180" fillId="0" borderId="140" xfId="0" applyFont="1" applyBorder="1" applyAlignment="1">
      <alignment vertical="top" textRotation="255" shrinkToFit="1"/>
    </xf>
    <xf numFmtId="205" fontId="181" fillId="0" borderId="0" xfId="0" applyNumberFormat="1" applyFont="1" applyBorder="1" applyAlignment="1">
      <alignment vertical="top" shrinkToFit="1"/>
    </xf>
    <xf numFmtId="226" fontId="240" fillId="61" borderId="0" xfId="0" applyNumberFormat="1" applyFont="1" applyFill="1" applyBorder="1" applyAlignment="1">
      <alignment horizontal="right"/>
    </xf>
    <xf numFmtId="5" fontId="179" fillId="61" borderId="0" xfId="0" applyNumberFormat="1" applyFont="1" applyFill="1" applyBorder="1" applyAlignment="1">
      <alignment horizontal="right" vertical="center" shrinkToFit="1"/>
    </xf>
    <xf numFmtId="206" fontId="174" fillId="61" borderId="0" xfId="0" applyNumberFormat="1" applyFont="1" applyFill="1" applyBorder="1" applyAlignment="1">
      <alignment horizontal="left" vertical="center"/>
    </xf>
    <xf numFmtId="205" fontId="173" fillId="0" borderId="14" xfId="0" applyNumberFormat="1" applyFont="1" applyFill="1" applyBorder="1" applyAlignment="1">
      <alignment horizontal="center" vertical="center" shrinkToFit="1"/>
    </xf>
    <xf numFmtId="0" fontId="242" fillId="0" borderId="0" xfId="0" applyFont="1" applyFill="1" applyBorder="1" applyAlignment="1">
      <alignment vertical="center" shrinkToFit="1"/>
    </xf>
    <xf numFmtId="211" fontId="158" fillId="0" borderId="0" xfId="433" applyNumberFormat="1" applyFont="1" applyFill="1" applyBorder="1" applyAlignment="1">
      <alignment horizontal="right" vertical="center" shrinkToFit="1"/>
    </xf>
    <xf numFmtId="0" fontId="160" fillId="0" borderId="0" xfId="0" applyFont="1" applyFill="1" applyBorder="1" applyAlignment="1">
      <alignment horizontal="center" vertical="center" wrapText="1"/>
    </xf>
    <xf numFmtId="4" fontId="169" fillId="0" borderId="0" xfId="0" applyNumberFormat="1" applyFont="1" applyFill="1" applyBorder="1" applyAlignment="1">
      <alignment horizontal="right" vertical="center" wrapText="1"/>
    </xf>
    <xf numFmtId="0" fontId="169" fillId="0" borderId="0" xfId="0" applyFont="1" applyFill="1" applyBorder="1" applyAlignment="1">
      <alignment horizontal="right" vertical="center" wrapText="1"/>
    </xf>
    <xf numFmtId="0" fontId="169" fillId="0" borderId="22" xfId="0" applyFont="1" applyFill="1" applyBorder="1" applyAlignment="1">
      <alignment horizontal="right" vertical="center" wrapText="1"/>
    </xf>
    <xf numFmtId="210" fontId="174" fillId="61" borderId="0" xfId="0" applyNumberFormat="1" applyFont="1" applyFill="1" applyBorder="1" applyAlignment="1">
      <alignment vertical="center" shrinkToFit="1"/>
    </xf>
    <xf numFmtId="205" fontId="173" fillId="0" borderId="18" xfId="0" applyNumberFormat="1" applyFont="1" applyFill="1" applyBorder="1" applyAlignment="1">
      <alignment horizontal="center" vertical="center" shrinkToFit="1"/>
    </xf>
    <xf numFmtId="0" fontId="242" fillId="0" borderId="10" xfId="0" applyFont="1" applyFill="1" applyBorder="1" applyAlignment="1">
      <alignment vertical="center" shrinkToFit="1"/>
    </xf>
    <xf numFmtId="211" fontId="158" fillId="0" borderId="10" xfId="433" applyNumberFormat="1" applyFont="1" applyFill="1" applyBorder="1" applyAlignment="1">
      <alignment horizontal="right" vertical="center" shrinkToFit="1"/>
    </xf>
    <xf numFmtId="0" fontId="160" fillId="0" borderId="10" xfId="0" applyFont="1" applyFill="1" applyBorder="1" applyAlignment="1">
      <alignment horizontal="center" vertical="center" wrapText="1"/>
    </xf>
    <xf numFmtId="4" fontId="169" fillId="0" borderId="10" xfId="0" applyNumberFormat="1" applyFont="1" applyFill="1" applyBorder="1" applyAlignment="1">
      <alignment horizontal="right" vertical="center" wrapText="1"/>
    </xf>
    <xf numFmtId="0" fontId="169" fillId="0" borderId="10" xfId="0" applyFont="1" applyFill="1" applyBorder="1" applyAlignment="1">
      <alignment horizontal="right" vertical="center" wrapText="1"/>
    </xf>
    <xf numFmtId="0" fontId="169" fillId="0" borderId="91" xfId="0" applyFont="1" applyFill="1" applyBorder="1" applyAlignment="1">
      <alignment horizontal="right" vertical="center" wrapText="1"/>
    </xf>
    <xf numFmtId="9" fontId="179" fillId="0" borderId="0" xfId="0" applyNumberFormat="1" applyFont="1" applyFill="1" applyBorder="1" applyAlignment="1">
      <alignment horizontal="left" vertical="center" shrinkToFit="1"/>
    </xf>
    <xf numFmtId="0" fontId="144" fillId="0" borderId="0" xfId="0" applyFont="1" applyBorder="1" applyAlignment="1">
      <alignment horizontal="left" vertical="center"/>
    </xf>
    <xf numFmtId="10" fontId="174" fillId="0" borderId="0" xfId="0" applyNumberFormat="1" applyFont="1" applyBorder="1" applyAlignment="1">
      <alignment horizontal="left" vertical="center"/>
    </xf>
    <xf numFmtId="205" fontId="173" fillId="68" borderId="25" xfId="0" applyNumberFormat="1" applyFont="1" applyFill="1" applyBorder="1" applyAlignment="1">
      <alignment horizontal="center" vertical="center" shrinkToFit="1"/>
    </xf>
    <xf numFmtId="0" fontId="144" fillId="68" borderId="32" xfId="0" applyFont="1" applyFill="1" applyBorder="1" applyAlignment="1">
      <alignment vertical="center"/>
    </xf>
    <xf numFmtId="0" fontId="144" fillId="68" borderId="47" xfId="0" applyFont="1" applyFill="1" applyBorder="1" applyAlignment="1">
      <alignment horizontal="center" vertical="center" wrapText="1"/>
    </xf>
    <xf numFmtId="0" fontId="180" fillId="0" borderId="0" xfId="0" applyFont="1" applyBorder="1" applyAlignment="1">
      <alignment vertical="top" textRotation="255" shrinkToFit="1"/>
    </xf>
    <xf numFmtId="0" fontId="157" fillId="0" borderId="0" xfId="0" applyFont="1" applyAlignment="1">
      <alignment horizontal="right" vertical="top" shrinkToFit="1"/>
    </xf>
    <xf numFmtId="186" fontId="157" fillId="0" borderId="0" xfId="0" applyNumberFormat="1" applyFont="1" applyFill="1" applyAlignment="1">
      <alignment vertical="top" shrinkToFit="1"/>
    </xf>
    <xf numFmtId="10" fontId="157" fillId="61" borderId="0" xfId="0" applyNumberFormat="1" applyFont="1" applyFill="1" applyBorder="1" applyAlignment="1">
      <alignment vertical="top" shrinkToFit="1"/>
    </xf>
    <xf numFmtId="5" fontId="179" fillId="0" borderId="0" xfId="0" applyNumberFormat="1" applyFont="1" applyFill="1" applyBorder="1" applyAlignment="1">
      <alignment horizontal="right" vertical="center" shrinkToFit="1"/>
    </xf>
    <xf numFmtId="206" fontId="174" fillId="0" borderId="0" xfId="0" applyNumberFormat="1" applyFont="1" applyBorder="1" applyAlignment="1">
      <alignment horizontal="left" vertical="center"/>
    </xf>
    <xf numFmtId="205" fontId="173" fillId="68" borderId="27" xfId="0" applyNumberFormat="1" applyFont="1" applyFill="1" applyBorder="1" applyAlignment="1">
      <alignment horizontal="center" vertical="center" shrinkToFit="1"/>
    </xf>
    <xf numFmtId="0" fontId="160" fillId="68" borderId="33" xfId="0" applyFont="1" applyFill="1" applyBorder="1" applyAlignment="1">
      <alignment vertical="center" shrinkToFit="1"/>
    </xf>
    <xf numFmtId="3" fontId="241" fillId="68" borderId="44" xfId="0" applyNumberFormat="1" applyFont="1" applyFill="1" applyBorder="1" applyAlignment="1">
      <alignment horizontal="right" vertical="center" shrinkToFit="1"/>
    </xf>
    <xf numFmtId="205" fontId="173" fillId="68" borderId="29" xfId="0" applyNumberFormat="1" applyFont="1" applyFill="1" applyBorder="1" applyAlignment="1">
      <alignment horizontal="center" vertical="center" shrinkToFit="1"/>
    </xf>
    <xf numFmtId="0" fontId="160" fillId="68" borderId="34" xfId="0" applyFont="1" applyFill="1" applyBorder="1" applyAlignment="1">
      <alignment vertical="center" shrinkToFit="1"/>
    </xf>
    <xf numFmtId="3" fontId="241" fillId="68" borderId="49" xfId="0" applyNumberFormat="1" applyFont="1" applyFill="1" applyBorder="1" applyAlignment="1">
      <alignment horizontal="right" vertical="center" shrinkToFit="1"/>
    </xf>
    <xf numFmtId="205" fontId="173" fillId="0" borderId="25" xfId="0" applyNumberFormat="1" applyFont="1" applyBorder="1" applyAlignment="1">
      <alignment horizontal="center" vertical="center" shrinkToFit="1"/>
    </xf>
    <xf numFmtId="0" fontId="160" fillId="0" borderId="32" xfId="0" applyFont="1" applyBorder="1" applyAlignment="1">
      <alignment vertical="center" shrinkToFit="1"/>
    </xf>
    <xf numFmtId="0" fontId="160" fillId="0" borderId="33" xfId="0" applyFont="1" applyBorder="1" applyAlignment="1">
      <alignment vertical="center" shrinkToFit="1"/>
    </xf>
    <xf numFmtId="205" fontId="173" fillId="0" borderId="141" xfId="0" applyNumberFormat="1" applyFont="1" applyFill="1" applyBorder="1" applyAlignment="1">
      <alignment horizontal="center" vertical="center" shrinkToFit="1"/>
    </xf>
    <xf numFmtId="0" fontId="160" fillId="0" borderId="142" xfId="0" applyFont="1" applyFill="1" applyBorder="1" applyAlignment="1">
      <alignment vertical="center" shrinkToFit="1"/>
    </xf>
    <xf numFmtId="0" fontId="243" fillId="0" borderId="69" xfId="0" applyNumberFormat="1" applyFont="1" applyBorder="1" applyAlignment="1">
      <alignment horizontal="center" vertical="center" shrinkToFit="1"/>
    </xf>
    <xf numFmtId="0" fontId="184" fillId="0" borderId="0" xfId="0" applyFont="1" applyBorder="1" applyAlignment="1">
      <alignment vertical="top" textRotation="255" shrinkToFit="1"/>
    </xf>
    <xf numFmtId="205" fontId="184" fillId="0" borderId="0" xfId="0" applyNumberFormat="1" applyFont="1" applyBorder="1" applyAlignment="1">
      <alignment vertical="top" shrinkToFit="1"/>
    </xf>
    <xf numFmtId="0" fontId="21" fillId="0" borderId="0" xfId="0" applyFont="1" applyBorder="1" applyAlignment="1">
      <alignment horizontal="left" vertical="center" wrapText="1"/>
    </xf>
    <xf numFmtId="205" fontId="21" fillId="0" borderId="0" xfId="0" applyNumberFormat="1" applyFont="1" applyBorder="1" applyAlignment="1">
      <alignment horizontal="center" vertical="center" shrinkToFit="1"/>
    </xf>
    <xf numFmtId="3" fontId="168" fillId="0" borderId="0" xfId="0" applyNumberFormat="1" applyFont="1" applyFill="1" applyBorder="1" applyAlignment="1">
      <alignment horizontal="right" vertical="center" shrinkToFit="1"/>
    </xf>
    <xf numFmtId="0" fontId="168" fillId="0" borderId="0" xfId="0" applyFont="1" applyFill="1" applyBorder="1" applyAlignment="1">
      <alignment horizontal="right" vertical="center" shrinkToFit="1"/>
    </xf>
    <xf numFmtId="0" fontId="144" fillId="0" borderId="10" xfId="0" applyFont="1" applyBorder="1" applyAlignment="1">
      <alignment vertical="center"/>
    </xf>
    <xf numFmtId="184" fontId="174" fillId="0" borderId="0" xfId="0" applyNumberFormat="1" applyFont="1" applyBorder="1" applyAlignment="1">
      <alignment horizontal="left" vertical="center"/>
    </xf>
    <xf numFmtId="184" fontId="160" fillId="0" borderId="0" xfId="0" applyNumberFormat="1" applyFont="1" applyBorder="1" applyAlignment="1">
      <alignment horizontal="left" vertical="center"/>
    </xf>
    <xf numFmtId="184" fontId="185" fillId="0" borderId="0" xfId="0" applyNumberFormat="1" applyFont="1" applyBorder="1" applyAlignment="1">
      <alignment horizontal="left" vertical="center"/>
    </xf>
    <xf numFmtId="205" fontId="167" fillId="0" borderId="143" xfId="0" applyNumberFormat="1" applyFont="1" applyFill="1" applyBorder="1" applyAlignment="1">
      <alignment horizontal="center" vertical="center" shrinkToFit="1"/>
    </xf>
    <xf numFmtId="0" fontId="160" fillId="0" borderId="144" xfId="0" applyFont="1" applyFill="1" applyBorder="1" applyAlignment="1">
      <alignment vertical="center" shrinkToFit="1"/>
    </xf>
    <xf numFmtId="3" fontId="169" fillId="0" borderId="145" xfId="0" applyNumberFormat="1" applyFont="1" applyFill="1" applyBorder="1" applyAlignment="1">
      <alignment horizontal="right" vertical="center"/>
    </xf>
    <xf numFmtId="0" fontId="157" fillId="0" borderId="146" xfId="0" applyFont="1" applyFill="1" applyBorder="1" applyAlignment="1">
      <alignment horizontal="right" vertical="center" shrinkToFit="1"/>
    </xf>
    <xf numFmtId="0" fontId="160" fillId="0" borderId="110" xfId="0" applyFont="1" applyFill="1" applyBorder="1" applyAlignment="1">
      <alignment vertical="center" shrinkToFit="1"/>
    </xf>
    <xf numFmtId="3" fontId="241" fillId="0" borderId="33" xfId="0" applyNumberFormat="1" applyFont="1" applyFill="1" applyBorder="1" applyAlignment="1">
      <alignment horizontal="right" vertical="center" shrinkToFit="1"/>
    </xf>
    <xf numFmtId="0" fontId="144" fillId="0" borderId="63" xfId="0" applyFont="1" applyBorder="1" applyAlignment="1">
      <alignment horizontal="center" vertical="center" shrinkToFit="1"/>
    </xf>
    <xf numFmtId="0" fontId="160" fillId="0" borderId="110" xfId="0" applyFont="1" applyBorder="1" applyAlignment="1">
      <alignment horizontal="left" vertical="center"/>
    </xf>
    <xf numFmtId="205" fontId="167" fillId="0" borderId="29" xfId="0" applyNumberFormat="1" applyFont="1" applyFill="1" applyBorder="1" applyAlignment="1">
      <alignment horizontal="center" vertical="center" shrinkToFit="1"/>
    </xf>
    <xf numFmtId="0" fontId="160" fillId="0" borderId="147" xfId="0" applyFont="1" applyBorder="1" applyAlignment="1">
      <alignment horizontal="left" vertical="center" shrinkToFit="1"/>
    </xf>
    <xf numFmtId="3" fontId="241" fillId="0" borderId="34" xfId="0" applyNumberFormat="1" applyFont="1" applyFill="1" applyBorder="1" applyAlignment="1">
      <alignment horizontal="right" vertical="center" shrinkToFit="1"/>
    </xf>
    <xf numFmtId="0" fontId="243" fillId="0" borderId="14" xfId="0" applyNumberFormat="1" applyFont="1" applyBorder="1" applyAlignment="1">
      <alignment horizontal="center" vertical="center" shrinkToFit="1"/>
    </xf>
    <xf numFmtId="3" fontId="168" fillId="67" borderId="112" xfId="0" applyNumberFormat="1" applyFont="1" applyFill="1" applyBorder="1" applyAlignment="1">
      <alignment vertical="center"/>
    </xf>
    <xf numFmtId="0" fontId="144" fillId="0" borderId="0" xfId="0" applyFont="1" applyBorder="1" applyAlignment="1">
      <alignment vertical="center" wrapText="1"/>
    </xf>
    <xf numFmtId="205" fontId="173" fillId="0" borderId="143" xfId="0" applyNumberFormat="1" applyFont="1" applyBorder="1" applyAlignment="1">
      <alignment horizontal="center" vertical="center" shrinkToFit="1"/>
    </xf>
    <xf numFmtId="0" fontId="160" fillId="0" borderId="144" xfId="0" applyFont="1" applyBorder="1" applyAlignment="1">
      <alignment vertical="center"/>
    </xf>
    <xf numFmtId="3" fontId="169" fillId="0" borderId="144" xfId="0" applyNumberFormat="1" applyFont="1" applyFill="1" applyBorder="1" applyAlignment="1">
      <alignment horizontal="right" vertical="center"/>
    </xf>
    <xf numFmtId="0" fontId="160" fillId="0" borderId="144" xfId="0" applyFont="1" applyBorder="1" applyAlignment="1">
      <alignment horizontal="center" vertical="center"/>
    </xf>
    <xf numFmtId="0" fontId="144" fillId="0" borderId="0" xfId="0" applyFont="1" applyBorder="1" applyAlignment="1">
      <alignment vertical="center" shrinkToFit="1"/>
    </xf>
    <xf numFmtId="0" fontId="160" fillId="0" borderId="147" xfId="0" applyFont="1" applyBorder="1" applyAlignment="1">
      <alignment vertical="center"/>
    </xf>
    <xf numFmtId="3" fontId="169" fillId="0" borderId="147" xfId="0" applyNumberFormat="1" applyFont="1" applyFill="1" applyBorder="1" applyAlignment="1">
      <alignment horizontal="right" vertical="center"/>
    </xf>
    <xf numFmtId="203" fontId="244" fillId="0" borderId="147" xfId="0" applyNumberFormat="1" applyFont="1" applyBorder="1" applyAlignment="1">
      <alignment vertical="center"/>
    </xf>
    <xf numFmtId="205" fontId="173" fillId="0" borderId="121" xfId="0" applyNumberFormat="1" applyFont="1" applyBorder="1" applyAlignment="1">
      <alignment horizontal="center" vertical="center" shrinkToFit="1"/>
    </xf>
    <xf numFmtId="0" fontId="160" fillId="0" borderId="116" xfId="0" applyFont="1" applyFill="1" applyBorder="1" applyAlignment="1">
      <alignment horizontal="left" vertical="center" shrinkToFit="1"/>
    </xf>
    <xf numFmtId="3" fontId="169" fillId="0" borderId="116" xfId="0" applyNumberFormat="1" applyFont="1" applyFill="1" applyBorder="1" applyAlignment="1">
      <alignment horizontal="right" vertical="center"/>
    </xf>
    <xf numFmtId="0" fontId="184" fillId="0" borderId="140" xfId="0" applyFont="1" applyBorder="1" applyAlignment="1">
      <alignment vertical="top" textRotation="255" shrinkToFit="1"/>
    </xf>
    <xf numFmtId="10" fontId="157" fillId="0" borderId="0" xfId="0" applyNumberFormat="1" applyFont="1" applyAlignment="1">
      <alignment vertical="top" shrinkToFit="1"/>
    </xf>
    <xf numFmtId="10" fontId="157" fillId="61" borderId="0" xfId="0" applyNumberFormat="1" applyFont="1" applyFill="1" applyAlignment="1">
      <alignment vertical="top" shrinkToFit="1"/>
    </xf>
    <xf numFmtId="0" fontId="160" fillId="0" borderId="110" xfId="0" applyFont="1" applyFill="1" applyBorder="1" applyAlignment="1">
      <alignment horizontal="left" vertical="center" shrinkToFit="1"/>
    </xf>
    <xf numFmtId="3" fontId="169" fillId="0" borderId="110" xfId="0" applyNumberFormat="1" applyFont="1" applyFill="1" applyBorder="1" applyAlignment="1">
      <alignment horizontal="right" vertical="center"/>
    </xf>
    <xf numFmtId="0" fontId="160" fillId="0" borderId="19" xfId="0" applyFont="1" applyFill="1" applyBorder="1" applyAlignment="1">
      <alignment horizontal="center" vertical="center"/>
    </xf>
    <xf numFmtId="0" fontId="160" fillId="0" borderId="148" xfId="0" applyFont="1" applyBorder="1" applyAlignment="1">
      <alignment horizontal="center" vertical="center" shrinkToFit="1"/>
    </xf>
    <xf numFmtId="0" fontId="160" fillId="0" borderId="19" xfId="0" applyFont="1" applyBorder="1" applyAlignment="1">
      <alignment horizontal="center" vertical="center"/>
    </xf>
    <xf numFmtId="233" fontId="160" fillId="0" borderId="59" xfId="0" applyNumberFormat="1" applyFont="1" applyBorder="1" applyAlignment="1">
      <alignment vertical="center"/>
    </xf>
    <xf numFmtId="233" fontId="160" fillId="0" borderId="0" xfId="0" applyNumberFormat="1" applyFont="1" applyBorder="1" applyAlignment="1">
      <alignment vertical="center"/>
    </xf>
    <xf numFmtId="0" fontId="144" fillId="0" borderId="0" xfId="0" applyFont="1" applyAlignment="1">
      <alignment horizontal="right" vertical="center"/>
    </xf>
    <xf numFmtId="0" fontId="160" fillId="0" borderId="47" xfId="0" applyFont="1" applyFill="1" applyBorder="1" applyAlignment="1">
      <alignment horizontal="center" vertical="center"/>
    </xf>
    <xf numFmtId="233" fontId="158" fillId="0" borderId="59" xfId="0" applyNumberFormat="1" applyFont="1" applyFill="1" applyBorder="1" applyAlignment="1">
      <alignment vertical="center"/>
    </xf>
    <xf numFmtId="233" fontId="158" fillId="0" borderId="0" xfId="0" applyNumberFormat="1" applyFont="1" applyFill="1" applyBorder="1" applyAlignment="1">
      <alignment vertical="center"/>
    </xf>
    <xf numFmtId="184" fontId="160" fillId="0" borderId="0" xfId="0" applyNumberFormat="1" applyFont="1" applyAlignment="1">
      <alignment horizontal="left" vertical="center"/>
    </xf>
    <xf numFmtId="205" fontId="173" fillId="0" borderId="27" xfId="0" applyNumberFormat="1" applyFont="1" applyFill="1" applyBorder="1" applyAlignment="1">
      <alignment horizontal="center" vertical="center" shrinkToFit="1"/>
    </xf>
    <xf numFmtId="0" fontId="160" fillId="0" borderId="49" xfId="0" applyFont="1" applyFill="1" applyBorder="1" applyAlignment="1">
      <alignment horizontal="center" vertical="center"/>
    </xf>
    <xf numFmtId="3" fontId="169" fillId="0" borderId="67" xfId="0" applyNumberFormat="1" applyFont="1" applyFill="1" applyBorder="1" applyAlignment="1">
      <alignment horizontal="right" vertical="center"/>
    </xf>
    <xf numFmtId="0" fontId="160" fillId="0" borderId="50" xfId="0" applyFont="1" applyFill="1" applyBorder="1" applyAlignment="1">
      <alignment horizontal="center" vertical="center"/>
    </xf>
    <xf numFmtId="0" fontId="160" fillId="0" borderId="147" xfId="0" applyFont="1" applyFill="1" applyBorder="1" applyAlignment="1">
      <alignment horizontal="left" vertical="center" shrinkToFit="1"/>
    </xf>
    <xf numFmtId="3" fontId="169" fillId="0" borderId="34" xfId="0" applyNumberFormat="1" applyFont="1" applyFill="1" applyBorder="1" applyAlignment="1">
      <alignment horizontal="right" vertical="center"/>
    </xf>
    <xf numFmtId="233" fontId="161" fillId="0" borderId="59" xfId="0" applyNumberFormat="1" applyFont="1" applyFill="1" applyBorder="1" applyAlignment="1">
      <alignment vertical="center"/>
    </xf>
    <xf numFmtId="233" fontId="161" fillId="0" borderId="0" xfId="0" applyNumberFormat="1" applyFont="1" applyFill="1" applyBorder="1" applyAlignment="1">
      <alignment vertical="center"/>
    </xf>
    <xf numFmtId="3" fontId="168" fillId="69" borderId="4" xfId="0" applyNumberFormat="1" applyFont="1" applyFill="1" applyBorder="1" applyAlignment="1">
      <alignment vertical="center"/>
    </xf>
    <xf numFmtId="0" fontId="21" fillId="0" borderId="119" xfId="0" applyFont="1" applyBorder="1" applyAlignment="1">
      <alignment horizontal="left" vertical="center"/>
    </xf>
    <xf numFmtId="205" fontId="21" fillId="0" borderId="119" xfId="0" applyNumberFormat="1" applyFont="1" applyBorder="1" applyAlignment="1">
      <alignment horizontal="center" vertical="center" shrinkToFit="1"/>
    </xf>
    <xf numFmtId="3" fontId="85" fillId="0" borderId="119" xfId="0" applyNumberFormat="1" applyFont="1" applyFill="1" applyBorder="1" applyAlignment="1">
      <alignment vertical="center"/>
    </xf>
    <xf numFmtId="0" fontId="144" fillId="0" borderId="119" xfId="0" applyFont="1" applyBorder="1" applyAlignment="1">
      <alignment vertical="center"/>
    </xf>
    <xf numFmtId="3" fontId="158" fillId="0" borderId="119" xfId="0" applyNumberFormat="1" applyFont="1" applyBorder="1" applyAlignment="1">
      <alignment horizontal="right" vertical="center"/>
    </xf>
    <xf numFmtId="0" fontId="236" fillId="0" borderId="119" xfId="0" applyFont="1" applyBorder="1" applyAlignment="1">
      <alignment horizontal="right" vertical="center"/>
    </xf>
    <xf numFmtId="10" fontId="236" fillId="0" borderId="119" xfId="0" applyNumberFormat="1" applyFont="1" applyBorder="1" applyAlignment="1">
      <alignment horizontal="right" vertical="center"/>
    </xf>
    <xf numFmtId="0" fontId="144" fillId="0" borderId="119" xfId="0" applyFont="1" applyBorder="1" applyAlignment="1">
      <alignment vertical="center" shrinkToFit="1"/>
    </xf>
    <xf numFmtId="217" fontId="144" fillId="0" borderId="119" xfId="0" applyNumberFormat="1" applyFont="1" applyBorder="1" applyAlignment="1">
      <alignment horizontal="center" vertical="center" shrinkToFit="1"/>
    </xf>
    <xf numFmtId="223" fontId="169" fillId="0" borderId="119" xfId="0" applyNumberFormat="1" applyFont="1" applyFill="1" applyBorder="1" applyAlignment="1">
      <alignment vertical="center"/>
    </xf>
    <xf numFmtId="0" fontId="21" fillId="0" borderId="0" xfId="0" applyFont="1" applyBorder="1" applyAlignment="1">
      <alignment horizontal="left" vertical="center"/>
    </xf>
    <xf numFmtId="3" fontId="85" fillId="0" borderId="0" xfId="0" applyNumberFormat="1" applyFont="1" applyFill="1" applyBorder="1" applyAlignment="1">
      <alignment vertical="center"/>
    </xf>
    <xf numFmtId="3" fontId="158" fillId="0" borderId="0" xfId="0" applyNumberFormat="1" applyFont="1" applyBorder="1" applyAlignment="1">
      <alignment horizontal="right" vertical="center"/>
    </xf>
    <xf numFmtId="0" fontId="236" fillId="0" borderId="0" xfId="0" applyFont="1" applyBorder="1" applyAlignment="1">
      <alignment horizontal="right" vertical="center"/>
    </xf>
    <xf numFmtId="10" fontId="236" fillId="0" borderId="0" xfId="0" applyNumberFormat="1" applyFont="1" applyBorder="1" applyAlignment="1">
      <alignment horizontal="right" vertical="center"/>
    </xf>
    <xf numFmtId="217" fontId="144" fillId="0" borderId="0" xfId="0" applyNumberFormat="1" applyFont="1" applyBorder="1" applyAlignment="1">
      <alignment horizontal="center" vertical="center" shrinkToFit="1"/>
    </xf>
    <xf numFmtId="0" fontId="144" fillId="0" borderId="0" xfId="0" applyFont="1" applyAlignment="1">
      <alignment vertical="center" shrinkToFit="1"/>
    </xf>
    <xf numFmtId="223" fontId="169" fillId="0" borderId="0" xfId="0" applyNumberFormat="1" applyFont="1" applyFill="1" applyAlignment="1">
      <alignment vertical="center"/>
    </xf>
    <xf numFmtId="205" fontId="21" fillId="0" borderId="36" xfId="0" applyNumberFormat="1" applyFont="1" applyBorder="1" applyAlignment="1">
      <alignment horizontal="center" vertical="center" shrinkToFit="1"/>
    </xf>
    <xf numFmtId="0" fontId="158" fillId="0" borderId="149" xfId="0" applyFont="1" applyBorder="1" applyAlignment="1">
      <alignment horizontal="center" vertical="center"/>
    </xf>
    <xf numFmtId="0" fontId="158" fillId="0" borderId="15" xfId="0" applyFont="1" applyBorder="1" applyAlignment="1">
      <alignment horizontal="center" vertical="center"/>
    </xf>
    <xf numFmtId="0" fontId="144" fillId="70" borderId="150" xfId="0" applyFont="1" applyFill="1" applyBorder="1" applyAlignment="1">
      <alignment vertical="center" shrinkToFit="1"/>
    </xf>
    <xf numFmtId="217" fontId="144" fillId="70" borderId="151" xfId="0" applyNumberFormat="1" applyFont="1" applyFill="1" applyBorder="1" applyAlignment="1">
      <alignment horizontal="center" vertical="center" shrinkToFit="1"/>
    </xf>
    <xf numFmtId="217" fontId="144" fillId="0" borderId="36" xfId="0" applyNumberFormat="1" applyFont="1" applyBorder="1" applyAlignment="1">
      <alignment horizontal="center" vertical="center" shrinkToFit="1"/>
    </xf>
    <xf numFmtId="0" fontId="158" fillId="0" borderId="19" xfId="0" applyFont="1" applyBorder="1" applyAlignment="1">
      <alignment horizontal="center" vertical="center"/>
    </xf>
    <xf numFmtId="0" fontId="158" fillId="61" borderId="59" xfId="0" applyFont="1" applyFill="1" applyBorder="1" applyAlignment="1">
      <alignment horizontal="center" vertical="center"/>
    </xf>
    <xf numFmtId="0" fontId="144" fillId="67" borderId="108" xfId="0" applyFont="1" applyFill="1" applyBorder="1" applyAlignment="1">
      <alignment horizontal="center" vertical="center" wrapText="1"/>
    </xf>
    <xf numFmtId="3" fontId="169" fillId="67" borderId="50" xfId="0" applyNumberFormat="1" applyFont="1" applyFill="1" applyBorder="1" applyAlignment="1">
      <alignment horizontal="right" vertical="center" wrapText="1"/>
    </xf>
    <xf numFmtId="223" fontId="169" fillId="67" borderId="50" xfId="0" applyNumberFormat="1" applyFont="1" applyFill="1" applyBorder="1" applyAlignment="1">
      <alignment vertical="center"/>
    </xf>
    <xf numFmtId="0" fontId="144" fillId="70" borderId="14" xfId="0" applyFont="1" applyFill="1" applyBorder="1" applyAlignment="1">
      <alignment vertical="center" shrinkToFit="1"/>
    </xf>
    <xf numFmtId="217" fontId="144" fillId="70" borderId="66" xfId="0" applyNumberFormat="1" applyFont="1" applyFill="1" applyBorder="1" applyAlignment="1">
      <alignment horizontal="center" vertical="center" shrinkToFit="1"/>
    </xf>
    <xf numFmtId="0" fontId="144" fillId="69" borderId="108" xfId="0" applyFont="1" applyFill="1" applyBorder="1" applyAlignment="1">
      <alignment vertical="center" wrapText="1"/>
    </xf>
    <xf numFmtId="3" fontId="169" fillId="69" borderId="50" xfId="0" applyNumberFormat="1" applyFont="1" applyFill="1" applyBorder="1" applyAlignment="1">
      <alignment vertical="center" wrapText="1"/>
    </xf>
    <xf numFmtId="223" fontId="169" fillId="69" borderId="50" xfId="0" applyNumberFormat="1" applyFont="1" applyFill="1" applyBorder="1" applyAlignment="1">
      <alignment vertical="center"/>
    </xf>
    <xf numFmtId="10" fontId="169" fillId="69" borderId="46" xfId="432" applyNumberFormat="1" applyFont="1" applyFill="1" applyBorder="1" applyAlignment="1">
      <alignment horizontal="center" vertical="center"/>
    </xf>
    <xf numFmtId="10" fontId="169" fillId="61" borderId="59" xfId="432" applyNumberFormat="1" applyFont="1" applyFill="1" applyBorder="1" applyAlignment="1">
      <alignment horizontal="center" vertical="center"/>
    </xf>
    <xf numFmtId="0" fontId="144" fillId="67" borderId="28" xfId="0" applyFont="1" applyFill="1" applyBorder="1" applyAlignment="1">
      <alignment horizontal="center" vertical="center" wrapText="1"/>
    </xf>
    <xf numFmtId="3" fontId="169" fillId="67" borderId="44" xfId="0" applyNumberFormat="1" applyFont="1" applyFill="1" applyBorder="1" applyAlignment="1">
      <alignment vertical="center" wrapText="1"/>
    </xf>
    <xf numFmtId="223" fontId="169" fillId="67" borderId="44" xfId="0" applyNumberFormat="1" applyFont="1" applyFill="1" applyBorder="1" applyAlignment="1">
      <alignment vertical="center"/>
    </xf>
    <xf numFmtId="0" fontId="144" fillId="69" borderId="28" xfId="0" applyFont="1" applyFill="1" applyBorder="1" applyAlignment="1">
      <alignment vertical="center" wrapText="1"/>
    </xf>
    <xf numFmtId="3" fontId="169" fillId="69" borderId="44" xfId="0" applyNumberFormat="1" applyFont="1" applyFill="1" applyBorder="1" applyAlignment="1">
      <alignment vertical="center" wrapText="1"/>
    </xf>
    <xf numFmtId="223" fontId="169" fillId="69" borderId="44" xfId="0" applyNumberFormat="1" applyFont="1" applyFill="1" applyBorder="1" applyAlignment="1">
      <alignment vertical="center"/>
    </xf>
    <xf numFmtId="10" fontId="169" fillId="69" borderId="31" xfId="432" applyNumberFormat="1" applyFont="1" applyFill="1" applyBorder="1" applyAlignment="1">
      <alignment horizontal="center" vertical="center"/>
    </xf>
    <xf numFmtId="205" fontId="173" fillId="0" borderId="152" xfId="0" applyNumberFormat="1" applyFont="1" applyBorder="1" applyAlignment="1">
      <alignment horizontal="center" vertical="center" shrinkToFit="1"/>
    </xf>
    <xf numFmtId="0" fontId="144" fillId="67" borderId="153" xfId="0" applyFont="1" applyFill="1" applyBorder="1" applyAlignment="1">
      <alignment horizontal="center" vertical="center" wrapText="1"/>
    </xf>
    <xf numFmtId="3" fontId="169" fillId="67" borderId="138" xfId="0" applyNumberFormat="1" applyFont="1" applyFill="1" applyBorder="1" applyAlignment="1">
      <alignment vertical="center"/>
    </xf>
    <xf numFmtId="223" fontId="169" fillId="67" borderId="138" xfId="0" applyNumberFormat="1" applyFont="1" applyFill="1" applyBorder="1" applyAlignment="1">
      <alignment vertical="center"/>
    </xf>
    <xf numFmtId="0" fontId="144" fillId="70" borderId="42" xfId="0" applyFont="1" applyFill="1" applyBorder="1" applyAlignment="1">
      <alignment vertical="center" shrinkToFit="1"/>
    </xf>
    <xf numFmtId="217" fontId="144" fillId="70" borderId="154" xfId="0" applyNumberFormat="1" applyFont="1" applyFill="1" applyBorder="1" applyAlignment="1">
      <alignment horizontal="center" vertical="center" shrinkToFit="1"/>
    </xf>
    <xf numFmtId="0" fontId="144" fillId="69" borderId="153" xfId="0" applyFont="1" applyFill="1" applyBorder="1" applyAlignment="1">
      <alignment vertical="center" wrapText="1"/>
    </xf>
    <xf numFmtId="3" fontId="169" fillId="69" borderId="138" xfId="0" applyNumberFormat="1" applyFont="1" applyFill="1" applyBorder="1" applyAlignment="1">
      <alignment vertical="center" wrapText="1"/>
    </xf>
    <xf numFmtId="223" fontId="169" fillId="69" borderId="138" xfId="0" applyNumberFormat="1" applyFont="1" applyFill="1" applyBorder="1" applyAlignment="1">
      <alignment vertical="center"/>
    </xf>
    <xf numFmtId="10" fontId="169" fillId="69" borderId="155" xfId="432" applyNumberFormat="1" applyFont="1" applyFill="1" applyBorder="1" applyAlignment="1">
      <alignment horizontal="center" vertical="center"/>
    </xf>
    <xf numFmtId="186" fontId="169" fillId="0" borderId="0" xfId="0" applyNumberFormat="1" applyFont="1" applyFill="1" applyAlignment="1">
      <alignment vertical="center"/>
    </xf>
    <xf numFmtId="0" fontId="160" fillId="0" borderId="0" xfId="0" applyFont="1" applyBorder="1" applyAlignment="1">
      <alignment horizontal="center" vertical="center" wrapText="1" shrinkToFit="1"/>
    </xf>
    <xf numFmtId="0" fontId="173" fillId="0" borderId="0" xfId="0" applyFont="1" applyAlignment="1">
      <alignment vertical="center"/>
    </xf>
    <xf numFmtId="0" fontId="160" fillId="0" borderId="0" xfId="0" applyFont="1" applyBorder="1" applyAlignment="1">
      <alignment horizontal="center" vertical="center" shrinkToFit="1"/>
    </xf>
    <xf numFmtId="224" fontId="173" fillId="0" borderId="0" xfId="0" applyNumberFormat="1" applyFont="1" applyBorder="1" applyAlignment="1">
      <alignment horizontal="right" vertical="center"/>
    </xf>
    <xf numFmtId="225" fontId="173" fillId="0" borderId="0" xfId="443" applyNumberFormat="1" applyFont="1" applyFill="1" applyBorder="1" applyAlignment="1">
      <alignment horizontal="right" vertical="center"/>
    </xf>
    <xf numFmtId="225" fontId="173" fillId="0" borderId="0" xfId="0" applyNumberFormat="1" applyFont="1" applyBorder="1" applyAlignment="1">
      <alignment horizontal="right" vertical="center"/>
    </xf>
    <xf numFmtId="214" fontId="169" fillId="0" borderId="0" xfId="0" applyNumberFormat="1" applyFont="1" applyFill="1" applyAlignment="1">
      <alignment vertical="center"/>
    </xf>
    <xf numFmtId="0" fontId="173" fillId="0" borderId="0" xfId="0" applyFont="1" applyFill="1" applyAlignment="1">
      <alignment vertical="center"/>
    </xf>
    <xf numFmtId="219" fontId="186" fillId="0" borderId="0" xfId="0" applyNumberFormat="1" applyFont="1" applyFill="1" applyBorder="1" applyAlignment="1">
      <alignment horizontal="left" vertical="center"/>
    </xf>
    <xf numFmtId="220" fontId="167" fillId="0" borderId="0" xfId="0" applyNumberFormat="1" applyFont="1" applyFill="1" applyBorder="1" applyAlignment="1">
      <alignment horizontal="left" vertical="center"/>
    </xf>
    <xf numFmtId="179" fontId="186" fillId="0" borderId="0" xfId="0" applyNumberFormat="1" applyFont="1" applyFill="1" applyBorder="1" applyAlignment="1">
      <alignment horizontal="center" vertical="center"/>
    </xf>
    <xf numFmtId="208" fontId="183" fillId="0" borderId="0" xfId="0" applyNumberFormat="1" applyFont="1" applyAlignment="1">
      <alignment horizontal="center" vertical="center"/>
    </xf>
    <xf numFmtId="206" fontId="144" fillId="0" borderId="0" xfId="0" applyNumberFormat="1" applyFont="1" applyBorder="1" applyAlignment="1">
      <alignment vertical="center"/>
    </xf>
    <xf numFmtId="0" fontId="144" fillId="0" borderId="0" xfId="0" applyFont="1" applyFill="1" applyBorder="1" applyAlignment="1">
      <alignment vertical="center"/>
    </xf>
    <xf numFmtId="0" fontId="144" fillId="0" borderId="0" xfId="0" applyFont="1" applyFill="1" applyBorder="1" applyAlignment="1">
      <alignment vertical="center" textRotation="255"/>
    </xf>
    <xf numFmtId="205" fontId="144" fillId="0" borderId="0" xfId="0" applyNumberFormat="1" applyFont="1" applyFill="1" applyBorder="1" applyAlignment="1">
      <alignment vertical="center" shrinkToFit="1"/>
    </xf>
    <xf numFmtId="185" fontId="187" fillId="0" borderId="0" xfId="0" applyNumberFormat="1" applyFont="1" applyFill="1" applyAlignment="1">
      <alignment vertical="center"/>
    </xf>
    <xf numFmtId="0" fontId="160" fillId="0" borderId="0" xfId="0" applyFont="1" applyAlignment="1">
      <alignment horizontal="center" vertical="center"/>
    </xf>
    <xf numFmtId="205" fontId="144" fillId="0" borderId="0" xfId="0" applyNumberFormat="1" applyFont="1" applyBorder="1" applyAlignment="1">
      <alignment vertical="center" shrinkToFit="1"/>
    </xf>
    <xf numFmtId="0" fontId="158" fillId="0" borderId="0" xfId="0" applyFont="1" applyFill="1" applyBorder="1" applyAlignment="1">
      <alignment horizontal="left" vertical="center"/>
    </xf>
    <xf numFmtId="218" fontId="166" fillId="0" borderId="0" xfId="0" applyNumberFormat="1" applyFont="1" applyFill="1" applyBorder="1" applyAlignment="1">
      <alignment horizontal="left" vertical="center"/>
    </xf>
    <xf numFmtId="219" fontId="188" fillId="0" borderId="0" xfId="0" applyNumberFormat="1" applyFont="1" applyFill="1" applyBorder="1" applyAlignment="1">
      <alignment horizontal="left" vertical="center"/>
    </xf>
    <xf numFmtId="220" fontId="166" fillId="0" borderId="0" xfId="0" applyNumberFormat="1" applyFont="1" applyFill="1" applyBorder="1" applyAlignment="1">
      <alignment horizontal="left" vertical="center"/>
    </xf>
    <xf numFmtId="0" fontId="160" fillId="0" borderId="0" xfId="0" applyFont="1" applyFill="1" applyAlignment="1">
      <alignment vertical="center"/>
    </xf>
    <xf numFmtId="0" fontId="144" fillId="0" borderId="0" xfId="0" applyFont="1" applyFill="1" applyAlignment="1">
      <alignment horizontal="right" vertical="center"/>
    </xf>
    <xf numFmtId="3" fontId="169" fillId="0" borderId="47" xfId="0" applyNumberFormat="1" applyFont="1" applyFill="1" applyBorder="1" applyAlignment="1">
      <alignment horizontal="right" vertical="center" shrinkToFit="1"/>
    </xf>
    <xf numFmtId="213" fontId="169" fillId="0" borderId="49" xfId="0" applyNumberFormat="1" applyFont="1" applyFill="1" applyBorder="1" applyAlignment="1">
      <alignment vertical="center" shrinkToFit="1"/>
    </xf>
    <xf numFmtId="3" fontId="169" fillId="0" borderId="156" xfId="0" applyNumberFormat="1" applyFont="1" applyFill="1" applyBorder="1" applyAlignment="1">
      <alignment horizontal="right" vertical="center" shrinkToFit="1"/>
    </xf>
    <xf numFmtId="3" fontId="241" fillId="0" borderId="44" xfId="0" applyNumberFormat="1" applyFont="1" applyFill="1" applyBorder="1" applyAlignment="1">
      <alignment horizontal="right" vertical="center" shrinkToFit="1"/>
    </xf>
    <xf numFmtId="218" fontId="167" fillId="0" borderId="0" xfId="0" applyNumberFormat="1" applyFont="1" applyBorder="1" applyAlignment="1">
      <alignment vertical="center"/>
    </xf>
    <xf numFmtId="0" fontId="160" fillId="0" borderId="0" xfId="0" applyFont="1" applyBorder="1" applyAlignment="1">
      <alignment horizontal="left" vertical="center"/>
    </xf>
    <xf numFmtId="9" fontId="177" fillId="71" borderId="157" xfId="0" applyNumberFormat="1" applyFont="1" applyFill="1" applyBorder="1" applyAlignment="1">
      <alignment horizontal="left" vertical="center" shrinkToFit="1"/>
    </xf>
    <xf numFmtId="5" fontId="189" fillId="71" borderId="158" xfId="0" applyNumberFormat="1" applyFont="1" applyFill="1" applyBorder="1" applyAlignment="1">
      <alignment horizontal="right" vertical="center" shrinkToFit="1"/>
    </xf>
    <xf numFmtId="9" fontId="177" fillId="71" borderId="159" xfId="0" applyNumberFormat="1" applyFont="1" applyFill="1" applyBorder="1" applyAlignment="1">
      <alignment horizontal="left" vertical="center" shrinkToFit="1"/>
    </xf>
    <xf numFmtId="42" fontId="189" fillId="71" borderId="160" xfId="0" applyNumberFormat="1" applyFont="1" applyFill="1" applyBorder="1" applyAlignment="1">
      <alignment horizontal="right" vertical="center" shrinkToFit="1"/>
    </xf>
    <xf numFmtId="0" fontId="160" fillId="68" borderId="161" xfId="0" applyFont="1" applyFill="1" applyBorder="1" applyAlignment="1">
      <alignment horizontal="center" vertical="center"/>
    </xf>
    <xf numFmtId="214" fontId="158" fillId="68" borderId="130" xfId="0" applyNumberFormat="1" applyFont="1" applyFill="1" applyBorder="1" applyAlignment="1">
      <alignment horizontal="center" vertical="center"/>
    </xf>
    <xf numFmtId="214" fontId="158" fillId="68" borderId="162" xfId="0" applyNumberFormat="1" applyFont="1" applyFill="1" applyBorder="1" applyAlignment="1">
      <alignment horizontal="center" vertical="center"/>
    </xf>
    <xf numFmtId="0" fontId="245" fillId="0" borderId="163" xfId="0" applyFont="1" applyFill="1" applyBorder="1" applyAlignment="1">
      <alignment vertical="center" shrinkToFit="1"/>
    </xf>
    <xf numFmtId="0" fontId="139" fillId="61" borderId="138" xfId="0" applyFont="1" applyFill="1" applyBorder="1" applyAlignment="1">
      <alignment horizontal="left" vertical="center" shrinkToFit="1"/>
    </xf>
    <xf numFmtId="0" fontId="160" fillId="0" borderId="149" xfId="0" applyFont="1" applyBorder="1" applyAlignment="1">
      <alignment vertical="center"/>
    </xf>
    <xf numFmtId="0" fontId="191" fillId="0" borderId="0" xfId="452" applyFont="1" applyAlignment="1">
      <alignment horizontal="center" vertical="center"/>
    </xf>
    <xf numFmtId="0" fontId="191" fillId="0" borderId="4" xfId="452" applyFont="1" applyBorder="1" applyAlignment="1">
      <alignment horizontal="center" vertical="center"/>
    </xf>
    <xf numFmtId="0" fontId="191" fillId="0" borderId="165" xfId="452" applyFont="1" applyBorder="1" applyAlignment="1">
      <alignment horizontal="center" vertical="center"/>
    </xf>
    <xf numFmtId="0" fontId="191" fillId="0" borderId="9" xfId="452" applyFont="1" applyBorder="1" applyAlignment="1">
      <alignment horizontal="center" vertical="center" shrinkToFit="1"/>
    </xf>
    <xf numFmtId="0" fontId="191" fillId="0" borderId="161" xfId="452" applyFont="1" applyBorder="1" applyAlignment="1">
      <alignment horizontal="center" vertical="center"/>
    </xf>
    <xf numFmtId="0" fontId="191" fillId="0" borderId="166" xfId="452" applyFont="1" applyBorder="1" applyAlignment="1">
      <alignment horizontal="center" vertical="center"/>
    </xf>
    <xf numFmtId="0" fontId="191" fillId="0" borderId="0" xfId="452" applyFont="1" applyBorder="1" applyAlignment="1">
      <alignment horizontal="center" vertical="center"/>
    </xf>
    <xf numFmtId="0" fontId="191" fillId="0" borderId="140" xfId="452" applyFont="1" applyBorder="1" applyAlignment="1">
      <alignment horizontal="center" vertical="center"/>
    </xf>
    <xf numFmtId="0" fontId="7" fillId="0" borderId="0" xfId="452" applyBorder="1" applyAlignment="1">
      <alignment horizontal="center" vertical="center"/>
    </xf>
    <xf numFmtId="0" fontId="191" fillId="0" borderId="3" xfId="452" applyFont="1" applyBorder="1" applyAlignment="1">
      <alignment horizontal="left" vertical="center"/>
    </xf>
    <xf numFmtId="0" fontId="191" fillId="0" borderId="58" xfId="452" applyFont="1" applyBorder="1" applyAlignment="1">
      <alignment horizontal="center" vertical="center"/>
    </xf>
    <xf numFmtId="0" fontId="191" fillId="0" borderId="59" xfId="452" applyFont="1" applyBorder="1" applyAlignment="1">
      <alignment horizontal="left" vertical="center"/>
    </xf>
    <xf numFmtId="0" fontId="191" fillId="0" borderId="22" xfId="452" applyFont="1" applyBorder="1" applyAlignment="1">
      <alignment horizontal="center" vertical="center"/>
    </xf>
    <xf numFmtId="0" fontId="191" fillId="0" borderId="59" xfId="452" applyFont="1" applyBorder="1" applyAlignment="1">
      <alignment horizontal="center" vertical="center"/>
    </xf>
    <xf numFmtId="0" fontId="191" fillId="0" borderId="60" xfId="452" applyFont="1" applyBorder="1" applyAlignment="1">
      <alignment horizontal="center" vertical="center"/>
    </xf>
    <xf numFmtId="0" fontId="191" fillId="0" borderId="61" xfId="452" applyFont="1" applyBorder="1" applyAlignment="1">
      <alignment horizontal="center" vertical="center"/>
    </xf>
    <xf numFmtId="0" fontId="191" fillId="0" borderId="15" xfId="452" applyFont="1" applyBorder="1" applyAlignment="1">
      <alignment horizontal="distributed" vertical="center" wrapText="1" shrinkToFit="1"/>
    </xf>
    <xf numFmtId="0" fontId="193" fillId="0" borderId="8" xfId="452" applyFont="1" applyBorder="1" applyAlignment="1">
      <alignment vertical="center"/>
    </xf>
    <xf numFmtId="0" fontId="191" fillId="0" borderId="9" xfId="452" applyFont="1" applyBorder="1" applyAlignment="1">
      <alignment horizontal="distributed" vertical="center"/>
    </xf>
    <xf numFmtId="0" fontId="191" fillId="0" borderId="43" xfId="452" applyFont="1" applyBorder="1" applyAlignment="1">
      <alignment horizontal="center" vertical="center"/>
    </xf>
    <xf numFmtId="0" fontId="191" fillId="0" borderId="69" xfId="452" applyFont="1" applyBorder="1" applyAlignment="1">
      <alignment horizontal="center" vertical="center"/>
    </xf>
    <xf numFmtId="0" fontId="191" fillId="0" borderId="45" xfId="452" applyFont="1" applyBorder="1" applyAlignment="1">
      <alignment horizontal="center" vertical="center"/>
    </xf>
    <xf numFmtId="0" fontId="194" fillId="0" borderId="167" xfId="452" applyFont="1" applyBorder="1" applyAlignment="1">
      <alignment horizontal="left" vertical="center"/>
    </xf>
    <xf numFmtId="0" fontId="194" fillId="0" borderId="13" xfId="452" applyFont="1" applyBorder="1" applyAlignment="1">
      <alignment horizontal="center" vertical="center"/>
    </xf>
    <xf numFmtId="0" fontId="194" fillId="0" borderId="21" xfId="452" applyFont="1" applyBorder="1" applyAlignment="1">
      <alignment horizontal="center" vertical="center"/>
    </xf>
    <xf numFmtId="0" fontId="194" fillId="0" borderId="59" xfId="452" applyFont="1" applyBorder="1" applyAlignment="1">
      <alignment horizontal="left" vertical="center"/>
    </xf>
    <xf numFmtId="0" fontId="194" fillId="0" borderId="60" xfId="452" applyFont="1" applyBorder="1" applyAlignment="1">
      <alignment horizontal="center" vertical="center"/>
    </xf>
    <xf numFmtId="0" fontId="194" fillId="0" borderId="4" xfId="452" applyFont="1" applyBorder="1" applyAlignment="1">
      <alignment horizontal="center" vertical="center"/>
    </xf>
    <xf numFmtId="0" fontId="194" fillId="0" borderId="61" xfId="452" applyFont="1" applyBorder="1" applyAlignment="1">
      <alignment horizontal="center" vertical="center"/>
    </xf>
    <xf numFmtId="0" fontId="194" fillId="0" borderId="0" xfId="452" applyFont="1" applyBorder="1" applyAlignment="1">
      <alignment horizontal="left" vertical="center"/>
    </xf>
    <xf numFmtId="235" fontId="194" fillId="0" borderId="0" xfId="452" applyNumberFormat="1" applyFont="1" applyBorder="1" applyAlignment="1">
      <alignment horizontal="center" vertical="center"/>
    </xf>
    <xf numFmtId="3" fontId="194" fillId="0" borderId="0" xfId="452" applyNumberFormat="1" applyFont="1" applyBorder="1" applyAlignment="1">
      <alignment horizontal="center" vertical="center"/>
    </xf>
    <xf numFmtId="0" fontId="0" fillId="72" borderId="0" xfId="0" applyFill="1">
      <alignment vertical="center"/>
    </xf>
    <xf numFmtId="9" fontId="246" fillId="72" borderId="0" xfId="0" applyNumberFormat="1" applyFont="1" applyFill="1">
      <alignment vertical="center"/>
    </xf>
    <xf numFmtId="10" fontId="194" fillId="0" borderId="0" xfId="432" applyNumberFormat="1" applyFont="1" applyBorder="1" applyAlignment="1">
      <alignment horizontal="center" vertical="center"/>
    </xf>
    <xf numFmtId="0" fontId="194" fillId="0" borderId="22" xfId="452" applyFont="1" applyBorder="1" applyAlignment="1">
      <alignment horizontal="left" vertical="center"/>
    </xf>
    <xf numFmtId="10" fontId="194" fillId="0" borderId="0" xfId="452" applyNumberFormat="1" applyFont="1" applyBorder="1" applyAlignment="1">
      <alignment horizontal="center" vertical="center"/>
    </xf>
    <xf numFmtId="214" fontId="194" fillId="0" borderId="0" xfId="452" applyNumberFormat="1" applyFont="1" applyBorder="1" applyAlignment="1">
      <alignment horizontal="left" vertical="center"/>
    </xf>
    <xf numFmtId="237" fontId="194" fillId="0" borderId="0" xfId="452" applyNumberFormat="1" applyFont="1" applyBorder="1" applyAlignment="1">
      <alignment horizontal="left" vertical="center"/>
    </xf>
    <xf numFmtId="186" fontId="194" fillId="0" borderId="0" xfId="452" applyNumberFormat="1" applyFont="1" applyBorder="1" applyAlignment="1">
      <alignment horizontal="left" vertical="center"/>
    </xf>
    <xf numFmtId="3" fontId="194" fillId="0" borderId="0" xfId="452" applyNumberFormat="1" applyFont="1" applyBorder="1" applyAlignment="1">
      <alignment horizontal="right" vertical="center"/>
    </xf>
    <xf numFmtId="180" fontId="194" fillId="0" borderId="0" xfId="452" applyNumberFormat="1" applyFont="1" applyBorder="1" applyAlignment="1">
      <alignment vertical="center"/>
    </xf>
    <xf numFmtId="0" fontId="0" fillId="0" borderId="8" xfId="0" applyBorder="1">
      <alignment vertical="center"/>
    </xf>
    <xf numFmtId="0" fontId="0" fillId="0" borderId="0" xfId="0" applyBorder="1">
      <alignment vertical="center"/>
    </xf>
    <xf numFmtId="0" fontId="193" fillId="0" borderId="24" xfId="452" applyFont="1" applyBorder="1" applyAlignment="1">
      <alignment horizontal="left" vertical="center"/>
    </xf>
    <xf numFmtId="0" fontId="0" fillId="0" borderId="10" xfId="0" applyBorder="1">
      <alignment vertical="center"/>
    </xf>
    <xf numFmtId="0" fontId="191" fillId="0" borderId="0" xfId="452" applyFont="1" applyBorder="1" applyAlignment="1">
      <alignment vertical="center"/>
    </xf>
    <xf numFmtId="0" fontId="125" fillId="0" borderId="0" xfId="0" applyFont="1" applyAlignment="1">
      <alignment horizontal="right" vertical="center"/>
    </xf>
    <xf numFmtId="0" fontId="5" fillId="0" borderId="0" xfId="0" applyFont="1" applyFill="1" applyBorder="1">
      <alignment vertical="center"/>
    </xf>
    <xf numFmtId="0" fontId="0" fillId="0" borderId="0" xfId="0" applyBorder="1" applyAlignment="1">
      <alignment horizontal="center" vertical="center"/>
    </xf>
    <xf numFmtId="180" fontId="161" fillId="0" borderId="168" xfId="0" applyNumberFormat="1" applyFont="1" applyFill="1" applyBorder="1" applyAlignment="1">
      <alignment horizontal="center" vertical="center"/>
    </xf>
    <xf numFmtId="180" fontId="158" fillId="0" borderId="168" xfId="0" applyNumberFormat="1" applyFont="1" applyFill="1" applyBorder="1" applyAlignment="1">
      <alignment horizontal="center" vertical="center"/>
    </xf>
    <xf numFmtId="180" fontId="158" fillId="0" borderId="65" xfId="0" applyNumberFormat="1" applyFont="1" applyFill="1" applyBorder="1" applyAlignment="1">
      <alignment horizontal="center" vertical="center"/>
    </xf>
    <xf numFmtId="180" fontId="161" fillId="0" borderId="147" xfId="0" applyNumberFormat="1" applyFont="1" applyFill="1" applyBorder="1" applyAlignment="1">
      <alignment horizontal="center" vertical="center"/>
    </xf>
    <xf numFmtId="180" fontId="158" fillId="0" borderId="147" xfId="0" applyNumberFormat="1" applyFont="1" applyFill="1" applyBorder="1" applyAlignment="1">
      <alignment horizontal="center" vertical="center"/>
    </xf>
    <xf numFmtId="180" fontId="158" fillId="0" borderId="72" xfId="0" applyNumberFormat="1" applyFont="1" applyFill="1" applyBorder="1" applyAlignment="1">
      <alignment horizontal="center" vertical="center"/>
    </xf>
    <xf numFmtId="180" fontId="158" fillId="0" borderId="116" xfId="0" applyNumberFormat="1" applyFont="1" applyFill="1" applyBorder="1" applyAlignment="1">
      <alignment horizontal="center" vertical="center"/>
    </xf>
    <xf numFmtId="180" fontId="158" fillId="0" borderId="169" xfId="0" applyNumberFormat="1" applyFont="1" applyFill="1" applyBorder="1" applyAlignment="1">
      <alignment horizontal="center" vertical="center"/>
    </xf>
    <xf numFmtId="180" fontId="161" fillId="0" borderId="170" xfId="0" applyNumberFormat="1" applyFont="1" applyFill="1" applyBorder="1" applyAlignment="1">
      <alignment horizontal="center" vertical="center"/>
    </xf>
    <xf numFmtId="180" fontId="158" fillId="0" borderId="170" xfId="0" applyNumberFormat="1" applyFont="1" applyFill="1" applyBorder="1" applyAlignment="1">
      <alignment horizontal="center" vertical="center"/>
    </xf>
    <xf numFmtId="180" fontId="158" fillId="0" borderId="171" xfId="0" applyNumberFormat="1" applyFont="1" applyFill="1" applyBorder="1" applyAlignment="1">
      <alignment horizontal="center" vertical="center"/>
    </xf>
    <xf numFmtId="0" fontId="5" fillId="0" borderId="10" xfId="0" applyFont="1" applyFill="1" applyBorder="1">
      <alignment vertical="center"/>
    </xf>
    <xf numFmtId="238" fontId="194" fillId="0" borderId="0" xfId="452" applyNumberFormat="1" applyFont="1" applyBorder="1" applyAlignment="1">
      <alignment horizontal="left" vertical="center"/>
    </xf>
    <xf numFmtId="176" fontId="236" fillId="0" borderId="0" xfId="0" applyNumberFormat="1" applyFont="1">
      <alignment vertical="center"/>
    </xf>
    <xf numFmtId="176" fontId="14" fillId="0" borderId="0" xfId="463" applyNumberFormat="1" applyFont="1" applyAlignment="1">
      <alignment horizontal="center" vertical="center"/>
    </xf>
    <xf numFmtId="176" fontId="247" fillId="0" borderId="0" xfId="0" applyNumberFormat="1" applyFont="1">
      <alignment vertical="center"/>
    </xf>
    <xf numFmtId="176" fontId="14" fillId="0" borderId="0" xfId="463" applyNumberFormat="1" applyFont="1" applyAlignment="1">
      <alignment horizontal="left"/>
    </xf>
    <xf numFmtId="176" fontId="14" fillId="0" borderId="0" xfId="463" applyNumberFormat="1" applyFont="1" applyAlignment="1"/>
    <xf numFmtId="176" fontId="247" fillId="0" borderId="0" xfId="0" applyNumberFormat="1" applyFont="1" applyAlignment="1">
      <alignment horizontal="center" vertical="center"/>
    </xf>
    <xf numFmtId="0" fontId="6" fillId="0" borderId="53" xfId="0" applyFont="1" applyFill="1" applyBorder="1" applyAlignment="1">
      <alignment vertical="center"/>
    </xf>
    <xf numFmtId="0" fontId="5" fillId="0" borderId="96" xfId="0" applyFont="1" applyFill="1" applyBorder="1">
      <alignment vertical="center"/>
    </xf>
    <xf numFmtId="176" fontId="12" fillId="0" borderId="10" xfId="463" applyNumberFormat="1" applyFont="1" applyBorder="1" applyAlignment="1">
      <alignment vertical="center"/>
    </xf>
    <xf numFmtId="176" fontId="12" fillId="0" borderId="10" xfId="463" applyNumberFormat="1" applyFont="1" applyBorder="1" applyAlignment="1">
      <alignment horizontal="left" vertical="center"/>
    </xf>
    <xf numFmtId="176" fontId="12" fillId="0" borderId="91" xfId="463" applyNumberFormat="1" applyFont="1" applyBorder="1" applyAlignment="1">
      <alignment horizontal="left" vertical="center"/>
    </xf>
    <xf numFmtId="176" fontId="12" fillId="0" borderId="35" xfId="463" applyNumberFormat="1" applyFont="1" applyBorder="1" applyAlignment="1">
      <alignment horizontal="center" vertical="center"/>
    </xf>
    <xf numFmtId="176" fontId="176" fillId="0" borderId="36" xfId="463" applyNumberFormat="1" applyFont="1" applyBorder="1" applyAlignment="1">
      <alignment vertical="center"/>
    </xf>
    <xf numFmtId="176" fontId="18" fillId="0" borderId="12" xfId="463" applyNumberFormat="1" applyFont="1" applyBorder="1" applyAlignment="1">
      <alignment vertical="center"/>
    </xf>
    <xf numFmtId="176" fontId="18" fillId="0" borderId="14" xfId="463" applyNumberFormat="1" applyFont="1" applyBorder="1" applyAlignment="1">
      <alignment vertical="center"/>
    </xf>
    <xf numFmtId="176" fontId="12" fillId="0" borderId="43" xfId="463" applyNumberFormat="1" applyFont="1" applyBorder="1" applyAlignment="1">
      <alignment horizontal="center" vertical="center"/>
    </xf>
    <xf numFmtId="176" fontId="18" fillId="0" borderId="12" xfId="463" applyNumberFormat="1" applyFont="1" applyBorder="1" applyAlignment="1">
      <alignment horizontal="left" vertical="center"/>
    </xf>
    <xf numFmtId="176" fontId="18" fillId="0" borderId="13" xfId="463" applyNumberFormat="1" applyFont="1" applyBorder="1" applyAlignment="1">
      <alignment horizontal="left" vertical="center"/>
    </xf>
    <xf numFmtId="176" fontId="18" fillId="0" borderId="18" xfId="463" applyNumberFormat="1" applyFont="1" applyBorder="1" applyAlignment="1">
      <alignment horizontal="left" vertical="center"/>
    </xf>
    <xf numFmtId="176" fontId="12" fillId="0" borderId="9" xfId="463" applyNumberFormat="1" applyFont="1" applyFill="1" applyBorder="1" applyAlignment="1">
      <alignment horizontal="center" vertical="center"/>
    </xf>
    <xf numFmtId="176" fontId="12" fillId="0" borderId="69" xfId="463" applyNumberFormat="1" applyFont="1" applyFill="1" applyBorder="1" applyAlignment="1">
      <alignment horizontal="center" vertical="center"/>
    </xf>
    <xf numFmtId="176" fontId="12" fillId="0" borderId="164" xfId="463" applyNumberFormat="1" applyFont="1" applyBorder="1" applyAlignment="1">
      <alignment horizontal="center" vertical="center"/>
    </xf>
    <xf numFmtId="58" fontId="196" fillId="0" borderId="0" xfId="0" applyNumberFormat="1" applyFont="1" applyFill="1" applyBorder="1" applyAlignment="1">
      <alignment vertical="center"/>
    </xf>
    <xf numFmtId="58" fontId="196" fillId="0" borderId="0" xfId="0" applyNumberFormat="1" applyFont="1" applyFill="1" applyAlignment="1">
      <alignment horizontal="center" vertical="center"/>
    </xf>
    <xf numFmtId="176" fontId="0" fillId="61" borderId="0" xfId="0" applyNumberFormat="1" applyFill="1">
      <alignment vertical="center"/>
    </xf>
    <xf numFmtId="176" fontId="247" fillId="61" borderId="0" xfId="0" applyNumberFormat="1" applyFont="1" applyFill="1">
      <alignment vertical="center"/>
    </xf>
    <xf numFmtId="176" fontId="247" fillId="61" borderId="0" xfId="0" applyNumberFormat="1" applyFont="1" applyFill="1" applyAlignment="1">
      <alignment horizontal="center" vertical="center"/>
    </xf>
    <xf numFmtId="176" fontId="247" fillId="61" borderId="0" xfId="0" applyNumberFormat="1" applyFont="1" applyFill="1" applyAlignment="1">
      <alignment horizontal="left" vertical="center"/>
    </xf>
    <xf numFmtId="176" fontId="248" fillId="0" borderId="0" xfId="463" applyNumberFormat="1" applyFont="1" applyAlignment="1">
      <alignment horizontal="left"/>
    </xf>
    <xf numFmtId="176" fontId="199" fillId="0" borderId="12" xfId="463" applyNumberFormat="1" applyFont="1" applyBorder="1" applyAlignment="1">
      <alignment vertical="center"/>
    </xf>
    <xf numFmtId="176" fontId="18" fillId="0" borderId="13" xfId="463" applyNumberFormat="1" applyFont="1" applyBorder="1" applyAlignment="1">
      <alignment horizontal="center" vertical="center"/>
    </xf>
    <xf numFmtId="176" fontId="199" fillId="0" borderId="14" xfId="463" applyNumberFormat="1" applyFont="1" applyBorder="1" applyAlignment="1">
      <alignment vertical="center"/>
    </xf>
    <xf numFmtId="176" fontId="18" fillId="0" borderId="0" xfId="463" applyNumberFormat="1" applyFont="1" applyBorder="1" applyAlignment="1">
      <alignment vertical="center"/>
    </xf>
    <xf numFmtId="176" fontId="18" fillId="0" borderId="0" xfId="463" applyNumberFormat="1" applyFont="1" applyBorder="1" applyAlignment="1">
      <alignment horizontal="center" vertical="center"/>
    </xf>
    <xf numFmtId="176" fontId="18" fillId="0" borderId="0" xfId="0" applyNumberFormat="1" applyFont="1">
      <alignment vertical="center"/>
    </xf>
    <xf numFmtId="176" fontId="18" fillId="0" borderId="0" xfId="456" applyNumberFormat="1" applyFont="1" applyBorder="1" applyAlignment="1">
      <alignment horizontal="right" vertical="center"/>
    </xf>
    <xf numFmtId="38" fontId="18" fillId="0" borderId="0" xfId="442" applyFont="1" applyBorder="1" applyAlignment="1">
      <alignment vertical="center"/>
    </xf>
    <xf numFmtId="176" fontId="18" fillId="0" borderId="0" xfId="456" applyNumberFormat="1" applyFont="1" applyBorder="1" applyAlignment="1">
      <alignment vertical="center"/>
    </xf>
    <xf numFmtId="183" fontId="18" fillId="0" borderId="0" xfId="442" applyNumberFormat="1" applyFont="1" applyBorder="1" applyAlignment="1">
      <alignment horizontal="left" vertical="center"/>
    </xf>
    <xf numFmtId="176" fontId="18" fillId="0" borderId="22" xfId="456" applyNumberFormat="1" applyFont="1" applyBorder="1" applyAlignment="1">
      <alignment vertical="center"/>
    </xf>
    <xf numFmtId="176" fontId="18" fillId="0" borderId="0" xfId="456" applyNumberFormat="1" applyFont="1" applyAlignment="1">
      <alignment vertical="center"/>
    </xf>
    <xf numFmtId="183" fontId="18" fillId="0" borderId="0" xfId="442" applyNumberFormat="1" applyFont="1" applyBorder="1" applyAlignment="1">
      <alignment vertical="center"/>
    </xf>
    <xf numFmtId="176" fontId="18" fillId="0" borderId="14" xfId="463" applyNumberFormat="1" applyFont="1" applyBorder="1" applyAlignment="1">
      <alignment horizontal="left" vertical="center"/>
    </xf>
    <xf numFmtId="176" fontId="18" fillId="0" borderId="0" xfId="463" applyNumberFormat="1" applyFont="1" applyBorder="1" applyAlignment="1">
      <alignment horizontal="left" vertical="center"/>
    </xf>
    <xf numFmtId="176" fontId="18" fillId="0" borderId="0" xfId="463" applyNumberFormat="1" applyFont="1" applyBorder="1" applyAlignment="1">
      <alignment horizontal="right" vertical="center"/>
    </xf>
    <xf numFmtId="182" fontId="18" fillId="0" borderId="22" xfId="442" applyNumberFormat="1" applyFont="1" applyBorder="1" applyAlignment="1">
      <alignment horizontal="left" vertical="center"/>
    </xf>
    <xf numFmtId="176" fontId="18" fillId="0" borderId="22" xfId="463" applyNumberFormat="1" applyFont="1" applyBorder="1" applyAlignment="1">
      <alignment horizontal="right" vertical="center"/>
    </xf>
    <xf numFmtId="176" fontId="12" fillId="0" borderId="0" xfId="463" applyNumberFormat="1" applyFont="1" applyBorder="1" applyAlignment="1">
      <alignment horizontal="center" vertical="center"/>
    </xf>
    <xf numFmtId="176" fontId="201" fillId="0" borderId="0" xfId="463" applyNumberFormat="1" applyFont="1" applyBorder="1" applyAlignment="1">
      <alignment horizontal="left" vertical="center" shrinkToFit="1"/>
    </xf>
    <xf numFmtId="176" fontId="18" fillId="0" borderId="0" xfId="463" applyNumberFormat="1" applyFont="1" applyBorder="1" applyAlignment="1">
      <alignment horizontal="left" vertical="center" shrinkToFit="1"/>
    </xf>
    <xf numFmtId="176" fontId="12" fillId="0" borderId="0" xfId="463" applyNumberFormat="1" applyFont="1" applyBorder="1"/>
    <xf numFmtId="176" fontId="0" fillId="0" borderId="0" xfId="0" applyNumberFormat="1" applyBorder="1">
      <alignment vertical="center"/>
    </xf>
    <xf numFmtId="176" fontId="248" fillId="0" borderId="0" xfId="463" applyNumberFormat="1" applyFont="1" applyAlignment="1">
      <alignment horizontal="left" vertical="center"/>
    </xf>
    <xf numFmtId="176" fontId="12" fillId="0" borderId="0" xfId="463" applyNumberFormat="1" applyFont="1" applyAlignment="1">
      <alignment vertical="center"/>
    </xf>
    <xf numFmtId="176" fontId="248" fillId="0" borderId="0" xfId="463" applyNumberFormat="1" applyFont="1" applyBorder="1" applyAlignment="1">
      <alignment horizontal="left" vertical="center"/>
    </xf>
    <xf numFmtId="176" fontId="0" fillId="0" borderId="0" xfId="0" applyNumberFormat="1" applyAlignment="1">
      <alignment vertical="center"/>
    </xf>
    <xf numFmtId="176" fontId="245" fillId="0" borderId="0" xfId="463" applyNumberFormat="1" applyFont="1" applyAlignment="1">
      <alignment horizontal="left" vertical="center"/>
    </xf>
    <xf numFmtId="186" fontId="148" fillId="0" borderId="172" xfId="0" applyNumberFormat="1" applyFont="1" applyBorder="1" applyAlignment="1">
      <alignment vertical="center"/>
    </xf>
    <xf numFmtId="186" fontId="148" fillId="0" borderId="173" xfId="0" applyNumberFormat="1" applyFont="1" applyBorder="1" applyAlignment="1">
      <alignment vertical="center"/>
    </xf>
    <xf numFmtId="49" fontId="148" fillId="61" borderId="37" xfId="0" applyNumberFormat="1" applyFont="1" applyFill="1" applyBorder="1" applyAlignment="1">
      <alignment horizontal="center" vertical="center"/>
    </xf>
    <xf numFmtId="0" fontId="233" fillId="61" borderId="38" xfId="0" applyFont="1" applyFill="1" applyBorder="1" applyAlignment="1">
      <alignment horizontal="left" vertical="center"/>
    </xf>
    <xf numFmtId="186" fontId="148" fillId="61" borderId="174" xfId="0" applyNumberFormat="1" applyFont="1" applyFill="1" applyBorder="1" applyAlignment="1">
      <alignment horizontal="right" vertical="center"/>
    </xf>
    <xf numFmtId="0" fontId="233" fillId="61" borderId="106" xfId="0" applyFont="1" applyFill="1" applyBorder="1" applyAlignment="1">
      <alignment horizontal="left" vertical="center"/>
    </xf>
    <xf numFmtId="0" fontId="234" fillId="65" borderId="31" xfId="0" applyFont="1" applyFill="1" applyBorder="1" applyAlignment="1">
      <alignment horizontal="left" vertical="center"/>
    </xf>
    <xf numFmtId="186" fontId="148" fillId="65" borderId="83" xfId="0" applyNumberFormat="1" applyFont="1" applyFill="1" applyBorder="1" applyAlignment="1">
      <alignment vertical="center"/>
    </xf>
    <xf numFmtId="0" fontId="234" fillId="65" borderId="106" xfId="0" applyFont="1" applyFill="1" applyBorder="1" applyAlignment="1">
      <alignment horizontal="left" vertical="center"/>
    </xf>
    <xf numFmtId="186" fontId="148" fillId="65" borderId="85" xfId="0" applyNumberFormat="1" applyFont="1" applyFill="1" applyBorder="1" applyAlignment="1">
      <alignment vertical="center"/>
    </xf>
    <xf numFmtId="0" fontId="148" fillId="61" borderId="39" xfId="0" applyFont="1" applyFill="1" applyBorder="1" applyAlignment="1">
      <alignment horizontal="center" vertical="center"/>
    </xf>
    <xf numFmtId="49" fontId="148" fillId="0" borderId="39" xfId="0" applyNumberFormat="1" applyFont="1" applyFill="1" applyBorder="1" applyAlignment="1">
      <alignment horizontal="center" vertical="center"/>
    </xf>
    <xf numFmtId="186" fontId="148" fillId="0" borderId="85" xfId="0" applyNumberFormat="1" applyFont="1" applyFill="1" applyBorder="1" applyAlignment="1">
      <alignment vertical="center"/>
    </xf>
    <xf numFmtId="0" fontId="148" fillId="61" borderId="106" xfId="0" applyFont="1" applyFill="1" applyBorder="1" applyAlignment="1">
      <alignment horizontal="left" vertical="center"/>
    </xf>
    <xf numFmtId="0" fontId="129" fillId="43" borderId="8" xfId="454" applyFont="1" applyFill="1" applyBorder="1" applyAlignment="1">
      <alignment vertical="center"/>
    </xf>
    <xf numFmtId="0" fontId="28" fillId="0" borderId="40" xfId="454" applyFont="1" applyBorder="1" applyAlignment="1">
      <alignment vertical="center"/>
    </xf>
    <xf numFmtId="0" fontId="28" fillId="0" borderId="41" xfId="454" applyFont="1" applyBorder="1" applyAlignment="1">
      <alignment vertical="center"/>
    </xf>
    <xf numFmtId="0" fontId="28" fillId="0" borderId="30" xfId="454" applyFont="1" applyBorder="1" applyAlignment="1">
      <alignment vertical="center"/>
    </xf>
    <xf numFmtId="0" fontId="130" fillId="61" borderId="0" xfId="454" applyFont="1" applyFill="1" applyBorder="1" applyAlignment="1">
      <alignment horizontal="left" vertical="center"/>
    </xf>
    <xf numFmtId="0" fontId="107" fillId="61" borderId="0" xfId="454" applyFont="1" applyFill="1" applyBorder="1" applyAlignment="1">
      <alignment vertical="center"/>
    </xf>
    <xf numFmtId="0" fontId="28" fillId="61" borderId="0" xfId="454" applyFont="1" applyFill="1" applyBorder="1" applyAlignment="1">
      <alignment vertical="center"/>
    </xf>
    <xf numFmtId="188" fontId="28" fillId="61" borderId="0" xfId="454" applyNumberFormat="1" applyFont="1" applyFill="1" applyBorder="1" applyAlignment="1">
      <alignment vertical="center"/>
    </xf>
    <xf numFmtId="0" fontId="28" fillId="61" borderId="0" xfId="454" applyFont="1" applyFill="1" applyBorder="1" applyAlignment="1">
      <alignment horizontal="distributed" vertical="center"/>
    </xf>
    <xf numFmtId="0" fontId="23" fillId="61" borderId="0" xfId="454" applyFont="1" applyFill="1" applyBorder="1">
      <alignment vertical="center"/>
    </xf>
    <xf numFmtId="0" fontId="107" fillId="61" borderId="0" xfId="454" applyFont="1" applyFill="1" applyBorder="1" applyAlignment="1">
      <alignment horizontal="left" vertical="center"/>
    </xf>
    <xf numFmtId="0" fontId="130" fillId="43" borderId="70" xfId="454" applyFont="1" applyFill="1" applyBorder="1" applyAlignment="1">
      <alignment horizontal="center" vertical="center"/>
    </xf>
    <xf numFmtId="188" fontId="28" fillId="0" borderId="26" xfId="454" applyNumberFormat="1" applyFont="1" applyFill="1" applyBorder="1" applyAlignment="1">
      <alignment horizontal="center" vertical="center"/>
    </xf>
    <xf numFmtId="0" fontId="23" fillId="0" borderId="26" xfId="454" applyFont="1" applyBorder="1" applyAlignment="1">
      <alignment horizontal="center" vertical="center"/>
    </xf>
    <xf numFmtId="0" fontId="23" fillId="0" borderId="28" xfId="454" applyFont="1" applyBorder="1" applyAlignment="1">
      <alignment horizontal="center" vertical="center"/>
    </xf>
    <xf numFmtId="0" fontId="107" fillId="0" borderId="28" xfId="454" applyFont="1" applyFill="1" applyBorder="1" applyAlignment="1">
      <alignment horizontal="center" vertical="center"/>
    </xf>
    <xf numFmtId="0" fontId="107" fillId="0" borderId="30" xfId="454" applyFont="1" applyFill="1" applyBorder="1" applyAlignment="1">
      <alignment horizontal="center" vertical="center"/>
    </xf>
    <xf numFmtId="187" fontId="28" fillId="0" borderId="67" xfId="454" applyNumberFormat="1" applyFont="1" applyFill="1" applyBorder="1" applyAlignment="1">
      <alignment horizontal="center" vertical="center"/>
    </xf>
    <xf numFmtId="2" fontId="9" fillId="0" borderId="0" xfId="460" applyNumberFormat="1" applyFont="1" applyBorder="1" applyAlignment="1">
      <alignment vertical="center"/>
    </xf>
    <xf numFmtId="2" fontId="9" fillId="0" borderId="0" xfId="460" applyNumberFormat="1" applyFont="1" applyFill="1" applyBorder="1" applyAlignment="1">
      <alignment vertical="center"/>
    </xf>
    <xf numFmtId="2" fontId="9" fillId="0" borderId="10" xfId="460" applyNumberFormat="1" applyFont="1" applyFill="1" applyBorder="1" applyAlignment="1">
      <alignment horizontal="right" vertical="center"/>
    </xf>
    <xf numFmtId="38" fontId="23" fillId="0" borderId="71" xfId="442" applyFont="1" applyFill="1" applyBorder="1">
      <alignment vertical="center"/>
    </xf>
    <xf numFmtId="0" fontId="28" fillId="0" borderId="96" xfId="454" applyFont="1" applyFill="1" applyBorder="1" applyAlignment="1">
      <alignment horizontal="center" vertical="center"/>
    </xf>
    <xf numFmtId="0" fontId="28" fillId="0" borderId="96" xfId="454" applyFont="1" applyFill="1" applyBorder="1" applyAlignment="1">
      <alignment vertical="center"/>
    </xf>
    <xf numFmtId="0" fontId="28" fillId="0" borderId="169" xfId="454" applyFont="1" applyBorder="1">
      <alignment vertical="center"/>
    </xf>
    <xf numFmtId="38" fontId="23" fillId="0" borderId="121" xfId="442" applyFont="1" applyFill="1" applyBorder="1">
      <alignment vertical="center"/>
    </xf>
    <xf numFmtId="0" fontId="28" fillId="0" borderId="108" xfId="454" applyFont="1" applyFill="1" applyBorder="1" applyAlignment="1">
      <alignment vertical="center"/>
    </xf>
    <xf numFmtId="3" fontId="28" fillId="0" borderId="33" xfId="454" applyNumberFormat="1" applyFont="1" applyBorder="1">
      <alignment vertical="center"/>
    </xf>
    <xf numFmtId="38" fontId="23" fillId="0" borderId="8" xfId="442" applyFont="1" applyBorder="1">
      <alignment vertical="center"/>
    </xf>
    <xf numFmtId="38" fontId="23" fillId="0" borderId="47" xfId="442" applyFont="1" applyFill="1" applyBorder="1" applyAlignment="1">
      <alignment vertical="center"/>
    </xf>
    <xf numFmtId="38" fontId="23" fillId="0" borderId="44" xfId="442" applyFont="1" applyFill="1" applyBorder="1" applyAlignment="1">
      <alignment vertical="center"/>
    </xf>
    <xf numFmtId="38" fontId="23" fillId="0" borderId="49" xfId="442" applyFont="1" applyFill="1" applyBorder="1" applyAlignment="1">
      <alignment vertical="center"/>
    </xf>
    <xf numFmtId="38" fontId="23" fillId="43" borderId="43" xfId="442" applyFont="1" applyFill="1" applyBorder="1" applyAlignment="1">
      <alignment vertical="center"/>
    </xf>
    <xf numFmtId="38" fontId="23" fillId="43" borderId="9" xfId="442" applyFont="1" applyFill="1" applyBorder="1" applyAlignment="1">
      <alignment vertical="center"/>
    </xf>
    <xf numFmtId="0" fontId="7" fillId="0" borderId="0" xfId="454" applyFont="1">
      <alignment vertical="center"/>
    </xf>
    <xf numFmtId="223" fontId="23" fillId="0" borderId="47" xfId="454" applyNumberFormat="1" applyFont="1" applyFill="1" applyBorder="1">
      <alignment vertical="center"/>
    </xf>
    <xf numFmtId="223" fontId="23" fillId="0" borderId="44" xfId="454" applyNumberFormat="1" applyFont="1" applyFill="1" applyBorder="1">
      <alignment vertical="center"/>
    </xf>
    <xf numFmtId="223" fontId="129" fillId="43" borderId="9" xfId="442" applyNumberFormat="1" applyFont="1" applyFill="1" applyBorder="1">
      <alignment vertical="center"/>
    </xf>
    <xf numFmtId="38" fontId="23" fillId="0" borderId="50" xfId="442" applyFont="1" applyFill="1" applyBorder="1" applyAlignment="1">
      <alignment vertical="center"/>
    </xf>
    <xf numFmtId="0" fontId="23" fillId="0" borderId="8" xfId="454" applyFont="1" applyBorder="1">
      <alignment vertical="center"/>
    </xf>
    <xf numFmtId="0" fontId="154" fillId="0" borderId="0" xfId="0" applyFont="1" applyFill="1" applyAlignment="1">
      <alignment vertical="center"/>
    </xf>
    <xf numFmtId="0" fontId="148" fillId="64" borderId="0" xfId="0" applyFont="1" applyFill="1" applyAlignment="1">
      <alignment vertical="center"/>
    </xf>
    <xf numFmtId="0" fontId="154" fillId="73" borderId="0" xfId="0" applyFont="1" applyFill="1" applyAlignment="1">
      <alignment vertical="center"/>
    </xf>
    <xf numFmtId="0" fontId="0" fillId="61" borderId="0" xfId="0" applyFill="1">
      <alignment vertical="center"/>
    </xf>
    <xf numFmtId="0" fontId="0" fillId="61" borderId="9" xfId="0" applyFill="1" applyBorder="1">
      <alignment vertical="center"/>
    </xf>
    <xf numFmtId="186" fontId="5" fillId="61" borderId="43" xfId="0" applyNumberFormat="1" applyFont="1" applyFill="1" applyBorder="1" applyAlignment="1">
      <alignment horizontal="left" vertical="center"/>
    </xf>
    <xf numFmtId="0" fontId="0" fillId="61" borderId="0" xfId="0" applyFill="1" applyBorder="1">
      <alignment vertical="center"/>
    </xf>
    <xf numFmtId="0" fontId="249" fillId="61" borderId="0" xfId="0" applyFont="1" applyFill="1" applyAlignment="1">
      <alignment wrapText="1"/>
    </xf>
    <xf numFmtId="176" fontId="24" fillId="61" borderId="0" xfId="463" applyNumberFormat="1" applyFont="1" applyFill="1" applyAlignment="1">
      <alignment horizontal="center" vertical="center"/>
    </xf>
    <xf numFmtId="176" fontId="250" fillId="0" borderId="0" xfId="463" applyNumberFormat="1" applyFont="1"/>
    <xf numFmtId="176" fontId="251" fillId="0" borderId="0" xfId="463" applyNumberFormat="1" applyFont="1"/>
    <xf numFmtId="0" fontId="0" fillId="73" borderId="0" xfId="0" applyFill="1">
      <alignment vertical="center"/>
    </xf>
    <xf numFmtId="0" fontId="0" fillId="0" borderId="14" xfId="0" applyBorder="1">
      <alignment vertical="center"/>
    </xf>
    <xf numFmtId="176" fontId="251" fillId="0" borderId="0" xfId="463" applyNumberFormat="1" applyFont="1" applyAlignment="1">
      <alignment vertical="center"/>
    </xf>
    <xf numFmtId="176" fontId="250" fillId="0" borderId="0" xfId="463" applyNumberFormat="1" applyFont="1" applyAlignment="1">
      <alignment vertical="top"/>
    </xf>
    <xf numFmtId="176" fontId="252" fillId="0" borderId="0" xfId="463" applyNumberFormat="1" applyFont="1" applyAlignment="1">
      <alignment horizontal="left" vertical="center"/>
    </xf>
    <xf numFmtId="0" fontId="35" fillId="0" borderId="0" xfId="452" applyFont="1" applyAlignment="1">
      <alignment vertical="center"/>
    </xf>
    <xf numFmtId="0" fontId="58" fillId="0" borderId="0" xfId="452" applyFont="1" applyAlignment="1">
      <alignment vertical="center"/>
    </xf>
    <xf numFmtId="0" fontId="58" fillId="0" borderId="0" xfId="452" applyFont="1"/>
    <xf numFmtId="0" fontId="7" fillId="0" borderId="0" xfId="452"/>
    <xf numFmtId="0" fontId="207" fillId="0" borderId="0" xfId="452" applyFont="1" applyAlignment="1">
      <alignment horizontal="right" vertical="center"/>
    </xf>
    <xf numFmtId="0" fontId="207" fillId="0" borderId="0" xfId="452" applyFont="1" applyAlignment="1">
      <alignment vertical="center"/>
    </xf>
    <xf numFmtId="0" fontId="208" fillId="0" borderId="0" xfId="452" applyFont="1"/>
    <xf numFmtId="0" fontId="209" fillId="0" borderId="0" xfId="452" applyFont="1" applyAlignment="1">
      <alignment horizontal="center" vertical="center"/>
    </xf>
    <xf numFmtId="0" fontId="210" fillId="0" borderId="0" xfId="452" applyFont="1" applyAlignment="1">
      <alignment horizontal="center" vertical="center"/>
    </xf>
    <xf numFmtId="0" fontId="211" fillId="0" borderId="0" xfId="452" applyFont="1" applyAlignment="1">
      <alignment horizontal="center" vertical="center"/>
    </xf>
    <xf numFmtId="10" fontId="212" fillId="0" borderId="0" xfId="452" applyNumberFormat="1" applyFont="1"/>
    <xf numFmtId="0" fontId="213" fillId="0" borderId="0" xfId="452" applyNumberFormat="1" applyFont="1" applyAlignment="1">
      <alignment vertical="center"/>
    </xf>
    <xf numFmtId="0" fontId="108" fillId="0" borderId="0" xfId="452" applyNumberFormat="1" applyFont="1" applyAlignment="1">
      <alignment vertical="center"/>
    </xf>
    <xf numFmtId="0" fontId="108" fillId="0" borderId="0" xfId="452" applyNumberFormat="1" applyFont="1"/>
    <xf numFmtId="0" fontId="213" fillId="0" borderId="0" xfId="452" applyNumberFormat="1" applyFont="1" applyAlignment="1">
      <alignment horizontal="right" vertical="center"/>
    </xf>
    <xf numFmtId="0" fontId="214" fillId="0" borderId="0" xfId="452" applyNumberFormat="1" applyFont="1" applyAlignment="1">
      <alignment horizontal="center" vertical="center"/>
    </xf>
    <xf numFmtId="0" fontId="214" fillId="0" borderId="0" xfId="452" applyNumberFormat="1" applyFont="1" applyFill="1" applyAlignment="1">
      <alignment horizontal="center" vertical="center"/>
    </xf>
    <xf numFmtId="0" fontId="203" fillId="0" borderId="24" xfId="452" applyFont="1" applyBorder="1" applyAlignment="1">
      <alignment vertical="center"/>
    </xf>
    <xf numFmtId="0" fontId="203" fillId="0" borderId="8" xfId="452" applyFont="1" applyBorder="1" applyAlignment="1">
      <alignment vertical="center"/>
    </xf>
    <xf numFmtId="0" fontId="203" fillId="0" borderId="177" xfId="452" applyFont="1" applyBorder="1" applyAlignment="1">
      <alignment vertical="center"/>
    </xf>
    <xf numFmtId="0" fontId="203" fillId="0" borderId="178" xfId="452" applyFont="1" applyBorder="1" applyAlignment="1">
      <alignment horizontal="center" vertical="center"/>
    </xf>
    <xf numFmtId="244" fontId="203" fillId="0" borderId="179" xfId="452" applyNumberFormat="1" applyFont="1" applyBorder="1" applyAlignment="1">
      <alignment horizontal="center" vertical="center"/>
    </xf>
    <xf numFmtId="244" fontId="203" fillId="0" borderId="73" xfId="452" applyNumberFormat="1" applyFont="1" applyBorder="1" applyAlignment="1">
      <alignment horizontal="center" vertical="center"/>
    </xf>
    <xf numFmtId="0" fontId="216" fillId="0" borderId="0" xfId="452" applyFont="1"/>
    <xf numFmtId="0" fontId="217" fillId="0" borderId="110" xfId="452" applyFont="1" applyBorder="1" applyAlignment="1">
      <alignment horizontal="right" vertical="center"/>
    </xf>
    <xf numFmtId="0" fontId="203" fillId="0" borderId="168" xfId="452" applyFont="1" applyBorder="1"/>
    <xf numFmtId="0" fontId="203" fillId="0" borderId="65" xfId="452" applyFont="1" applyBorder="1" applyAlignment="1">
      <alignment horizontal="center" vertical="center"/>
    </xf>
    <xf numFmtId="192" fontId="203" fillId="0" borderId="180" xfId="452" applyNumberFormat="1" applyFont="1" applyBorder="1" applyAlignment="1">
      <alignment vertical="center"/>
    </xf>
    <xf numFmtId="192" fontId="203" fillId="0" borderId="181" xfId="452" applyNumberFormat="1" applyFont="1" applyBorder="1" applyAlignment="1">
      <alignment vertical="center"/>
    </xf>
    <xf numFmtId="192" fontId="203" fillId="0" borderId="168" xfId="452" applyNumberFormat="1" applyFont="1" applyBorder="1" applyAlignment="1">
      <alignment vertical="center"/>
    </xf>
    <xf numFmtId="192" fontId="203" fillId="0" borderId="65" xfId="452" applyNumberFormat="1" applyFont="1" applyBorder="1" applyAlignment="1">
      <alignment vertical="center"/>
    </xf>
    <xf numFmtId="192" fontId="203" fillId="0" borderId="32" xfId="452" applyNumberFormat="1" applyFont="1" applyBorder="1" applyAlignment="1">
      <alignment vertical="center"/>
    </xf>
    <xf numFmtId="192" fontId="218" fillId="0" borderId="0" xfId="452" applyNumberFormat="1" applyFont="1"/>
    <xf numFmtId="0" fontId="217" fillId="0" borderId="67" xfId="452" applyFont="1" applyBorder="1" applyAlignment="1">
      <alignment horizontal="right" vertical="center"/>
    </xf>
    <xf numFmtId="0" fontId="203" fillId="0" borderId="116" xfId="452" applyFont="1" applyBorder="1"/>
    <xf numFmtId="0" fontId="203" fillId="0" borderId="169" xfId="452" applyFont="1" applyBorder="1" applyAlignment="1">
      <alignment horizontal="center" vertical="center"/>
    </xf>
    <xf numFmtId="192" fontId="203" fillId="0" borderId="136" xfId="452" applyNumberFormat="1" applyFont="1" applyBorder="1" applyAlignment="1">
      <alignment vertical="center"/>
    </xf>
    <xf numFmtId="192" fontId="216" fillId="0" borderId="116" xfId="452" applyNumberFormat="1" applyFont="1" applyFill="1" applyBorder="1" applyAlignment="1">
      <alignment vertical="center"/>
    </xf>
    <xf numFmtId="192" fontId="203" fillId="0" borderId="110" xfId="452" applyNumberFormat="1" applyFont="1" applyBorder="1" applyAlignment="1">
      <alignment vertical="center"/>
    </xf>
    <xf numFmtId="192" fontId="203" fillId="0" borderId="33" xfId="452" applyNumberFormat="1" applyFont="1" applyBorder="1" applyAlignment="1">
      <alignment vertical="center"/>
    </xf>
    <xf numFmtId="0" fontId="203" fillId="0" borderId="67" xfId="452" applyFont="1" applyBorder="1"/>
    <xf numFmtId="0" fontId="203" fillId="0" borderId="110" xfId="452" applyFont="1" applyBorder="1"/>
    <xf numFmtId="0" fontId="203" fillId="0" borderId="67" xfId="452" applyFont="1" applyBorder="1" applyAlignment="1">
      <alignment vertical="center"/>
    </xf>
    <xf numFmtId="192" fontId="203" fillId="0" borderId="27" xfId="452" applyNumberFormat="1" applyFont="1" applyFill="1" applyBorder="1"/>
    <xf numFmtId="192" fontId="203" fillId="0" borderId="110" xfId="452" applyNumberFormat="1" applyFont="1" applyFill="1" applyBorder="1"/>
    <xf numFmtId="192" fontId="203" fillId="0" borderId="33" xfId="452" applyNumberFormat="1" applyFont="1" applyFill="1" applyBorder="1"/>
    <xf numFmtId="0" fontId="203" fillId="0" borderId="106" xfId="452" applyFont="1" applyBorder="1"/>
    <xf numFmtId="192" fontId="203" fillId="0" borderId="27" xfId="452" applyNumberFormat="1" applyFont="1" applyBorder="1" applyAlignment="1">
      <alignment vertical="center"/>
    </xf>
    <xf numFmtId="0" fontId="203" fillId="51" borderId="31" xfId="452" applyFont="1" applyFill="1" applyBorder="1" applyAlignment="1">
      <alignment vertical="center"/>
    </xf>
    <xf numFmtId="0" fontId="203" fillId="51" borderId="106" xfId="452" applyFont="1" applyFill="1" applyBorder="1" applyAlignment="1">
      <alignment vertical="center"/>
    </xf>
    <xf numFmtId="0" fontId="203" fillId="51" borderId="67" xfId="452" applyFont="1" applyFill="1" applyBorder="1" applyAlignment="1">
      <alignment horizontal="center" vertical="center"/>
    </xf>
    <xf numFmtId="192" fontId="203" fillId="51" borderId="27" xfId="452" applyNumberFormat="1" applyFont="1" applyFill="1" applyBorder="1" applyAlignment="1">
      <alignment vertical="center"/>
    </xf>
    <xf numFmtId="192" fontId="203" fillId="51" borderId="110" xfId="452" applyNumberFormat="1" applyFont="1" applyFill="1" applyBorder="1" applyAlignment="1">
      <alignment vertical="center"/>
    </xf>
    <xf numFmtId="192" fontId="203" fillId="51" borderId="33" xfId="452" applyNumberFormat="1" applyFont="1" applyFill="1" applyBorder="1" applyAlignment="1">
      <alignment vertical="center"/>
    </xf>
    <xf numFmtId="0" fontId="203" fillId="0" borderId="110" xfId="452" applyFont="1" applyFill="1" applyBorder="1"/>
    <xf numFmtId="0" fontId="203" fillId="0" borderId="67" xfId="452" applyFont="1" applyFill="1" applyBorder="1" applyAlignment="1">
      <alignment vertical="center"/>
    </xf>
    <xf numFmtId="192" fontId="203" fillId="0" borderId="27" xfId="452" applyNumberFormat="1" applyFont="1" applyFill="1" applyBorder="1" applyAlignment="1">
      <alignment vertical="center"/>
    </xf>
    <xf numFmtId="192" fontId="203" fillId="0" borderId="110" xfId="452" applyNumberFormat="1" applyFont="1" applyFill="1" applyBorder="1" applyAlignment="1">
      <alignment vertical="center"/>
    </xf>
    <xf numFmtId="192" fontId="203" fillId="0" borderId="33" xfId="452" applyNumberFormat="1" applyFont="1" applyFill="1" applyBorder="1" applyAlignment="1">
      <alignment vertical="center"/>
    </xf>
    <xf numFmtId="192" fontId="203" fillId="0" borderId="67" xfId="452" applyNumberFormat="1" applyFont="1" applyBorder="1" applyAlignment="1">
      <alignment vertical="center"/>
    </xf>
    <xf numFmtId="192" fontId="216" fillId="0" borderId="0" xfId="452" applyNumberFormat="1" applyFont="1" applyFill="1"/>
    <xf numFmtId="0" fontId="203" fillId="45" borderId="110" xfId="452" applyFont="1" applyFill="1" applyBorder="1"/>
    <xf numFmtId="0" fontId="203" fillId="45" borderId="67" xfId="452" applyFont="1" applyFill="1" applyBorder="1" applyAlignment="1">
      <alignment vertical="center"/>
    </xf>
    <xf numFmtId="192" fontId="203" fillId="45" borderId="27" xfId="452" applyNumberFormat="1" applyFont="1" applyFill="1" applyBorder="1" applyAlignment="1">
      <alignment vertical="center"/>
    </xf>
    <xf numFmtId="192" fontId="203" fillId="45" borderId="110" xfId="452" applyNumberFormat="1" applyFont="1" applyFill="1" applyBorder="1" applyAlignment="1">
      <alignment vertical="center"/>
    </xf>
    <xf numFmtId="192" fontId="203" fillId="45" borderId="67" xfId="452" applyNumberFormat="1" applyFont="1" applyFill="1" applyBorder="1" applyAlignment="1">
      <alignment vertical="center"/>
    </xf>
    <xf numFmtId="192" fontId="203" fillId="45" borderId="33" xfId="452" applyNumberFormat="1" applyFont="1" applyFill="1" applyBorder="1" applyAlignment="1">
      <alignment vertical="center"/>
    </xf>
    <xf numFmtId="0" fontId="203" fillId="40" borderId="110" xfId="452" applyFont="1" applyFill="1" applyBorder="1"/>
    <xf numFmtId="0" fontId="203" fillId="40" borderId="67" xfId="452" applyFont="1" applyFill="1" applyBorder="1" applyAlignment="1">
      <alignment vertical="center"/>
    </xf>
    <xf numFmtId="192" fontId="203" fillId="40" borderId="27" xfId="452" applyNumberFormat="1" applyFont="1" applyFill="1" applyBorder="1" applyAlignment="1">
      <alignment vertical="center"/>
    </xf>
    <xf numFmtId="192" fontId="203" fillId="40" borderId="110" xfId="452" applyNumberFormat="1" applyFont="1" applyFill="1" applyBorder="1" applyAlignment="1">
      <alignment vertical="center"/>
    </xf>
    <xf numFmtId="192" fontId="203" fillId="40" borderId="67" xfId="452" applyNumberFormat="1" applyFont="1" applyFill="1" applyBorder="1" applyAlignment="1">
      <alignment vertical="center"/>
    </xf>
    <xf numFmtId="192" fontId="203" fillId="40" borderId="33" xfId="452" applyNumberFormat="1" applyFont="1" applyFill="1" applyBorder="1" applyAlignment="1">
      <alignment vertical="center"/>
    </xf>
    <xf numFmtId="0" fontId="203" fillId="44" borderId="110" xfId="452" applyFont="1" applyFill="1" applyBorder="1"/>
    <xf numFmtId="0" fontId="203" fillId="44" borderId="67" xfId="452" applyFont="1" applyFill="1" applyBorder="1" applyAlignment="1">
      <alignment vertical="center"/>
    </xf>
    <xf numFmtId="192" fontId="203" fillId="44" borderId="27" xfId="452" applyNumberFormat="1" applyFont="1" applyFill="1" applyBorder="1" applyAlignment="1">
      <alignment vertical="center"/>
    </xf>
    <xf numFmtId="192" fontId="203" fillId="44" borderId="110" xfId="452" applyNumberFormat="1" applyFont="1" applyFill="1" applyBorder="1" applyAlignment="1">
      <alignment vertical="center"/>
    </xf>
    <xf numFmtId="192" fontId="203" fillId="44" borderId="33" xfId="452" applyNumberFormat="1" applyFont="1" applyFill="1" applyBorder="1" applyAlignment="1">
      <alignment vertical="center"/>
    </xf>
    <xf numFmtId="0" fontId="203" fillId="52" borderId="31" xfId="452" applyFont="1" applyFill="1" applyBorder="1" applyAlignment="1">
      <alignment vertical="center"/>
    </xf>
    <xf numFmtId="0" fontId="203" fillId="52" borderId="106" xfId="452" applyFont="1" applyFill="1" applyBorder="1" applyAlignment="1">
      <alignment vertical="center"/>
    </xf>
    <xf numFmtId="0" fontId="203" fillId="52" borderId="67" xfId="452" applyFont="1" applyFill="1" applyBorder="1" applyAlignment="1">
      <alignment vertical="center"/>
    </xf>
    <xf numFmtId="192" fontId="203" fillId="52" borderId="27" xfId="452" applyNumberFormat="1" applyFont="1" applyFill="1" applyBorder="1" applyAlignment="1">
      <alignment vertical="center"/>
    </xf>
    <xf numFmtId="192" fontId="203" fillId="52" borderId="110" xfId="452" applyNumberFormat="1" applyFont="1" applyFill="1" applyBorder="1" applyAlignment="1">
      <alignment vertical="center"/>
    </xf>
    <xf numFmtId="192" fontId="203" fillId="52" borderId="33" xfId="452" applyNumberFormat="1" applyFont="1" applyFill="1" applyBorder="1" applyAlignment="1">
      <alignment vertical="center"/>
    </xf>
    <xf numFmtId="0" fontId="203" fillId="53" borderId="67" xfId="452" applyFont="1" applyFill="1" applyBorder="1" applyAlignment="1">
      <alignment vertical="center"/>
    </xf>
    <xf numFmtId="0" fontId="203" fillId="53" borderId="106" xfId="452" applyFont="1" applyFill="1" applyBorder="1" applyAlignment="1">
      <alignment vertical="center"/>
    </xf>
    <xf numFmtId="192" fontId="203" fillId="53" borderId="27" xfId="452" applyNumberFormat="1" applyFont="1" applyFill="1" applyBorder="1" applyAlignment="1">
      <alignment vertical="center"/>
    </xf>
    <xf numFmtId="192" fontId="203" fillId="53" borderId="110" xfId="452" applyNumberFormat="1" applyFont="1" applyFill="1" applyBorder="1" applyAlignment="1">
      <alignment vertical="center"/>
    </xf>
    <xf numFmtId="192" fontId="203" fillId="53" borderId="33" xfId="452" applyNumberFormat="1" applyFont="1" applyFill="1" applyBorder="1" applyAlignment="1">
      <alignment vertical="center"/>
    </xf>
    <xf numFmtId="0" fontId="203" fillId="0" borderId="67" xfId="452" applyFont="1" applyFill="1" applyBorder="1" applyAlignment="1">
      <alignment horizontal="center" vertical="center"/>
    </xf>
    <xf numFmtId="192" fontId="216" fillId="0" borderId="110" xfId="452" applyNumberFormat="1" applyFont="1" applyFill="1" applyBorder="1" applyAlignment="1">
      <alignment vertical="center"/>
    </xf>
    <xf numFmtId="192" fontId="216" fillId="0" borderId="33" xfId="452" applyNumberFormat="1" applyFont="1" applyFill="1" applyBorder="1" applyAlignment="1">
      <alignment vertical="center"/>
    </xf>
    <xf numFmtId="192" fontId="218" fillId="0" borderId="0" xfId="452" applyNumberFormat="1" applyFont="1" applyFill="1"/>
    <xf numFmtId="0" fontId="216" fillId="0" borderId="0" xfId="452" applyFont="1" applyFill="1"/>
    <xf numFmtId="0" fontId="203" fillId="0" borderId="116" xfId="452" applyFont="1" applyBorder="1" applyAlignment="1">
      <alignment vertical="center" textRotation="255"/>
    </xf>
    <xf numFmtId="0" fontId="203" fillId="50" borderId="110" xfId="452" applyFont="1" applyFill="1" applyBorder="1"/>
    <xf numFmtId="245" fontId="203" fillId="46" borderId="106" xfId="452" applyNumberFormat="1" applyFont="1" applyFill="1" applyBorder="1" applyAlignment="1">
      <alignment vertical="center"/>
    </xf>
    <xf numFmtId="0" fontId="203" fillId="53" borderId="72" xfId="452" applyFont="1" applyFill="1" applyBorder="1" applyAlignment="1">
      <alignment vertical="center"/>
    </xf>
    <xf numFmtId="0" fontId="203" fillId="53" borderId="175" xfId="452" applyFont="1" applyFill="1" applyBorder="1" applyAlignment="1">
      <alignment vertical="center"/>
    </xf>
    <xf numFmtId="192" fontId="203" fillId="53" borderId="29" xfId="452" applyNumberFormat="1" applyFont="1" applyFill="1" applyBorder="1" applyAlignment="1">
      <alignment vertical="center"/>
    </xf>
    <xf numFmtId="192" fontId="203" fillId="53" borderId="147" xfId="452" applyNumberFormat="1" applyFont="1" applyFill="1" applyBorder="1" applyAlignment="1">
      <alignment vertical="center"/>
    </xf>
    <xf numFmtId="192" fontId="203" fillId="53" borderId="34" xfId="452" applyNumberFormat="1" applyFont="1" applyFill="1" applyBorder="1" applyAlignment="1">
      <alignment vertical="center"/>
    </xf>
    <xf numFmtId="192" fontId="216" fillId="24" borderId="32" xfId="452" applyNumberFormat="1" applyFont="1" applyFill="1" applyBorder="1" applyAlignment="1">
      <alignment vertical="center"/>
    </xf>
    <xf numFmtId="192" fontId="216" fillId="0" borderId="0" xfId="452" applyNumberFormat="1" applyFont="1"/>
    <xf numFmtId="0" fontId="203" fillId="0" borderId="168" xfId="452" applyFont="1" applyBorder="1" applyAlignment="1">
      <alignment vertical="center"/>
    </xf>
    <xf numFmtId="0" fontId="203" fillId="24" borderId="168" xfId="452" applyFont="1" applyFill="1" applyBorder="1" applyAlignment="1">
      <alignment vertical="center"/>
    </xf>
    <xf numFmtId="0" fontId="203" fillId="0" borderId="65" xfId="452" applyFont="1" applyBorder="1" applyAlignment="1">
      <alignment vertical="center"/>
    </xf>
    <xf numFmtId="0" fontId="203" fillId="0" borderId="32" xfId="452" applyFont="1" applyBorder="1" applyAlignment="1">
      <alignment vertical="center"/>
    </xf>
    <xf numFmtId="38" fontId="218" fillId="0" borderId="0" xfId="452" applyNumberFormat="1" applyFont="1"/>
    <xf numFmtId="192" fontId="203" fillId="24" borderId="33" xfId="452" applyNumberFormat="1" applyFont="1" applyFill="1" applyBorder="1" applyAlignment="1">
      <alignment vertical="center"/>
    </xf>
    <xf numFmtId="192" fontId="203" fillId="0" borderId="121" xfId="452" applyNumberFormat="1" applyFont="1" applyBorder="1" applyAlignment="1">
      <alignment vertical="center"/>
    </xf>
    <xf numFmtId="0" fontId="203" fillId="50" borderId="110" xfId="452" applyFont="1" applyFill="1" applyBorder="1" applyAlignment="1">
      <alignment vertical="center"/>
    </xf>
    <xf numFmtId="244" fontId="212" fillId="0" borderId="110" xfId="452" applyNumberFormat="1" applyFont="1" applyBorder="1" applyAlignment="1">
      <alignment vertical="center"/>
    </xf>
    <xf numFmtId="0" fontId="203" fillId="0" borderId="110" xfId="452" applyFont="1" applyBorder="1" applyAlignment="1">
      <alignment vertical="center"/>
    </xf>
    <xf numFmtId="244" fontId="203" fillId="0" borderId="110" xfId="452" applyNumberFormat="1" applyFont="1" applyBorder="1" applyAlignment="1">
      <alignment vertical="center"/>
    </xf>
    <xf numFmtId="0" fontId="216" fillId="0" borderId="110" xfId="452" applyFont="1" applyBorder="1"/>
    <xf numFmtId="0" fontId="203" fillId="24" borderId="110" xfId="452" applyFont="1" applyFill="1" applyBorder="1" applyAlignment="1">
      <alignment vertical="center"/>
    </xf>
    <xf numFmtId="0" fontId="203" fillId="0" borderId="116" xfId="452" applyFont="1" applyBorder="1" applyAlignment="1">
      <alignment vertical="center"/>
    </xf>
    <xf numFmtId="0" fontId="203" fillId="0" borderId="169" xfId="452" applyFont="1" applyBorder="1" applyAlignment="1">
      <alignment vertical="center"/>
    </xf>
    <xf numFmtId="0" fontId="203" fillId="0" borderId="122" xfId="452" applyFont="1" applyBorder="1" applyAlignment="1">
      <alignment vertical="center"/>
    </xf>
    <xf numFmtId="244" fontId="215" fillId="0" borderId="110" xfId="452" applyNumberFormat="1" applyFont="1" applyBorder="1" applyAlignment="1">
      <alignment vertical="center"/>
    </xf>
    <xf numFmtId="192" fontId="203" fillId="24" borderId="94" xfId="452" applyNumberFormat="1" applyFont="1" applyFill="1" applyBorder="1" applyAlignment="1">
      <alignment vertical="center"/>
    </xf>
    <xf numFmtId="247" fontId="203" fillId="0" borderId="110" xfId="452" applyNumberFormat="1" applyFont="1" applyBorder="1" applyAlignment="1">
      <alignment vertical="center"/>
    </xf>
    <xf numFmtId="186" fontId="212" fillId="0" borderId="110" xfId="452" applyNumberFormat="1" applyFont="1" applyBorder="1" applyAlignment="1">
      <alignment vertical="center"/>
    </xf>
    <xf numFmtId="192" fontId="203" fillId="24" borderId="34" xfId="452" applyNumberFormat="1" applyFont="1" applyFill="1" applyBorder="1" applyAlignment="1">
      <alignment vertical="center"/>
    </xf>
    <xf numFmtId="0" fontId="203" fillId="47" borderId="110" xfId="452" applyFont="1" applyFill="1" applyBorder="1" applyAlignment="1">
      <alignment vertical="center"/>
    </xf>
    <xf numFmtId="186" fontId="203" fillId="47" borderId="110" xfId="452" applyNumberFormat="1" applyFont="1" applyFill="1" applyBorder="1" applyAlignment="1">
      <alignment vertical="center"/>
    </xf>
    <xf numFmtId="0" fontId="203" fillId="24" borderId="116" xfId="452" applyFont="1" applyFill="1" applyBorder="1"/>
    <xf numFmtId="192" fontId="203" fillId="24" borderId="169" xfId="452" applyNumberFormat="1" applyFont="1" applyFill="1" applyBorder="1" applyAlignment="1">
      <alignment vertical="center"/>
    </xf>
    <xf numFmtId="192" fontId="203" fillId="24" borderId="110" xfId="452" applyNumberFormat="1" applyFont="1" applyFill="1" applyBorder="1" applyAlignment="1">
      <alignment vertical="center"/>
    </xf>
    <xf numFmtId="192" fontId="203" fillId="50" borderId="67" xfId="452" applyNumberFormat="1" applyFont="1" applyFill="1" applyBorder="1" applyAlignment="1">
      <alignment vertical="center"/>
    </xf>
    <xf numFmtId="192" fontId="219" fillId="0" borderId="110" xfId="452" applyNumberFormat="1" applyFont="1" applyBorder="1" applyAlignment="1">
      <alignment vertical="center"/>
    </xf>
    <xf numFmtId="0" fontId="203" fillId="43" borderId="67" xfId="452" applyFont="1" applyFill="1" applyBorder="1"/>
    <xf numFmtId="0" fontId="203" fillId="43" borderId="106" xfId="452" applyFont="1" applyFill="1" applyBorder="1"/>
    <xf numFmtId="0" fontId="203" fillId="43" borderId="67" xfId="452" applyFont="1" applyFill="1" applyBorder="1" applyAlignment="1">
      <alignment vertical="center"/>
    </xf>
    <xf numFmtId="192" fontId="216" fillId="43" borderId="27" xfId="452" applyNumberFormat="1" applyFont="1" applyFill="1" applyBorder="1" applyAlignment="1">
      <alignment vertical="center"/>
    </xf>
    <xf numFmtId="192" fontId="203" fillId="43" borderId="110" xfId="452" applyNumberFormat="1" applyFont="1" applyFill="1" applyBorder="1" applyAlignment="1">
      <alignment vertical="center"/>
    </xf>
    <xf numFmtId="192" fontId="203" fillId="43" borderId="33" xfId="452" applyNumberFormat="1" applyFont="1" applyFill="1" applyBorder="1" applyAlignment="1">
      <alignment vertical="center"/>
    </xf>
    <xf numFmtId="0" fontId="203" fillId="0" borderId="106" xfId="452" applyFont="1" applyBorder="1" applyAlignment="1">
      <alignment vertical="center"/>
    </xf>
    <xf numFmtId="0" fontId="216" fillId="54" borderId="110" xfId="452" applyFont="1" applyFill="1" applyBorder="1"/>
    <xf numFmtId="0" fontId="216" fillId="54" borderId="110" xfId="452" applyFont="1" applyFill="1" applyBorder="1" applyAlignment="1">
      <alignment horizontal="right" vertical="center"/>
    </xf>
    <xf numFmtId="246" fontId="216" fillId="54" borderId="67" xfId="452" applyNumberFormat="1" applyFont="1" applyFill="1" applyBorder="1" applyAlignment="1">
      <alignment vertical="center"/>
    </xf>
    <xf numFmtId="192" fontId="216" fillId="54" borderId="27" xfId="452" applyNumberFormat="1" applyFont="1" applyFill="1" applyBorder="1" applyAlignment="1">
      <alignment vertical="center"/>
    </xf>
    <xf numFmtId="192" fontId="216" fillId="54" borderId="110" xfId="452" applyNumberFormat="1" applyFont="1" applyFill="1" applyBorder="1" applyAlignment="1">
      <alignment vertical="center"/>
    </xf>
    <xf numFmtId="192" fontId="216" fillId="48" borderId="110" xfId="452" applyNumberFormat="1" applyFont="1" applyFill="1" applyBorder="1" applyAlignment="1">
      <alignment vertical="center"/>
    </xf>
    <xf numFmtId="0" fontId="220" fillId="0" borderId="0" xfId="452" applyFont="1"/>
    <xf numFmtId="0" fontId="203" fillId="55" borderId="67" xfId="452" applyFont="1" applyFill="1" applyBorder="1" applyAlignment="1">
      <alignment vertical="center"/>
    </xf>
    <xf numFmtId="0" fontId="203" fillId="55" borderId="106" xfId="452" applyFont="1" applyFill="1" applyBorder="1" applyAlignment="1">
      <alignment vertical="center"/>
    </xf>
    <xf numFmtId="192" fontId="203" fillId="56" borderId="27" xfId="452" applyNumberFormat="1" applyFont="1" applyFill="1" applyBorder="1" applyAlignment="1">
      <alignment vertical="center"/>
    </xf>
    <xf numFmtId="192" fontId="203" fillId="56" borderId="110" xfId="452" applyNumberFormat="1" applyFont="1" applyFill="1" applyBorder="1" applyAlignment="1">
      <alignment vertical="center"/>
    </xf>
    <xf numFmtId="192" fontId="203" fillId="56" borderId="33" xfId="452" applyNumberFormat="1" applyFont="1" applyFill="1" applyBorder="1" applyAlignment="1">
      <alignment vertical="center"/>
    </xf>
    <xf numFmtId="0" fontId="203" fillId="51" borderId="72" xfId="452" applyFont="1" applyFill="1" applyBorder="1" applyAlignment="1">
      <alignment vertical="center"/>
    </xf>
    <xf numFmtId="0" fontId="203" fillId="51" borderId="175" xfId="452" applyFont="1" applyFill="1" applyBorder="1" applyAlignment="1">
      <alignment vertical="center"/>
    </xf>
    <xf numFmtId="192" fontId="203" fillId="51" borderId="29" xfId="452" applyNumberFormat="1" applyFont="1" applyFill="1" applyBorder="1" applyAlignment="1">
      <alignment vertical="center"/>
    </xf>
    <xf numFmtId="192" fontId="203" fillId="51" borderId="147" xfId="452" applyNumberFormat="1" applyFont="1" applyFill="1" applyBorder="1" applyAlignment="1">
      <alignment vertical="center"/>
    </xf>
    <xf numFmtId="192" fontId="203" fillId="51" borderId="72" xfId="452" applyNumberFormat="1" applyFont="1" applyFill="1" applyBorder="1" applyAlignment="1">
      <alignment vertical="center"/>
    </xf>
    <xf numFmtId="192" fontId="203" fillId="51" borderId="34" xfId="452" applyNumberFormat="1" applyFont="1" applyFill="1" applyBorder="1" applyAlignment="1">
      <alignment vertical="center"/>
    </xf>
    <xf numFmtId="0" fontId="203" fillId="0" borderId="38" xfId="452" applyFont="1" applyBorder="1" applyAlignment="1">
      <alignment vertical="center"/>
    </xf>
    <xf numFmtId="0" fontId="203" fillId="0" borderId="182" xfId="452" applyFont="1" applyBorder="1" applyAlignment="1">
      <alignment vertical="center"/>
    </xf>
    <xf numFmtId="38" fontId="203" fillId="0" borderId="65" xfId="452" applyNumberFormat="1" applyFont="1" applyBorder="1"/>
    <xf numFmtId="192" fontId="203" fillId="0" borderId="25" xfId="452" applyNumberFormat="1" applyFont="1" applyBorder="1"/>
    <xf numFmtId="192" fontId="203" fillId="0" borderId="168" xfId="452" applyNumberFormat="1" applyFont="1" applyBorder="1"/>
    <xf numFmtId="192" fontId="203" fillId="0" borderId="32" xfId="452" applyNumberFormat="1" applyFont="1" applyBorder="1"/>
    <xf numFmtId="0" fontId="203" fillId="0" borderId="31" xfId="452" applyFont="1" applyBorder="1" applyAlignment="1">
      <alignment vertical="center"/>
    </xf>
    <xf numFmtId="38" fontId="203" fillId="0" borderId="67" xfId="452" applyNumberFormat="1" applyFont="1" applyBorder="1"/>
    <xf numFmtId="192" fontId="203" fillId="0" borderId="27" xfId="452" applyNumberFormat="1" applyFont="1" applyBorder="1"/>
    <xf numFmtId="192" fontId="203" fillId="0" borderId="110" xfId="452" applyNumberFormat="1" applyFont="1" applyBorder="1"/>
    <xf numFmtId="192" fontId="203" fillId="0" borderId="67" xfId="452" applyNumberFormat="1" applyFont="1" applyBorder="1"/>
    <xf numFmtId="192" fontId="203" fillId="0" borderId="33" xfId="452" applyNumberFormat="1" applyFont="1" applyBorder="1"/>
    <xf numFmtId="0" fontId="203" fillId="0" borderId="72" xfId="452" applyFont="1" applyBorder="1" applyAlignment="1">
      <alignment vertical="center"/>
    </xf>
    <xf numFmtId="0" fontId="203" fillId="0" borderId="41" xfId="452" applyFont="1" applyBorder="1" applyAlignment="1">
      <alignment vertical="center"/>
    </xf>
    <xf numFmtId="0" fontId="203" fillId="0" borderId="175" xfId="452" applyFont="1" applyBorder="1" applyAlignment="1">
      <alignment vertical="center"/>
    </xf>
    <xf numFmtId="38" fontId="203" fillId="0" borderId="72" xfId="452" applyNumberFormat="1" applyFont="1" applyBorder="1"/>
    <xf numFmtId="192" fontId="203" fillId="0" borderId="29" xfId="452" applyNumberFormat="1" applyFont="1" applyBorder="1"/>
    <xf numFmtId="192" fontId="203" fillId="0" borderId="147" xfId="452" applyNumberFormat="1" applyFont="1" applyBorder="1"/>
    <xf numFmtId="192" fontId="203" fillId="0" borderId="72" xfId="452" applyNumberFormat="1" applyFont="1" applyBorder="1"/>
    <xf numFmtId="192" fontId="203" fillId="0" borderId="34" xfId="452" applyNumberFormat="1" applyFont="1" applyBorder="1"/>
    <xf numFmtId="0" fontId="216" fillId="0" borderId="0" xfId="452" applyFont="1" applyAlignment="1">
      <alignment vertical="center"/>
    </xf>
    <xf numFmtId="0" fontId="216" fillId="0" borderId="0" xfId="452" applyFont="1" applyAlignment="1">
      <alignment horizontal="right" vertical="center"/>
    </xf>
    <xf numFmtId="244" fontId="216" fillId="0" borderId="0" xfId="452" applyNumberFormat="1" applyFont="1"/>
    <xf numFmtId="244" fontId="216" fillId="0" borderId="0" xfId="452" applyNumberFormat="1" applyFont="1" applyFill="1"/>
    <xf numFmtId="0" fontId="216" fillId="57" borderId="0" xfId="452" applyFont="1" applyFill="1"/>
    <xf numFmtId="192" fontId="216" fillId="57" borderId="0" xfId="452" applyNumberFormat="1" applyFont="1" applyFill="1" applyAlignment="1">
      <alignment horizontal="right" vertical="center"/>
    </xf>
    <xf numFmtId="192" fontId="216" fillId="54" borderId="0" xfId="452" applyNumberFormat="1" applyFont="1" applyFill="1"/>
    <xf numFmtId="192" fontId="212" fillId="0" borderId="0" xfId="452" applyNumberFormat="1" applyFont="1" applyAlignment="1">
      <alignment horizontal="right" vertical="center"/>
    </xf>
    <xf numFmtId="192" fontId="212" fillId="0" borderId="0" xfId="452" applyNumberFormat="1" applyFont="1"/>
    <xf numFmtId="186" fontId="212" fillId="0" borderId="0" xfId="452" applyNumberFormat="1" applyFont="1"/>
    <xf numFmtId="0" fontId="216" fillId="0" borderId="0" xfId="452" applyFont="1" applyFill="1" applyAlignment="1">
      <alignment horizontal="right" vertical="center"/>
    </xf>
    <xf numFmtId="192" fontId="216" fillId="0" borderId="0" xfId="452" applyNumberFormat="1" applyFont="1" applyAlignment="1">
      <alignment horizontal="right" vertical="center"/>
    </xf>
    <xf numFmtId="0" fontId="216" fillId="0" borderId="183" xfId="452" applyFont="1" applyBorder="1" applyAlignment="1">
      <alignment vertical="center"/>
    </xf>
    <xf numFmtId="0" fontId="216" fillId="0" borderId="183" xfId="452" applyFont="1" applyBorder="1"/>
    <xf numFmtId="0" fontId="216" fillId="0" borderId="183" xfId="452" applyFont="1" applyBorder="1" applyAlignment="1">
      <alignment horizontal="right" vertical="center"/>
    </xf>
    <xf numFmtId="192" fontId="221" fillId="0" borderId="183" xfId="452" applyNumberFormat="1" applyFont="1" applyBorder="1"/>
    <xf numFmtId="10" fontId="219" fillId="0" borderId="183" xfId="452" applyNumberFormat="1" applyFont="1" applyBorder="1"/>
    <xf numFmtId="0" fontId="216" fillId="0" borderId="183" xfId="452" applyFont="1" applyFill="1" applyBorder="1"/>
    <xf numFmtId="0" fontId="216" fillId="0" borderId="67" xfId="452" applyFont="1" applyBorder="1"/>
    <xf numFmtId="0" fontId="216" fillId="0" borderId="31" xfId="452" applyFont="1" applyBorder="1"/>
    <xf numFmtId="0" fontId="216" fillId="0" borderId="28" xfId="452" applyFont="1" applyBorder="1" applyAlignment="1">
      <alignment horizontal="right" vertical="center"/>
    </xf>
    <xf numFmtId="10" fontId="216" fillId="0" borderId="170" xfId="452" applyNumberFormat="1" applyFont="1" applyBorder="1"/>
    <xf numFmtId="10" fontId="216" fillId="0" borderId="94" xfId="452" applyNumberFormat="1" applyFont="1" applyBorder="1"/>
    <xf numFmtId="0" fontId="216" fillId="58" borderId="67" xfId="452" applyFont="1" applyFill="1" applyBorder="1"/>
    <xf numFmtId="0" fontId="216" fillId="58" borderId="31" xfId="452" applyFont="1" applyFill="1" applyBorder="1"/>
    <xf numFmtId="0" fontId="216" fillId="58" borderId="28" xfId="452" applyFont="1" applyFill="1" applyBorder="1" applyAlignment="1">
      <alignment horizontal="right" vertical="center"/>
    </xf>
    <xf numFmtId="192" fontId="216" fillId="58" borderId="121" xfId="452" applyNumberFormat="1" applyFont="1" applyFill="1" applyBorder="1"/>
    <xf numFmtId="192" fontId="216" fillId="58" borderId="110" xfId="452" applyNumberFormat="1" applyFont="1" applyFill="1" applyBorder="1"/>
    <xf numFmtId="192" fontId="216" fillId="58" borderId="33" xfId="452" applyNumberFormat="1" applyFont="1" applyFill="1" applyBorder="1"/>
    <xf numFmtId="192" fontId="216" fillId="0" borderId="27" xfId="452" applyNumberFormat="1" applyFont="1" applyBorder="1"/>
    <xf numFmtId="192" fontId="216" fillId="0" borderId="110" xfId="452" applyNumberFormat="1" applyFont="1" applyBorder="1"/>
    <xf numFmtId="192" fontId="216" fillId="0" borderId="33" xfId="452" applyNumberFormat="1" applyFont="1" applyBorder="1"/>
    <xf numFmtId="223" fontId="216" fillId="0" borderId="27" xfId="452" applyNumberFormat="1" applyFont="1" applyBorder="1"/>
    <xf numFmtId="223" fontId="216" fillId="0" borderId="110" xfId="452" applyNumberFormat="1" applyFont="1" applyBorder="1"/>
    <xf numFmtId="223" fontId="216" fillId="0" borderId="33" xfId="452" applyNumberFormat="1" applyFont="1" applyBorder="1"/>
    <xf numFmtId="192" fontId="216" fillId="0" borderId="110" xfId="452" applyNumberFormat="1" applyFont="1" applyFill="1" applyBorder="1"/>
    <xf numFmtId="192" fontId="216" fillId="0" borderId="33" xfId="452" applyNumberFormat="1" applyFont="1" applyFill="1" applyBorder="1"/>
    <xf numFmtId="0" fontId="216" fillId="59" borderId="67" xfId="452" applyFont="1" applyFill="1" applyBorder="1"/>
    <xf numFmtId="0" fontId="216" fillId="59" borderId="31" xfId="452" applyFont="1" applyFill="1" applyBorder="1"/>
    <xf numFmtId="0" fontId="216" fillId="59" borderId="28" xfId="452" applyFont="1" applyFill="1" applyBorder="1" applyAlignment="1">
      <alignment horizontal="right" vertical="center"/>
    </xf>
    <xf numFmtId="223" fontId="216" fillId="59" borderId="27" xfId="452" applyNumberFormat="1" applyFont="1" applyFill="1" applyBorder="1"/>
    <xf numFmtId="223" fontId="216" fillId="59" borderId="110" xfId="452" applyNumberFormat="1" applyFont="1" applyFill="1" applyBorder="1"/>
    <xf numFmtId="223" fontId="216" fillId="59" borderId="33" xfId="452" applyNumberFormat="1" applyFont="1" applyFill="1" applyBorder="1"/>
    <xf numFmtId="0" fontId="216" fillId="0" borderId="0" xfId="452" applyFont="1" applyFill="1" applyBorder="1" applyAlignment="1">
      <alignment horizontal="center" vertical="center" wrapText="1"/>
    </xf>
    <xf numFmtId="0" fontId="216" fillId="0" borderId="0" xfId="452" applyFont="1" applyFill="1" applyBorder="1"/>
    <xf numFmtId="0" fontId="216" fillId="0" borderId="0" xfId="452" applyFont="1" applyFill="1" applyBorder="1" applyAlignment="1">
      <alignment horizontal="right" vertical="center"/>
    </xf>
    <xf numFmtId="223" fontId="216" fillId="0" borderId="0" xfId="452" applyNumberFormat="1" applyFont="1" applyFill="1" applyBorder="1"/>
    <xf numFmtId="186" fontId="216" fillId="0" borderId="0" xfId="452" applyNumberFormat="1" applyFont="1" applyAlignment="1">
      <alignment vertical="center"/>
    </xf>
    <xf numFmtId="49" fontId="216" fillId="0" borderId="0" xfId="452" applyNumberFormat="1" applyFont="1" applyAlignment="1">
      <alignment horizontal="right" vertical="center"/>
    </xf>
    <xf numFmtId="186" fontId="216" fillId="0" borderId="0" xfId="452" applyNumberFormat="1" applyFont="1"/>
    <xf numFmtId="186" fontId="222" fillId="0" borderId="0" xfId="452" applyNumberFormat="1" applyFont="1" applyAlignment="1">
      <alignment horizontal="right" vertical="center"/>
    </xf>
    <xf numFmtId="10" fontId="222" fillId="42" borderId="0" xfId="452" applyNumberFormat="1" applyFont="1" applyFill="1" applyBorder="1"/>
    <xf numFmtId="10" fontId="203" fillId="0" borderId="0" xfId="452" applyNumberFormat="1" applyFont="1" applyAlignment="1">
      <alignment horizontal="right" vertical="center"/>
    </xf>
    <xf numFmtId="0" fontId="214" fillId="0" borderId="0" xfId="452" applyFont="1" applyAlignment="1">
      <alignment vertical="center"/>
    </xf>
    <xf numFmtId="0" fontId="216" fillId="0" borderId="0" xfId="452" applyFont="1" applyBorder="1"/>
    <xf numFmtId="0" fontId="214" fillId="0" borderId="0" xfId="452" applyFont="1" applyFill="1" applyBorder="1" applyAlignment="1">
      <alignment horizontal="left"/>
    </xf>
    <xf numFmtId="0" fontId="220" fillId="0" borderId="0" xfId="452" applyFont="1" applyFill="1" applyBorder="1" applyAlignment="1">
      <alignment horizontal="left"/>
    </xf>
    <xf numFmtId="0" fontId="214" fillId="0" borderId="0" xfId="452" applyFont="1" applyFill="1" applyBorder="1" applyAlignment="1">
      <alignment vertical="center"/>
    </xf>
    <xf numFmtId="0" fontId="216" fillId="0" borderId="0" xfId="452" applyFont="1" applyFill="1" applyBorder="1" applyAlignment="1">
      <alignment vertical="center"/>
    </xf>
    <xf numFmtId="0" fontId="221" fillId="60" borderId="12" xfId="452" applyFont="1" applyFill="1" applyBorder="1" applyAlignment="1">
      <alignment vertical="center"/>
    </xf>
    <xf numFmtId="194" fontId="216" fillId="0" borderId="43" xfId="452" applyNumberFormat="1" applyFont="1" applyFill="1" applyBorder="1" applyAlignment="1">
      <alignment vertical="center"/>
    </xf>
    <xf numFmtId="0" fontId="221" fillId="0" borderId="0" xfId="452" applyFont="1" applyFill="1" applyBorder="1"/>
    <xf numFmtId="0" fontId="216" fillId="0" borderId="0" xfId="452" applyFont="1" applyBorder="1" applyAlignment="1"/>
    <xf numFmtId="248" fontId="216" fillId="0" borderId="0" xfId="452" applyNumberFormat="1" applyFont="1" applyFill="1" applyBorder="1" applyAlignment="1"/>
    <xf numFmtId="194" fontId="216" fillId="0" borderId="0" xfId="452" applyNumberFormat="1" applyFont="1" applyFill="1" applyBorder="1" applyAlignment="1">
      <alignment vertical="center"/>
    </xf>
    <xf numFmtId="0" fontId="221" fillId="0" borderId="0" xfId="452" applyFont="1" applyFill="1" applyBorder="1" applyAlignment="1">
      <alignment vertical="center"/>
    </xf>
    <xf numFmtId="0" fontId="216" fillId="0" borderId="0" xfId="452" applyFont="1" applyFill="1" applyBorder="1" applyAlignment="1"/>
    <xf numFmtId="0" fontId="221" fillId="60" borderId="44" xfId="452" applyFont="1" applyFill="1" applyBorder="1" applyAlignment="1">
      <alignment vertical="center"/>
    </xf>
    <xf numFmtId="249" fontId="216" fillId="0" borderId="44" xfId="452" applyNumberFormat="1" applyFont="1" applyFill="1" applyBorder="1" applyAlignment="1">
      <alignment vertical="center"/>
    </xf>
    <xf numFmtId="249" fontId="216" fillId="0" borderId="0" xfId="452" applyNumberFormat="1" applyFont="1" applyFill="1" applyBorder="1" applyAlignment="1">
      <alignment vertical="center"/>
    </xf>
    <xf numFmtId="0" fontId="7" fillId="0" borderId="0" xfId="452" applyAlignment="1">
      <alignment vertical="center"/>
    </xf>
    <xf numFmtId="194" fontId="216" fillId="0" borderId="44" xfId="452" applyNumberFormat="1" applyFont="1" applyFill="1" applyBorder="1" applyAlignment="1">
      <alignment vertical="center"/>
    </xf>
    <xf numFmtId="248" fontId="216" fillId="0" borderId="0" xfId="452" applyNumberFormat="1" applyFont="1" applyBorder="1" applyAlignment="1"/>
    <xf numFmtId="250" fontId="216" fillId="0" borderId="44" xfId="452" applyNumberFormat="1" applyFont="1" applyFill="1" applyBorder="1" applyAlignment="1">
      <alignment vertical="center" shrinkToFit="1"/>
    </xf>
    <xf numFmtId="250" fontId="216" fillId="0" borderId="0" xfId="452" applyNumberFormat="1" applyFont="1" applyFill="1" applyBorder="1" applyAlignment="1">
      <alignment vertical="center" shrinkToFit="1"/>
    </xf>
    <xf numFmtId="0" fontId="221" fillId="60" borderId="14" xfId="452" applyFont="1" applyFill="1" applyBorder="1" applyAlignment="1">
      <alignment vertical="center"/>
    </xf>
    <xf numFmtId="248" fontId="215" fillId="0" borderId="44" xfId="452" applyNumberFormat="1" applyFont="1" applyFill="1" applyBorder="1" applyAlignment="1">
      <alignment vertical="center" shrinkToFit="1"/>
    </xf>
    <xf numFmtId="248" fontId="215" fillId="0" borderId="0" xfId="452" applyNumberFormat="1" applyFont="1" applyFill="1" applyBorder="1" applyAlignment="1">
      <alignment vertical="center" shrinkToFit="1"/>
    </xf>
    <xf numFmtId="194" fontId="215" fillId="0" borderId="44" xfId="452" applyNumberFormat="1" applyFont="1" applyFill="1" applyBorder="1" applyAlignment="1">
      <alignment vertical="center"/>
    </xf>
    <xf numFmtId="194" fontId="215" fillId="0" borderId="0" xfId="452" applyNumberFormat="1" applyFont="1" applyFill="1" applyBorder="1" applyAlignment="1">
      <alignment vertical="center"/>
    </xf>
    <xf numFmtId="0" fontId="221" fillId="60" borderId="18" xfId="452" applyFont="1" applyFill="1" applyBorder="1" applyAlignment="1">
      <alignment vertical="center"/>
    </xf>
    <xf numFmtId="251" fontId="216" fillId="0" borderId="45" xfId="452" applyNumberFormat="1" applyFont="1" applyFill="1" applyBorder="1" applyAlignment="1">
      <alignment vertical="center"/>
    </xf>
    <xf numFmtId="0" fontId="216" fillId="0" borderId="14" xfId="452" applyNumberFormat="1" applyFont="1" applyBorder="1" applyAlignment="1">
      <alignment vertical="center"/>
    </xf>
    <xf numFmtId="0" fontId="216" fillId="0" borderId="0" xfId="452" applyFont="1" applyAlignment="1">
      <alignment vertical="center" shrinkToFit="1"/>
    </xf>
    <xf numFmtId="251" fontId="216" fillId="0" borderId="0" xfId="452" applyNumberFormat="1" applyFont="1" applyFill="1" applyBorder="1" applyAlignment="1">
      <alignment vertical="center"/>
    </xf>
    <xf numFmtId="0" fontId="216" fillId="0" borderId="0" xfId="452" applyNumberFormat="1" applyFont="1" applyFill="1" applyBorder="1" applyAlignment="1">
      <alignment vertical="center"/>
    </xf>
    <xf numFmtId="0" fontId="216" fillId="0" borderId="0" xfId="452" applyFont="1" applyFill="1" applyBorder="1" applyAlignment="1">
      <alignment vertical="center" shrinkToFit="1"/>
    </xf>
    <xf numFmtId="192" fontId="203" fillId="0" borderId="0" xfId="452" applyNumberFormat="1" applyFont="1" applyAlignment="1">
      <alignment horizontal="right" vertical="center"/>
    </xf>
    <xf numFmtId="192" fontId="203" fillId="0" borderId="0" xfId="452" applyNumberFormat="1" applyFont="1"/>
    <xf numFmtId="0" fontId="203" fillId="0" borderId="0" xfId="452" applyFont="1"/>
    <xf numFmtId="0" fontId="203" fillId="0" borderId="0" xfId="452" applyFont="1" applyFill="1"/>
    <xf numFmtId="186" fontId="203" fillId="0" borderId="0" xfId="452" applyNumberFormat="1" applyFont="1" applyAlignment="1">
      <alignment horizontal="right" vertical="center"/>
    </xf>
    <xf numFmtId="186" fontId="203" fillId="40" borderId="0" xfId="452" applyNumberFormat="1" applyFont="1" applyFill="1" applyAlignment="1">
      <alignment horizontal="right" vertical="center"/>
    </xf>
    <xf numFmtId="186" fontId="203" fillId="49" borderId="0" xfId="452" applyNumberFormat="1" applyFont="1" applyFill="1" applyAlignment="1">
      <alignment horizontal="right" vertical="center"/>
    </xf>
    <xf numFmtId="186" fontId="203" fillId="45" borderId="0" xfId="452" applyNumberFormat="1" applyFont="1" applyFill="1" applyAlignment="1">
      <alignment horizontal="right" vertical="center"/>
    </xf>
    <xf numFmtId="186" fontId="203" fillId="14" borderId="0" xfId="452" applyNumberFormat="1" applyFont="1" applyFill="1" applyAlignment="1">
      <alignment horizontal="right" vertical="center"/>
    </xf>
    <xf numFmtId="186" fontId="203" fillId="0" borderId="0" xfId="452" applyNumberFormat="1" applyFont="1"/>
    <xf numFmtId="186" fontId="203" fillId="40" borderId="0" xfId="452" applyNumberFormat="1" applyFont="1" applyFill="1"/>
    <xf numFmtId="186" fontId="203" fillId="49" borderId="0" xfId="452" applyNumberFormat="1" applyFont="1" applyFill="1"/>
    <xf numFmtId="186" fontId="203" fillId="45" borderId="0" xfId="452" applyNumberFormat="1" applyFont="1" applyFill="1"/>
    <xf numFmtId="186" fontId="203" fillId="14" borderId="0" xfId="452" applyNumberFormat="1" applyFont="1" applyFill="1"/>
    <xf numFmtId="186" fontId="203" fillId="0" borderId="0" xfId="452" applyNumberFormat="1" applyFont="1" applyFill="1"/>
    <xf numFmtId="0" fontId="3" fillId="0" borderId="0" xfId="452" applyFont="1" applyAlignment="1">
      <alignment vertical="center"/>
    </xf>
    <xf numFmtId="0" fontId="216" fillId="0" borderId="0" xfId="452" applyFont="1" applyFill="1" applyAlignment="1">
      <alignment vertical="center"/>
    </xf>
    <xf numFmtId="0" fontId="216" fillId="0" borderId="0" xfId="452" applyFont="1" applyFill="1" applyBorder="1" applyAlignment="1">
      <alignment horizontal="left" vertical="center"/>
    </xf>
    <xf numFmtId="192" fontId="216" fillId="0" borderId="0" xfId="452" applyNumberFormat="1" applyFont="1" applyFill="1" applyBorder="1"/>
    <xf numFmtId="10" fontId="212" fillId="64" borderId="0" xfId="452" applyNumberFormat="1" applyFont="1" applyFill="1"/>
    <xf numFmtId="10" fontId="212" fillId="75" borderId="0" xfId="452" applyNumberFormat="1" applyFont="1" applyFill="1"/>
    <xf numFmtId="192" fontId="216" fillId="75" borderId="116" xfId="452" applyNumberFormat="1" applyFont="1" applyFill="1" applyBorder="1" applyAlignment="1">
      <alignment vertical="center"/>
    </xf>
    <xf numFmtId="244" fontId="216" fillId="0" borderId="63" xfId="452" applyNumberFormat="1" applyFont="1" applyBorder="1" applyAlignment="1">
      <alignment horizontal="center" vertical="center"/>
    </xf>
    <xf numFmtId="10" fontId="253" fillId="0" borderId="0" xfId="452" applyNumberFormat="1" applyFont="1" applyAlignment="1">
      <alignment horizontal="center" vertical="center"/>
    </xf>
    <xf numFmtId="184" fontId="216" fillId="0" borderId="67" xfId="452" applyNumberFormat="1" applyFont="1" applyFill="1" applyBorder="1" applyAlignment="1">
      <alignment vertical="center"/>
    </xf>
    <xf numFmtId="0" fontId="216" fillId="0" borderId="110" xfId="452" applyFont="1" applyFill="1" applyBorder="1" applyAlignment="1">
      <alignment vertical="center"/>
    </xf>
    <xf numFmtId="10" fontId="216" fillId="0" borderId="110" xfId="452" applyNumberFormat="1" applyFont="1" applyFill="1" applyBorder="1" applyAlignment="1">
      <alignment vertical="center"/>
    </xf>
    <xf numFmtId="197" fontId="113" fillId="0" borderId="184" xfId="0" applyNumberFormat="1" applyFont="1" applyBorder="1" applyAlignment="1">
      <alignment vertical="center"/>
    </xf>
    <xf numFmtId="197" fontId="113" fillId="0" borderId="185" xfId="0" applyNumberFormat="1" applyFont="1" applyBorder="1" applyAlignment="1">
      <alignment vertical="center"/>
    </xf>
    <xf numFmtId="193" fontId="9" fillId="0" borderId="185" xfId="455" applyNumberFormat="1" applyFont="1" applyFill="1" applyBorder="1" applyAlignment="1">
      <alignment horizontal="center" vertical="center"/>
    </xf>
    <xf numFmtId="0" fontId="9" fillId="0" borderId="185" xfId="0" applyNumberFormat="1" applyFont="1" applyFill="1" applyBorder="1" applyAlignment="1">
      <alignment vertical="center"/>
    </xf>
    <xf numFmtId="194" fontId="9" fillId="0" borderId="185" xfId="455" applyNumberFormat="1" applyFont="1" applyFill="1" applyBorder="1" applyAlignment="1">
      <alignment horizontal="center" vertical="center"/>
    </xf>
    <xf numFmtId="201" fontId="9" fillId="0" borderId="185" xfId="458" applyNumberFormat="1" applyFont="1" applyFill="1" applyBorder="1" applyAlignment="1">
      <alignment horizontal="center" vertical="center"/>
    </xf>
    <xf numFmtId="0" fontId="114" fillId="0" borderId="185" xfId="0" applyNumberFormat="1" applyFont="1" applyFill="1" applyBorder="1" applyAlignment="1">
      <alignment vertical="center"/>
    </xf>
    <xf numFmtId="197" fontId="113" fillId="0" borderId="14" xfId="0" applyNumberFormat="1" applyFont="1" applyBorder="1" applyAlignment="1">
      <alignment vertical="center"/>
    </xf>
    <xf numFmtId="192" fontId="216" fillId="0" borderId="0" xfId="452" applyNumberFormat="1" applyFont="1" applyAlignment="1">
      <alignment vertical="center"/>
    </xf>
    <xf numFmtId="192" fontId="254" fillId="43" borderId="110" xfId="452" applyNumberFormat="1" applyFont="1" applyFill="1" applyBorder="1" applyAlignment="1">
      <alignment vertical="center"/>
    </xf>
    <xf numFmtId="38" fontId="168" fillId="61" borderId="50" xfId="0" applyNumberFormat="1" applyFont="1" applyFill="1" applyBorder="1" applyAlignment="1">
      <alignment horizontal="right" vertical="center" wrapText="1"/>
    </xf>
    <xf numFmtId="10" fontId="255" fillId="0" borderId="27" xfId="452" applyNumberFormat="1" applyFont="1" applyBorder="1"/>
    <xf numFmtId="192" fontId="216" fillId="64" borderId="122" xfId="452" applyNumberFormat="1" applyFont="1" applyFill="1" applyBorder="1" applyAlignment="1">
      <alignment vertical="center"/>
    </xf>
    <xf numFmtId="0" fontId="150" fillId="0" borderId="0" xfId="452" applyFont="1"/>
    <xf numFmtId="14" fontId="150" fillId="0" borderId="0" xfId="452" applyNumberFormat="1" applyFont="1"/>
    <xf numFmtId="192" fontId="256" fillId="0" borderId="27" xfId="452" applyNumberFormat="1" applyFont="1" applyBorder="1" applyAlignment="1">
      <alignment vertical="center"/>
    </xf>
    <xf numFmtId="10" fontId="256" fillId="0" borderId="67" xfId="452" applyNumberFormat="1" applyFont="1" applyBorder="1" applyAlignment="1">
      <alignment vertical="center"/>
    </xf>
    <xf numFmtId="10" fontId="227" fillId="46" borderId="33" xfId="452" applyNumberFormat="1" applyFont="1" applyFill="1" applyBorder="1" applyAlignment="1">
      <alignment vertical="center"/>
    </xf>
    <xf numFmtId="244" fontId="227" fillId="0" borderId="110" xfId="452" applyNumberFormat="1" applyFont="1" applyBorder="1" applyAlignment="1">
      <alignment vertical="center"/>
    </xf>
    <xf numFmtId="246" fontId="256" fillId="50" borderId="110" xfId="452" applyNumberFormat="1" applyFont="1" applyFill="1" applyBorder="1" applyAlignment="1">
      <alignment vertical="center"/>
    </xf>
    <xf numFmtId="0" fontId="191" fillId="0" borderId="0" xfId="452" applyFont="1" applyFill="1" applyAlignment="1">
      <alignment horizontal="center" vertical="center"/>
    </xf>
    <xf numFmtId="0" fontId="0" fillId="0" borderId="0" xfId="0" applyFill="1" applyBorder="1">
      <alignment vertical="center"/>
    </xf>
    <xf numFmtId="0" fontId="0" fillId="0" borderId="46" xfId="0" applyFill="1" applyBorder="1">
      <alignment vertical="center"/>
    </xf>
    <xf numFmtId="0" fontId="0" fillId="0" borderId="77" xfId="0" applyFill="1" applyBorder="1">
      <alignment vertical="center"/>
    </xf>
    <xf numFmtId="0" fontId="259" fillId="0" borderId="0" xfId="459" applyFont="1" applyFill="1" applyBorder="1" applyAlignment="1">
      <alignment vertical="center"/>
    </xf>
    <xf numFmtId="0" fontId="14" fillId="0" borderId="0" xfId="453" applyFont="1">
      <alignment vertical="center"/>
    </xf>
    <xf numFmtId="0" fontId="261" fillId="0" borderId="0" xfId="459" applyFont="1" applyFill="1" applyBorder="1" applyAlignment="1">
      <alignment vertical="center"/>
    </xf>
    <xf numFmtId="0" fontId="261" fillId="0" borderId="0" xfId="453" applyFont="1" applyFill="1">
      <alignment vertical="center"/>
    </xf>
    <xf numFmtId="0" fontId="14" fillId="0" borderId="0" xfId="453" applyFont="1" applyFill="1">
      <alignment vertical="center"/>
    </xf>
    <xf numFmtId="0" fontId="251" fillId="0" borderId="0" xfId="459" applyFont="1" applyFill="1" applyBorder="1" applyAlignment="1">
      <alignment horizontal="center" vertical="center"/>
    </xf>
    <xf numFmtId="0" fontId="262" fillId="0" borderId="0" xfId="459" applyFont="1" applyFill="1" applyBorder="1" applyAlignment="1">
      <alignment vertical="center"/>
    </xf>
    <xf numFmtId="0" fontId="264" fillId="0" borderId="0" xfId="453" applyFont="1" applyFill="1">
      <alignment vertical="center"/>
    </xf>
    <xf numFmtId="0" fontId="14" fillId="0" borderId="0" xfId="453" applyFont="1" applyFill="1" applyBorder="1">
      <alignment vertical="center"/>
    </xf>
    <xf numFmtId="0" fontId="14" fillId="0" borderId="0" xfId="453" applyFont="1" applyBorder="1">
      <alignment vertical="center"/>
    </xf>
    <xf numFmtId="0" fontId="14" fillId="0" borderId="0" xfId="453" applyFont="1" applyFill="1" applyBorder="1" applyAlignment="1">
      <alignment vertical="center"/>
    </xf>
    <xf numFmtId="0" fontId="14" fillId="0" borderId="0" xfId="453" applyFont="1" applyBorder="1" applyAlignment="1">
      <alignment vertical="center"/>
    </xf>
    <xf numFmtId="0" fontId="14" fillId="0" borderId="0" xfId="453" applyFont="1" applyFill="1" applyAlignment="1">
      <alignment vertical="center"/>
    </xf>
    <xf numFmtId="0" fontId="14" fillId="0" borderId="0" xfId="453" applyFont="1" applyAlignment="1">
      <alignment vertical="center"/>
    </xf>
    <xf numFmtId="240" fontId="14" fillId="0" borderId="0" xfId="444" applyNumberFormat="1" applyFont="1" applyFill="1">
      <alignment vertical="center"/>
    </xf>
    <xf numFmtId="240" fontId="14" fillId="0" borderId="0" xfId="444" applyNumberFormat="1" applyFont="1">
      <alignment vertical="center"/>
    </xf>
    <xf numFmtId="180" fontId="145" fillId="74" borderId="0" xfId="459" applyNumberFormat="1" applyFont="1" applyFill="1" applyBorder="1" applyAlignment="1">
      <alignment vertical="center" shrinkToFit="1"/>
    </xf>
    <xf numFmtId="241" fontId="145" fillId="74" borderId="0" xfId="444" applyNumberFormat="1" applyFont="1" applyFill="1" applyBorder="1" applyAlignment="1">
      <alignment vertical="center" shrinkToFit="1"/>
    </xf>
    <xf numFmtId="0" fontId="145" fillId="0" borderId="0" xfId="459" applyFont="1" applyBorder="1" applyAlignment="1">
      <alignment vertical="center" shrinkToFit="1"/>
    </xf>
    <xf numFmtId="0" fontId="14" fillId="0" borderId="0" xfId="459" applyFont="1" applyAlignment="1">
      <alignment vertical="center" shrinkToFit="1"/>
    </xf>
    <xf numFmtId="0" fontId="267" fillId="0" borderId="0" xfId="459" applyFont="1" applyAlignment="1">
      <alignment vertical="center" shrinkToFit="1"/>
    </xf>
    <xf numFmtId="0" fontId="266" fillId="0" borderId="24" xfId="459" applyFont="1" applyBorder="1" applyAlignment="1">
      <alignment horizontal="left" vertical="center" shrinkToFit="1"/>
    </xf>
    <xf numFmtId="0" fontId="266" fillId="0" borderId="8" xfId="453" applyFont="1" applyBorder="1" applyAlignment="1">
      <alignment vertical="center"/>
    </xf>
    <xf numFmtId="0" fontId="266" fillId="0" borderId="8" xfId="453" applyFont="1" applyFill="1" applyBorder="1" applyAlignment="1">
      <alignment vertical="center"/>
    </xf>
    <xf numFmtId="0" fontId="266" fillId="0" borderId="23" xfId="453" applyFont="1" applyFill="1" applyBorder="1" applyAlignment="1">
      <alignment vertical="center"/>
    </xf>
    <xf numFmtId="0" fontId="266" fillId="0" borderId="8" xfId="459" applyFont="1" applyFill="1" applyBorder="1" applyAlignment="1">
      <alignment vertical="center" shrinkToFit="1"/>
    </xf>
    <xf numFmtId="0" fontId="266" fillId="0" borderId="70" xfId="459" applyFont="1" applyFill="1" applyBorder="1" applyAlignment="1">
      <alignment vertical="center" shrinkToFit="1"/>
    </xf>
    <xf numFmtId="0" fontId="266" fillId="0" borderId="63" xfId="453" applyFont="1" applyBorder="1" applyAlignment="1">
      <alignment vertical="center"/>
    </xf>
    <xf numFmtId="0" fontId="266" fillId="0" borderId="8" xfId="453" applyFont="1" applyBorder="1" applyAlignment="1">
      <alignment horizontal="left" vertical="center"/>
    </xf>
    <xf numFmtId="0" fontId="266" fillId="0" borderId="23" xfId="453" applyFont="1" applyBorder="1" applyAlignment="1">
      <alignment vertical="center"/>
    </xf>
    <xf numFmtId="0" fontId="266" fillId="0" borderId="38" xfId="453" applyFont="1" applyFill="1" applyBorder="1">
      <alignment vertical="center"/>
    </xf>
    <xf numFmtId="186" fontId="266" fillId="0" borderId="38" xfId="453" applyNumberFormat="1" applyFont="1" applyFill="1" applyBorder="1" applyAlignment="1">
      <alignment vertical="center" shrinkToFit="1"/>
    </xf>
    <xf numFmtId="0" fontId="266" fillId="0" borderId="88" xfId="453" applyFont="1" applyFill="1" applyBorder="1">
      <alignment vertical="center"/>
    </xf>
    <xf numFmtId="0" fontId="266" fillId="0" borderId="41" xfId="453" applyFont="1" applyFill="1" applyBorder="1" applyAlignment="1">
      <alignment horizontal="left" vertical="center"/>
    </xf>
    <xf numFmtId="0" fontId="266" fillId="0" borderId="41" xfId="453" applyFont="1" applyBorder="1">
      <alignment vertical="center"/>
    </xf>
    <xf numFmtId="0" fontId="266" fillId="0" borderId="41" xfId="453" applyFont="1" applyBorder="1" applyAlignment="1">
      <alignment vertical="center" shrinkToFit="1"/>
    </xf>
    <xf numFmtId="0" fontId="266" fillId="0" borderId="41" xfId="453" applyFont="1" applyFill="1" applyBorder="1">
      <alignment vertical="center"/>
    </xf>
    <xf numFmtId="0" fontId="266" fillId="0" borderId="90" xfId="453" applyFont="1" applyFill="1" applyBorder="1">
      <alignment vertical="center"/>
    </xf>
    <xf numFmtId="0" fontId="266" fillId="0" borderId="0" xfId="453" applyFont="1" applyFill="1" applyBorder="1">
      <alignment vertical="center"/>
    </xf>
    <xf numFmtId="240" fontId="266" fillId="0" borderId="0" xfId="444" applyNumberFormat="1" applyFont="1" applyFill="1" applyBorder="1">
      <alignment vertical="center"/>
    </xf>
    <xf numFmtId="240" fontId="266" fillId="0" borderId="22" xfId="444" applyNumberFormat="1" applyFont="1" applyFill="1" applyBorder="1">
      <alignment vertical="center"/>
    </xf>
    <xf numFmtId="240" fontId="266" fillId="0" borderId="130" xfId="444" applyNumberFormat="1" applyFont="1" applyBorder="1" applyAlignment="1">
      <alignment horizontal="right" vertical="center" shrinkToFit="1"/>
    </xf>
    <xf numFmtId="0" fontId="266" fillId="0" borderId="130" xfId="453" applyFont="1" applyFill="1" applyBorder="1" applyAlignment="1">
      <alignment horizontal="center" vertical="center"/>
    </xf>
    <xf numFmtId="240" fontId="266" fillId="0" borderId="130" xfId="444" applyNumberFormat="1" applyFont="1" applyBorder="1">
      <alignment vertical="center"/>
    </xf>
    <xf numFmtId="240" fontId="266" fillId="0" borderId="130" xfId="444" applyNumberFormat="1" applyFont="1" applyFill="1" applyBorder="1">
      <alignment vertical="center"/>
    </xf>
    <xf numFmtId="240" fontId="266" fillId="0" borderId="176" xfId="444" applyNumberFormat="1" applyFont="1" applyFill="1" applyBorder="1">
      <alignment vertical="center"/>
    </xf>
    <xf numFmtId="0" fontId="266" fillId="0" borderId="36" xfId="453" applyFont="1" applyBorder="1" applyAlignment="1">
      <alignment vertical="center"/>
    </xf>
    <xf numFmtId="0" fontId="266" fillId="0" borderId="19" xfId="453" applyFont="1" applyBorder="1" applyAlignment="1">
      <alignment horizontal="left" vertical="center"/>
    </xf>
    <xf numFmtId="0" fontId="266" fillId="0" borderId="19" xfId="453" applyFont="1" applyBorder="1" applyAlignment="1">
      <alignment vertical="center"/>
    </xf>
    <xf numFmtId="0" fontId="266" fillId="0" borderId="20" xfId="453" applyFont="1" applyBorder="1" applyAlignment="1">
      <alignment vertical="center"/>
    </xf>
    <xf numFmtId="0" fontId="266" fillId="0" borderId="8" xfId="453" applyFont="1" applyFill="1" applyBorder="1" applyAlignment="1">
      <alignment horizontal="left" vertical="center"/>
    </xf>
    <xf numFmtId="0" fontId="266" fillId="0" borderId="36" xfId="453" applyFont="1" applyFill="1" applyBorder="1" applyAlignment="1">
      <alignment vertical="center"/>
    </xf>
    <xf numFmtId="0" fontId="266" fillId="0" borderId="19" xfId="453" applyFont="1" applyFill="1" applyBorder="1" applyAlignment="1">
      <alignment horizontal="left" vertical="center"/>
    </xf>
    <xf numFmtId="0" fontId="266" fillId="0" borderId="19" xfId="453" applyFont="1" applyFill="1" applyBorder="1" applyAlignment="1">
      <alignment vertical="center"/>
    </xf>
    <xf numFmtId="0" fontId="266" fillId="0" borderId="20" xfId="453" applyFont="1" applyFill="1" applyBorder="1" applyAlignment="1">
      <alignment vertical="center"/>
    </xf>
    <xf numFmtId="0" fontId="266" fillId="0" borderId="41" xfId="453" applyFont="1" applyFill="1" applyBorder="1" applyAlignment="1">
      <alignment vertical="center" shrinkToFit="1"/>
    </xf>
    <xf numFmtId="240" fontId="266" fillId="0" borderId="130" xfId="444" applyNumberFormat="1" applyFont="1" applyFill="1" applyBorder="1" applyAlignment="1">
      <alignment horizontal="right" vertical="center" shrinkToFit="1"/>
    </xf>
    <xf numFmtId="222" fontId="105" fillId="0" borderId="24" xfId="463" applyNumberFormat="1" applyFont="1" applyBorder="1" applyAlignment="1">
      <alignment horizontal="center" vertical="center"/>
    </xf>
    <xf numFmtId="178" fontId="265" fillId="0" borderId="13" xfId="463" applyNumberFormat="1" applyFont="1" applyBorder="1" applyAlignment="1">
      <alignment horizontal="center" vertical="center"/>
    </xf>
    <xf numFmtId="178" fontId="265" fillId="0" borderId="64" xfId="463" applyNumberFormat="1" applyFont="1" applyBorder="1" applyAlignment="1">
      <alignment horizontal="center" vertical="center"/>
    </xf>
    <xf numFmtId="176" fontId="105" fillId="0" borderId="12" xfId="463" applyNumberFormat="1" applyFont="1" applyBorder="1" applyAlignment="1">
      <alignment horizontal="left" vertical="center"/>
    </xf>
    <xf numFmtId="176" fontId="105" fillId="0" borderId="18" xfId="463" applyNumberFormat="1" applyFont="1" applyBorder="1" applyAlignment="1">
      <alignment horizontal="left" vertical="center"/>
    </xf>
    <xf numFmtId="178" fontId="265" fillId="0" borderId="10" xfId="463" applyNumberFormat="1" applyFont="1" applyBorder="1" applyAlignment="1">
      <alignment horizontal="center" vertical="center"/>
    </xf>
    <xf numFmtId="178" fontId="265" fillId="0" borderId="68" xfId="463" applyNumberFormat="1" applyFont="1" applyBorder="1" applyAlignment="1">
      <alignment horizontal="center" vertical="center"/>
    </xf>
    <xf numFmtId="222" fontId="105" fillId="0" borderId="14" xfId="463" applyNumberFormat="1" applyFont="1" applyBorder="1" applyAlignment="1">
      <alignment horizontal="center" vertical="center"/>
    </xf>
    <xf numFmtId="222" fontId="105" fillId="0" borderId="18" xfId="463" applyNumberFormat="1" applyFont="1" applyBorder="1" applyAlignment="1">
      <alignment horizontal="center" vertical="center"/>
    </xf>
    <xf numFmtId="176" fontId="105" fillId="0" borderId="12" xfId="463" applyNumberFormat="1" applyFont="1" applyBorder="1" applyAlignment="1">
      <alignment vertical="center"/>
    </xf>
    <xf numFmtId="176" fontId="105" fillId="0" borderId="13" xfId="463" applyNumberFormat="1" applyFont="1" applyBorder="1" applyAlignment="1">
      <alignment vertical="center"/>
    </xf>
    <xf numFmtId="176" fontId="105" fillId="0" borderId="64" xfId="463" applyNumberFormat="1" applyFont="1" applyBorder="1" applyAlignment="1">
      <alignment vertical="center"/>
    </xf>
    <xf numFmtId="176" fontId="105" fillId="61" borderId="0" xfId="463" applyNumberFormat="1" applyFont="1" applyFill="1" applyAlignment="1">
      <alignment horizontal="center" vertical="center"/>
    </xf>
    <xf numFmtId="176" fontId="105" fillId="0" borderId="9" xfId="463" applyNumberFormat="1" applyFont="1" applyBorder="1" applyAlignment="1">
      <alignment horizontal="center" vertical="center" shrinkToFit="1"/>
    </xf>
    <xf numFmtId="176" fontId="105" fillId="0" borderId="45" xfId="463" applyNumberFormat="1" applyFont="1" applyBorder="1" applyAlignment="1">
      <alignment horizontal="center" vertical="center" shrinkToFit="1"/>
    </xf>
    <xf numFmtId="176" fontId="105" fillId="0" borderId="43" xfId="463" applyNumberFormat="1" applyFont="1" applyBorder="1" applyAlignment="1">
      <alignment horizontal="center" vertical="center" shrinkToFit="1"/>
    </xf>
    <xf numFmtId="40" fontId="105" fillId="0" borderId="24" xfId="442" applyNumberFormat="1" applyFont="1" applyBorder="1" applyAlignment="1">
      <alignment horizontal="right" vertical="center" shrinkToFit="1"/>
    </xf>
    <xf numFmtId="176" fontId="105" fillId="0" borderId="8" xfId="463" applyNumberFormat="1" applyFont="1" applyBorder="1" applyAlignment="1">
      <alignment horizontal="left" vertical="center" shrinkToFit="1"/>
    </xf>
    <xf numFmtId="176" fontId="105" fillId="0" borderId="8" xfId="463" applyNumberFormat="1" applyFont="1" applyBorder="1" applyAlignment="1">
      <alignment horizontal="right" vertical="center" shrinkToFit="1"/>
    </xf>
    <xf numFmtId="40" fontId="105" fillId="0" borderId="8" xfId="442" applyNumberFormat="1" applyFont="1" applyBorder="1" applyAlignment="1">
      <alignment horizontal="right" vertical="center" shrinkToFit="1"/>
    </xf>
    <xf numFmtId="176" fontId="105" fillId="0" borderId="9" xfId="463" applyNumberFormat="1" applyFont="1" applyFill="1" applyBorder="1" applyAlignment="1">
      <alignment horizontal="center" vertical="center" shrinkToFit="1"/>
    </xf>
    <xf numFmtId="176" fontId="105" fillId="0" borderId="69" xfId="463" applyNumberFormat="1" applyFont="1" applyFill="1" applyBorder="1" applyAlignment="1">
      <alignment horizontal="center" vertical="center" shrinkToFit="1"/>
    </xf>
    <xf numFmtId="176" fontId="105" fillId="0" borderId="43" xfId="463" applyNumberFormat="1" applyFont="1" applyFill="1" applyBorder="1" applyAlignment="1">
      <alignment horizontal="center" vertical="center" shrinkToFit="1"/>
    </xf>
    <xf numFmtId="176" fontId="105" fillId="0" borderId="70" xfId="463" applyNumberFormat="1" applyFont="1" applyBorder="1" applyAlignment="1">
      <alignment shrinkToFit="1"/>
    </xf>
    <xf numFmtId="10" fontId="105" fillId="0" borderId="0" xfId="432" applyNumberFormat="1" applyFont="1" applyBorder="1" applyAlignment="1">
      <alignment horizontal="center" vertical="center" shrinkToFit="1"/>
    </xf>
    <xf numFmtId="178" fontId="105" fillId="0" borderId="13" xfId="463" applyNumberFormat="1" applyFont="1" applyBorder="1" applyAlignment="1">
      <alignment horizontal="center" vertical="center" shrinkToFit="1"/>
    </xf>
    <xf numFmtId="178" fontId="265" fillId="0" borderId="13" xfId="463" applyNumberFormat="1" applyFont="1" applyBorder="1" applyAlignment="1">
      <alignment horizontal="center" vertical="center" shrinkToFit="1"/>
    </xf>
    <xf numFmtId="178" fontId="265" fillId="0" borderId="64" xfId="463" applyNumberFormat="1" applyFont="1" applyBorder="1" applyAlignment="1">
      <alignment horizontal="center" vertical="center" shrinkToFit="1"/>
    </xf>
    <xf numFmtId="214" fontId="105" fillId="0" borderId="12" xfId="463" applyNumberFormat="1" applyFont="1" applyBorder="1" applyAlignment="1">
      <alignment horizontal="center" vertical="center" shrinkToFit="1"/>
    </xf>
    <xf numFmtId="176" fontId="105" fillId="0" borderId="66" xfId="463" applyNumberFormat="1" applyFont="1" applyBorder="1" applyAlignment="1">
      <alignment horizontal="center" vertical="center" shrinkToFit="1"/>
    </xf>
    <xf numFmtId="176" fontId="105" fillId="0" borderId="70" xfId="463" applyNumberFormat="1" applyFont="1" applyBorder="1" applyAlignment="1">
      <alignment horizontal="center" vertical="center" shrinkToFit="1"/>
    </xf>
    <xf numFmtId="176" fontId="105" fillId="0" borderId="64" xfId="463" applyNumberFormat="1" applyFont="1" applyBorder="1" applyAlignment="1">
      <alignment horizontal="center" vertical="center" shrinkToFit="1"/>
    </xf>
    <xf numFmtId="176" fontId="14" fillId="0" borderId="0" xfId="463" applyNumberFormat="1" applyFont="1" applyAlignment="1">
      <alignment shrinkToFit="1"/>
    </xf>
    <xf numFmtId="222" fontId="105" fillId="0" borderId="24" xfId="463" applyNumberFormat="1" applyFont="1" applyBorder="1" applyAlignment="1">
      <alignment horizontal="center" vertical="center" shrinkToFit="1"/>
    </xf>
    <xf numFmtId="176" fontId="271" fillId="0" borderId="12" xfId="463" applyNumberFormat="1" applyFont="1" applyBorder="1" applyAlignment="1">
      <alignment horizontal="left" vertical="center"/>
    </xf>
    <xf numFmtId="176" fontId="271" fillId="0" borderId="18" xfId="463" applyNumberFormat="1" applyFont="1" applyBorder="1" applyAlignment="1">
      <alignment horizontal="left" vertical="center"/>
    </xf>
    <xf numFmtId="0" fontId="140" fillId="66" borderId="35" xfId="0" applyFont="1" applyFill="1" applyBorder="1" applyAlignment="1">
      <alignment horizontal="center" vertical="center" shrinkToFit="1"/>
    </xf>
    <xf numFmtId="0" fontId="9" fillId="0" borderId="0" xfId="462" applyNumberFormat="1" applyFont="1" applyBorder="1" applyAlignment="1">
      <alignment vertical="center"/>
    </xf>
    <xf numFmtId="0" fontId="9" fillId="0" borderId="66" xfId="462" applyNumberFormat="1" applyFont="1" applyBorder="1" applyAlignment="1">
      <alignment horizontal="center" vertical="center"/>
    </xf>
    <xf numFmtId="0" fontId="9" fillId="0" borderId="0" xfId="0" applyNumberFormat="1" applyFont="1" applyFill="1" applyAlignment="1">
      <alignment horizontal="center" vertical="center"/>
    </xf>
    <xf numFmtId="0" fontId="9" fillId="0" borderId="0" xfId="0" applyNumberFormat="1" applyFont="1" applyAlignment="1">
      <alignment horizontal="center" vertical="center"/>
    </xf>
    <xf numFmtId="176" fontId="105" fillId="0" borderId="70" xfId="463" applyNumberFormat="1" applyFont="1" applyBorder="1" applyAlignment="1">
      <alignment horizontal="center" vertical="center" shrinkToFit="1"/>
    </xf>
    <xf numFmtId="0" fontId="191" fillId="0" borderId="19" xfId="452" applyFont="1" applyBorder="1" applyAlignment="1">
      <alignment horizontal="center" vertical="center"/>
    </xf>
    <xf numFmtId="0" fontId="191" fillId="0" borderId="9" xfId="452" applyFont="1" applyBorder="1" applyAlignment="1">
      <alignment horizontal="center" vertical="center"/>
    </xf>
    <xf numFmtId="0" fontId="194" fillId="0" borderId="0" xfId="452" applyFont="1" applyBorder="1" applyAlignment="1">
      <alignment horizontal="left" vertical="center" wrapText="1"/>
    </xf>
    <xf numFmtId="0" fontId="194" fillId="0" borderId="0" xfId="452" applyFont="1" applyBorder="1" applyAlignment="1">
      <alignment horizontal="center" vertical="center"/>
    </xf>
    <xf numFmtId="0" fontId="194" fillId="0" borderId="22" xfId="452" applyFont="1" applyBorder="1" applyAlignment="1">
      <alignment horizontal="center" vertical="center"/>
    </xf>
    <xf numFmtId="0" fontId="191" fillId="0" borderId="8" xfId="452" applyFont="1" applyBorder="1" applyAlignment="1">
      <alignment horizontal="center" vertical="center"/>
    </xf>
    <xf numFmtId="0" fontId="191" fillId="0" borderId="70" xfId="452" applyFont="1" applyBorder="1" applyAlignment="1">
      <alignment horizontal="center" vertical="center"/>
    </xf>
    <xf numFmtId="0" fontId="191" fillId="0" borderId="12" xfId="452" applyFont="1" applyBorder="1" applyAlignment="1">
      <alignment horizontal="center" vertical="center"/>
    </xf>
    <xf numFmtId="0" fontId="191" fillId="0" borderId="64" xfId="452" applyFont="1" applyBorder="1" applyAlignment="1">
      <alignment horizontal="center" vertical="center"/>
    </xf>
    <xf numFmtId="0" fontId="191" fillId="0" borderId="14" xfId="452" applyFont="1" applyBorder="1" applyAlignment="1">
      <alignment horizontal="center" vertical="center"/>
    </xf>
    <xf numFmtId="0" fontId="191" fillId="0" borderId="66" xfId="452" applyFont="1" applyBorder="1" applyAlignment="1">
      <alignment horizontal="center" vertical="center"/>
    </xf>
    <xf numFmtId="0" fontId="191" fillId="0" borderId="18" xfId="452" applyFont="1" applyBorder="1" applyAlignment="1">
      <alignment horizontal="center" vertical="center"/>
    </xf>
    <xf numFmtId="0" fontId="191" fillId="0" borderId="68" xfId="452" applyFont="1" applyBorder="1" applyAlignment="1">
      <alignment horizontal="center" vertical="center"/>
    </xf>
    <xf numFmtId="0" fontId="127" fillId="0" borderId="15" xfId="0" applyFont="1" applyBorder="1" applyAlignment="1">
      <alignment horizontal="center" vertical="center"/>
    </xf>
    <xf numFmtId="0" fontId="139" fillId="0" borderId="44" xfId="0" applyFont="1" applyFill="1" applyBorder="1" applyAlignment="1">
      <alignment horizontal="left" vertical="center" wrapText="1"/>
    </xf>
    <xf numFmtId="0" fontId="136" fillId="0" borderId="0" xfId="0" applyFont="1" applyAlignment="1">
      <alignment vertical="center"/>
    </xf>
    <xf numFmtId="223" fontId="169" fillId="0" borderId="0" xfId="0" applyNumberFormat="1" applyFont="1" applyFill="1" applyBorder="1" applyAlignment="1">
      <alignment vertical="center"/>
    </xf>
    <xf numFmtId="0" fontId="191" fillId="0" borderId="188" xfId="452" applyFont="1" applyBorder="1" applyAlignment="1">
      <alignment horizontal="center" vertical="center"/>
    </xf>
    <xf numFmtId="0" fontId="191" fillId="0" borderId="4" xfId="452" applyFont="1" applyBorder="1" applyAlignment="1">
      <alignment vertical="center"/>
    </xf>
    <xf numFmtId="0" fontId="193" fillId="0" borderId="36" xfId="452" applyFont="1" applyBorder="1" applyAlignment="1">
      <alignment horizontal="left" vertical="center"/>
    </xf>
    <xf numFmtId="0" fontId="191" fillId="0" borderId="59" xfId="452" applyFont="1" applyBorder="1" applyAlignment="1">
      <alignment vertical="center"/>
    </xf>
    <xf numFmtId="0" fontId="191" fillId="0" borderId="60" xfId="452" applyFont="1" applyBorder="1" applyAlignment="1">
      <alignment vertical="center"/>
    </xf>
    <xf numFmtId="0" fontId="191" fillId="0" borderId="61" xfId="452" applyFont="1" applyBorder="1" applyAlignment="1">
      <alignment vertical="center"/>
    </xf>
    <xf numFmtId="0" fontId="194" fillId="0" borderId="59" xfId="452" applyFont="1" applyBorder="1" applyAlignment="1">
      <alignment vertical="center"/>
    </xf>
    <xf numFmtId="0" fontId="194" fillId="0" borderId="0" xfId="452" applyFont="1" applyBorder="1" applyAlignment="1">
      <alignment vertical="center" wrapText="1"/>
    </xf>
    <xf numFmtId="0" fontId="14" fillId="0" borderId="43" xfId="452" applyFont="1" applyBorder="1" applyAlignment="1">
      <alignment horizontal="center" vertical="center" shrinkToFit="1"/>
    </xf>
    <xf numFmtId="0" fontId="267" fillId="0" borderId="0" xfId="452" applyFont="1" applyAlignment="1">
      <alignment horizontal="left" vertical="center"/>
    </xf>
    <xf numFmtId="0" fontId="14" fillId="0" borderId="0" xfId="452" applyFont="1" applyAlignment="1">
      <alignment horizontal="center" vertical="center"/>
    </xf>
    <xf numFmtId="0" fontId="14" fillId="0" borderId="0" xfId="452" applyFont="1" applyAlignment="1">
      <alignment horizontal="right" vertical="center"/>
    </xf>
    <xf numFmtId="254" fontId="194" fillId="0" borderId="59" xfId="452" applyNumberFormat="1" applyFont="1" applyBorder="1" applyAlignment="1">
      <alignment horizontal="right" vertical="center"/>
    </xf>
    <xf numFmtId="0" fontId="191" fillId="0" borderId="70" xfId="452" applyFont="1" applyBorder="1" applyAlignment="1">
      <alignment horizontal="center" vertical="center" shrinkToFit="1"/>
    </xf>
    <xf numFmtId="0" fontId="191" fillId="0" borderId="22" xfId="452" applyFont="1" applyBorder="1" applyAlignment="1">
      <alignment vertical="center"/>
    </xf>
    <xf numFmtId="0" fontId="194" fillId="0" borderId="0" xfId="452" applyFont="1" applyBorder="1" applyAlignment="1">
      <alignment vertical="center"/>
    </xf>
    <xf numFmtId="254" fontId="194" fillId="0" borderId="0" xfId="452" applyNumberFormat="1" applyFont="1" applyBorder="1" applyAlignment="1">
      <alignment horizontal="right" vertical="center"/>
    </xf>
    <xf numFmtId="0" fontId="266" fillId="0" borderId="187" xfId="453" applyFont="1" applyFill="1" applyBorder="1" applyAlignment="1">
      <alignment vertical="center"/>
    </xf>
    <xf numFmtId="10" fontId="266" fillId="0" borderId="19" xfId="432" applyNumberFormat="1" applyFont="1" applyFill="1" applyBorder="1" applyAlignment="1">
      <alignment vertical="center"/>
    </xf>
    <xf numFmtId="0" fontId="145" fillId="0" borderId="41" xfId="453" applyFont="1" applyFill="1" applyBorder="1" applyAlignment="1">
      <alignment horizontal="left" vertical="center"/>
    </xf>
    <xf numFmtId="0" fontId="9" fillId="0" borderId="0" xfId="452" applyNumberFormat="1" applyFont="1" applyAlignment="1">
      <alignment vertical="center"/>
    </xf>
    <xf numFmtId="0" fontId="277" fillId="0" borderId="0" xfId="452" applyNumberFormat="1" applyFont="1" applyBorder="1" applyAlignment="1">
      <alignment vertical="center"/>
    </xf>
    <xf numFmtId="0" fontId="278" fillId="0" borderId="0" xfId="452" applyNumberFormat="1" applyFont="1" applyBorder="1" applyAlignment="1">
      <alignment vertical="center"/>
    </xf>
    <xf numFmtId="0" fontId="9" fillId="0" borderId="0" xfId="452" applyNumberFormat="1" applyFont="1" applyBorder="1" applyAlignment="1">
      <alignment vertical="center"/>
    </xf>
    <xf numFmtId="0" fontId="9" fillId="0" borderId="0" xfId="452" applyNumberFormat="1" applyFont="1" applyBorder="1" applyAlignment="1">
      <alignment horizontal="center" vertical="center"/>
    </xf>
    <xf numFmtId="0" fontId="9" fillId="0" borderId="0" xfId="452" applyNumberFormat="1" applyFont="1" applyFill="1" applyAlignment="1">
      <alignment vertical="center"/>
    </xf>
    <xf numFmtId="191" fontId="9" fillId="0" borderId="0" xfId="452" applyNumberFormat="1" applyFont="1" applyFill="1" applyAlignment="1">
      <alignment vertical="center"/>
    </xf>
    <xf numFmtId="0" fontId="278" fillId="0" borderId="0" xfId="452" applyNumberFormat="1" applyFont="1" applyBorder="1" applyAlignment="1">
      <alignment horizontal="left" vertical="center"/>
    </xf>
    <xf numFmtId="0" fontId="113" fillId="0" borderId="0" xfId="452" applyNumberFormat="1" applyFont="1" applyFill="1" applyAlignment="1">
      <alignment vertical="center"/>
    </xf>
    <xf numFmtId="186" fontId="9" fillId="0" borderId="0" xfId="452" applyNumberFormat="1" applyFont="1" applyFill="1" applyAlignment="1">
      <alignment vertical="center"/>
    </xf>
    <xf numFmtId="186" fontId="114" fillId="0" borderId="0" xfId="452" applyNumberFormat="1" applyFont="1" applyFill="1" applyAlignment="1">
      <alignment vertical="center"/>
    </xf>
    <xf numFmtId="14" fontId="279" fillId="0" borderId="0" xfId="452" applyNumberFormat="1" applyFont="1" applyFill="1" applyAlignment="1">
      <alignment vertical="center"/>
    </xf>
    <xf numFmtId="0" fontId="229" fillId="0" borderId="0" xfId="452" applyNumberFormat="1" applyFont="1" applyFill="1" applyAlignment="1">
      <alignment vertical="center"/>
    </xf>
    <xf numFmtId="0" fontId="113" fillId="0" borderId="0" xfId="452" applyNumberFormat="1" applyFont="1" applyFill="1" applyAlignment="1">
      <alignment horizontal="left" vertical="center" indent="1"/>
    </xf>
    <xf numFmtId="0" fontId="9" fillId="0" borderId="0" xfId="452" applyNumberFormat="1" applyFont="1" applyFill="1" applyAlignment="1">
      <alignment horizontal="center" vertical="center"/>
    </xf>
    <xf numFmtId="255" fontId="113" fillId="0" borderId="56" xfId="452" applyNumberFormat="1" applyFont="1" applyFill="1" applyBorder="1" applyAlignment="1">
      <alignment vertical="center"/>
    </xf>
    <xf numFmtId="192" fontId="114" fillId="0" borderId="0" xfId="452" applyNumberFormat="1" applyFont="1" applyFill="1" applyAlignment="1">
      <alignment vertical="center"/>
    </xf>
    <xf numFmtId="0" fontId="115" fillId="0" borderId="0" xfId="452" applyNumberFormat="1" applyFont="1" applyFill="1" applyAlignment="1">
      <alignment vertical="center"/>
    </xf>
    <xf numFmtId="0" fontId="9" fillId="0" borderId="18" xfId="452" applyNumberFormat="1" applyFont="1" applyFill="1" applyBorder="1" applyAlignment="1">
      <alignment horizontal="center" vertical="center"/>
    </xf>
    <xf numFmtId="0" fontId="9" fillId="0" borderId="9" xfId="452" applyNumberFormat="1" applyFont="1" applyFill="1" applyBorder="1" applyAlignment="1">
      <alignment horizontal="center" vertical="center"/>
    </xf>
    <xf numFmtId="256" fontId="9" fillId="74" borderId="47" xfId="452" applyNumberFormat="1" applyFont="1" applyFill="1" applyBorder="1" applyAlignment="1">
      <alignment horizontal="center" vertical="center"/>
    </xf>
    <xf numFmtId="0" fontId="230" fillId="74" borderId="47" xfId="452" applyNumberFormat="1" applyFont="1" applyFill="1" applyBorder="1" applyAlignment="1">
      <alignment horizontal="center" vertical="center" shrinkToFit="1"/>
    </xf>
    <xf numFmtId="0" fontId="230" fillId="74" borderId="47" xfId="452" applyFont="1" applyFill="1" applyBorder="1" applyAlignment="1">
      <alignment horizontal="center" vertical="center" wrapText="1" shrinkToFit="1"/>
    </xf>
    <xf numFmtId="190" fontId="9" fillId="74" borderId="47" xfId="452" applyNumberFormat="1" applyFont="1" applyFill="1" applyBorder="1" applyAlignment="1">
      <alignment vertical="center"/>
    </xf>
    <xf numFmtId="191" fontId="9" fillId="74" borderId="44" xfId="452" applyNumberFormat="1" applyFont="1" applyFill="1" applyBorder="1" applyAlignment="1">
      <alignment vertical="center"/>
    </xf>
    <xf numFmtId="192" fontId="9" fillId="74" borderId="47" xfId="452" applyNumberFormat="1" applyFont="1" applyFill="1" applyBorder="1" applyAlignment="1">
      <alignment vertical="center"/>
    </xf>
    <xf numFmtId="186" fontId="9" fillId="74" borderId="47" xfId="452" applyNumberFormat="1" applyFont="1" applyFill="1" applyBorder="1" applyAlignment="1">
      <alignment vertical="center"/>
    </xf>
    <xf numFmtId="38" fontId="9" fillId="74" borderId="47" xfId="475" applyNumberFormat="1" applyFont="1" applyFill="1" applyBorder="1" applyAlignment="1">
      <alignment vertical="center"/>
    </xf>
    <xf numFmtId="197" fontId="116" fillId="74" borderId="47" xfId="475" applyNumberFormat="1" applyFont="1" applyFill="1" applyBorder="1" applyAlignment="1">
      <alignment horizontal="right" vertical="center"/>
    </xf>
    <xf numFmtId="14" fontId="9" fillId="74" borderId="44" xfId="476" applyNumberFormat="1" applyFont="1" applyFill="1" applyBorder="1" applyAlignment="1">
      <alignment horizontal="center" vertical="center"/>
    </xf>
    <xf numFmtId="14" fontId="9" fillId="74" borderId="44" xfId="458" applyNumberFormat="1" applyFont="1" applyFill="1" applyBorder="1" applyAlignment="1">
      <alignment horizontal="center" vertical="center"/>
    </xf>
    <xf numFmtId="194" fontId="9" fillId="74" borderId="47" xfId="455" applyNumberFormat="1" applyFont="1" applyFill="1" applyBorder="1" applyAlignment="1">
      <alignment horizontal="center" vertical="center"/>
    </xf>
    <xf numFmtId="257" fontId="9" fillId="74" borderId="47" xfId="455" applyNumberFormat="1" applyFont="1" applyFill="1" applyBorder="1" applyAlignment="1">
      <alignment horizontal="center" vertical="center"/>
    </xf>
    <xf numFmtId="197" fontId="116" fillId="74" borderId="47" xfId="475" applyNumberFormat="1" applyFont="1" applyFill="1" applyBorder="1" applyAlignment="1">
      <alignment vertical="center" wrapText="1"/>
    </xf>
    <xf numFmtId="0" fontId="9" fillId="74" borderId="0" xfId="452" applyNumberFormat="1" applyFont="1" applyFill="1" applyAlignment="1">
      <alignment vertical="center"/>
    </xf>
    <xf numFmtId="256" fontId="9" fillId="61" borderId="44" xfId="452" applyNumberFormat="1" applyFont="1" applyFill="1" applyBorder="1" applyAlignment="1">
      <alignment horizontal="center" vertical="center"/>
    </xf>
    <xf numFmtId="0" fontId="230" fillId="61" borderId="44" xfId="452" applyNumberFormat="1" applyFont="1" applyFill="1" applyBorder="1" applyAlignment="1">
      <alignment horizontal="center" vertical="center" shrinkToFit="1"/>
    </xf>
    <xf numFmtId="0" fontId="230" fillId="61" borderId="44" xfId="452" applyFont="1" applyFill="1" applyBorder="1" applyAlignment="1">
      <alignment horizontal="center" vertical="center" wrapText="1" shrinkToFit="1"/>
    </xf>
    <xf numFmtId="190" fontId="9" fillId="61" borderId="44" xfId="452" applyNumberFormat="1" applyFont="1" applyFill="1" applyBorder="1" applyAlignment="1">
      <alignment vertical="center"/>
    </xf>
    <xf numFmtId="191" fontId="9" fillId="61" borderId="44" xfId="452" applyNumberFormat="1" applyFont="1" applyFill="1" applyBorder="1" applyAlignment="1">
      <alignment vertical="center"/>
    </xf>
    <xf numFmtId="192" fontId="9" fillId="61" borderId="44" xfId="452" applyNumberFormat="1" applyFont="1" applyFill="1" applyBorder="1" applyAlignment="1">
      <alignment vertical="center"/>
    </xf>
    <xf numFmtId="186" fontId="9" fillId="61" borderId="44" xfId="452" applyNumberFormat="1" applyFont="1" applyFill="1" applyBorder="1" applyAlignment="1">
      <alignment vertical="center"/>
    </xf>
    <xf numFmtId="38" fontId="9" fillId="61" borderId="44" xfId="475" applyNumberFormat="1" applyFont="1" applyFill="1" applyBorder="1" applyAlignment="1">
      <alignment vertical="center"/>
    </xf>
    <xf numFmtId="197" fontId="116" fillId="61" borderId="44" xfId="475" applyNumberFormat="1" applyFont="1" applyFill="1" applyBorder="1" applyAlignment="1">
      <alignment horizontal="right" vertical="center"/>
    </xf>
    <xf numFmtId="14" fontId="9" fillId="61" borderId="44" xfId="476" applyNumberFormat="1" applyFont="1" applyFill="1" applyBorder="1" applyAlignment="1">
      <alignment horizontal="center" vertical="center"/>
    </xf>
    <xf numFmtId="14" fontId="9" fillId="61" borderId="44" xfId="458" applyNumberFormat="1" applyFont="1" applyFill="1" applyBorder="1" applyAlignment="1">
      <alignment horizontal="center" vertical="center"/>
    </xf>
    <xf numFmtId="194" fontId="9" fillId="61" borderId="44" xfId="455" applyNumberFormat="1" applyFont="1" applyFill="1" applyBorder="1" applyAlignment="1">
      <alignment horizontal="center" vertical="center"/>
    </xf>
    <xf numFmtId="257" fontId="9" fillId="61" borderId="44" xfId="455" applyNumberFormat="1" applyFont="1" applyFill="1" applyBorder="1" applyAlignment="1">
      <alignment horizontal="center" vertical="center"/>
    </xf>
    <xf numFmtId="197" fontId="116" fillId="61" borderId="44" xfId="475" applyNumberFormat="1" applyFont="1" applyFill="1" applyBorder="1" applyAlignment="1">
      <alignment vertical="center"/>
    </xf>
    <xf numFmtId="0" fontId="9" fillId="77" borderId="0" xfId="452" applyNumberFormat="1" applyFont="1" applyFill="1" applyAlignment="1">
      <alignment vertical="center"/>
    </xf>
    <xf numFmtId="0" fontId="230" fillId="61" borderId="44" xfId="452" applyNumberFormat="1" applyFont="1" applyFill="1" applyBorder="1" applyAlignment="1">
      <alignment horizontal="center" vertical="center" wrapText="1" shrinkToFit="1"/>
    </xf>
    <xf numFmtId="192" fontId="113" fillId="75" borderId="44" xfId="452" applyNumberFormat="1" applyFont="1" applyFill="1" applyBorder="1" applyAlignment="1">
      <alignment vertical="center"/>
    </xf>
    <xf numFmtId="186" fontId="113" fillId="75" borderId="44" xfId="452" applyNumberFormat="1" applyFont="1" applyFill="1" applyBorder="1" applyAlignment="1">
      <alignment vertical="center"/>
    </xf>
    <xf numFmtId="197" fontId="116" fillId="61" borderId="69" xfId="475" applyNumberFormat="1" applyFont="1" applyFill="1" applyBorder="1" applyAlignment="1">
      <alignment horizontal="right" vertical="center"/>
    </xf>
    <xf numFmtId="0" fontId="9" fillId="61" borderId="44" xfId="475" applyNumberFormat="1" applyFont="1" applyFill="1" applyBorder="1" applyAlignment="1">
      <alignment vertical="center"/>
    </xf>
    <xf numFmtId="0" fontId="9" fillId="15" borderId="0" xfId="452" applyNumberFormat="1" applyFont="1" applyFill="1" applyAlignment="1">
      <alignment vertical="center"/>
    </xf>
    <xf numFmtId="0" fontId="9" fillId="73" borderId="0" xfId="452" applyNumberFormat="1" applyFont="1" applyFill="1" applyAlignment="1">
      <alignment vertical="center"/>
    </xf>
    <xf numFmtId="0" fontId="9" fillId="61" borderId="44" xfId="455" applyNumberFormat="1" applyFont="1" applyFill="1" applyBorder="1" applyAlignment="1">
      <alignment horizontal="center" vertical="center"/>
    </xf>
    <xf numFmtId="0" fontId="116" fillId="61" borderId="44" xfId="475" applyNumberFormat="1" applyFont="1" applyFill="1" applyBorder="1" applyAlignment="1">
      <alignment vertical="center"/>
    </xf>
    <xf numFmtId="0" fontId="230" fillId="61" borderId="44" xfId="452" applyFont="1" applyFill="1" applyBorder="1" applyAlignment="1">
      <alignment horizontal="center" vertical="center" shrinkToFit="1"/>
    </xf>
    <xf numFmtId="0" fontId="9" fillId="61" borderId="0" xfId="452" applyNumberFormat="1" applyFont="1" applyFill="1" applyAlignment="1">
      <alignment vertical="center"/>
    </xf>
    <xf numFmtId="256" fontId="9" fillId="61" borderId="62" xfId="452" applyNumberFormat="1" applyFont="1" applyFill="1" applyBorder="1" applyAlignment="1">
      <alignment horizontal="center" vertical="center"/>
    </xf>
    <xf numFmtId="0" fontId="230" fillId="61" borderId="62" xfId="452" applyNumberFormat="1" applyFont="1" applyFill="1" applyBorder="1" applyAlignment="1">
      <alignment horizontal="center" vertical="center" shrinkToFit="1"/>
    </xf>
    <xf numFmtId="0" fontId="230" fillId="61" borderId="62" xfId="452" applyFont="1" applyFill="1" applyBorder="1" applyAlignment="1">
      <alignment horizontal="center" vertical="center" wrapText="1" shrinkToFit="1"/>
    </xf>
    <xf numFmtId="190" fontId="9" fillId="61" borderId="62" xfId="452" applyNumberFormat="1" applyFont="1" applyFill="1" applyBorder="1" applyAlignment="1">
      <alignment vertical="center"/>
    </xf>
    <xf numFmtId="191" fontId="9" fillId="61" borderId="62" xfId="452" applyNumberFormat="1" applyFont="1" applyFill="1" applyBorder="1" applyAlignment="1">
      <alignment vertical="center"/>
    </xf>
    <xf numFmtId="192" fontId="113" fillId="75" borderId="62" xfId="452" applyNumberFormat="1" applyFont="1" applyFill="1" applyBorder="1" applyAlignment="1">
      <alignment vertical="center"/>
    </xf>
    <xf numFmtId="186" fontId="113" fillId="75" borderId="62" xfId="452" applyNumberFormat="1" applyFont="1" applyFill="1" applyBorder="1" applyAlignment="1">
      <alignment vertical="center"/>
    </xf>
    <xf numFmtId="38" fontId="9" fillId="61" borderId="62" xfId="475" applyNumberFormat="1" applyFont="1" applyFill="1" applyBorder="1" applyAlignment="1">
      <alignment vertical="center"/>
    </xf>
    <xf numFmtId="197" fontId="116" fillId="61" borderId="62" xfId="475" applyNumberFormat="1" applyFont="1" applyFill="1" applyBorder="1" applyAlignment="1">
      <alignment horizontal="right" vertical="center"/>
    </xf>
    <xf numFmtId="14" fontId="9" fillId="61" borderId="62" xfId="476" applyNumberFormat="1" applyFont="1" applyFill="1" applyBorder="1" applyAlignment="1">
      <alignment horizontal="center" vertical="center"/>
    </xf>
    <xf numFmtId="14" fontId="9" fillId="61" borderId="62" xfId="458" applyNumberFormat="1" applyFont="1" applyFill="1" applyBorder="1" applyAlignment="1">
      <alignment horizontal="center" vertical="center"/>
    </xf>
    <xf numFmtId="194" fontId="9" fillId="61" borderId="62" xfId="455" applyNumberFormat="1" applyFont="1" applyFill="1" applyBorder="1" applyAlignment="1">
      <alignment horizontal="center" vertical="center"/>
    </xf>
    <xf numFmtId="257" fontId="9" fillId="61" borderId="62" xfId="455" applyNumberFormat="1" applyFont="1" applyFill="1" applyBorder="1" applyAlignment="1">
      <alignment horizontal="center" vertical="center"/>
    </xf>
    <xf numFmtId="197" fontId="116" fillId="61" borderId="62" xfId="475" applyNumberFormat="1" applyFont="1" applyFill="1" applyBorder="1" applyAlignment="1">
      <alignment vertical="center"/>
    </xf>
    <xf numFmtId="0" fontId="9" fillId="0" borderId="45" xfId="452" applyNumberFormat="1" applyFont="1" applyFill="1" applyBorder="1" applyAlignment="1">
      <alignment horizontal="center" vertical="center"/>
    </xf>
    <xf numFmtId="190" fontId="9" fillId="0" borderId="18" xfId="452" applyNumberFormat="1" applyFont="1" applyFill="1" applyBorder="1" applyAlignment="1">
      <alignment horizontal="right" vertical="center"/>
    </xf>
    <xf numFmtId="202" fontId="9" fillId="0" borderId="68" xfId="452" applyNumberFormat="1" applyFont="1" applyFill="1" applyBorder="1" applyAlignment="1">
      <alignment horizontal="right" vertical="center"/>
    </xf>
    <xf numFmtId="186" fontId="9" fillId="0" borderId="45" xfId="452" applyNumberFormat="1" applyFont="1" applyFill="1" applyBorder="1" applyAlignment="1">
      <alignment vertical="center"/>
    </xf>
    <xf numFmtId="197" fontId="9" fillId="0" borderId="184" xfId="452" applyNumberFormat="1" applyFont="1" applyFill="1" applyBorder="1" applyAlignment="1">
      <alignment vertical="center"/>
    </xf>
    <xf numFmtId="197" fontId="9" fillId="0" borderId="0" xfId="452" applyNumberFormat="1" applyFont="1" applyFill="1" applyBorder="1" applyAlignment="1">
      <alignment vertical="center"/>
    </xf>
    <xf numFmtId="0" fontId="9" fillId="0" borderId="0" xfId="452" applyNumberFormat="1" applyFont="1" applyFill="1" applyBorder="1" applyAlignment="1">
      <alignment vertical="center"/>
    </xf>
    <xf numFmtId="190" fontId="9" fillId="0" borderId="24" xfId="452" applyNumberFormat="1" applyFont="1" applyFill="1" applyBorder="1" applyAlignment="1">
      <alignment vertical="center"/>
    </xf>
    <xf numFmtId="202" fontId="9" fillId="0" borderId="70" xfId="452" applyNumberFormat="1" applyFont="1" applyFill="1" applyBorder="1" applyAlignment="1">
      <alignment vertical="center"/>
    </xf>
    <xf numFmtId="186" fontId="9" fillId="0" borderId="9" xfId="452" applyNumberFormat="1" applyFont="1" applyFill="1" applyBorder="1" applyAlignment="1">
      <alignment vertical="center"/>
    </xf>
    <xf numFmtId="197" fontId="9" fillId="0" borderId="14" xfId="452" applyNumberFormat="1" applyFont="1" applyFill="1" applyBorder="1" applyAlignment="1">
      <alignment vertical="center"/>
    </xf>
    <xf numFmtId="0" fontId="9" fillId="0" borderId="0" xfId="452" applyNumberFormat="1" applyFont="1" applyFill="1" applyBorder="1" applyAlignment="1">
      <alignment horizontal="center" vertical="center"/>
    </xf>
    <xf numFmtId="190" fontId="9" fillId="0" borderId="0" xfId="452" applyNumberFormat="1" applyFont="1" applyFill="1" applyBorder="1" applyAlignment="1">
      <alignment vertical="center"/>
    </xf>
    <xf numFmtId="202" fontId="9" fillId="0" borderId="0" xfId="452" applyNumberFormat="1" applyFont="1" applyFill="1" applyBorder="1" applyAlignment="1">
      <alignment vertical="center"/>
    </xf>
    <xf numFmtId="186" fontId="9" fillId="0" borderId="0" xfId="452" applyNumberFormat="1" applyFont="1" applyFill="1" applyBorder="1" applyAlignment="1">
      <alignment vertical="center"/>
    </xf>
    <xf numFmtId="197" fontId="113" fillId="0" borderId="0" xfId="452" applyNumberFormat="1" applyFont="1" applyFill="1" applyBorder="1" applyAlignment="1">
      <alignment vertical="center"/>
    </xf>
    <xf numFmtId="0" fontId="113" fillId="0" borderId="0" xfId="452" applyNumberFormat="1" applyFont="1" applyFill="1" applyBorder="1" applyAlignment="1">
      <alignment horizontal="center" vertical="center"/>
    </xf>
    <xf numFmtId="190" fontId="113" fillId="0" borderId="0" xfId="452" applyNumberFormat="1" applyFont="1" applyFill="1" applyBorder="1" applyAlignment="1">
      <alignment vertical="center"/>
    </xf>
    <xf numFmtId="202" fontId="113" fillId="0" borderId="0" xfId="452" applyNumberFormat="1" applyFont="1" applyFill="1" applyBorder="1" applyAlignment="1">
      <alignment vertical="center"/>
    </xf>
    <xf numFmtId="186" fontId="113" fillId="0" borderId="0" xfId="452" applyNumberFormat="1" applyFont="1" applyFill="1" applyBorder="1" applyAlignment="1">
      <alignment vertical="center"/>
    </xf>
    <xf numFmtId="193" fontId="121" fillId="0" borderId="0" xfId="452" applyNumberFormat="1" applyFont="1" applyFill="1" applyBorder="1" applyAlignment="1">
      <alignment horizontal="left" vertical="center"/>
    </xf>
    <xf numFmtId="0" fontId="9" fillId="0" borderId="183" xfId="452" applyNumberFormat="1" applyFont="1" applyFill="1" applyBorder="1" applyAlignment="1">
      <alignment vertical="center"/>
    </xf>
    <xf numFmtId="0" fontId="113" fillId="0" borderId="183" xfId="452" applyNumberFormat="1" applyFont="1" applyFill="1" applyBorder="1" applyAlignment="1">
      <alignment horizontal="center" vertical="center"/>
    </xf>
    <xf numFmtId="190" fontId="113" fillId="0" borderId="183" xfId="452" applyNumberFormat="1" applyFont="1" applyFill="1" applyBorder="1" applyAlignment="1">
      <alignment vertical="center"/>
    </xf>
    <xf numFmtId="202" fontId="113" fillId="0" borderId="183" xfId="452" applyNumberFormat="1" applyFont="1" applyFill="1" applyBorder="1" applyAlignment="1">
      <alignment vertical="center"/>
    </xf>
    <xf numFmtId="186" fontId="113" fillId="0" borderId="183" xfId="452" applyNumberFormat="1" applyFont="1" applyFill="1" applyBorder="1" applyAlignment="1">
      <alignment vertical="center"/>
    </xf>
    <xf numFmtId="193" fontId="9" fillId="0" borderId="0" xfId="452" applyNumberFormat="1" applyFont="1" applyFill="1" applyBorder="1" applyAlignment="1">
      <alignment horizontal="center" vertical="center"/>
    </xf>
    <xf numFmtId="193" fontId="120" fillId="0" borderId="0" xfId="452" applyNumberFormat="1" applyFont="1" applyFill="1" applyBorder="1" applyAlignment="1">
      <alignment horizontal="center" vertical="center"/>
    </xf>
    <xf numFmtId="0" fontId="113" fillId="0" borderId="10" xfId="452" applyNumberFormat="1" applyFont="1" applyFill="1" applyBorder="1" applyAlignment="1">
      <alignment vertical="center"/>
    </xf>
    <xf numFmtId="0" fontId="9" fillId="0" borderId="10" xfId="452" applyNumberFormat="1" applyFont="1" applyFill="1" applyBorder="1" applyAlignment="1">
      <alignment vertical="center"/>
    </xf>
    <xf numFmtId="0" fontId="111" fillId="0" borderId="0" xfId="452" applyNumberFormat="1" applyFont="1" applyAlignment="1">
      <alignment vertical="center"/>
    </xf>
    <xf numFmtId="193" fontId="111" fillId="0" borderId="0" xfId="452" applyNumberFormat="1" applyFont="1" applyFill="1" applyBorder="1" applyAlignment="1">
      <alignment horizontal="center" vertical="center"/>
    </xf>
    <xf numFmtId="0" fontId="111" fillId="0" borderId="0" xfId="452" applyNumberFormat="1" applyFont="1" applyFill="1" applyAlignment="1">
      <alignment vertical="center"/>
    </xf>
    <xf numFmtId="0" fontId="117" fillId="0" borderId="0" xfId="452" applyNumberFormat="1" applyFont="1" applyFill="1" applyAlignment="1">
      <alignment vertical="center"/>
    </xf>
    <xf numFmtId="0" fontId="9" fillId="0" borderId="69" xfId="452" applyNumberFormat="1" applyFont="1" applyFill="1" applyBorder="1" applyAlignment="1">
      <alignment vertical="center"/>
    </xf>
    <xf numFmtId="258" fontId="9" fillId="0" borderId="47" xfId="445" applyNumberFormat="1" applyFont="1" applyFill="1" applyBorder="1"/>
    <xf numFmtId="0" fontId="111" fillId="61" borderId="0" xfId="452" applyNumberFormat="1" applyFont="1" applyFill="1" applyAlignment="1">
      <alignment vertical="center"/>
    </xf>
    <xf numFmtId="3" fontId="111" fillId="61" borderId="0" xfId="452" applyNumberFormat="1" applyFont="1" applyFill="1" applyAlignment="1">
      <alignment vertical="center"/>
    </xf>
    <xf numFmtId="0" fontId="9" fillId="0" borderId="39" xfId="452" applyNumberFormat="1" applyFont="1" applyFill="1" applyBorder="1" applyAlignment="1">
      <alignment horizontal="left" vertical="center" indent="1"/>
    </xf>
    <xf numFmtId="0" fontId="9" fillId="0" borderId="46" xfId="452" applyNumberFormat="1" applyFont="1" applyFill="1" applyBorder="1" applyAlignment="1">
      <alignment horizontal="left" vertical="center" indent="1"/>
    </xf>
    <xf numFmtId="186" fontId="9" fillId="0" borderId="44" xfId="452" applyNumberFormat="1" applyFont="1" applyFill="1" applyBorder="1" applyAlignment="1">
      <alignment vertical="center"/>
    </xf>
    <xf numFmtId="0" fontId="9" fillId="78" borderId="39" xfId="452" applyNumberFormat="1" applyFont="1" applyFill="1" applyBorder="1" applyAlignment="1">
      <alignment horizontal="left" vertical="center" indent="1"/>
    </xf>
    <xf numFmtId="0" fontId="9" fillId="78" borderId="31" xfId="452" applyNumberFormat="1" applyFont="1" applyFill="1" applyBorder="1" applyAlignment="1">
      <alignment vertical="center"/>
    </xf>
    <xf numFmtId="186" fontId="9" fillId="78" borderId="47" xfId="452" applyNumberFormat="1" applyFont="1" applyFill="1" applyBorder="1" applyAlignment="1">
      <alignment horizontal="right" vertical="center"/>
    </xf>
    <xf numFmtId="38" fontId="113" fillId="0" borderId="49" xfId="445" applyFont="1" applyFill="1" applyBorder="1" applyAlignment="1">
      <alignment shrinkToFit="1"/>
    </xf>
    <xf numFmtId="0" fontId="9" fillId="0" borderId="31" xfId="452" applyNumberFormat="1" applyFont="1" applyFill="1" applyBorder="1" applyAlignment="1">
      <alignment horizontal="left" vertical="center" indent="1"/>
    </xf>
    <xf numFmtId="186" fontId="9" fillId="78" borderId="44" xfId="452" applyNumberFormat="1" applyFont="1" applyFill="1" applyBorder="1" applyAlignment="1">
      <alignment horizontal="right" vertical="center"/>
    </xf>
    <xf numFmtId="204" fontId="228" fillId="0" borderId="69" xfId="477" applyNumberFormat="1" applyFont="1" applyFill="1" applyBorder="1" applyAlignment="1">
      <alignment horizontal="left" vertical="center" shrinkToFit="1"/>
    </xf>
    <xf numFmtId="38" fontId="9" fillId="0" borderId="50" xfId="445" applyFont="1" applyFill="1" applyBorder="1"/>
    <xf numFmtId="10" fontId="117" fillId="0" borderId="0" xfId="452" applyNumberFormat="1" applyFont="1" applyFill="1" applyAlignment="1">
      <alignment vertical="center"/>
    </xf>
    <xf numFmtId="0" fontId="111" fillId="61" borderId="0" xfId="452" applyNumberFormat="1" applyFont="1" applyFill="1" applyAlignment="1">
      <alignment horizontal="right" vertical="center"/>
    </xf>
    <xf numFmtId="198" fontId="9" fillId="0" borderId="31" xfId="452" applyNumberFormat="1" applyFont="1" applyFill="1" applyBorder="1" applyAlignment="1">
      <alignment horizontal="center" vertical="center"/>
    </xf>
    <xf numFmtId="0" fontId="9" fillId="61" borderId="39" xfId="452" applyNumberFormat="1" applyFont="1" applyFill="1" applyBorder="1" applyAlignment="1">
      <alignment horizontal="left" vertical="center" indent="1"/>
    </xf>
    <xf numFmtId="0" fontId="9" fillId="61" borderId="0" xfId="452" applyNumberFormat="1" applyFont="1" applyFill="1" applyBorder="1" applyAlignment="1">
      <alignment vertical="center"/>
    </xf>
    <xf numFmtId="186" fontId="9" fillId="61" borderId="44" xfId="452" applyNumberFormat="1" applyFont="1" applyFill="1" applyBorder="1" applyAlignment="1">
      <alignment horizontal="right" vertical="center"/>
    </xf>
    <xf numFmtId="38" fontId="9" fillId="0" borderId="44" xfId="445" applyFont="1" applyFill="1" applyBorder="1"/>
    <xf numFmtId="0" fontId="9" fillId="0" borderId="52" xfId="452" applyNumberFormat="1" applyFont="1" applyFill="1" applyBorder="1" applyAlignment="1">
      <alignment horizontal="left" vertical="center" indent="1"/>
    </xf>
    <xf numFmtId="248" fontId="9" fillId="61" borderId="28" xfId="452" applyNumberFormat="1" applyFont="1" applyFill="1" applyBorder="1" applyAlignment="1">
      <alignment vertical="center"/>
    </xf>
    <xf numFmtId="0" fontId="9" fillId="61" borderId="51" xfId="452" applyNumberFormat="1" applyFont="1" applyFill="1" applyBorder="1" applyAlignment="1">
      <alignment horizontal="left" vertical="center" indent="1"/>
    </xf>
    <xf numFmtId="248" fontId="9" fillId="61" borderId="0" xfId="452" applyNumberFormat="1" applyFont="1" applyFill="1" applyBorder="1" applyAlignment="1">
      <alignment vertical="center"/>
    </xf>
    <xf numFmtId="186" fontId="9" fillId="61" borderId="53" xfId="452" applyNumberFormat="1" applyFont="1" applyFill="1" applyBorder="1" applyAlignment="1">
      <alignment horizontal="right" vertical="center"/>
    </xf>
    <xf numFmtId="38" fontId="9" fillId="0" borderId="49" xfId="445" applyFont="1" applyFill="1" applyBorder="1"/>
    <xf numFmtId="0" fontId="111" fillId="0" borderId="0" xfId="462" applyNumberFormat="1" applyFont="1" applyFill="1" applyAlignment="1">
      <alignment vertical="center"/>
    </xf>
    <xf numFmtId="0" fontId="111" fillId="0" borderId="0" xfId="462" applyNumberFormat="1" applyFont="1" applyFill="1" applyBorder="1" applyAlignment="1">
      <alignment vertical="center"/>
    </xf>
    <xf numFmtId="0" fontId="9" fillId="0" borderId="240" xfId="452" applyNumberFormat="1" applyFont="1" applyFill="1" applyBorder="1" applyAlignment="1">
      <alignment horizontal="left" vertical="center" indent="1"/>
    </xf>
    <xf numFmtId="0" fontId="9" fillId="0" borderId="102" xfId="452" applyNumberFormat="1" applyFont="1" applyFill="1" applyBorder="1" applyAlignment="1">
      <alignment horizontal="left" vertical="center" indent="1"/>
    </xf>
    <xf numFmtId="186" fontId="9" fillId="0" borderId="62" xfId="452" applyNumberFormat="1" applyFont="1" applyFill="1" applyBorder="1" applyAlignment="1">
      <alignment horizontal="right" vertical="center"/>
    </xf>
    <xf numFmtId="0" fontId="9" fillId="61" borderId="240" xfId="452" applyNumberFormat="1" applyFont="1" applyFill="1" applyBorder="1" applyAlignment="1">
      <alignment horizontal="left" vertical="center" indent="1"/>
    </xf>
    <xf numFmtId="256" fontId="9" fillId="61" borderId="102" xfId="452" applyNumberFormat="1" applyFont="1" applyFill="1" applyBorder="1" applyAlignment="1">
      <alignment vertical="center"/>
    </xf>
    <xf numFmtId="186" fontId="9" fillId="61" borderId="62" xfId="452" applyNumberFormat="1" applyFont="1" applyFill="1" applyBorder="1" applyAlignment="1">
      <alignment horizontal="right" vertical="center"/>
    </xf>
    <xf numFmtId="38" fontId="113" fillId="0" borderId="45" xfId="445" applyFont="1" applyFill="1" applyBorder="1"/>
    <xf numFmtId="0" fontId="111" fillId="0" borderId="0" xfId="462" applyNumberFormat="1" applyFont="1" applyFill="1" applyAlignment="1">
      <alignment horizontal="right" vertical="center"/>
    </xf>
    <xf numFmtId="0" fontId="113" fillId="0" borderId="45" xfId="452" applyNumberFormat="1" applyFont="1" applyFill="1" applyBorder="1" applyAlignment="1">
      <alignment horizontal="center" vertical="center"/>
    </xf>
    <xf numFmtId="186" fontId="113" fillId="0" borderId="45" xfId="452" applyNumberFormat="1" applyFont="1" applyFill="1" applyBorder="1" applyAlignment="1">
      <alignment vertical="center"/>
    </xf>
    <xf numFmtId="259" fontId="9" fillId="0" borderId="0" xfId="433" applyNumberFormat="1" applyFont="1" applyFill="1" applyAlignment="1">
      <alignment vertical="center"/>
    </xf>
    <xf numFmtId="0" fontId="113" fillId="0" borderId="0" xfId="457" applyFont="1" applyFill="1" applyBorder="1" applyAlignment="1">
      <alignment horizontal="left"/>
    </xf>
    <xf numFmtId="38" fontId="113" fillId="0" borderId="0" xfId="445" applyFont="1" applyFill="1" applyBorder="1"/>
    <xf numFmtId="0" fontId="9" fillId="0" borderId="0" xfId="452" applyFont="1" applyFill="1" applyBorder="1" applyAlignment="1">
      <alignment horizontal="center" vertical="center"/>
    </xf>
    <xf numFmtId="0" fontId="113" fillId="0" borderId="0" xfId="452" applyFont="1" applyFill="1" applyBorder="1" applyAlignment="1">
      <alignment vertical="center"/>
    </xf>
    <xf numFmtId="186" fontId="111" fillId="0" borderId="0" xfId="462" applyNumberFormat="1" applyFont="1" applyFill="1" applyAlignment="1">
      <alignment vertical="center"/>
    </xf>
    <xf numFmtId="0" fontId="113" fillId="0" borderId="0" xfId="452" applyNumberFormat="1" applyFont="1" applyFill="1" applyAlignment="1">
      <alignment horizontal="right" vertical="center"/>
    </xf>
    <xf numFmtId="233" fontId="113" fillId="0" borderId="56" xfId="452" applyNumberFormat="1" applyFont="1" applyFill="1" applyBorder="1" applyAlignment="1">
      <alignment horizontal="right" vertical="center"/>
    </xf>
    <xf numFmtId="0" fontId="121" fillId="0" borderId="0" xfId="462" applyNumberFormat="1" applyFont="1" applyFill="1" applyAlignment="1">
      <alignment vertical="center"/>
    </xf>
    <xf numFmtId="0" fontId="9" fillId="0" borderId="24" xfId="452" applyNumberFormat="1" applyFont="1" applyFill="1" applyBorder="1" applyAlignment="1">
      <alignment horizontal="center" vertical="center"/>
    </xf>
    <xf numFmtId="0" fontId="9" fillId="0" borderId="70" xfId="452" applyNumberFormat="1" applyFont="1" applyFill="1" applyBorder="1" applyAlignment="1">
      <alignment horizontal="center" vertical="center"/>
    </xf>
    <xf numFmtId="186" fontId="9" fillId="0" borderId="0" xfId="452" applyNumberFormat="1" applyFont="1" applyFill="1" applyAlignment="1">
      <alignment horizontal="center" vertical="center"/>
    </xf>
    <xf numFmtId="0" fontId="120" fillId="42" borderId="54" xfId="452" applyNumberFormat="1" applyFont="1" applyFill="1" applyBorder="1" applyAlignment="1">
      <alignment horizontal="center" vertical="center"/>
    </xf>
    <xf numFmtId="186" fontId="121" fillId="42" borderId="55" xfId="452" applyNumberFormat="1" applyFont="1" applyFill="1" applyBorder="1" applyAlignment="1">
      <alignment vertical="center"/>
    </xf>
    <xf numFmtId="0" fontId="9" fillId="0" borderId="43" xfId="452" applyNumberFormat="1" applyFont="1" applyFill="1" applyBorder="1" applyAlignment="1">
      <alignment vertical="center"/>
    </xf>
    <xf numFmtId="0" fontId="116" fillId="0" borderId="0" xfId="452" applyNumberFormat="1" applyFont="1" applyFill="1" applyAlignment="1">
      <alignment horizontal="left" vertical="center"/>
    </xf>
    <xf numFmtId="0" fontId="9" fillId="0" borderId="37" xfId="452" applyNumberFormat="1" applyFont="1" applyFill="1" applyBorder="1" applyAlignment="1">
      <alignment horizontal="center" vertical="center"/>
    </xf>
    <xf numFmtId="0" fontId="9" fillId="0" borderId="26" xfId="452" applyNumberFormat="1" applyFont="1" applyFill="1" applyBorder="1" applyAlignment="1">
      <alignment horizontal="center" vertical="center"/>
    </xf>
    <xf numFmtId="186" fontId="9" fillId="0" borderId="47" xfId="452" applyNumberFormat="1" applyFont="1" applyFill="1" applyBorder="1" applyAlignment="1">
      <alignment vertical="center"/>
    </xf>
    <xf numFmtId="0" fontId="9" fillId="0" borderId="49" xfId="452" applyNumberFormat="1" applyFont="1" applyFill="1" applyBorder="1" applyAlignment="1">
      <alignment vertical="center"/>
    </xf>
    <xf numFmtId="186" fontId="9" fillId="0" borderId="0" xfId="452" applyNumberFormat="1" applyFont="1" applyFill="1" applyAlignment="1">
      <alignment horizontal="left" vertical="center"/>
    </xf>
    <xf numFmtId="0" fontId="9" fillId="0" borderId="40" xfId="452" applyNumberFormat="1" applyFont="1" applyFill="1" applyBorder="1" applyAlignment="1">
      <alignment horizontal="center" vertical="center"/>
    </xf>
    <xf numFmtId="0" fontId="9" fillId="0" borderId="30" xfId="452" applyNumberFormat="1" applyFont="1" applyFill="1" applyBorder="1" applyAlignment="1">
      <alignment horizontal="center" vertical="center"/>
    </xf>
    <xf numFmtId="186" fontId="9" fillId="0" borderId="49" xfId="452" applyNumberFormat="1" applyFont="1" applyFill="1" applyBorder="1" applyAlignment="1">
      <alignment vertical="center"/>
    </xf>
    <xf numFmtId="0" fontId="113" fillId="0" borderId="54" xfId="452" applyNumberFormat="1" applyFont="1" applyFill="1" applyBorder="1" applyAlignment="1">
      <alignment horizontal="center" vertical="center"/>
    </xf>
    <xf numFmtId="255" fontId="113" fillId="0" borderId="55" xfId="452" applyNumberFormat="1" applyFont="1" applyFill="1" applyBorder="1" applyAlignment="1">
      <alignment vertical="center"/>
    </xf>
    <xf numFmtId="225" fontId="9" fillId="0" borderId="0" xfId="443" applyNumberFormat="1" applyFont="1" applyFill="1" applyBorder="1" applyAlignment="1">
      <alignment horizontal="right" vertical="center"/>
    </xf>
    <xf numFmtId="186" fontId="9" fillId="0" borderId="0" xfId="452" applyNumberFormat="1" applyFont="1" applyAlignment="1">
      <alignment vertical="center"/>
    </xf>
    <xf numFmtId="0" fontId="9" fillId="0" borderId="6" xfId="452" applyNumberFormat="1" applyFont="1" applyBorder="1" applyAlignment="1">
      <alignment vertical="center"/>
    </xf>
    <xf numFmtId="0" fontId="9" fillId="0" borderId="6" xfId="452" applyNumberFormat="1" applyFont="1" applyFill="1" applyBorder="1" applyAlignment="1">
      <alignment vertical="center"/>
    </xf>
    <xf numFmtId="10" fontId="111" fillId="0" borderId="0" xfId="462" applyNumberFormat="1" applyFont="1" applyFill="1" applyAlignment="1">
      <alignment vertical="center"/>
    </xf>
    <xf numFmtId="0" fontId="111" fillId="0" borderId="0" xfId="462" applyNumberFormat="1" applyFont="1" applyFill="1" applyAlignment="1">
      <alignment horizontal="center" vertical="center"/>
    </xf>
    <xf numFmtId="49" fontId="9" fillId="0" borderId="0" xfId="452" applyNumberFormat="1" applyFont="1" applyAlignment="1">
      <alignment vertical="center"/>
    </xf>
    <xf numFmtId="0" fontId="111" fillId="0" borderId="0" xfId="452" applyNumberFormat="1" applyFont="1" applyFill="1" applyBorder="1" applyAlignment="1">
      <alignment vertical="center"/>
    </xf>
    <xf numFmtId="0" fontId="284" fillId="0" borderId="0" xfId="452" applyNumberFormat="1" applyFont="1" applyAlignment="1">
      <alignment vertical="center"/>
    </xf>
    <xf numFmtId="49" fontId="9" fillId="0" borderId="0" xfId="452" applyNumberFormat="1" applyFont="1" applyBorder="1" applyAlignment="1">
      <alignment vertical="center"/>
    </xf>
    <xf numFmtId="10" fontId="285" fillId="0" borderId="0" xfId="452" applyNumberFormat="1" applyFont="1" applyFill="1" applyBorder="1" applyAlignment="1">
      <alignment vertical="center"/>
    </xf>
    <xf numFmtId="186" fontId="9" fillId="0" borderId="0" xfId="452" applyNumberFormat="1" applyFont="1" applyBorder="1" applyAlignment="1">
      <alignment vertical="center"/>
    </xf>
    <xf numFmtId="0" fontId="121" fillId="0" borderId="0" xfId="452" applyNumberFormat="1" applyFont="1" applyFill="1" applyBorder="1" applyAlignment="1">
      <alignment vertical="center"/>
    </xf>
    <xf numFmtId="10" fontId="286" fillId="0" borderId="0" xfId="452" applyNumberFormat="1" applyFont="1" applyFill="1" applyBorder="1" applyAlignment="1">
      <alignment horizontal="center" vertical="center"/>
    </xf>
    <xf numFmtId="0" fontId="287" fillId="41" borderId="9" xfId="452" applyNumberFormat="1" applyFont="1" applyFill="1" applyBorder="1" applyAlignment="1">
      <alignment horizontal="center" vertical="center"/>
    </xf>
    <xf numFmtId="0" fontId="288" fillId="79" borderId="9" xfId="452" applyNumberFormat="1" applyFont="1" applyFill="1" applyBorder="1" applyAlignment="1">
      <alignment horizontal="center" vertical="center"/>
    </xf>
    <xf numFmtId="10" fontId="282" fillId="0" borderId="9" xfId="452" applyNumberFormat="1" applyFont="1" applyFill="1" applyBorder="1" applyAlignment="1">
      <alignment horizontal="center" vertical="center"/>
    </xf>
    <xf numFmtId="38" fontId="289" fillId="0" borderId="9" xfId="452" applyNumberFormat="1" applyFont="1" applyFill="1" applyBorder="1" applyAlignment="1">
      <alignment horizontal="right" vertical="center"/>
    </xf>
    <xf numFmtId="10" fontId="111" fillId="0" borderId="9" xfId="452" applyNumberFormat="1" applyFont="1" applyFill="1" applyBorder="1" applyAlignment="1">
      <alignment horizontal="center" vertical="center"/>
    </xf>
    <xf numFmtId="10" fontId="286" fillId="0" borderId="9" xfId="452" applyNumberFormat="1" applyFont="1" applyFill="1" applyBorder="1" applyAlignment="1">
      <alignment horizontal="center" vertical="center"/>
    </xf>
    <xf numFmtId="10" fontId="290" fillId="0" borderId="13" xfId="452" applyNumberFormat="1" applyFont="1" applyFill="1" applyBorder="1" applyAlignment="1">
      <alignment vertical="center"/>
    </xf>
    <xf numFmtId="10" fontId="111" fillId="0" borderId="0" xfId="452" applyNumberFormat="1" applyFont="1" applyFill="1" applyBorder="1" applyAlignment="1">
      <alignment horizontal="center" vertical="center"/>
    </xf>
    <xf numFmtId="38" fontId="289" fillId="0" borderId="0" xfId="452" applyNumberFormat="1" applyFont="1" applyFill="1" applyBorder="1" applyAlignment="1">
      <alignment horizontal="right" vertical="center"/>
    </xf>
    <xf numFmtId="0" fontId="117" fillId="0" borderId="0" xfId="452" applyNumberFormat="1" applyFont="1" applyFill="1" applyAlignment="1">
      <alignment horizontal="right" vertical="center"/>
    </xf>
    <xf numFmtId="0" fontId="293" fillId="0" borderId="0" xfId="0" applyFont="1">
      <alignment vertical="center"/>
    </xf>
    <xf numFmtId="0" fontId="294" fillId="0" borderId="0" xfId="0" applyFont="1">
      <alignment vertical="center"/>
    </xf>
    <xf numFmtId="49" fontId="148" fillId="61" borderId="240" xfId="0" applyNumberFormat="1" applyFont="1" applyFill="1" applyBorder="1" applyAlignment="1">
      <alignment horizontal="center" vertical="center"/>
    </xf>
    <xf numFmtId="0" fontId="148" fillId="61" borderId="99" xfId="0" applyFont="1" applyFill="1" applyBorder="1" applyAlignment="1">
      <alignment horizontal="left" vertical="center"/>
    </xf>
    <xf numFmtId="186" fontId="148" fillId="61" borderId="241" xfId="0" applyNumberFormat="1" applyFont="1" applyFill="1" applyBorder="1" applyAlignment="1">
      <alignment vertical="center"/>
    </xf>
    <xf numFmtId="49" fontId="148" fillId="0" borderId="242" xfId="0" applyNumberFormat="1" applyFont="1" applyBorder="1" applyAlignment="1">
      <alignment horizontal="center" vertical="center"/>
    </xf>
    <xf numFmtId="0" fontId="148" fillId="0" borderId="243" xfId="0" applyFont="1" applyBorder="1" applyAlignment="1">
      <alignment horizontal="left" vertical="center"/>
    </xf>
    <xf numFmtId="186" fontId="148" fillId="0" borderId="104" xfId="0" applyNumberFormat="1" applyFont="1" applyBorder="1" applyAlignment="1">
      <alignment vertical="center"/>
    </xf>
    <xf numFmtId="49" fontId="148" fillId="61" borderId="115" xfId="0" applyNumberFormat="1" applyFont="1" applyFill="1" applyBorder="1" applyAlignment="1">
      <alignment horizontal="center" vertical="center"/>
    </xf>
    <xf numFmtId="176" fontId="18" fillId="0" borderId="14" xfId="463" applyNumberFormat="1" applyFont="1" applyBorder="1" applyAlignment="1">
      <alignment horizontal="left" vertical="center"/>
    </xf>
    <xf numFmtId="176" fontId="18" fillId="0" borderId="0" xfId="463" applyNumberFormat="1" applyFont="1" applyBorder="1" applyAlignment="1">
      <alignment horizontal="left" vertical="center"/>
    </xf>
    <xf numFmtId="0" fontId="295" fillId="0" borderId="0" xfId="0" applyFont="1" applyAlignment="1">
      <alignment horizontal="right" vertical="center"/>
    </xf>
    <xf numFmtId="223" fontId="148" fillId="65" borderId="92" xfId="433" applyNumberFormat="1" applyFont="1" applyFill="1" applyBorder="1" applyAlignment="1">
      <alignment horizontal="right" vertical="center"/>
    </xf>
    <xf numFmtId="0" fontId="8" fillId="0" borderId="51" xfId="460" applyFont="1" applyFill="1" applyBorder="1" applyAlignment="1">
      <alignment horizontal="left"/>
    </xf>
    <xf numFmtId="0" fontId="6" fillId="0" borderId="53" xfId="0" applyFont="1" applyFill="1" applyBorder="1" applyAlignment="1">
      <alignment vertical="center" shrinkToFit="1"/>
    </xf>
    <xf numFmtId="9" fontId="5" fillId="0" borderId="9" xfId="0" applyNumberFormat="1" applyFont="1" applyBorder="1" applyAlignment="1">
      <alignment horizontal="left" vertical="center"/>
    </xf>
    <xf numFmtId="198" fontId="9" fillId="0" borderId="0" xfId="460" applyNumberFormat="1" applyFont="1" applyBorder="1" applyAlignment="1">
      <alignment horizontal="right" vertical="center"/>
    </xf>
    <xf numFmtId="0" fontId="296" fillId="0" borderId="0" xfId="0" applyFont="1">
      <alignment vertical="center"/>
    </xf>
    <xf numFmtId="0" fontId="297" fillId="0" borderId="0" xfId="462" applyNumberFormat="1" applyFont="1" applyFill="1" applyAlignment="1">
      <alignment vertical="center"/>
    </xf>
    <xf numFmtId="0" fontId="297" fillId="0" borderId="0" xfId="455" applyFont="1" applyFill="1" applyBorder="1" applyAlignment="1">
      <alignment horizontal="center" vertical="center"/>
    </xf>
    <xf numFmtId="38" fontId="297" fillId="0" borderId="47" xfId="442" applyFont="1" applyFill="1" applyBorder="1" applyAlignment="1">
      <alignment horizontal="right" vertical="center"/>
    </xf>
    <xf numFmtId="203" fontId="297" fillId="0" borderId="14" xfId="460" applyNumberFormat="1" applyFont="1" applyFill="1" applyBorder="1" applyAlignment="1">
      <alignment horizontal="left" vertical="center" shrinkToFit="1"/>
    </xf>
    <xf numFmtId="38" fontId="297" fillId="0" borderId="44" xfId="442" applyFont="1" applyFill="1" applyBorder="1" applyAlignment="1">
      <alignment horizontal="right" vertical="center"/>
    </xf>
    <xf numFmtId="204" fontId="297" fillId="0" borderId="69" xfId="432" applyNumberFormat="1" applyFont="1" applyFill="1" applyBorder="1" applyAlignment="1">
      <alignment horizontal="left" vertical="center" shrinkToFit="1"/>
    </xf>
    <xf numFmtId="0" fontId="297" fillId="0" borderId="14" xfId="460" applyNumberFormat="1" applyFont="1" applyFill="1" applyBorder="1" applyAlignment="1">
      <alignment horizontal="left" vertical="center" shrinkToFit="1"/>
    </xf>
    <xf numFmtId="0" fontId="148" fillId="61" borderId="26" xfId="0" applyFont="1" applyFill="1" applyBorder="1" applyAlignment="1">
      <alignment vertical="center" wrapText="1" shrinkToFit="1"/>
    </xf>
    <xf numFmtId="38" fontId="148" fillId="65" borderId="215" xfId="443" applyFont="1" applyFill="1" applyBorder="1" applyAlignment="1">
      <alignment vertical="center"/>
    </xf>
    <xf numFmtId="186" fontId="148" fillId="65" borderId="94" xfId="0" applyNumberFormat="1" applyFont="1" applyFill="1" applyBorder="1" applyAlignment="1">
      <alignment vertical="center"/>
    </xf>
    <xf numFmtId="38" fontId="148" fillId="65" borderId="97" xfId="443" applyFont="1" applyFill="1" applyBorder="1" applyAlignment="1">
      <alignment vertical="center"/>
    </xf>
    <xf numFmtId="186" fontId="148" fillId="65" borderId="33" xfId="0" applyNumberFormat="1" applyFont="1" applyFill="1" applyBorder="1" applyAlignment="1">
      <alignment vertical="center"/>
    </xf>
    <xf numFmtId="3" fontId="148" fillId="65" borderId="27" xfId="0" applyNumberFormat="1" applyFont="1" applyFill="1" applyBorder="1" applyAlignment="1">
      <alignment vertical="center"/>
    </xf>
    <xf numFmtId="223" fontId="148" fillId="65" borderId="95" xfId="0" applyNumberFormat="1" applyFont="1" applyFill="1" applyBorder="1" applyAlignment="1">
      <alignment vertical="center" shrinkToFit="1"/>
    </xf>
    <xf numFmtId="223" fontId="148" fillId="65" borderId="107" xfId="0" applyNumberFormat="1" applyFont="1" applyFill="1" applyBorder="1" applyAlignment="1">
      <alignment vertical="center" shrinkToFit="1"/>
    </xf>
    <xf numFmtId="223" fontId="148" fillId="65" borderId="84" xfId="0" applyNumberFormat="1" applyFont="1" applyFill="1" applyBorder="1" applyAlignment="1">
      <alignment vertical="center" shrinkToFit="1"/>
    </xf>
    <xf numFmtId="0" fontId="148" fillId="65" borderId="96" xfId="0" applyFont="1" applyFill="1" applyBorder="1" applyAlignment="1">
      <alignment vertical="center" wrapText="1"/>
    </xf>
    <xf numFmtId="0" fontId="148" fillId="61" borderId="28" xfId="0" applyFont="1" applyFill="1" applyBorder="1" applyAlignment="1">
      <alignment vertical="center" wrapText="1"/>
    </xf>
    <xf numFmtId="9" fontId="232" fillId="61" borderId="106" xfId="432" applyFont="1" applyFill="1" applyBorder="1" applyAlignment="1">
      <alignment horizontal="left" vertical="center"/>
    </xf>
    <xf numFmtId="9" fontId="148" fillId="61" borderId="98" xfId="432" applyFont="1" applyFill="1" applyBorder="1" applyAlignment="1">
      <alignment vertical="center"/>
    </xf>
    <xf numFmtId="9" fontId="148" fillId="61" borderId="95" xfId="432" applyFont="1" applyFill="1" applyBorder="1" applyAlignment="1">
      <alignment vertical="center" shrinkToFit="1"/>
    </xf>
    <xf numFmtId="9" fontId="148" fillId="61" borderId="52" xfId="432" applyFont="1" applyFill="1" applyBorder="1" applyAlignment="1">
      <alignment vertical="center"/>
    </xf>
    <xf numFmtId="9" fontId="148" fillId="61" borderId="0" xfId="432" applyFont="1" applyFill="1" applyBorder="1" applyAlignment="1">
      <alignment vertical="center"/>
    </xf>
    <xf numFmtId="9" fontId="148" fillId="61" borderId="0" xfId="432" applyFont="1" applyFill="1" applyAlignment="1">
      <alignment vertical="center"/>
    </xf>
    <xf numFmtId="0" fontId="148" fillId="61" borderId="96" xfId="0" applyFont="1" applyFill="1" applyBorder="1" applyAlignment="1">
      <alignment vertical="center" wrapText="1"/>
    </xf>
    <xf numFmtId="0" fontId="232" fillId="0" borderId="106" xfId="0" applyFont="1" applyFill="1" applyBorder="1" applyAlignment="1">
      <alignment horizontal="left" vertical="center" shrinkToFit="1"/>
    </xf>
    <xf numFmtId="0" fontId="150" fillId="0" borderId="96" xfId="0" applyFont="1" applyFill="1" applyBorder="1" applyAlignment="1">
      <alignment vertical="center" wrapText="1"/>
    </xf>
    <xf numFmtId="9" fontId="148" fillId="61" borderId="96" xfId="432" applyFont="1" applyFill="1" applyBorder="1" applyAlignment="1">
      <alignment vertical="center" wrapText="1"/>
    </xf>
    <xf numFmtId="4" fontId="5" fillId="0" borderId="24" xfId="0" applyNumberFormat="1" applyFont="1" applyBorder="1">
      <alignment vertical="center"/>
    </xf>
    <xf numFmtId="0" fontId="158" fillId="0" borderId="59" xfId="0" applyFont="1" applyFill="1" applyBorder="1" applyAlignment="1">
      <alignment horizontal="center" vertical="center"/>
    </xf>
    <xf numFmtId="10" fontId="169" fillId="0" borderId="59" xfId="432" applyNumberFormat="1" applyFont="1" applyFill="1" applyBorder="1" applyAlignment="1">
      <alignment horizontal="center" vertical="center"/>
    </xf>
    <xf numFmtId="0" fontId="140" fillId="0" borderId="142" xfId="0" applyFont="1" applyFill="1" applyBorder="1" applyAlignment="1">
      <alignment vertical="center" shrinkToFit="1"/>
    </xf>
    <xf numFmtId="0" fontId="194" fillId="0" borderId="0" xfId="452" applyFont="1" applyBorder="1" applyAlignment="1">
      <alignment horizontal="left" vertical="center" wrapText="1"/>
    </xf>
    <xf numFmtId="0" fontId="191" fillId="0" borderId="164" xfId="452" applyFont="1" applyBorder="1" applyAlignment="1">
      <alignment horizontal="center" vertical="center"/>
    </xf>
    <xf numFmtId="0" fontId="194" fillId="0" borderId="0" xfId="452" applyFont="1" applyBorder="1" applyAlignment="1">
      <alignment horizontal="center" vertical="center"/>
    </xf>
    <xf numFmtId="0" fontId="191" fillId="0" borderId="9" xfId="452" applyFont="1" applyBorder="1" applyAlignment="1">
      <alignment horizontal="center" vertical="center"/>
    </xf>
    <xf numFmtId="0" fontId="191" fillId="0" borderId="131" xfId="452" applyFont="1" applyBorder="1" applyAlignment="1">
      <alignment horizontal="center" vertical="center"/>
    </xf>
    <xf numFmtId="0" fontId="191" fillId="0" borderId="161" xfId="452" applyFont="1" applyBorder="1" applyAlignment="1">
      <alignment horizontal="center" vertical="center"/>
    </xf>
    <xf numFmtId="0" fontId="191" fillId="0" borderId="45" xfId="452" applyFont="1" applyBorder="1" applyAlignment="1">
      <alignment horizontal="center" vertical="center"/>
    </xf>
    <xf numFmtId="0" fontId="194" fillId="0" borderId="22" xfId="452" applyFont="1" applyBorder="1" applyAlignment="1">
      <alignment horizontal="center" vertical="center"/>
    </xf>
    <xf numFmtId="214" fontId="158" fillId="68" borderId="130" xfId="0" applyNumberFormat="1" applyFont="1" applyFill="1" applyBorder="1" applyAlignment="1">
      <alignment horizontal="center" vertical="center"/>
    </xf>
    <xf numFmtId="0" fontId="127" fillId="0" borderId="15" xfId="0" applyFont="1" applyBorder="1" applyAlignment="1">
      <alignment horizontal="center" vertical="center"/>
    </xf>
    <xf numFmtId="0" fontId="158" fillId="0" borderId="15" xfId="0" applyFont="1" applyBorder="1" applyAlignment="1">
      <alignment horizontal="center" vertical="center"/>
    </xf>
    <xf numFmtId="0" fontId="158" fillId="0" borderId="19" xfId="0" applyFont="1" applyBorder="1" applyAlignment="1">
      <alignment horizontal="center" vertical="center"/>
    </xf>
    <xf numFmtId="0" fontId="158" fillId="0" borderId="149" xfId="0" applyFont="1" applyBorder="1" applyAlignment="1">
      <alignment horizontal="center" vertical="center"/>
    </xf>
    <xf numFmtId="0" fontId="160" fillId="0" borderId="19" xfId="0" applyFont="1" applyBorder="1" applyAlignment="1">
      <alignment horizontal="center" vertical="center"/>
    </xf>
    <xf numFmtId="180" fontId="158" fillId="0" borderId="65" xfId="0" applyNumberFormat="1" applyFont="1" applyFill="1" applyBorder="1" applyAlignment="1">
      <alignment horizontal="center" vertical="center"/>
    </xf>
    <xf numFmtId="180" fontId="158" fillId="0" borderId="72" xfId="0" applyNumberFormat="1" applyFont="1" applyFill="1" applyBorder="1" applyAlignment="1">
      <alignment horizontal="center" vertical="center"/>
    </xf>
    <xf numFmtId="0" fontId="156" fillId="0" borderId="0" xfId="0" applyFont="1" applyAlignment="1">
      <alignment horizontal="center" vertical="center"/>
    </xf>
    <xf numFmtId="0" fontId="157" fillId="0" borderId="0" xfId="0" applyFont="1" applyAlignment="1">
      <alignment horizontal="center" vertical="center"/>
    </xf>
    <xf numFmtId="0" fontId="236" fillId="0" borderId="0" xfId="0" applyFont="1" applyAlignment="1">
      <alignment horizontal="center" vertical="center"/>
    </xf>
    <xf numFmtId="179" fontId="157" fillId="0" borderId="0" xfId="0" applyNumberFormat="1" applyFont="1" applyBorder="1" applyAlignment="1">
      <alignment horizontal="right" vertical="center"/>
    </xf>
    <xf numFmtId="0" fontId="159" fillId="0" borderId="0" xfId="0" applyFont="1" applyAlignment="1">
      <alignment horizontal="left" vertical="center" shrinkToFit="1"/>
    </xf>
    <xf numFmtId="0" fontId="9" fillId="0" borderId="37" xfId="0" applyFont="1" applyFill="1" applyBorder="1" applyAlignment="1">
      <alignment horizontal="left" vertical="center" indent="1"/>
    </xf>
    <xf numFmtId="0" fontId="9" fillId="0" borderId="38" xfId="0" applyFont="1" applyFill="1" applyBorder="1" applyAlignment="1">
      <alignment vertical="center"/>
    </xf>
    <xf numFmtId="0" fontId="9" fillId="0" borderId="39" xfId="0" applyFont="1" applyFill="1" applyBorder="1" applyAlignment="1">
      <alignment horizontal="left" vertical="center" indent="1"/>
    </xf>
    <xf numFmtId="0" fontId="9" fillId="0" borderId="31" xfId="0" applyFont="1" applyFill="1" applyBorder="1" applyAlignment="1">
      <alignment vertical="center"/>
    </xf>
    <xf numFmtId="0" fontId="9" fillId="0" borderId="40" xfId="0" applyFont="1" applyFill="1" applyBorder="1" applyAlignment="1">
      <alignment horizontal="left" vertical="center" indent="1"/>
    </xf>
    <xf numFmtId="0" fontId="9" fillId="0" borderId="41" xfId="0" applyFont="1" applyFill="1" applyBorder="1" applyAlignment="1">
      <alignment vertical="center"/>
    </xf>
    <xf numFmtId="0" fontId="5" fillId="0" borderId="9" xfId="0" applyFont="1" applyFill="1" applyBorder="1" applyAlignment="1">
      <alignment vertical="center" shrinkToFit="1"/>
    </xf>
    <xf numFmtId="0" fontId="243" fillId="0" borderId="69" xfId="0" applyFont="1" applyBorder="1" applyAlignment="1">
      <alignment horizontal="center" vertical="center" shrinkToFit="1"/>
    </xf>
    <xf numFmtId="0" fontId="243" fillId="0" borderId="14" xfId="0" applyFont="1" applyBorder="1" applyAlignment="1">
      <alignment horizontal="center" vertical="center" shrinkToFit="1"/>
    </xf>
    <xf numFmtId="262" fontId="194" fillId="0" borderId="0" xfId="452" applyNumberFormat="1" applyFont="1" applyBorder="1" applyAlignment="1">
      <alignment horizontal="left" vertical="center"/>
    </xf>
    <xf numFmtId="49" fontId="194" fillId="0" borderId="0" xfId="452" applyNumberFormat="1" applyFont="1" applyBorder="1" applyAlignment="1">
      <alignment horizontal="right" vertical="center"/>
    </xf>
    <xf numFmtId="0" fontId="5" fillId="0" borderId="9" xfId="0" applyFont="1" applyBorder="1" applyAlignment="1">
      <alignment vertical="center" shrinkToFit="1"/>
    </xf>
    <xf numFmtId="0" fontId="296" fillId="61" borderId="0" xfId="0" applyFont="1" applyFill="1">
      <alignment vertical="center"/>
    </xf>
    <xf numFmtId="38" fontId="108" fillId="0" borderId="50" xfId="445" applyFont="1" applyFill="1" applyBorder="1"/>
    <xf numFmtId="38" fontId="108" fillId="0" borderId="44" xfId="445" applyFont="1" applyFill="1" applyBorder="1"/>
    <xf numFmtId="38" fontId="108" fillId="0" borderId="49" xfId="445" applyFont="1" applyFill="1" applyBorder="1"/>
    <xf numFmtId="38" fontId="113" fillId="45" borderId="45" xfId="445" applyFont="1" applyFill="1" applyBorder="1" applyAlignment="1">
      <alignment shrinkToFit="1"/>
    </xf>
    <xf numFmtId="205" fontId="173" fillId="0" borderId="123" xfId="0" applyNumberFormat="1" applyFont="1" applyFill="1" applyBorder="1" applyAlignment="1">
      <alignment horizontal="center" vertical="center" shrinkToFit="1"/>
    </xf>
    <xf numFmtId="0" fontId="173" fillId="0" borderId="123" xfId="0" applyFont="1" applyFill="1" applyBorder="1" applyAlignment="1">
      <alignment horizontal="left" vertical="center" wrapText="1"/>
    </xf>
    <xf numFmtId="3" fontId="239" fillId="0" borderId="123" xfId="0" applyNumberFormat="1" applyFont="1" applyFill="1" applyBorder="1" applyAlignment="1">
      <alignment horizontal="right" vertical="center" shrinkToFit="1"/>
    </xf>
    <xf numFmtId="0" fontId="173" fillId="0" borderId="125" xfId="0" applyFont="1" applyFill="1" applyBorder="1" applyAlignment="1">
      <alignment horizontal="center" vertical="center" shrinkToFit="1"/>
    </xf>
    <xf numFmtId="3" fontId="169" fillId="0" borderId="126" xfId="0" applyNumberFormat="1" applyFont="1" applyFill="1" applyBorder="1" applyAlignment="1">
      <alignment horizontal="right" vertical="center" shrinkToFit="1"/>
    </xf>
    <xf numFmtId="0" fontId="173" fillId="0" borderId="44" xfId="0" applyFont="1" applyFill="1" applyBorder="1" applyAlignment="1">
      <alignment horizontal="center" vertical="center" wrapText="1"/>
    </xf>
    <xf numFmtId="3" fontId="170" fillId="0" borderId="128" xfId="0" applyNumberFormat="1" applyFont="1" applyFill="1" applyBorder="1" applyAlignment="1">
      <alignment horizontal="right" vertical="center" wrapText="1"/>
    </xf>
    <xf numFmtId="209" fontId="160" fillId="0" borderId="128" xfId="0" applyNumberFormat="1" applyFont="1" applyFill="1" applyBorder="1" applyAlignment="1">
      <alignment vertical="center"/>
    </xf>
    <xf numFmtId="9" fontId="177" fillId="0" borderId="157" xfId="0" applyNumberFormat="1" applyFont="1" applyFill="1" applyBorder="1" applyAlignment="1">
      <alignment horizontal="left" vertical="center" shrinkToFit="1"/>
    </xf>
    <xf numFmtId="0" fontId="173" fillId="0" borderId="28" xfId="0" applyFont="1" applyFill="1" applyBorder="1" applyAlignment="1">
      <alignment horizontal="center" vertical="center" shrinkToFit="1"/>
    </xf>
    <xf numFmtId="5" fontId="189" fillId="0" borderId="158" xfId="0" applyNumberFormat="1" applyFont="1" applyFill="1" applyBorder="1" applyAlignment="1">
      <alignment horizontal="right" vertical="center" shrinkToFit="1"/>
    </xf>
    <xf numFmtId="0" fontId="173" fillId="0" borderId="44" xfId="0" applyFont="1" applyFill="1" applyBorder="1" applyAlignment="1">
      <alignment horizontal="left" vertical="center" shrinkToFit="1"/>
    </xf>
    <xf numFmtId="38" fontId="168" fillId="0" borderId="50" xfId="0" applyNumberFormat="1" applyFont="1" applyFill="1" applyBorder="1" applyAlignment="1">
      <alignment horizontal="right" vertical="center" wrapText="1"/>
    </xf>
    <xf numFmtId="0" fontId="144" fillId="0" borderId="44" xfId="0" applyFont="1" applyFill="1" applyBorder="1" applyAlignment="1">
      <alignment horizontal="center" vertical="center" shrinkToFit="1"/>
    </xf>
    <xf numFmtId="9" fontId="177" fillId="0" borderId="159" xfId="0" applyNumberFormat="1" applyFont="1" applyFill="1" applyBorder="1" applyAlignment="1">
      <alignment horizontal="left" vertical="center" shrinkToFit="1"/>
    </xf>
    <xf numFmtId="205" fontId="173" fillId="0" borderId="138" xfId="0" applyNumberFormat="1" applyFont="1" applyFill="1" applyBorder="1" applyAlignment="1">
      <alignment horizontal="center" vertical="center" shrinkToFit="1"/>
    </xf>
    <xf numFmtId="0" fontId="139" fillId="0" borderId="138" xfId="0" applyFont="1" applyFill="1" applyBorder="1" applyAlignment="1">
      <alignment horizontal="left" vertical="center" shrinkToFit="1"/>
    </xf>
    <xf numFmtId="10" fontId="168" fillId="0" borderId="138" xfId="0" applyNumberFormat="1" applyFont="1" applyFill="1" applyBorder="1" applyAlignment="1">
      <alignment horizontal="right" vertical="center"/>
    </xf>
    <xf numFmtId="0" fontId="173" fillId="0" borderId="139" xfId="0" applyFont="1" applyFill="1" applyBorder="1" applyAlignment="1">
      <alignment horizontal="center" vertical="center" shrinkToFit="1"/>
    </xf>
    <xf numFmtId="42" fontId="189" fillId="0" borderId="160" xfId="0" applyNumberFormat="1" applyFont="1" applyFill="1" applyBorder="1" applyAlignment="1">
      <alignment horizontal="right" vertical="center" shrinkToFit="1"/>
    </xf>
    <xf numFmtId="0" fontId="9" fillId="0" borderId="12" xfId="462" applyNumberFormat="1" applyFont="1" applyBorder="1" applyAlignment="1">
      <alignment horizontal="center" vertical="center"/>
    </xf>
    <xf numFmtId="0" fontId="9" fillId="0" borderId="64" xfId="462" applyNumberFormat="1" applyFont="1" applyBorder="1" applyAlignment="1">
      <alignment horizontal="center" vertical="center"/>
    </xf>
    <xf numFmtId="0" fontId="9" fillId="0" borderId="18" xfId="462" applyNumberFormat="1" applyFont="1" applyBorder="1" applyAlignment="1">
      <alignment horizontal="center" vertical="center"/>
    </xf>
    <xf numFmtId="0" fontId="9" fillId="0" borderId="18" xfId="0" applyNumberFormat="1" applyFont="1" applyFill="1" applyBorder="1" applyAlignment="1">
      <alignment horizontal="center" vertical="center"/>
    </xf>
    <xf numFmtId="49" fontId="297" fillId="80" borderId="47" xfId="458" applyNumberFormat="1" applyFont="1" applyFill="1" applyBorder="1" applyAlignment="1">
      <alignment horizontal="center" vertical="center"/>
    </xf>
    <xf numFmtId="0" fontId="297" fillId="80" borderId="47" xfId="458" applyFont="1" applyFill="1" applyBorder="1" applyAlignment="1">
      <alignment horizontal="center" vertical="center"/>
    </xf>
    <xf numFmtId="0" fontId="297" fillId="80" borderId="44" xfId="458" applyFont="1" applyFill="1" applyBorder="1" applyAlignment="1">
      <alignment horizontal="center" vertical="center"/>
    </xf>
    <xf numFmtId="190" fontId="297" fillId="80" borderId="47" xfId="458" applyNumberFormat="1" applyFont="1" applyFill="1" applyBorder="1">
      <alignment vertical="center"/>
    </xf>
    <xf numFmtId="191" fontId="297" fillId="80" borderId="47" xfId="0" applyNumberFormat="1" applyFont="1" applyFill="1" applyBorder="1" applyAlignment="1">
      <alignment vertical="center"/>
    </xf>
    <xf numFmtId="192" fontId="297" fillId="80" borderId="44" xfId="458" applyNumberFormat="1" applyFont="1" applyFill="1" applyBorder="1">
      <alignment vertical="center"/>
    </xf>
    <xf numFmtId="186" fontId="297" fillId="80" borderId="44" xfId="0" applyNumberFormat="1" applyFont="1" applyFill="1" applyBorder="1" applyAlignment="1">
      <alignment vertical="center"/>
    </xf>
    <xf numFmtId="192" fontId="297" fillId="80" borderId="47" xfId="458" applyNumberFormat="1" applyFont="1" applyFill="1" applyBorder="1">
      <alignment vertical="center"/>
    </xf>
    <xf numFmtId="186" fontId="297" fillId="80" borderId="47" xfId="0" applyNumberFormat="1" applyFont="1" applyFill="1" applyBorder="1" applyAlignment="1">
      <alignment vertical="center"/>
    </xf>
    <xf numFmtId="197" fontId="297" fillId="80" borderId="44" xfId="451" applyNumberFormat="1" applyFont="1" applyFill="1" applyBorder="1" applyAlignment="1">
      <alignment horizontal="right" vertical="center"/>
    </xf>
    <xf numFmtId="14" fontId="297" fillId="80" borderId="47" xfId="451" applyNumberFormat="1" applyFont="1" applyFill="1" applyBorder="1" applyAlignment="1">
      <alignment horizontal="center" vertical="center"/>
    </xf>
    <xf numFmtId="14" fontId="297" fillId="80" borderId="47" xfId="458" applyNumberFormat="1" applyFont="1" applyFill="1" applyBorder="1" applyAlignment="1">
      <alignment horizontal="center" vertical="center"/>
    </xf>
    <xf numFmtId="194" fontId="297" fillId="80" borderId="47" xfId="455" applyNumberFormat="1" applyFont="1" applyFill="1" applyBorder="1" applyAlignment="1">
      <alignment horizontal="center" vertical="center"/>
    </xf>
    <xf numFmtId="201" fontId="297" fillId="80" borderId="47" xfId="458" applyNumberFormat="1" applyFont="1" applyFill="1" applyBorder="1" applyAlignment="1">
      <alignment horizontal="center" vertical="center"/>
    </xf>
    <xf numFmtId="49" fontId="297" fillId="80" borderId="44" xfId="458" applyNumberFormat="1" applyFont="1" applyFill="1" applyBorder="1" applyAlignment="1">
      <alignment horizontal="center" vertical="center"/>
    </xf>
    <xf numFmtId="190" fontId="297" fillId="80" borderId="44" xfId="458" applyNumberFormat="1" applyFont="1" applyFill="1" applyBorder="1">
      <alignment vertical="center"/>
    </xf>
    <xf numFmtId="191" fontId="297" fillId="80" borderId="44" xfId="0" applyNumberFormat="1" applyFont="1" applyFill="1" applyBorder="1" applyAlignment="1">
      <alignment vertical="center"/>
    </xf>
    <xf numFmtId="14" fontId="297" fillId="80" borderId="44" xfId="476" applyNumberFormat="1" applyFont="1" applyFill="1" applyBorder="1" applyAlignment="1">
      <alignment horizontal="center" vertical="center"/>
    </xf>
    <xf numFmtId="14" fontId="297" fillId="80" borderId="44" xfId="458" applyNumberFormat="1" applyFont="1" applyFill="1" applyBorder="1" applyAlignment="1">
      <alignment horizontal="center" vertical="center"/>
    </xf>
    <xf numFmtId="194" fontId="297" fillId="80" borderId="44" xfId="455" applyNumberFormat="1" applyFont="1" applyFill="1" applyBorder="1" applyAlignment="1">
      <alignment horizontal="center" vertical="center"/>
    </xf>
    <xf numFmtId="201" fontId="297" fillId="80" borderId="44" xfId="458" applyNumberFormat="1" applyFont="1" applyFill="1" applyBorder="1" applyAlignment="1">
      <alignment horizontal="center" vertical="center"/>
    </xf>
    <xf numFmtId="0" fontId="297" fillId="80" borderId="50" xfId="458" applyFont="1" applyFill="1" applyBorder="1" applyAlignment="1">
      <alignment horizontal="center" vertical="center"/>
    </xf>
    <xf numFmtId="191" fontId="297" fillId="80" borderId="50" xfId="0" applyNumberFormat="1" applyFont="1" applyFill="1" applyBorder="1" applyAlignment="1">
      <alignment vertical="center"/>
    </xf>
    <xf numFmtId="194" fontId="297" fillId="80" borderId="50" xfId="455" applyNumberFormat="1" applyFont="1" applyFill="1" applyBorder="1" applyAlignment="1">
      <alignment horizontal="center" vertical="center"/>
    </xf>
    <xf numFmtId="201" fontId="297" fillId="80" borderId="50" xfId="458" applyNumberFormat="1" applyFont="1" applyFill="1" applyBorder="1" applyAlignment="1">
      <alignment horizontal="center" vertical="center"/>
    </xf>
    <xf numFmtId="49" fontId="297" fillId="80" borderId="62" xfId="458" applyNumberFormat="1" applyFont="1" applyFill="1" applyBorder="1" applyAlignment="1">
      <alignment horizontal="center" vertical="center"/>
    </xf>
    <xf numFmtId="0" fontId="297" fillId="80" borderId="62" xfId="458" applyFont="1" applyFill="1" applyBorder="1" applyAlignment="1">
      <alignment horizontal="center" vertical="center"/>
    </xf>
    <xf numFmtId="190" fontId="297" fillId="80" borderId="62" xfId="458" applyNumberFormat="1" applyFont="1" applyFill="1" applyBorder="1">
      <alignment vertical="center"/>
    </xf>
    <xf numFmtId="191" fontId="297" fillId="80" borderId="62" xfId="0" applyNumberFormat="1" applyFont="1" applyFill="1" applyBorder="1" applyAlignment="1">
      <alignment vertical="center"/>
    </xf>
    <xf numFmtId="192" fontId="297" fillId="80" borderId="62" xfId="458" applyNumberFormat="1" applyFont="1" applyFill="1" applyBorder="1">
      <alignment vertical="center"/>
    </xf>
    <xf numFmtId="186" fontId="297" fillId="80" borderId="62" xfId="0" applyNumberFormat="1" applyFont="1" applyFill="1" applyBorder="1" applyAlignment="1">
      <alignment vertical="center"/>
    </xf>
    <xf numFmtId="197" fontId="297" fillId="80" borderId="62" xfId="451" applyNumberFormat="1" applyFont="1" applyFill="1" applyBorder="1" applyAlignment="1">
      <alignment horizontal="right" vertical="center"/>
    </xf>
    <xf numFmtId="14" fontId="297" fillId="80" borderId="62" xfId="476" applyNumberFormat="1" applyFont="1" applyFill="1" applyBorder="1" applyAlignment="1">
      <alignment horizontal="center" vertical="center"/>
    </xf>
    <xf numFmtId="14" fontId="297" fillId="80" borderId="62" xfId="458" applyNumberFormat="1" applyFont="1" applyFill="1" applyBorder="1" applyAlignment="1">
      <alignment horizontal="center" vertical="center"/>
    </xf>
    <xf numFmtId="194" fontId="297" fillId="80" borderId="62" xfId="455" applyNumberFormat="1" applyFont="1" applyFill="1" applyBorder="1" applyAlignment="1">
      <alignment horizontal="center" vertical="center"/>
    </xf>
    <xf numFmtId="201" fontId="297" fillId="80" borderId="62" xfId="458" applyNumberFormat="1" applyFont="1" applyFill="1" applyBorder="1" applyAlignment="1">
      <alignment horizontal="center" vertical="center"/>
    </xf>
    <xf numFmtId="0" fontId="9" fillId="0" borderId="12" xfId="462" applyNumberFormat="1" applyFont="1" applyBorder="1" applyAlignment="1">
      <alignment horizontal="center" vertical="center"/>
    </xf>
    <xf numFmtId="0" fontId="9" fillId="0" borderId="64" xfId="462" applyNumberFormat="1" applyFont="1" applyBorder="1" applyAlignment="1">
      <alignment horizontal="center" vertical="center"/>
    </xf>
    <xf numFmtId="0" fontId="9" fillId="0" borderId="18" xfId="462" applyNumberFormat="1" applyFont="1" applyBorder="1" applyAlignment="1">
      <alignment horizontal="center" vertical="center"/>
    </xf>
    <xf numFmtId="0" fontId="9" fillId="0" borderId="18" xfId="0" applyNumberFormat="1" applyFont="1" applyFill="1" applyBorder="1" applyAlignment="1">
      <alignment horizontal="center" vertical="center"/>
    </xf>
    <xf numFmtId="176" fontId="105" fillId="0" borderId="9" xfId="463" applyNumberFormat="1" applyFont="1" applyBorder="1" applyAlignment="1">
      <alignment horizontal="center" vertical="center"/>
    </xf>
    <xf numFmtId="252" fontId="269" fillId="0" borderId="0" xfId="463" applyNumberFormat="1" applyFont="1" applyFill="1" applyAlignment="1">
      <alignment horizontal="left" vertical="center"/>
    </xf>
    <xf numFmtId="222" fontId="105" fillId="0" borderId="24" xfId="463" applyNumberFormat="1" applyFont="1" applyBorder="1" applyAlignment="1">
      <alignment horizontal="center" vertical="center"/>
    </xf>
    <xf numFmtId="176" fontId="105" fillId="0" borderId="70" xfId="463" applyNumberFormat="1" applyFont="1" applyBorder="1" applyAlignment="1">
      <alignment horizontal="center" vertical="center" shrinkToFit="1"/>
    </xf>
    <xf numFmtId="180" fontId="105" fillId="0" borderId="24" xfId="463" applyNumberFormat="1" applyFont="1" applyBorder="1" applyAlignment="1">
      <alignment horizontal="left" vertical="center" shrinkToFit="1"/>
    </xf>
    <xf numFmtId="180" fontId="105" fillId="0" borderId="8" xfId="463" applyNumberFormat="1" applyFont="1" applyBorder="1" applyAlignment="1">
      <alignment horizontal="left" vertical="center" shrinkToFit="1"/>
    </xf>
    <xf numFmtId="176" fontId="105" fillId="0" borderId="64" xfId="463" applyNumberFormat="1" applyFont="1" applyBorder="1" applyAlignment="1">
      <alignment horizontal="center" vertical="center" shrinkToFit="1"/>
    </xf>
    <xf numFmtId="176" fontId="105" fillId="0" borderId="68" xfId="463" applyNumberFormat="1" applyFont="1" applyBorder="1" applyAlignment="1">
      <alignment horizontal="center" vertical="center" shrinkToFit="1"/>
    </xf>
    <xf numFmtId="222" fontId="105" fillId="0" borderId="12" xfId="463" applyNumberFormat="1" applyFont="1" applyBorder="1" applyAlignment="1">
      <alignment horizontal="center" vertical="center"/>
    </xf>
    <xf numFmtId="222" fontId="105" fillId="0" borderId="14" xfId="463" applyNumberFormat="1" applyFont="1" applyBorder="1" applyAlignment="1">
      <alignment horizontal="center" vertical="center"/>
    </xf>
    <xf numFmtId="222" fontId="105" fillId="0" borderId="18" xfId="463" applyNumberFormat="1" applyFont="1" applyBorder="1" applyAlignment="1">
      <alignment horizontal="center" vertical="center"/>
    </xf>
    <xf numFmtId="176" fontId="105" fillId="0" borderId="24" xfId="463" applyNumberFormat="1" applyFont="1" applyBorder="1" applyAlignment="1">
      <alignment horizontal="left" vertical="center" shrinkToFit="1"/>
    </xf>
    <xf numFmtId="176" fontId="105" fillId="0" borderId="8" xfId="463" applyNumberFormat="1" applyFont="1" applyBorder="1" applyAlignment="1">
      <alignment horizontal="left" vertical="center" shrinkToFit="1"/>
    </xf>
    <xf numFmtId="176" fontId="105" fillId="0" borderId="70" xfId="463" applyNumberFormat="1" applyFont="1" applyBorder="1" applyAlignment="1">
      <alignment horizontal="left" vertical="center" shrinkToFit="1"/>
    </xf>
    <xf numFmtId="0" fontId="105" fillId="0" borderId="24" xfId="463" applyNumberFormat="1" applyFont="1" applyBorder="1" applyAlignment="1">
      <alignment horizontal="distributed" vertical="center" indent="2" shrinkToFit="1"/>
    </xf>
    <xf numFmtId="0" fontId="105" fillId="0" borderId="70" xfId="463" applyNumberFormat="1" applyFont="1" applyBorder="1" applyAlignment="1">
      <alignment horizontal="distributed" vertical="center" indent="2" shrinkToFit="1"/>
    </xf>
    <xf numFmtId="176" fontId="26" fillId="0" borderId="0" xfId="463" applyNumberFormat="1" applyFont="1" applyAlignment="1">
      <alignment vertical="center"/>
    </xf>
    <xf numFmtId="176" fontId="105" fillId="0" borderId="14" xfId="463" applyNumberFormat="1" applyFont="1" applyBorder="1" applyAlignment="1">
      <alignment horizontal="left" vertical="center" wrapText="1"/>
    </xf>
    <xf numFmtId="176" fontId="105" fillId="0" borderId="0" xfId="463" applyNumberFormat="1" applyFont="1" applyBorder="1" applyAlignment="1">
      <alignment horizontal="left" vertical="center"/>
    </xf>
    <xf numFmtId="176" fontId="105" fillId="0" borderId="66" xfId="463" applyNumberFormat="1" applyFont="1" applyBorder="1" applyAlignment="1">
      <alignment horizontal="left" vertical="center"/>
    </xf>
    <xf numFmtId="176" fontId="105" fillId="0" borderId="14" xfId="463" applyNumberFormat="1" applyFont="1" applyBorder="1" applyAlignment="1">
      <alignment horizontal="left" vertical="center"/>
    </xf>
    <xf numFmtId="176" fontId="105" fillId="0" borderId="18" xfId="463" applyNumberFormat="1" applyFont="1" applyBorder="1" applyAlignment="1">
      <alignment horizontal="left" vertical="center"/>
    </xf>
    <xf numFmtId="176" fontId="105" fillId="0" borderId="10" xfId="463" applyNumberFormat="1" applyFont="1" applyBorder="1" applyAlignment="1">
      <alignment horizontal="left" vertical="center"/>
    </xf>
    <xf numFmtId="176" fontId="105" fillId="0" borderId="68" xfId="463" applyNumberFormat="1" applyFont="1" applyBorder="1" applyAlignment="1">
      <alignment horizontal="left" vertical="center"/>
    </xf>
    <xf numFmtId="176" fontId="14" fillId="0" borderId="0" xfId="463" applyNumberFormat="1" applyFont="1" applyAlignment="1">
      <alignment horizontal="left" vertical="center"/>
    </xf>
    <xf numFmtId="176" fontId="14" fillId="0" borderId="0" xfId="463" applyNumberFormat="1" applyFont="1" applyBorder="1" applyAlignment="1">
      <alignment horizontal="right" vertical="center"/>
    </xf>
    <xf numFmtId="176" fontId="268" fillId="0" borderId="0" xfId="463" applyNumberFormat="1" applyFont="1" applyAlignment="1">
      <alignment horizontal="left" vertical="center"/>
    </xf>
    <xf numFmtId="176" fontId="24" fillId="0" borderId="0" xfId="463" applyNumberFormat="1" applyFont="1" applyAlignment="1">
      <alignment horizontal="center" vertical="center"/>
    </xf>
    <xf numFmtId="180" fontId="24" fillId="0" borderId="0" xfId="463" applyNumberFormat="1" applyFont="1" applyAlignment="1">
      <alignment horizontal="left" vertical="center"/>
    </xf>
    <xf numFmtId="176" fontId="24" fillId="61" borderId="10" xfId="463" applyNumberFormat="1" applyFont="1" applyFill="1" applyBorder="1" applyAlignment="1">
      <alignment horizontal="left" vertical="center" wrapText="1"/>
    </xf>
    <xf numFmtId="176" fontId="24" fillId="61" borderId="8" xfId="463" applyNumberFormat="1" applyFont="1" applyFill="1" applyBorder="1" applyAlignment="1">
      <alignment horizontal="left" vertical="center"/>
    </xf>
    <xf numFmtId="176" fontId="105" fillId="0" borderId="24" xfId="463" applyNumberFormat="1" applyFont="1" applyBorder="1" applyAlignment="1">
      <alignment horizontal="left" vertical="center"/>
    </xf>
    <xf numFmtId="176" fontId="105" fillId="0" borderId="8" xfId="463" applyNumberFormat="1" applyFont="1" applyBorder="1" applyAlignment="1">
      <alignment horizontal="left" vertical="center"/>
    </xf>
    <xf numFmtId="176" fontId="105" fillId="0" borderId="70" xfId="463" applyNumberFormat="1" applyFont="1" applyBorder="1" applyAlignment="1">
      <alignment horizontal="left" vertical="center"/>
    </xf>
    <xf numFmtId="176" fontId="105" fillId="0" borderId="12" xfId="463" applyNumberFormat="1" applyFont="1" applyBorder="1" applyAlignment="1">
      <alignment horizontal="left" vertical="center" shrinkToFit="1"/>
    </xf>
    <xf numFmtId="176" fontId="105" fillId="0" borderId="13" xfId="463" applyNumberFormat="1" applyFont="1" applyBorder="1" applyAlignment="1">
      <alignment horizontal="left" vertical="center" shrinkToFit="1"/>
    </xf>
    <xf numFmtId="176" fontId="105" fillId="0" borderId="64" xfId="463" applyNumberFormat="1" applyFont="1" applyBorder="1" applyAlignment="1">
      <alignment horizontal="left" vertical="center" shrinkToFit="1"/>
    </xf>
    <xf numFmtId="176" fontId="105" fillId="0" borderId="18" xfId="463" applyNumberFormat="1" applyFont="1" applyBorder="1" applyAlignment="1">
      <alignment horizontal="left" vertical="center" shrinkToFit="1"/>
    </xf>
    <xf numFmtId="176" fontId="105" fillId="0" borderId="10" xfId="463" applyNumberFormat="1" applyFont="1" applyBorder="1" applyAlignment="1">
      <alignment horizontal="left" vertical="center" shrinkToFit="1"/>
    </xf>
    <xf numFmtId="176" fontId="105" fillId="0" borderId="68" xfId="463" applyNumberFormat="1" applyFont="1" applyBorder="1" applyAlignment="1">
      <alignment horizontal="left" vertical="center" shrinkToFit="1"/>
    </xf>
    <xf numFmtId="221" fontId="105" fillId="0" borderId="24" xfId="463" applyNumberFormat="1" applyFont="1" applyFill="1" applyBorder="1" applyAlignment="1">
      <alignment horizontal="center" vertical="center" shrinkToFit="1"/>
    </xf>
    <xf numFmtId="221" fontId="105" fillId="0" borderId="8" xfId="463" applyNumberFormat="1" applyFont="1" applyFill="1" applyBorder="1" applyAlignment="1">
      <alignment horizontal="center" vertical="center" shrinkToFit="1"/>
    </xf>
    <xf numFmtId="176" fontId="105" fillId="0" borderId="24" xfId="463" applyNumberFormat="1" applyFont="1" applyBorder="1" applyAlignment="1">
      <alignment horizontal="center" vertical="center" shrinkToFit="1"/>
    </xf>
    <xf numFmtId="221" fontId="105" fillId="0" borderId="8" xfId="463" applyNumberFormat="1" applyFont="1" applyBorder="1" applyAlignment="1">
      <alignment horizontal="center" vertical="center" shrinkToFit="1"/>
    </xf>
    <xf numFmtId="221" fontId="105" fillId="0" borderId="70" xfId="463" applyNumberFormat="1" applyFont="1" applyBorder="1" applyAlignment="1">
      <alignment horizontal="center" vertical="center" shrinkToFit="1"/>
    </xf>
    <xf numFmtId="221" fontId="105" fillId="0" borderId="70" xfId="463" applyNumberFormat="1" applyFont="1" applyFill="1" applyBorder="1" applyAlignment="1">
      <alignment horizontal="center" vertical="center" shrinkToFit="1"/>
    </xf>
    <xf numFmtId="176" fontId="105" fillId="0" borderId="66" xfId="463" applyNumberFormat="1" applyFont="1" applyBorder="1" applyAlignment="1">
      <alignment horizontal="center" vertical="center" shrinkToFit="1"/>
    </xf>
    <xf numFmtId="176" fontId="24" fillId="0" borderId="0" xfId="463" applyNumberFormat="1" applyFont="1" applyBorder="1" applyAlignment="1">
      <alignment horizontal="right"/>
    </xf>
    <xf numFmtId="178" fontId="105" fillId="0" borderId="24" xfId="463" applyNumberFormat="1" applyFont="1" applyBorder="1" applyAlignment="1">
      <alignment horizontal="center" vertical="center" shrinkToFit="1"/>
    </xf>
    <xf numFmtId="178" fontId="105" fillId="0" borderId="70" xfId="463" applyNumberFormat="1" applyFont="1" applyBorder="1" applyAlignment="1">
      <alignment horizontal="center" vertical="center" shrinkToFit="1"/>
    </xf>
    <xf numFmtId="176" fontId="270" fillId="0" borderId="24" xfId="0" applyNumberFormat="1" applyFont="1" applyBorder="1" applyAlignment="1">
      <alignment horizontal="center" vertical="center" shrinkToFit="1"/>
    </xf>
    <xf numFmtId="176" fontId="270" fillId="0" borderId="8" xfId="0" applyNumberFormat="1" applyFont="1" applyBorder="1" applyAlignment="1">
      <alignment horizontal="center" vertical="center" shrinkToFit="1"/>
    </xf>
    <xf numFmtId="10" fontId="105" fillId="0" borderId="8" xfId="432" applyNumberFormat="1" applyFont="1" applyBorder="1" applyAlignment="1">
      <alignment horizontal="center" vertical="center" shrinkToFit="1"/>
    </xf>
    <xf numFmtId="10" fontId="105" fillId="0" borderId="24" xfId="463" applyNumberFormat="1" applyFont="1" applyBorder="1" applyAlignment="1">
      <alignment horizontal="center" vertical="center" shrinkToFit="1"/>
    </xf>
    <xf numFmtId="10" fontId="105" fillId="0" borderId="8" xfId="463" applyNumberFormat="1" applyFont="1" applyBorder="1" applyAlignment="1">
      <alignment horizontal="center" vertical="center" shrinkToFit="1"/>
    </xf>
    <xf numFmtId="10" fontId="105" fillId="0" borderId="70" xfId="463" applyNumberFormat="1" applyFont="1" applyBorder="1" applyAlignment="1">
      <alignment horizontal="center" vertical="center" shrinkToFit="1"/>
    </xf>
    <xf numFmtId="178" fontId="105" fillId="0" borderId="8" xfId="463" applyNumberFormat="1" applyFont="1" applyBorder="1" applyAlignment="1">
      <alignment horizontal="left" vertical="center" shrinkToFit="1"/>
    </xf>
    <xf numFmtId="178" fontId="105" fillId="0" borderId="70" xfId="463" applyNumberFormat="1" applyFont="1" applyBorder="1" applyAlignment="1">
      <alignment horizontal="left" vertical="center" shrinkToFit="1"/>
    </xf>
    <xf numFmtId="176" fontId="105" fillId="0" borderId="70" xfId="463" applyNumberFormat="1" applyFont="1" applyBorder="1" applyAlignment="1">
      <alignment horizontal="center" vertical="center"/>
    </xf>
    <xf numFmtId="176" fontId="105" fillId="0" borderId="66" xfId="463" applyNumberFormat="1" applyFont="1" applyBorder="1" applyAlignment="1">
      <alignment horizontal="center" vertical="center"/>
    </xf>
    <xf numFmtId="176" fontId="105" fillId="0" borderId="68" xfId="463" applyNumberFormat="1" applyFont="1" applyBorder="1" applyAlignment="1">
      <alignment horizontal="center" vertical="center"/>
    </xf>
    <xf numFmtId="222" fontId="105" fillId="0" borderId="24" xfId="463" applyNumberFormat="1" applyFont="1" applyBorder="1" applyAlignment="1">
      <alignment horizontal="center" vertical="center" shrinkToFit="1"/>
    </xf>
    <xf numFmtId="222" fontId="105" fillId="0" borderId="12" xfId="463" applyNumberFormat="1" applyFont="1" applyBorder="1" applyAlignment="1">
      <alignment horizontal="center" vertical="center" shrinkToFit="1"/>
    </xf>
    <xf numFmtId="222" fontId="105" fillId="0" borderId="14" xfId="463" applyNumberFormat="1" applyFont="1" applyBorder="1" applyAlignment="1">
      <alignment horizontal="center" vertical="center" shrinkToFit="1"/>
    </xf>
    <xf numFmtId="222" fontId="105" fillId="0" borderId="18" xfId="463" applyNumberFormat="1" applyFont="1" applyBorder="1" applyAlignment="1">
      <alignment horizontal="center" vertical="center" shrinkToFit="1"/>
    </xf>
    <xf numFmtId="176" fontId="24" fillId="0" borderId="9" xfId="463" applyNumberFormat="1" applyFont="1" applyBorder="1" applyAlignment="1">
      <alignment horizontal="center" vertical="center"/>
    </xf>
    <xf numFmtId="0" fontId="263" fillId="74" borderId="187" xfId="453" applyFont="1" applyFill="1" applyBorder="1" applyAlignment="1">
      <alignment horizontal="center" vertical="center" shrinkToFit="1"/>
    </xf>
    <xf numFmtId="0" fontId="263" fillId="74" borderId="188" xfId="453" applyFont="1" applyFill="1" applyBorder="1" applyAlignment="1">
      <alignment horizontal="center" vertical="center" shrinkToFit="1"/>
    </xf>
    <xf numFmtId="214" fontId="263" fillId="0" borderId="187" xfId="444" applyNumberFormat="1" applyFont="1" applyFill="1" applyBorder="1" applyAlignment="1">
      <alignment horizontal="center" vertical="center" shrinkToFit="1"/>
    </xf>
    <xf numFmtId="214" fontId="263" fillId="0" borderId="130" xfId="444" applyNumberFormat="1" applyFont="1" applyFill="1" applyBorder="1" applyAlignment="1">
      <alignment horizontal="center" vertical="center" shrinkToFit="1"/>
    </xf>
    <xf numFmtId="180" fontId="266" fillId="0" borderId="130" xfId="444" applyNumberFormat="1" applyFont="1" applyFill="1" applyBorder="1" applyAlignment="1">
      <alignment horizontal="center" vertical="center" shrinkToFit="1"/>
    </xf>
    <xf numFmtId="0" fontId="263" fillId="74" borderId="24" xfId="453" applyFont="1" applyFill="1" applyBorder="1" applyAlignment="1">
      <alignment horizontal="center" vertical="center" shrinkToFit="1"/>
    </xf>
    <xf numFmtId="0" fontId="263" fillId="74" borderId="70" xfId="453" applyFont="1" applyFill="1" applyBorder="1" applyAlignment="1">
      <alignment horizontal="center" vertical="center" shrinkToFit="1"/>
    </xf>
    <xf numFmtId="240" fontId="266" fillId="0" borderId="12" xfId="444" applyNumberFormat="1" applyFont="1" applyFill="1" applyBorder="1" applyAlignment="1">
      <alignment horizontal="center" vertical="center" shrinkToFit="1"/>
    </xf>
    <xf numFmtId="240" fontId="266" fillId="0" borderId="13" xfId="444" applyNumberFormat="1" applyFont="1" applyFill="1" applyBorder="1" applyAlignment="1">
      <alignment horizontal="center" vertical="center" shrinkToFit="1"/>
    </xf>
    <xf numFmtId="10" fontId="266" fillId="0" borderId="13" xfId="434" applyNumberFormat="1" applyFont="1" applyFill="1" applyBorder="1" applyAlignment="1">
      <alignment horizontal="center" vertical="center"/>
    </xf>
    <xf numFmtId="240" fontId="266" fillId="0" borderId="13" xfId="444" applyNumberFormat="1" applyFont="1" applyFill="1" applyBorder="1" applyAlignment="1">
      <alignment horizontal="center" vertical="center"/>
    </xf>
    <xf numFmtId="186" fontId="263" fillId="74" borderId="150" xfId="453" applyNumberFormat="1" applyFont="1" applyFill="1" applyBorder="1" applyAlignment="1">
      <alignment horizontal="center" vertical="center" shrinkToFit="1"/>
    </xf>
    <xf numFmtId="186" fontId="263" fillId="74" borderId="151" xfId="453" applyNumberFormat="1" applyFont="1" applyFill="1" applyBorder="1" applyAlignment="1">
      <alignment horizontal="center" vertical="center" shrinkToFit="1"/>
    </xf>
    <xf numFmtId="186" fontId="263" fillId="74" borderId="14" xfId="453" applyNumberFormat="1" applyFont="1" applyFill="1" applyBorder="1" applyAlignment="1">
      <alignment horizontal="center" vertical="center" shrinkToFit="1"/>
    </xf>
    <xf numFmtId="186" fontId="263" fillId="74" borderId="66" xfId="453" applyNumberFormat="1" applyFont="1" applyFill="1" applyBorder="1" applyAlignment="1">
      <alignment horizontal="center" vertical="center" shrinkToFit="1"/>
    </xf>
    <xf numFmtId="186" fontId="263" fillId="74" borderId="18" xfId="453" applyNumberFormat="1" applyFont="1" applyFill="1" applyBorder="1" applyAlignment="1">
      <alignment horizontal="center" vertical="center" shrinkToFit="1"/>
    </xf>
    <xf numFmtId="186" fontId="263" fillId="74" borderId="68" xfId="453" applyNumberFormat="1" applyFont="1" applyFill="1" applyBorder="1" applyAlignment="1">
      <alignment horizontal="center" vertical="center" shrinkToFit="1"/>
    </xf>
    <xf numFmtId="241" fontId="263" fillId="0" borderId="19" xfId="453" applyNumberFormat="1" applyFont="1" applyFill="1" applyBorder="1" applyAlignment="1">
      <alignment horizontal="right" vertical="center"/>
    </xf>
    <xf numFmtId="0" fontId="263" fillId="74" borderId="186" xfId="453" applyFont="1" applyFill="1" applyBorder="1" applyAlignment="1">
      <alignment horizontal="center" vertical="center" shrinkToFit="1"/>
    </xf>
    <xf numFmtId="0" fontId="263" fillId="74" borderId="8" xfId="453" applyFont="1" applyFill="1" applyBorder="1" applyAlignment="1">
      <alignment horizontal="center" vertical="center" shrinkToFit="1"/>
    </xf>
    <xf numFmtId="10" fontId="263" fillId="0" borderId="38" xfId="434" applyNumberFormat="1" applyFont="1" applyFill="1" applyBorder="1" applyAlignment="1">
      <alignment horizontal="center" vertical="center"/>
    </xf>
    <xf numFmtId="0" fontId="266" fillId="0" borderId="40" xfId="453" applyFont="1" applyFill="1" applyBorder="1" applyAlignment="1">
      <alignment horizontal="right" vertical="center" shrinkToFit="1"/>
    </xf>
    <xf numFmtId="0" fontId="266" fillId="0" borderId="41" xfId="453" applyFont="1" applyFill="1" applyBorder="1" applyAlignment="1">
      <alignment horizontal="right" vertical="center" shrinkToFit="1"/>
    </xf>
    <xf numFmtId="241" fontId="266" fillId="0" borderId="72" xfId="453" applyNumberFormat="1" applyFont="1" applyFill="1" applyBorder="1" applyAlignment="1">
      <alignment horizontal="right" vertical="center"/>
    </xf>
    <xf numFmtId="241" fontId="266" fillId="0" borderId="41" xfId="453" applyNumberFormat="1" applyFont="1" applyFill="1" applyBorder="1" applyAlignment="1">
      <alignment horizontal="right" vertical="center"/>
    </xf>
    <xf numFmtId="186" fontId="263" fillId="74" borderId="35" xfId="453" applyNumberFormat="1" applyFont="1" applyFill="1" applyBorder="1" applyAlignment="1">
      <alignment horizontal="center" vertical="center" textRotation="255" shrinkToFit="1"/>
    </xf>
    <xf numFmtId="186" fontId="263" fillId="74" borderId="164" xfId="453" applyNumberFormat="1" applyFont="1" applyFill="1" applyBorder="1" applyAlignment="1">
      <alignment horizontal="center" vertical="center" textRotation="255" shrinkToFit="1"/>
    </xf>
    <xf numFmtId="186" fontId="263" fillId="74" borderId="131" xfId="453" applyNumberFormat="1" applyFont="1" applyFill="1" applyBorder="1" applyAlignment="1">
      <alignment horizontal="center" vertical="center" textRotation="255" shrinkToFit="1"/>
    </xf>
    <xf numFmtId="186" fontId="266" fillId="0" borderId="37" xfId="453" applyNumberFormat="1" applyFont="1" applyFill="1" applyBorder="1" applyAlignment="1">
      <alignment horizontal="right" vertical="center" shrinkToFit="1"/>
    </xf>
    <xf numFmtId="186" fontId="266" fillId="0" borderId="38" xfId="453" applyNumberFormat="1" applyFont="1" applyFill="1" applyBorder="1" applyAlignment="1">
      <alignment horizontal="right" vertical="center" shrinkToFit="1"/>
    </xf>
    <xf numFmtId="241" fontId="266" fillId="0" borderId="65" xfId="453" applyNumberFormat="1" applyFont="1" applyFill="1" applyBorder="1" applyAlignment="1">
      <alignment horizontal="right" vertical="center"/>
    </xf>
    <xf numFmtId="241" fontId="266" fillId="0" borderId="38" xfId="453" applyNumberFormat="1" applyFont="1" applyFill="1" applyBorder="1" applyAlignment="1">
      <alignment horizontal="right" vertical="center"/>
    </xf>
    <xf numFmtId="186" fontId="266" fillId="0" borderId="38" xfId="453" applyNumberFormat="1" applyFont="1" applyFill="1" applyBorder="1" applyAlignment="1">
      <alignment horizontal="left" vertical="center" shrinkToFit="1"/>
    </xf>
    <xf numFmtId="242" fontId="263" fillId="74" borderId="189" xfId="453" applyNumberFormat="1" applyFont="1" applyFill="1" applyBorder="1" applyAlignment="1">
      <alignment horizontal="center" vertical="center" wrapText="1" shrinkToFit="1"/>
    </xf>
    <xf numFmtId="242" fontId="263" fillId="74" borderId="47" xfId="453" applyNumberFormat="1" applyFont="1" applyFill="1" applyBorder="1" applyAlignment="1">
      <alignment horizontal="center" vertical="center" wrapText="1" shrinkToFit="1"/>
    </xf>
    <xf numFmtId="242" fontId="263" fillId="74" borderId="129" xfId="453" applyNumberFormat="1" applyFont="1" applyFill="1" applyBorder="1" applyAlignment="1">
      <alignment horizontal="center" vertical="center" wrapText="1" shrinkToFit="1"/>
    </xf>
    <xf numFmtId="242" fontId="263" fillId="74" borderId="138" xfId="453" applyNumberFormat="1" applyFont="1" applyFill="1" applyBorder="1" applyAlignment="1">
      <alignment horizontal="center" vertical="center" wrapText="1" shrinkToFit="1"/>
    </xf>
    <xf numFmtId="243" fontId="266" fillId="0" borderId="47" xfId="459" applyNumberFormat="1" applyFont="1" applyFill="1" applyBorder="1" applyAlignment="1">
      <alignment horizontal="left" vertical="center" shrinkToFit="1"/>
    </xf>
    <xf numFmtId="243" fontId="266" fillId="0" borderId="190" xfId="459" applyNumberFormat="1" applyFont="1" applyFill="1" applyBorder="1" applyAlignment="1">
      <alignment horizontal="left" vertical="center" shrinkToFit="1"/>
    </xf>
    <xf numFmtId="243" fontId="266" fillId="0" borderId="191" xfId="459" applyNumberFormat="1" applyFont="1" applyFill="1" applyBorder="1" applyAlignment="1">
      <alignment horizontal="left" vertical="center" shrinkToFit="1"/>
    </xf>
    <xf numFmtId="243" fontId="266" fillId="0" borderId="155" xfId="459" applyNumberFormat="1" applyFont="1" applyFill="1" applyBorder="1" applyAlignment="1">
      <alignment horizontal="left" vertical="center" shrinkToFit="1"/>
    </xf>
    <xf numFmtId="243" fontId="266" fillId="0" borderId="192" xfId="459" applyNumberFormat="1" applyFont="1" applyFill="1" applyBorder="1" applyAlignment="1">
      <alignment horizontal="left" vertical="center" shrinkToFit="1"/>
    </xf>
    <xf numFmtId="179" fontId="263" fillId="74" borderId="193" xfId="453" applyNumberFormat="1" applyFont="1" applyFill="1" applyBorder="1" applyAlignment="1">
      <alignment horizontal="center" vertical="center" shrinkToFit="1"/>
    </xf>
    <xf numFmtId="179" fontId="263" fillId="74" borderId="10" xfId="453" applyNumberFormat="1" applyFont="1" applyFill="1" applyBorder="1" applyAlignment="1">
      <alignment horizontal="center" vertical="center" shrinkToFit="1"/>
    </xf>
    <xf numFmtId="179" fontId="263" fillId="74" borderId="68" xfId="453" applyNumberFormat="1" applyFont="1" applyFill="1" applyBorder="1" applyAlignment="1">
      <alignment horizontal="center" vertical="center" shrinkToFit="1"/>
    </xf>
    <xf numFmtId="180" fontId="266" fillId="0" borderId="36" xfId="453" applyNumberFormat="1" applyFont="1" applyFill="1" applyBorder="1" applyAlignment="1">
      <alignment horizontal="left" vertical="center" shrinkToFit="1"/>
    </xf>
    <xf numFmtId="180" fontId="266" fillId="0" borderId="19" xfId="453" applyNumberFormat="1" applyFont="1" applyFill="1" applyBorder="1" applyAlignment="1">
      <alignment horizontal="left" vertical="center" shrinkToFit="1"/>
    </xf>
    <xf numFmtId="180" fontId="266" fillId="0" borderId="149" xfId="453" applyNumberFormat="1" applyFont="1" applyFill="1" applyBorder="1" applyAlignment="1">
      <alignment horizontal="left" vertical="center" shrinkToFit="1"/>
    </xf>
    <xf numFmtId="0" fontId="263" fillId="74" borderId="36" xfId="459" applyFont="1" applyFill="1" applyBorder="1" applyAlignment="1">
      <alignment horizontal="center" vertical="center" shrinkToFit="1"/>
    </xf>
    <xf numFmtId="0" fontId="263" fillId="74" borderId="149" xfId="459" applyFont="1" applyFill="1" applyBorder="1" applyAlignment="1">
      <alignment horizontal="center" vertical="center" shrinkToFit="1"/>
    </xf>
    <xf numFmtId="180" fontId="266" fillId="0" borderId="36" xfId="459" applyNumberFormat="1" applyFont="1" applyFill="1" applyBorder="1" applyAlignment="1">
      <alignment horizontal="left" vertical="center" shrinkToFit="1"/>
    </xf>
    <xf numFmtId="180" fontId="266" fillId="0" borderId="19" xfId="459" applyNumberFormat="1" applyFont="1" applyFill="1" applyBorder="1" applyAlignment="1">
      <alignment horizontal="left" vertical="center" shrinkToFit="1"/>
    </xf>
    <xf numFmtId="180" fontId="266" fillId="0" borderId="20" xfId="459" applyNumberFormat="1" applyFont="1" applyFill="1" applyBorder="1" applyAlignment="1">
      <alignment horizontal="left" vertical="center" shrinkToFit="1"/>
    </xf>
    <xf numFmtId="179" fontId="263" fillId="74" borderId="186" xfId="453" applyNumberFormat="1" applyFont="1" applyFill="1" applyBorder="1" applyAlignment="1">
      <alignment horizontal="center" vertical="center" shrinkToFit="1"/>
    </xf>
    <xf numFmtId="179" fontId="263" fillId="74" borderId="8" xfId="453" applyNumberFormat="1" applyFont="1" applyFill="1" applyBorder="1" applyAlignment="1">
      <alignment horizontal="center" vertical="center" shrinkToFit="1"/>
    </xf>
    <xf numFmtId="179" fontId="263" fillId="74" borderId="70" xfId="453" applyNumberFormat="1" applyFont="1" applyFill="1" applyBorder="1" applyAlignment="1">
      <alignment horizontal="center" vertical="center" shrinkToFit="1"/>
    </xf>
    <xf numFmtId="179" fontId="266" fillId="0" borderId="24" xfId="453" applyNumberFormat="1" applyFont="1" applyFill="1" applyBorder="1" applyAlignment="1">
      <alignment horizontal="left" vertical="center" shrinkToFit="1"/>
    </xf>
    <xf numFmtId="179" fontId="266" fillId="0" borderId="8" xfId="453" applyNumberFormat="1" applyFont="1" applyFill="1" applyBorder="1" applyAlignment="1">
      <alignment horizontal="left" vertical="center" shrinkToFit="1"/>
    </xf>
    <xf numFmtId="179" fontId="266" fillId="0" borderId="70" xfId="453" applyNumberFormat="1" applyFont="1" applyFill="1" applyBorder="1" applyAlignment="1">
      <alignment horizontal="left" vertical="center" shrinkToFit="1"/>
    </xf>
    <xf numFmtId="0" fontId="263" fillId="74" borderId="24" xfId="459" applyFont="1" applyFill="1" applyBorder="1" applyAlignment="1">
      <alignment horizontal="center" vertical="center" shrinkToFit="1"/>
    </xf>
    <xf numFmtId="0" fontId="263" fillId="74" borderId="70" xfId="459" applyFont="1" applyFill="1" applyBorder="1" applyAlignment="1">
      <alignment horizontal="center" vertical="center" shrinkToFit="1"/>
    </xf>
    <xf numFmtId="241" fontId="266" fillId="0" borderId="24" xfId="444" applyNumberFormat="1" applyFont="1" applyFill="1" applyBorder="1" applyAlignment="1">
      <alignment horizontal="left" vertical="center" shrinkToFit="1"/>
    </xf>
    <xf numFmtId="241" fontId="266" fillId="0" borderId="8" xfId="444" applyNumberFormat="1" applyFont="1" applyFill="1" applyBorder="1" applyAlignment="1">
      <alignment horizontal="left" vertical="center" shrinkToFit="1"/>
    </xf>
    <xf numFmtId="241" fontId="266" fillId="0" borderId="23" xfId="444" applyNumberFormat="1" applyFont="1" applyFill="1" applyBorder="1" applyAlignment="1">
      <alignment horizontal="left" vertical="center" shrinkToFit="1"/>
    </xf>
    <xf numFmtId="241" fontId="266" fillId="0" borderId="8" xfId="444" applyNumberFormat="1" applyFont="1" applyBorder="1" applyAlignment="1">
      <alignment horizontal="left" vertical="center" shrinkToFit="1"/>
    </xf>
    <xf numFmtId="241" fontId="266" fillId="0" borderId="23" xfId="444" applyNumberFormat="1" applyFont="1" applyBorder="1" applyAlignment="1">
      <alignment horizontal="left" vertical="center" shrinkToFit="1"/>
    </xf>
    <xf numFmtId="241" fontId="266" fillId="0" borderId="130" xfId="453" applyNumberFormat="1" applyFont="1" applyFill="1" applyBorder="1" applyAlignment="1">
      <alignment horizontal="right" vertical="center"/>
    </xf>
    <xf numFmtId="240" fontId="266" fillId="0" borderId="24" xfId="444" applyNumberFormat="1" applyFont="1" applyFill="1" applyBorder="1" applyAlignment="1">
      <alignment horizontal="left" vertical="center" shrinkToFit="1"/>
    </xf>
    <xf numFmtId="240" fontId="266" fillId="0" borderId="8" xfId="444" applyNumberFormat="1" applyFont="1" applyFill="1" applyBorder="1" applyAlignment="1">
      <alignment horizontal="left" vertical="center" shrinkToFit="1"/>
    </xf>
    <xf numFmtId="240" fontId="266" fillId="0" borderId="70" xfId="444" applyNumberFormat="1" applyFont="1" applyFill="1" applyBorder="1" applyAlignment="1">
      <alignment horizontal="left" vertical="center" shrinkToFit="1"/>
    </xf>
    <xf numFmtId="241" fontId="266" fillId="0" borderId="24" xfId="444" applyNumberFormat="1" applyFont="1" applyFill="1" applyBorder="1" applyAlignment="1">
      <alignment horizontal="center" vertical="center" shrinkToFit="1"/>
    </xf>
    <xf numFmtId="241" fontId="266" fillId="0" borderId="8" xfId="444" applyNumberFormat="1" applyFont="1" applyFill="1" applyBorder="1" applyAlignment="1">
      <alignment horizontal="center" vertical="center" shrinkToFit="1"/>
    </xf>
    <xf numFmtId="186" fontId="263" fillId="74" borderId="167" xfId="453" applyNumberFormat="1" applyFont="1" applyFill="1" applyBorder="1" applyAlignment="1">
      <alignment horizontal="center" vertical="center" shrinkToFit="1"/>
    </xf>
    <xf numFmtId="186" fontId="263" fillId="74" borderId="13" xfId="453" applyNumberFormat="1" applyFont="1" applyFill="1" applyBorder="1" applyAlignment="1">
      <alignment horizontal="center" vertical="center" shrinkToFit="1"/>
    </xf>
    <xf numFmtId="186" fontId="263" fillId="74" borderId="64" xfId="453" applyNumberFormat="1" applyFont="1" applyFill="1" applyBorder="1" applyAlignment="1">
      <alignment horizontal="center" vertical="center" shrinkToFit="1"/>
    </xf>
    <xf numFmtId="186" fontId="263" fillId="74" borderId="193" xfId="453" applyNumberFormat="1" applyFont="1" applyFill="1" applyBorder="1" applyAlignment="1">
      <alignment horizontal="center" vertical="center" shrinkToFit="1"/>
    </xf>
    <xf numFmtId="186" fontId="263" fillId="74" borderId="10" xfId="453" applyNumberFormat="1" applyFont="1" applyFill="1" applyBorder="1" applyAlignment="1">
      <alignment horizontal="center" vertical="center" shrinkToFit="1"/>
    </xf>
    <xf numFmtId="186" fontId="266" fillId="0" borderId="37" xfId="453" applyNumberFormat="1" applyFont="1" applyFill="1" applyBorder="1" applyAlignment="1">
      <alignment horizontal="left" vertical="center" shrinkToFit="1"/>
    </xf>
    <xf numFmtId="186" fontId="266" fillId="0" borderId="88" xfId="453" applyNumberFormat="1" applyFont="1" applyFill="1" applyBorder="1" applyAlignment="1">
      <alignment horizontal="left" vertical="center" shrinkToFit="1"/>
    </xf>
    <xf numFmtId="0" fontId="266" fillId="0" borderId="18" xfId="453" applyFont="1" applyFill="1" applyBorder="1" applyAlignment="1">
      <alignment horizontal="right" vertical="center" shrinkToFit="1"/>
    </xf>
    <xf numFmtId="0" fontId="266" fillId="0" borderId="10" xfId="453" applyFont="1" applyFill="1" applyBorder="1" applyAlignment="1">
      <alignment horizontal="right" vertical="center" shrinkToFit="1"/>
    </xf>
    <xf numFmtId="0" fontId="266" fillId="0" borderId="10" xfId="453" applyFont="1" applyFill="1" applyBorder="1" applyAlignment="1">
      <alignment horizontal="left" vertical="center" shrinkToFit="1"/>
    </xf>
    <xf numFmtId="0" fontId="266" fillId="0" borderId="91" xfId="453" applyFont="1" applyFill="1" applyBorder="1" applyAlignment="1">
      <alignment horizontal="left" vertical="center" shrinkToFit="1"/>
    </xf>
    <xf numFmtId="187" fontId="266" fillId="0" borderId="8" xfId="459" applyNumberFormat="1" applyFont="1" applyFill="1" applyBorder="1" applyAlignment="1">
      <alignment horizontal="center" vertical="center" shrinkToFit="1"/>
    </xf>
    <xf numFmtId="188" fontId="266" fillId="0" borderId="8" xfId="459" applyNumberFormat="1" applyFont="1" applyFill="1" applyBorder="1" applyAlignment="1">
      <alignment horizontal="center" vertical="center" shrinkToFit="1"/>
    </xf>
    <xf numFmtId="0" fontId="266" fillId="0" borderId="24" xfId="459" applyFont="1" applyFill="1" applyBorder="1" applyAlignment="1">
      <alignment horizontal="left" vertical="center" shrinkToFit="1"/>
    </xf>
    <xf numFmtId="0" fontId="266" fillId="0" borderId="8" xfId="459" applyFont="1" applyFill="1" applyBorder="1" applyAlignment="1">
      <alignment horizontal="left" vertical="center" shrinkToFit="1"/>
    </xf>
    <xf numFmtId="0" fontId="266" fillId="0" borderId="23" xfId="459" applyFont="1" applyFill="1" applyBorder="1" applyAlignment="1">
      <alignment horizontal="left" vertical="center" shrinkToFit="1"/>
    </xf>
    <xf numFmtId="240" fontId="266" fillId="0" borderId="12" xfId="444" applyNumberFormat="1" applyFont="1" applyFill="1" applyBorder="1" applyAlignment="1">
      <alignment horizontal="left" vertical="center" shrinkToFit="1"/>
    </xf>
    <xf numFmtId="240" fontId="266" fillId="0" borderId="13" xfId="444" applyNumberFormat="1" applyFont="1" applyFill="1" applyBorder="1" applyAlignment="1">
      <alignment horizontal="left" vertical="center" shrinkToFit="1"/>
    </xf>
    <xf numFmtId="240" fontId="266" fillId="0" borderId="21" xfId="444" applyNumberFormat="1" applyFont="1" applyFill="1" applyBorder="1" applyAlignment="1">
      <alignment horizontal="left" vertical="center" shrinkToFit="1"/>
    </xf>
    <xf numFmtId="253" fontId="260" fillId="0" borderId="0" xfId="459" applyNumberFormat="1" applyFont="1" applyFill="1" applyBorder="1" applyAlignment="1">
      <alignment horizontal="center" vertical="center"/>
    </xf>
    <xf numFmtId="31" fontId="145" fillId="0" borderId="0" xfId="453" applyNumberFormat="1" applyFont="1" applyFill="1" applyAlignment="1">
      <alignment horizontal="right" vertical="center"/>
    </xf>
    <xf numFmtId="0" fontId="145" fillId="0" borderId="0" xfId="453" applyFont="1" applyFill="1" applyBorder="1" applyAlignment="1">
      <alignment horizontal="center" vertical="center"/>
    </xf>
    <xf numFmtId="14" fontId="145" fillId="0" borderId="0" xfId="453" applyNumberFormat="1" applyFont="1" applyFill="1" applyBorder="1" applyAlignment="1">
      <alignment horizontal="center" vertical="center"/>
    </xf>
    <xf numFmtId="0" fontId="263" fillId="74" borderId="194" xfId="453" applyFont="1" applyFill="1" applyBorder="1" applyAlignment="1">
      <alignment horizontal="center" vertical="center" shrinkToFit="1"/>
    </xf>
    <xf numFmtId="0" fontId="263" fillId="74" borderId="19" xfId="453" applyFont="1" applyFill="1" applyBorder="1" applyAlignment="1">
      <alignment horizontal="center" vertical="center" shrinkToFit="1"/>
    </xf>
    <xf numFmtId="0" fontId="263" fillId="74" borderId="149" xfId="453" applyFont="1" applyFill="1" applyBorder="1" applyAlignment="1">
      <alignment horizontal="center" vertical="center" shrinkToFit="1"/>
    </xf>
    <xf numFmtId="14" fontId="261" fillId="74" borderId="36" xfId="453" applyNumberFormat="1" applyFont="1" applyFill="1" applyBorder="1" applyAlignment="1">
      <alignment horizontal="left" vertical="center" shrinkToFit="1"/>
    </xf>
    <xf numFmtId="0" fontId="261" fillId="74" borderId="19" xfId="453" applyFont="1" applyFill="1" applyBorder="1" applyAlignment="1">
      <alignment horizontal="left" vertical="center" shrinkToFit="1"/>
    </xf>
    <xf numFmtId="0" fontId="261" fillId="74" borderId="20" xfId="453" applyFont="1" applyFill="1" applyBorder="1" applyAlignment="1">
      <alignment horizontal="left" vertical="center" shrinkToFit="1"/>
    </xf>
    <xf numFmtId="0" fontId="263" fillId="74" borderId="167" xfId="453" applyFont="1" applyFill="1" applyBorder="1" applyAlignment="1">
      <alignment horizontal="center" vertical="center" wrapText="1" shrinkToFit="1"/>
    </xf>
    <xf numFmtId="0" fontId="263" fillId="74" borderId="13" xfId="453" applyFont="1" applyFill="1" applyBorder="1" applyAlignment="1">
      <alignment horizontal="center" vertical="center" wrapText="1" shrinkToFit="1"/>
    </xf>
    <xf numFmtId="0" fontId="263" fillId="74" borderId="64" xfId="453" applyFont="1" applyFill="1" applyBorder="1" applyAlignment="1">
      <alignment horizontal="center" vertical="center" wrapText="1" shrinkToFit="1"/>
    </xf>
    <xf numFmtId="0" fontId="263" fillId="74" borderId="193" xfId="453" applyFont="1" applyFill="1" applyBorder="1" applyAlignment="1">
      <alignment horizontal="center" vertical="center" wrapText="1" shrinkToFit="1"/>
    </xf>
    <xf numFmtId="0" fontId="263" fillId="74" borderId="10" xfId="453" applyFont="1" applyFill="1" applyBorder="1" applyAlignment="1">
      <alignment horizontal="center" vertical="center" wrapText="1" shrinkToFit="1"/>
    </xf>
    <xf numFmtId="0" fontId="263" fillId="74" borderId="68" xfId="453" applyFont="1" applyFill="1" applyBorder="1" applyAlignment="1">
      <alignment horizontal="center" vertical="center" wrapText="1" shrinkToFit="1"/>
    </xf>
    <xf numFmtId="0" fontId="263" fillId="0" borderId="12" xfId="453" applyFont="1" applyFill="1" applyBorder="1" applyAlignment="1">
      <alignment horizontal="center" vertical="center" shrinkToFit="1"/>
    </xf>
    <xf numFmtId="0" fontId="263" fillId="0" borderId="13" xfId="453" applyFont="1" applyFill="1" applyBorder="1" applyAlignment="1">
      <alignment horizontal="center" vertical="center" shrinkToFit="1"/>
    </xf>
    <xf numFmtId="0" fontId="263" fillId="0" borderId="18" xfId="453" applyFont="1" applyFill="1" applyBorder="1" applyAlignment="1">
      <alignment horizontal="center" vertical="center" shrinkToFit="1"/>
    </xf>
    <xf numFmtId="0" fontId="263" fillId="0" borderId="10" xfId="453" applyFont="1" applyFill="1" applyBorder="1" applyAlignment="1">
      <alignment horizontal="center" vertical="center" shrinkToFit="1"/>
    </xf>
    <xf numFmtId="0" fontId="263" fillId="0" borderId="21" xfId="453" applyFont="1" applyFill="1" applyBorder="1" applyAlignment="1">
      <alignment horizontal="center" vertical="center" shrinkToFit="1"/>
    </xf>
    <xf numFmtId="0" fontId="263" fillId="0" borderId="91" xfId="453" applyFont="1" applyFill="1" applyBorder="1" applyAlignment="1">
      <alignment horizontal="center" vertical="center" shrinkToFit="1"/>
    </xf>
    <xf numFmtId="0" fontId="263" fillId="74" borderId="167" xfId="453" applyFont="1" applyFill="1" applyBorder="1" applyAlignment="1">
      <alignment horizontal="center" vertical="center" shrinkToFit="1"/>
    </xf>
    <xf numFmtId="0" fontId="263" fillId="74" borderId="13" xfId="453" applyFont="1" applyFill="1" applyBorder="1" applyAlignment="1">
      <alignment horizontal="center" vertical="center" shrinkToFit="1"/>
    </xf>
    <xf numFmtId="0" fontId="263" fillId="74" borderId="64" xfId="453" applyFont="1" applyFill="1" applyBorder="1" applyAlignment="1">
      <alignment horizontal="center" vertical="center" shrinkToFit="1"/>
    </xf>
    <xf numFmtId="0" fontId="266" fillId="0" borderId="12" xfId="453" applyFont="1" applyFill="1" applyBorder="1" applyAlignment="1">
      <alignment horizontal="left" vertical="center" shrinkToFit="1"/>
    </xf>
    <xf numFmtId="0" fontId="266" fillId="0" borderId="13" xfId="453" applyFont="1" applyFill="1" applyBorder="1" applyAlignment="1">
      <alignment horizontal="left" vertical="center" shrinkToFit="1"/>
    </xf>
    <xf numFmtId="0" fontId="266" fillId="0" borderId="21" xfId="453" applyFont="1" applyFill="1" applyBorder="1" applyAlignment="1">
      <alignment horizontal="left" vertical="center" shrinkToFit="1"/>
    </xf>
    <xf numFmtId="0" fontId="263" fillId="75" borderId="24" xfId="453" applyFont="1" applyFill="1" applyBorder="1" applyAlignment="1">
      <alignment horizontal="center" vertical="center" shrinkToFit="1"/>
    </xf>
    <xf numFmtId="0" fontId="263" fillId="75" borderId="70" xfId="453" applyFont="1" applyFill="1" applyBorder="1" applyAlignment="1">
      <alignment horizontal="center" vertical="center" shrinkToFit="1"/>
    </xf>
    <xf numFmtId="240" fontId="145" fillId="0" borderId="12" xfId="444" applyNumberFormat="1" applyFont="1" applyBorder="1" applyAlignment="1">
      <alignment horizontal="center" vertical="center" shrinkToFit="1"/>
    </xf>
    <xf numFmtId="240" fontId="145" fillId="0" borderId="13" xfId="444" applyNumberFormat="1" applyFont="1" applyBorder="1" applyAlignment="1">
      <alignment horizontal="center" vertical="center" shrinkToFit="1"/>
    </xf>
    <xf numFmtId="0" fontId="263" fillId="75" borderId="187" xfId="453" applyFont="1" applyFill="1" applyBorder="1" applyAlignment="1">
      <alignment horizontal="center" vertical="center" shrinkToFit="1"/>
    </xf>
    <xf numFmtId="0" fontId="263" fillId="75" borderId="188" xfId="453" applyFont="1" applyFill="1" applyBorder="1" applyAlignment="1">
      <alignment horizontal="center" vertical="center" shrinkToFit="1"/>
    </xf>
    <xf numFmtId="242" fontId="263" fillId="75" borderId="189" xfId="453" applyNumberFormat="1" applyFont="1" applyFill="1" applyBorder="1" applyAlignment="1">
      <alignment horizontal="center" vertical="center" wrapText="1" shrinkToFit="1"/>
    </xf>
    <xf numFmtId="242" fontId="263" fillId="75" borderId="47" xfId="453" applyNumberFormat="1" applyFont="1" applyFill="1" applyBorder="1" applyAlignment="1">
      <alignment horizontal="center" vertical="center" wrapText="1" shrinkToFit="1"/>
    </xf>
    <xf numFmtId="242" fontId="263" fillId="75" borderId="129" xfId="453" applyNumberFormat="1" applyFont="1" applyFill="1" applyBorder="1" applyAlignment="1">
      <alignment horizontal="center" vertical="center" wrapText="1" shrinkToFit="1"/>
    </xf>
    <xf numFmtId="242" fontId="263" fillId="75" borderId="138" xfId="453" applyNumberFormat="1" applyFont="1" applyFill="1" applyBorder="1" applyAlignment="1">
      <alignment horizontal="center" vertical="center" wrapText="1" shrinkToFit="1"/>
    </xf>
    <xf numFmtId="179" fontId="263" fillId="75" borderId="193" xfId="453" applyNumberFormat="1" applyFont="1" applyFill="1" applyBorder="1" applyAlignment="1">
      <alignment horizontal="center" vertical="center" shrinkToFit="1"/>
    </xf>
    <xf numFmtId="179" fontId="263" fillId="75" borderId="10" xfId="453" applyNumberFormat="1" applyFont="1" applyFill="1" applyBorder="1" applyAlignment="1">
      <alignment horizontal="center" vertical="center" shrinkToFit="1"/>
    </xf>
    <xf numFmtId="179" fontId="263" fillId="75" borderId="68" xfId="453" applyNumberFormat="1" applyFont="1" applyFill="1" applyBorder="1" applyAlignment="1">
      <alignment horizontal="center" vertical="center" shrinkToFit="1"/>
    </xf>
    <xf numFmtId="0" fontId="263" fillId="75" borderId="36" xfId="459" applyFont="1" applyFill="1" applyBorder="1" applyAlignment="1">
      <alignment horizontal="center" vertical="center" shrinkToFit="1"/>
    </xf>
    <xf numFmtId="0" fontId="263" fillId="75" borderId="149" xfId="459" applyFont="1" applyFill="1" applyBorder="1" applyAlignment="1">
      <alignment horizontal="center" vertical="center" shrinkToFit="1"/>
    </xf>
    <xf numFmtId="179" fontId="263" fillId="75" borderId="186" xfId="453" applyNumberFormat="1" applyFont="1" applyFill="1" applyBorder="1" applyAlignment="1">
      <alignment horizontal="center" vertical="center" shrinkToFit="1"/>
    </xf>
    <xf numFmtId="179" fontId="263" fillId="75" borderId="8" xfId="453" applyNumberFormat="1" applyFont="1" applyFill="1" applyBorder="1" applyAlignment="1">
      <alignment horizontal="center" vertical="center" shrinkToFit="1"/>
    </xf>
    <xf numFmtId="179" fontId="263" fillId="75" borderId="70" xfId="453" applyNumberFormat="1" applyFont="1" applyFill="1" applyBorder="1" applyAlignment="1">
      <alignment horizontal="center" vertical="center" shrinkToFit="1"/>
    </xf>
    <xf numFmtId="0" fontId="263" fillId="75" borderId="24" xfId="459" applyFont="1" applyFill="1" applyBorder="1" applyAlignment="1">
      <alignment horizontal="center" vertical="center" shrinkToFit="1"/>
    </xf>
    <xf numFmtId="0" fontId="263" fillId="75" borderId="70" xfId="459" applyFont="1" applyFill="1" applyBorder="1" applyAlignment="1">
      <alignment horizontal="center" vertical="center" shrinkToFit="1"/>
    </xf>
    <xf numFmtId="186" fontId="263" fillId="75" borderId="35" xfId="453" applyNumberFormat="1" applyFont="1" applyFill="1" applyBorder="1" applyAlignment="1">
      <alignment horizontal="center" vertical="center" textRotation="255" shrinkToFit="1"/>
    </xf>
    <xf numFmtId="186" fontId="263" fillId="75" borderId="164" xfId="453" applyNumberFormat="1" applyFont="1" applyFill="1" applyBorder="1" applyAlignment="1">
      <alignment horizontal="center" vertical="center" textRotation="255" shrinkToFit="1"/>
    </xf>
    <xf numFmtId="186" fontId="263" fillId="75" borderId="131" xfId="453" applyNumberFormat="1" applyFont="1" applyFill="1" applyBorder="1" applyAlignment="1">
      <alignment horizontal="center" vertical="center" textRotation="255" shrinkToFit="1"/>
    </xf>
    <xf numFmtId="186" fontId="263" fillId="75" borderId="150" xfId="453" applyNumberFormat="1" applyFont="1" applyFill="1" applyBorder="1" applyAlignment="1">
      <alignment horizontal="center" vertical="center" shrinkToFit="1"/>
    </xf>
    <xf numFmtId="186" fontId="263" fillId="75" borderId="151" xfId="453" applyNumberFormat="1" applyFont="1" applyFill="1" applyBorder="1" applyAlignment="1">
      <alignment horizontal="center" vertical="center" shrinkToFit="1"/>
    </xf>
    <xf numFmtId="186" fontId="263" fillId="75" borderId="14" xfId="453" applyNumberFormat="1" applyFont="1" applyFill="1" applyBorder="1" applyAlignment="1">
      <alignment horizontal="center" vertical="center" shrinkToFit="1"/>
    </xf>
    <xf numFmtId="186" fontId="263" fillId="75" borderId="66" xfId="453" applyNumberFormat="1" applyFont="1" applyFill="1" applyBorder="1" applyAlignment="1">
      <alignment horizontal="center" vertical="center" shrinkToFit="1"/>
    </xf>
    <xf numFmtId="186" fontId="263" fillId="75" borderId="18" xfId="453" applyNumberFormat="1" applyFont="1" applyFill="1" applyBorder="1" applyAlignment="1">
      <alignment horizontal="center" vertical="center" shrinkToFit="1"/>
    </xf>
    <xf numFmtId="186" fontId="263" fillId="75" borderId="68" xfId="453" applyNumberFormat="1" applyFont="1" applyFill="1" applyBorder="1" applyAlignment="1">
      <alignment horizontal="center" vertical="center" shrinkToFit="1"/>
    </xf>
    <xf numFmtId="0" fontId="266" fillId="0" borderId="40" xfId="453" applyFont="1" applyBorder="1" applyAlignment="1">
      <alignment horizontal="right" vertical="center" shrinkToFit="1"/>
    </xf>
    <xf numFmtId="0" fontId="266" fillId="0" borderId="41" xfId="453" applyFont="1" applyBorder="1" applyAlignment="1">
      <alignment horizontal="right" vertical="center" shrinkToFit="1"/>
    </xf>
    <xf numFmtId="186" fontId="263" fillId="75" borderId="195" xfId="453" applyNumberFormat="1" applyFont="1" applyFill="1" applyBorder="1" applyAlignment="1">
      <alignment horizontal="center" vertical="center" textRotation="255" shrinkToFit="1"/>
    </xf>
    <xf numFmtId="0" fontId="263" fillId="75" borderId="12" xfId="453" applyFont="1" applyFill="1" applyBorder="1" applyAlignment="1">
      <alignment horizontal="center" vertical="center" shrinkToFit="1"/>
    </xf>
    <xf numFmtId="0" fontId="263" fillId="75" borderId="64" xfId="453" applyFont="1" applyFill="1" applyBorder="1" applyAlignment="1">
      <alignment horizontal="center" vertical="center" shrinkToFit="1"/>
    </xf>
    <xf numFmtId="240" fontId="266" fillId="0" borderId="187" xfId="444" applyNumberFormat="1" applyFont="1" applyFill="1" applyBorder="1" applyAlignment="1">
      <alignment horizontal="center" vertical="center" shrinkToFit="1"/>
    </xf>
    <xf numFmtId="240" fontId="266" fillId="0" borderId="130" xfId="444" applyNumberFormat="1" applyFont="1" applyFill="1" applyBorder="1" applyAlignment="1">
      <alignment horizontal="center" vertical="center" shrinkToFit="1"/>
    </xf>
    <xf numFmtId="10" fontId="266" fillId="0" borderId="38" xfId="434" applyNumberFormat="1" applyFont="1" applyFill="1" applyBorder="1" applyAlignment="1">
      <alignment horizontal="center" vertical="center"/>
    </xf>
    <xf numFmtId="186" fontId="263" fillId="75" borderId="12" xfId="453" applyNumberFormat="1" applyFont="1" applyFill="1" applyBorder="1" applyAlignment="1">
      <alignment horizontal="center" vertical="center" wrapText="1" shrinkToFit="1"/>
    </xf>
    <xf numFmtId="186" fontId="263" fillId="75" borderId="64" xfId="453" applyNumberFormat="1" applyFont="1" applyFill="1" applyBorder="1" applyAlignment="1">
      <alignment horizontal="center" vertical="center" shrinkToFit="1"/>
    </xf>
    <xf numFmtId="241" fontId="266" fillId="0" borderId="178" xfId="453" applyNumberFormat="1" applyFont="1" applyFill="1" applyBorder="1" applyAlignment="1">
      <alignment horizontal="right" vertical="center"/>
    </xf>
    <xf numFmtId="241" fontId="266" fillId="0" borderId="8" xfId="453" applyNumberFormat="1" applyFont="1" applyFill="1" applyBorder="1" applyAlignment="1">
      <alignment horizontal="right" vertical="center"/>
    </xf>
    <xf numFmtId="0" fontId="263" fillId="75" borderId="186" xfId="453" applyFont="1" applyFill="1" applyBorder="1" applyAlignment="1">
      <alignment horizontal="center" vertical="center" shrinkToFit="1"/>
    </xf>
    <xf numFmtId="0" fontId="263" fillId="75" borderId="8" xfId="453" applyFont="1" applyFill="1" applyBorder="1" applyAlignment="1">
      <alignment horizontal="center" vertical="center" shrinkToFit="1"/>
    </xf>
    <xf numFmtId="240" fontId="266" fillId="0" borderId="23" xfId="444" applyNumberFormat="1" applyFont="1" applyFill="1" applyBorder="1" applyAlignment="1">
      <alignment horizontal="left" vertical="center" shrinkToFit="1"/>
    </xf>
    <xf numFmtId="186" fontId="263" fillId="75" borderId="167" xfId="453" applyNumberFormat="1" applyFont="1" applyFill="1" applyBorder="1" applyAlignment="1">
      <alignment horizontal="center" vertical="center" shrinkToFit="1"/>
    </xf>
    <xf numFmtId="186" fontId="263" fillId="75" borderId="13" xfId="453" applyNumberFormat="1" applyFont="1" applyFill="1" applyBorder="1" applyAlignment="1">
      <alignment horizontal="center" vertical="center" shrinkToFit="1"/>
    </xf>
    <xf numFmtId="186" fontId="263" fillId="75" borderId="193" xfId="453" applyNumberFormat="1" applyFont="1" applyFill="1" applyBorder="1" applyAlignment="1">
      <alignment horizontal="center" vertical="center" shrinkToFit="1"/>
    </xf>
    <xf numFmtId="186" fontId="263" fillId="75" borderId="10" xfId="453" applyNumberFormat="1" applyFont="1" applyFill="1" applyBorder="1" applyAlignment="1">
      <alignment horizontal="center" vertical="center" shrinkToFit="1"/>
    </xf>
    <xf numFmtId="0" fontId="266" fillId="0" borderId="18" xfId="453" applyFont="1" applyBorder="1" applyAlignment="1">
      <alignment horizontal="right" vertical="center" shrinkToFit="1"/>
    </xf>
    <xf numFmtId="0" fontId="266" fillId="0" borderId="10" xfId="453" applyFont="1" applyBorder="1" applyAlignment="1">
      <alignment horizontal="right" vertical="center" shrinkToFit="1"/>
    </xf>
    <xf numFmtId="0" fontId="263" fillId="75" borderId="167" xfId="453" applyFont="1" applyFill="1" applyBorder="1" applyAlignment="1">
      <alignment horizontal="center" vertical="center" shrinkToFit="1"/>
    </xf>
    <xf numFmtId="0" fontId="263" fillId="75" borderId="13" xfId="453" applyFont="1" applyFill="1" applyBorder="1" applyAlignment="1">
      <alignment horizontal="center" vertical="center" shrinkToFit="1"/>
    </xf>
    <xf numFmtId="0" fontId="263" fillId="75" borderId="194" xfId="453" applyFont="1" applyFill="1" applyBorder="1" applyAlignment="1">
      <alignment horizontal="center" vertical="center" shrinkToFit="1"/>
    </xf>
    <xf numFmtId="0" fontId="263" fillId="75" borderId="19" xfId="453" applyFont="1" applyFill="1" applyBorder="1" applyAlignment="1">
      <alignment horizontal="center" vertical="center" shrinkToFit="1"/>
    </xf>
    <xf numFmtId="0" fontId="263" fillId="75" borderId="149" xfId="453" applyFont="1" applyFill="1" applyBorder="1" applyAlignment="1">
      <alignment horizontal="center" vertical="center" shrinkToFit="1"/>
    </xf>
    <xf numFmtId="0" fontId="261" fillId="75" borderId="36" xfId="453" applyFont="1" applyFill="1" applyBorder="1" applyAlignment="1">
      <alignment horizontal="left" vertical="center" shrinkToFit="1"/>
    </xf>
    <xf numFmtId="0" fontId="261" fillId="75" borderId="19" xfId="453" applyFont="1" applyFill="1" applyBorder="1" applyAlignment="1">
      <alignment horizontal="left" vertical="center" shrinkToFit="1"/>
    </xf>
    <xf numFmtId="0" fontId="261" fillId="75" borderId="20" xfId="453" applyFont="1" applyFill="1" applyBorder="1" applyAlignment="1">
      <alignment horizontal="left" vertical="center" shrinkToFit="1"/>
    </xf>
    <xf numFmtId="0" fontId="263" fillId="75" borderId="167" xfId="453" applyFont="1" applyFill="1" applyBorder="1" applyAlignment="1">
      <alignment horizontal="center" vertical="center" wrapText="1" shrinkToFit="1"/>
    </xf>
    <xf numFmtId="0" fontId="263" fillId="75" borderId="13" xfId="453" applyFont="1" applyFill="1" applyBorder="1" applyAlignment="1">
      <alignment horizontal="center" vertical="center" wrapText="1" shrinkToFit="1"/>
    </xf>
    <xf numFmtId="0" fontId="263" fillId="75" borderId="64" xfId="453" applyFont="1" applyFill="1" applyBorder="1" applyAlignment="1">
      <alignment horizontal="center" vertical="center" wrapText="1" shrinkToFit="1"/>
    </xf>
    <xf numFmtId="0" fontId="263" fillId="75" borderId="193" xfId="453" applyFont="1" applyFill="1" applyBorder="1" applyAlignment="1">
      <alignment horizontal="center" vertical="center" wrapText="1" shrinkToFit="1"/>
    </xf>
    <xf numFmtId="0" fontId="263" fillId="75" borderId="10" xfId="453" applyFont="1" applyFill="1" applyBorder="1" applyAlignment="1">
      <alignment horizontal="center" vertical="center" wrapText="1" shrinkToFit="1"/>
    </xf>
    <xf numFmtId="0" fontId="263" fillId="75" borderId="68" xfId="453" applyFont="1" applyFill="1" applyBorder="1" applyAlignment="1">
      <alignment horizontal="center" vertical="center" wrapText="1" shrinkToFit="1"/>
    </xf>
    <xf numFmtId="0" fontId="265" fillId="0" borderId="12" xfId="453" applyFont="1" applyFill="1" applyBorder="1" applyAlignment="1">
      <alignment horizontal="center" vertical="center" shrinkToFit="1"/>
    </xf>
    <xf numFmtId="0" fontId="265" fillId="0" borderId="13" xfId="453" applyFont="1" applyFill="1" applyBorder="1" applyAlignment="1">
      <alignment horizontal="center" vertical="center" shrinkToFit="1"/>
    </xf>
    <xf numFmtId="0" fontId="265" fillId="0" borderId="18" xfId="453" applyFont="1" applyFill="1" applyBorder="1" applyAlignment="1">
      <alignment horizontal="center" vertical="center" shrinkToFit="1"/>
    </xf>
    <xf numFmtId="0" fontId="265" fillId="0" borderId="10" xfId="453" applyFont="1" applyFill="1" applyBorder="1" applyAlignment="1">
      <alignment horizontal="center" vertical="center" shrinkToFit="1"/>
    </xf>
    <xf numFmtId="0" fontId="265" fillId="0" borderId="21" xfId="453" applyFont="1" applyFill="1" applyBorder="1" applyAlignment="1">
      <alignment horizontal="center" vertical="center" shrinkToFit="1"/>
    </xf>
    <xf numFmtId="0" fontId="265" fillId="0" borderId="91" xfId="453" applyFont="1" applyFill="1" applyBorder="1" applyAlignment="1">
      <alignment horizontal="center" vertical="center" shrinkToFit="1"/>
    </xf>
    <xf numFmtId="0" fontId="194" fillId="0" borderId="0" xfId="452" applyFont="1" applyBorder="1" applyAlignment="1">
      <alignment horizontal="left" vertical="center" shrinkToFit="1"/>
    </xf>
    <xf numFmtId="0" fontId="194" fillId="0" borderId="22" xfId="452" applyFont="1" applyBorder="1" applyAlignment="1">
      <alignment horizontal="left" vertical="center" shrinkToFit="1"/>
    </xf>
    <xf numFmtId="0" fontId="267" fillId="0" borderId="13" xfId="452" applyFont="1" applyBorder="1" applyAlignment="1">
      <alignment horizontal="left" vertical="center"/>
    </xf>
    <xf numFmtId="0" fontId="267" fillId="0" borderId="0" xfId="452" applyFont="1" applyAlignment="1">
      <alignment horizontal="left" vertical="center"/>
    </xf>
    <xf numFmtId="0" fontId="267" fillId="0" borderId="4" xfId="452" applyFont="1" applyBorder="1" applyAlignment="1">
      <alignment horizontal="left" vertical="center"/>
    </xf>
    <xf numFmtId="0" fontId="191" fillId="0" borderId="3" xfId="452" applyFont="1" applyBorder="1" applyAlignment="1">
      <alignment horizontal="left" vertical="center"/>
    </xf>
    <xf numFmtId="0" fontId="191" fillId="0" borderId="140" xfId="452" applyFont="1" applyBorder="1" applyAlignment="1">
      <alignment horizontal="left" vertical="center"/>
    </xf>
    <xf numFmtId="0" fontId="191" fillId="0" borderId="24" xfId="452" applyFont="1" applyBorder="1" applyAlignment="1">
      <alignment horizontal="center" vertical="center"/>
    </xf>
    <xf numFmtId="0" fontId="191" fillId="0" borderId="70" xfId="452" applyFont="1" applyBorder="1" applyAlignment="1">
      <alignment horizontal="center" vertical="center"/>
    </xf>
    <xf numFmtId="0" fontId="191" fillId="0" borderId="24" xfId="452" applyFont="1" applyBorder="1" applyAlignment="1">
      <alignment horizontal="distributed" vertical="center"/>
    </xf>
    <xf numFmtId="0" fontId="191" fillId="0" borderId="70" xfId="452" applyFont="1" applyBorder="1" applyAlignment="1">
      <alignment horizontal="distributed" vertical="center"/>
    </xf>
    <xf numFmtId="0" fontId="194" fillId="0" borderId="0" xfId="452" applyFont="1" applyBorder="1" applyAlignment="1">
      <alignment horizontal="left" vertical="center" wrapText="1"/>
    </xf>
    <xf numFmtId="180" fontId="194" fillId="0" borderId="0" xfId="452" applyNumberFormat="1" applyFont="1" applyBorder="1" applyAlignment="1">
      <alignment horizontal="center" vertical="center"/>
    </xf>
    <xf numFmtId="236" fontId="194" fillId="61" borderId="0" xfId="452" applyNumberFormat="1" applyFont="1" applyFill="1" applyBorder="1" applyAlignment="1">
      <alignment horizontal="left" vertical="center"/>
    </xf>
    <xf numFmtId="0" fontId="194" fillId="0" borderId="0" xfId="452" applyFont="1" applyBorder="1" applyAlignment="1">
      <alignment horizontal="center" vertical="center"/>
    </xf>
    <xf numFmtId="0" fontId="191" fillId="0" borderId="150" xfId="452" applyFont="1" applyBorder="1" applyAlignment="1">
      <alignment horizontal="center" vertical="center" wrapText="1"/>
    </xf>
    <xf numFmtId="0" fontId="191" fillId="0" borderId="140" xfId="452" applyFont="1" applyBorder="1" applyAlignment="1">
      <alignment horizontal="center" vertical="center" wrapText="1"/>
    </xf>
    <xf numFmtId="0" fontId="191" fillId="0" borderId="58" xfId="452" applyFont="1" applyBorder="1" applyAlignment="1">
      <alignment horizontal="center" vertical="center" wrapText="1"/>
    </xf>
    <xf numFmtId="0" fontId="191" fillId="0" borderId="18" xfId="452" applyFont="1" applyBorder="1" applyAlignment="1">
      <alignment horizontal="center" vertical="center" wrapText="1"/>
    </xf>
    <xf numFmtId="0" fontId="191" fillId="0" borderId="10" xfId="452" applyFont="1" applyBorder="1" applyAlignment="1">
      <alignment horizontal="center" vertical="center" wrapText="1"/>
    </xf>
    <xf numFmtId="0" fontId="191" fillId="0" borderId="91" xfId="452" applyFont="1" applyBorder="1" applyAlignment="1">
      <alignment horizontal="center" vertical="center" wrapText="1"/>
    </xf>
    <xf numFmtId="0" fontId="191" fillId="0" borderId="36" xfId="452" applyFont="1" applyBorder="1" applyAlignment="1">
      <alignment horizontal="center" vertical="center"/>
    </xf>
    <xf numFmtId="0" fontId="191" fillId="0" borderId="19" xfId="452" applyFont="1" applyBorder="1" applyAlignment="1">
      <alignment horizontal="center" vertical="center"/>
    </xf>
    <xf numFmtId="0" fontId="191" fillId="0" borderId="20" xfId="452" applyFont="1" applyBorder="1" applyAlignment="1">
      <alignment horizontal="center" vertical="center"/>
    </xf>
    <xf numFmtId="180" fontId="191" fillId="0" borderId="24" xfId="452" applyNumberFormat="1" applyFont="1" applyBorder="1" applyAlignment="1">
      <alignment horizontal="center" vertical="center"/>
    </xf>
    <xf numFmtId="180" fontId="191" fillId="0" borderId="8" xfId="452" applyNumberFormat="1" applyFont="1" applyBorder="1" applyAlignment="1">
      <alignment horizontal="center" vertical="center"/>
    </xf>
    <xf numFmtId="180" fontId="191" fillId="0" borderId="23" xfId="452" applyNumberFormat="1" applyFont="1" applyBorder="1" applyAlignment="1">
      <alignment horizontal="center" vertical="center"/>
    </xf>
    <xf numFmtId="0" fontId="191" fillId="0" borderId="24" xfId="452" applyFont="1" applyBorder="1" applyAlignment="1">
      <alignment horizontal="left" vertical="center" shrinkToFit="1"/>
    </xf>
    <xf numFmtId="0" fontId="191" fillId="0" borderId="8" xfId="452" applyFont="1" applyBorder="1" applyAlignment="1">
      <alignment horizontal="left" vertical="center" shrinkToFit="1"/>
    </xf>
    <xf numFmtId="0" fontId="191" fillId="0" borderId="23" xfId="452" applyFont="1" applyBorder="1" applyAlignment="1">
      <alignment horizontal="left" vertical="center" shrinkToFit="1"/>
    </xf>
    <xf numFmtId="0" fontId="193" fillId="0" borderId="36" xfId="452" applyFont="1" applyBorder="1" applyAlignment="1">
      <alignment horizontal="left" vertical="center"/>
    </xf>
    <xf numFmtId="0" fontId="193" fillId="0" borderId="19" xfId="452" applyFont="1" applyBorder="1" applyAlignment="1">
      <alignment horizontal="left" vertical="center"/>
    </xf>
    <xf numFmtId="0" fontId="193" fillId="0" borderId="149" xfId="452" applyFont="1" applyBorder="1" applyAlignment="1">
      <alignment horizontal="left" vertical="center"/>
    </xf>
    <xf numFmtId="14" fontId="193" fillId="0" borderId="24" xfId="452" applyNumberFormat="1" applyFont="1" applyBorder="1" applyAlignment="1">
      <alignment horizontal="left" vertical="center"/>
    </xf>
    <xf numFmtId="14" fontId="193" fillId="0" borderId="8" xfId="452" applyNumberFormat="1" applyFont="1" applyBorder="1" applyAlignment="1">
      <alignment horizontal="left" vertical="center"/>
    </xf>
    <xf numFmtId="14" fontId="193" fillId="0" borderId="70" xfId="452" applyNumberFormat="1" applyFont="1" applyBorder="1" applyAlignment="1">
      <alignment horizontal="left" vertical="center"/>
    </xf>
    <xf numFmtId="0" fontId="191" fillId="0" borderId="199" xfId="452" applyFont="1" applyBorder="1" applyAlignment="1">
      <alignment horizontal="center" vertical="center"/>
    </xf>
    <xf numFmtId="0" fontId="191" fillId="0" borderId="212" xfId="452" applyFont="1" applyBorder="1" applyAlignment="1">
      <alignment horizontal="center" vertical="center"/>
    </xf>
    <xf numFmtId="0" fontId="274" fillId="0" borderId="0" xfId="452" applyFont="1" applyBorder="1" applyAlignment="1">
      <alignment horizontal="center" vertical="center"/>
    </xf>
    <xf numFmtId="0" fontId="274" fillId="0" borderId="22" xfId="452" applyFont="1" applyBorder="1" applyAlignment="1">
      <alignment horizontal="center" vertical="center"/>
    </xf>
    <xf numFmtId="0" fontId="274" fillId="0" borderId="4" xfId="452" applyFont="1" applyBorder="1" applyAlignment="1">
      <alignment horizontal="center" vertical="center"/>
    </xf>
    <xf numFmtId="0" fontId="274" fillId="0" borderId="61" xfId="452" applyFont="1" applyBorder="1" applyAlignment="1">
      <alignment horizontal="center" vertical="center"/>
    </xf>
    <xf numFmtId="0" fontId="191" fillId="0" borderId="194" xfId="452" applyFont="1" applyBorder="1" applyAlignment="1">
      <alignment horizontal="center" vertical="center"/>
    </xf>
    <xf numFmtId="0" fontId="191" fillId="0" borderId="149" xfId="452" applyFont="1" applyBorder="1" applyAlignment="1">
      <alignment horizontal="center" vertical="center"/>
    </xf>
    <xf numFmtId="0" fontId="191" fillId="0" borderId="186" xfId="452" applyFont="1" applyBorder="1" applyAlignment="1">
      <alignment horizontal="center" vertical="center"/>
    </xf>
    <xf numFmtId="0" fontId="191" fillId="0" borderId="244" xfId="452" applyFont="1" applyBorder="1" applyAlignment="1">
      <alignment horizontal="center" vertical="center"/>
    </xf>
    <xf numFmtId="0" fontId="191" fillId="0" borderId="188" xfId="452" applyFont="1" applyBorder="1" applyAlignment="1">
      <alignment horizontal="center" vertical="center"/>
    </xf>
    <xf numFmtId="0" fontId="194" fillId="0" borderId="0" xfId="452" applyFont="1" applyBorder="1" applyAlignment="1">
      <alignment horizontal="center" vertical="center" wrapText="1"/>
    </xf>
    <xf numFmtId="0" fontId="193" fillId="0" borderId="186" xfId="452" applyFont="1" applyBorder="1" applyAlignment="1">
      <alignment horizontal="center" vertical="center"/>
    </xf>
    <xf numFmtId="0" fontId="193" fillId="0" borderId="70" xfId="452" applyFont="1" applyBorder="1" applyAlignment="1">
      <alignment horizontal="center" vertical="center"/>
    </xf>
    <xf numFmtId="0" fontId="193" fillId="0" borderId="194" xfId="452" applyFont="1" applyBorder="1" applyAlignment="1">
      <alignment horizontal="center" vertical="center"/>
    </xf>
    <xf numFmtId="0" fontId="193" fillId="0" borderId="149" xfId="452" applyFont="1" applyBorder="1" applyAlignment="1">
      <alignment horizontal="center" vertical="center"/>
    </xf>
    <xf numFmtId="0" fontId="194" fillId="0" borderId="59" xfId="452" applyFont="1" applyBorder="1" applyAlignment="1">
      <alignment horizontal="center" vertical="center"/>
    </xf>
    <xf numFmtId="0" fontId="194" fillId="0" borderId="22" xfId="452" applyFont="1" applyBorder="1" applyAlignment="1">
      <alignment horizontal="center" vertical="center"/>
    </xf>
    <xf numFmtId="236" fontId="194" fillId="0" borderId="0" xfId="452" applyNumberFormat="1" applyFont="1" applyBorder="1" applyAlignment="1">
      <alignment horizontal="left" vertical="center"/>
    </xf>
    <xf numFmtId="236" fontId="194" fillId="0" borderId="0" xfId="452" applyNumberFormat="1" applyFont="1" applyBorder="1" applyAlignment="1">
      <alignment horizontal="right" vertical="center"/>
    </xf>
    <xf numFmtId="0" fontId="191" fillId="0" borderId="8" xfId="452" applyFont="1" applyBorder="1" applyAlignment="1">
      <alignment horizontal="center" vertical="center"/>
    </xf>
    <xf numFmtId="180" fontId="194" fillId="0" borderId="0" xfId="452" applyNumberFormat="1" applyFont="1" applyBorder="1" applyAlignment="1">
      <alignment horizontal="left" vertical="center"/>
    </xf>
    <xf numFmtId="0" fontId="191" fillId="0" borderId="9" xfId="452" applyFont="1" applyBorder="1" applyAlignment="1">
      <alignment horizontal="left" vertical="center" shrinkToFit="1"/>
    </xf>
    <xf numFmtId="0" fontId="191" fillId="0" borderId="165" xfId="452" applyFont="1" applyBorder="1" applyAlignment="1">
      <alignment horizontal="left" vertical="center" shrinkToFit="1"/>
    </xf>
    <xf numFmtId="0" fontId="191" fillId="0" borderId="15" xfId="452" applyFont="1" applyBorder="1" applyAlignment="1">
      <alignment horizontal="center" vertical="center"/>
    </xf>
    <xf numFmtId="0" fontId="191" fillId="0" borderId="237" xfId="452" applyFont="1" applyBorder="1" applyAlignment="1">
      <alignment horizontal="center" vertical="center"/>
    </xf>
    <xf numFmtId="0" fontId="191" fillId="0" borderId="35" xfId="452" applyFont="1" applyBorder="1" applyAlignment="1">
      <alignment horizontal="center" vertical="center"/>
    </xf>
    <xf numFmtId="0" fontId="191" fillId="0" borderId="164" xfId="452" applyFont="1" applyBorder="1" applyAlignment="1">
      <alignment horizontal="center" vertical="center"/>
    </xf>
    <xf numFmtId="180" fontId="191" fillId="0" borderId="9" xfId="452" applyNumberFormat="1" applyFont="1" applyBorder="1" applyAlignment="1">
      <alignment horizontal="center" vertical="center"/>
    </xf>
    <xf numFmtId="180" fontId="191" fillId="0" borderId="165" xfId="452" applyNumberFormat="1" applyFont="1" applyBorder="1" applyAlignment="1">
      <alignment horizontal="center" vertical="center"/>
    </xf>
    <xf numFmtId="0" fontId="274" fillId="0" borderId="0" xfId="452" applyFont="1" applyAlignment="1">
      <alignment horizontal="center" vertical="center"/>
    </xf>
    <xf numFmtId="0" fontId="191" fillId="0" borderId="45" xfId="452" applyFont="1" applyBorder="1" applyAlignment="1">
      <alignment horizontal="center" vertical="center"/>
    </xf>
    <xf numFmtId="0" fontId="191" fillId="0" borderId="131" xfId="452" applyFont="1" applyBorder="1" applyAlignment="1">
      <alignment horizontal="center" vertical="center"/>
    </xf>
    <xf numFmtId="0" fontId="191" fillId="0" borderId="161" xfId="452" applyFont="1" applyBorder="1" applyAlignment="1">
      <alignment horizontal="center" vertical="center"/>
    </xf>
    <xf numFmtId="0" fontId="191" fillId="0" borderId="9" xfId="452" applyFont="1" applyBorder="1" applyAlignment="1">
      <alignment horizontal="center" vertical="center"/>
    </xf>
    <xf numFmtId="0" fontId="193" fillId="0" borderId="164" xfId="452" applyFont="1" applyBorder="1" applyAlignment="1">
      <alignment horizontal="center" vertical="center"/>
    </xf>
    <xf numFmtId="0" fontId="193" fillId="0" borderId="9" xfId="452" applyFont="1" applyBorder="1" applyAlignment="1">
      <alignment horizontal="center" vertical="center"/>
    </xf>
    <xf numFmtId="0" fontId="193" fillId="0" borderId="35" xfId="452" applyFont="1" applyBorder="1" applyAlignment="1">
      <alignment horizontal="center" vertical="center"/>
    </xf>
    <xf numFmtId="0" fontId="193" fillId="0" borderId="15" xfId="452" applyFont="1" applyBorder="1" applyAlignment="1">
      <alignment horizontal="center" vertical="center"/>
    </xf>
    <xf numFmtId="0" fontId="107" fillId="0" borderId="12" xfId="454" applyFont="1" applyFill="1" applyBorder="1" applyAlignment="1">
      <alignment horizontal="left" vertical="center"/>
    </xf>
    <xf numFmtId="0" fontId="107" fillId="0" borderId="13" xfId="454" applyFont="1" applyFill="1" applyBorder="1" applyAlignment="1">
      <alignment horizontal="left" vertical="center"/>
    </xf>
    <xf numFmtId="0" fontId="107" fillId="0" borderId="64" xfId="454" applyFont="1" applyFill="1" applyBorder="1" applyAlignment="1">
      <alignment horizontal="left" vertical="center"/>
    </xf>
    <xf numFmtId="0" fontId="107" fillId="0" borderId="18" xfId="454" applyFont="1" applyFill="1" applyBorder="1" applyAlignment="1">
      <alignment horizontal="left" vertical="center"/>
    </xf>
    <xf numFmtId="0" fontId="107" fillId="0" borderId="10" xfId="454" applyFont="1" applyFill="1" applyBorder="1" applyAlignment="1">
      <alignment horizontal="left" vertical="center"/>
    </xf>
    <xf numFmtId="0" fontId="107" fillId="0" borderId="68" xfId="454" applyFont="1" applyFill="1" applyBorder="1" applyAlignment="1">
      <alignment horizontal="left" vertical="center"/>
    </xf>
    <xf numFmtId="0" fontId="128" fillId="43" borderId="24" xfId="454" applyFont="1" applyFill="1" applyBorder="1" applyAlignment="1">
      <alignment horizontal="center" vertical="center"/>
    </xf>
    <xf numFmtId="0" fontId="128" fillId="43" borderId="70" xfId="454" applyFont="1" applyFill="1" applyBorder="1" applyAlignment="1">
      <alignment horizontal="center" vertical="center"/>
    </xf>
    <xf numFmtId="0" fontId="128" fillId="43" borderId="12" xfId="454" applyFont="1" applyFill="1" applyBorder="1" applyAlignment="1">
      <alignment horizontal="center" vertical="center"/>
    </xf>
    <xf numFmtId="0" fontId="128" fillId="43" borderId="13" xfId="454" applyFont="1" applyFill="1" applyBorder="1" applyAlignment="1">
      <alignment horizontal="center" vertical="center"/>
    </xf>
    <xf numFmtId="0" fontId="128" fillId="43" borderId="64" xfId="454" applyFont="1" applyFill="1" applyBorder="1" applyAlignment="1">
      <alignment horizontal="center" vertical="center"/>
    </xf>
    <xf numFmtId="0" fontId="128" fillId="43" borderId="18" xfId="454" applyFont="1" applyFill="1" applyBorder="1" applyAlignment="1">
      <alignment horizontal="center" vertical="center"/>
    </xf>
    <xf numFmtId="0" fontId="128" fillId="43" borderId="10" xfId="454" applyFont="1" applyFill="1" applyBorder="1" applyAlignment="1">
      <alignment horizontal="center" vertical="center"/>
    </xf>
    <xf numFmtId="0" fontId="129" fillId="43" borderId="12" xfId="454" applyFont="1" applyFill="1" applyBorder="1" applyAlignment="1">
      <alignment horizontal="left" vertical="center"/>
    </xf>
    <xf numFmtId="0" fontId="129" fillId="43" borderId="13" xfId="454" applyFont="1" applyFill="1" applyBorder="1" applyAlignment="1">
      <alignment horizontal="left" vertical="center"/>
    </xf>
    <xf numFmtId="0" fontId="23" fillId="0" borderId="9" xfId="454" applyFont="1" applyBorder="1" applyAlignment="1">
      <alignment horizontal="center" vertical="center"/>
    </xf>
    <xf numFmtId="0" fontId="28" fillId="0" borderId="39" xfId="454" applyFont="1" applyBorder="1" applyAlignment="1">
      <alignment horizontal="distributed" vertical="center"/>
    </xf>
    <xf numFmtId="0" fontId="28" fillId="0" borderId="51" xfId="454" applyFont="1" applyBorder="1" applyAlignment="1">
      <alignment horizontal="distributed" vertical="center"/>
    </xf>
    <xf numFmtId="0" fontId="28" fillId="0" borderId="53" xfId="454" applyFont="1" applyBorder="1" applyAlignment="1">
      <alignment horizontal="distributed" vertical="center"/>
    </xf>
    <xf numFmtId="0" fontId="28" fillId="0" borderId="45" xfId="454" applyFont="1" applyBorder="1" applyAlignment="1">
      <alignment horizontal="distributed" vertical="center"/>
    </xf>
    <xf numFmtId="0" fontId="128" fillId="43" borderId="43" xfId="454" applyFont="1" applyFill="1" applyBorder="1" applyAlignment="1">
      <alignment horizontal="center" vertical="center"/>
    </xf>
    <xf numFmtId="0" fontId="128" fillId="43" borderId="45" xfId="454" applyFont="1" applyFill="1" applyBorder="1" applyAlignment="1">
      <alignment horizontal="center" vertical="center"/>
    </xf>
    <xf numFmtId="3" fontId="257" fillId="0" borderId="0" xfId="0" applyNumberFormat="1" applyFont="1" applyBorder="1" applyAlignment="1">
      <alignment horizontal="right" vertical="center"/>
    </xf>
    <xf numFmtId="10" fontId="169" fillId="67" borderId="44" xfId="432" applyNumberFormat="1" applyFont="1" applyFill="1" applyBorder="1" applyAlignment="1">
      <alignment horizontal="center" vertical="center"/>
    </xf>
    <xf numFmtId="10" fontId="169" fillId="67" borderId="197" xfId="432" applyNumberFormat="1" applyFont="1" applyFill="1" applyBorder="1" applyAlignment="1">
      <alignment horizontal="center" vertical="center"/>
    </xf>
    <xf numFmtId="10" fontId="169" fillId="67" borderId="31" xfId="432" applyNumberFormat="1" applyFont="1" applyFill="1" applyBorder="1" applyAlignment="1">
      <alignment horizontal="center" vertical="center"/>
    </xf>
    <xf numFmtId="10" fontId="169" fillId="67" borderId="28" xfId="432" applyNumberFormat="1" applyFont="1" applyFill="1" applyBorder="1" applyAlignment="1">
      <alignment horizontal="center" vertical="center"/>
    </xf>
    <xf numFmtId="10" fontId="169" fillId="67" borderId="39" xfId="432" applyNumberFormat="1" applyFont="1" applyFill="1" applyBorder="1" applyAlignment="1">
      <alignment horizontal="center" vertical="center"/>
    </xf>
    <xf numFmtId="0" fontId="21" fillId="69" borderId="60" xfId="0" applyFont="1" applyFill="1" applyBorder="1" applyAlignment="1">
      <alignment horizontal="left" vertical="center" wrapText="1"/>
    </xf>
    <xf numFmtId="0" fontId="21" fillId="69" borderId="4" xfId="0" applyFont="1" applyFill="1" applyBorder="1" applyAlignment="1">
      <alignment horizontal="left" vertical="center" wrapText="1"/>
    </xf>
    <xf numFmtId="231" fontId="157" fillId="69" borderId="191" xfId="0" applyNumberFormat="1" applyFont="1" applyFill="1" applyBorder="1" applyAlignment="1">
      <alignment horizontal="right" vertical="center"/>
    </xf>
    <xf numFmtId="231" fontId="157" fillId="69" borderId="155" xfId="0" applyNumberFormat="1" applyFont="1" applyFill="1" applyBorder="1" applyAlignment="1">
      <alignment horizontal="right" vertical="center"/>
    </xf>
    <xf numFmtId="231" fontId="157" fillId="69" borderId="192" xfId="0" applyNumberFormat="1" applyFont="1" applyFill="1" applyBorder="1" applyAlignment="1">
      <alignment horizontal="right" vertical="center"/>
    </xf>
    <xf numFmtId="214" fontId="158" fillId="68" borderId="198" xfId="0" applyNumberFormat="1" applyFont="1" applyFill="1" applyBorder="1" applyAlignment="1">
      <alignment horizontal="center" vertical="center"/>
    </xf>
    <xf numFmtId="214" fontId="158" fillId="68" borderId="130" xfId="0" applyNumberFormat="1" applyFont="1" applyFill="1" applyBorder="1" applyAlignment="1">
      <alignment horizontal="center" vertical="center"/>
    </xf>
    <xf numFmtId="214" fontId="158" fillId="68" borderId="176" xfId="0" applyNumberFormat="1" applyFont="1" applyFill="1" applyBorder="1" applyAlignment="1">
      <alignment horizontal="center" vertical="center"/>
    </xf>
    <xf numFmtId="0" fontId="144" fillId="0" borderId="3" xfId="0" applyFont="1" applyFill="1" applyBorder="1" applyAlignment="1">
      <alignment vertical="center" textRotation="255" wrapText="1"/>
    </xf>
    <xf numFmtId="0" fontId="144" fillId="0" borderId="59" xfId="0" applyFont="1" applyFill="1" applyBorder="1" applyAlignment="1">
      <alignment vertical="center" textRotation="255" wrapText="1"/>
    </xf>
    <xf numFmtId="0" fontId="144" fillId="0" borderId="60" xfId="0" applyFont="1" applyFill="1" applyBorder="1" applyAlignment="1">
      <alignment vertical="center" textRotation="255" wrapText="1"/>
    </xf>
    <xf numFmtId="0" fontId="127" fillId="0" borderId="15" xfId="0" applyFont="1" applyBorder="1" applyAlignment="1">
      <alignment horizontal="center" vertical="center"/>
    </xf>
    <xf numFmtId="0" fontId="158" fillId="0" borderId="15" xfId="0" applyFont="1" applyBorder="1" applyAlignment="1">
      <alignment horizontal="center" vertical="center"/>
    </xf>
    <xf numFmtId="0" fontId="158" fillId="0" borderId="202" xfId="0" applyFont="1" applyBorder="1" applyAlignment="1">
      <alignment horizontal="center" vertical="center"/>
    </xf>
    <xf numFmtId="0" fontId="158" fillId="0" borderId="19" xfId="0" applyFont="1" applyBorder="1" applyAlignment="1">
      <alignment horizontal="center" vertical="center"/>
    </xf>
    <xf numFmtId="0" fontId="158" fillId="0" borderId="149" xfId="0" applyFont="1" applyBorder="1" applyAlignment="1">
      <alignment horizontal="center" vertical="center"/>
    </xf>
    <xf numFmtId="0" fontId="158" fillId="0" borderId="36" xfId="0" applyFont="1" applyBorder="1" applyAlignment="1">
      <alignment horizontal="center" vertical="center"/>
    </xf>
    <xf numFmtId="0" fontId="158" fillId="0" borderId="20" xfId="0" applyFont="1" applyBorder="1" applyAlignment="1">
      <alignment horizontal="center" vertical="center"/>
    </xf>
    <xf numFmtId="10" fontId="169" fillId="67" borderId="50" xfId="432" applyNumberFormat="1" applyFont="1" applyFill="1" applyBorder="1" applyAlignment="1">
      <alignment horizontal="center" vertical="center"/>
    </xf>
    <xf numFmtId="10" fontId="169" fillId="67" borderId="239" xfId="432" applyNumberFormat="1" applyFont="1" applyFill="1" applyBorder="1" applyAlignment="1">
      <alignment horizontal="center" vertical="center"/>
    </xf>
    <xf numFmtId="10" fontId="169" fillId="67" borderId="46" xfId="432" applyNumberFormat="1" applyFont="1" applyFill="1" applyBorder="1" applyAlignment="1">
      <alignment horizontal="center" vertical="center"/>
    </xf>
    <xf numFmtId="10" fontId="169" fillId="67" borderId="108" xfId="432" applyNumberFormat="1" applyFont="1" applyFill="1" applyBorder="1" applyAlignment="1">
      <alignment horizontal="center" vertical="center"/>
    </xf>
    <xf numFmtId="10" fontId="169" fillId="67" borderId="48" xfId="432" applyNumberFormat="1" applyFont="1" applyFill="1" applyBorder="1" applyAlignment="1">
      <alignment horizontal="center" vertical="center"/>
    </xf>
    <xf numFmtId="10" fontId="169" fillId="67" borderId="138" xfId="432" applyNumberFormat="1" applyFont="1" applyFill="1" applyBorder="1" applyAlignment="1">
      <alignment horizontal="center" vertical="center"/>
    </xf>
    <xf numFmtId="10" fontId="169" fillId="67" borderId="196" xfId="432" applyNumberFormat="1" applyFont="1" applyFill="1" applyBorder="1" applyAlignment="1">
      <alignment horizontal="center" vertical="center"/>
    </xf>
    <xf numFmtId="10" fontId="169" fillId="67" borderId="155" xfId="432" applyNumberFormat="1" applyFont="1" applyFill="1" applyBorder="1" applyAlignment="1">
      <alignment horizontal="center" vertical="center"/>
    </xf>
    <xf numFmtId="10" fontId="169" fillId="67" borderId="153" xfId="432" applyNumberFormat="1" applyFont="1" applyFill="1" applyBorder="1" applyAlignment="1">
      <alignment horizontal="center" vertical="center"/>
    </xf>
    <xf numFmtId="10" fontId="169" fillId="67" borderId="191" xfId="432" applyNumberFormat="1" applyFont="1" applyFill="1" applyBorder="1" applyAlignment="1">
      <alignment horizontal="center" vertical="center"/>
    </xf>
    <xf numFmtId="220" fontId="166" fillId="0" borderId="39" xfId="0" applyNumberFormat="1" applyFont="1" applyFill="1" applyBorder="1" applyAlignment="1">
      <alignment horizontal="left" vertical="center"/>
    </xf>
    <xf numFmtId="220" fontId="166" fillId="0" borderId="31" xfId="0" applyNumberFormat="1" applyFont="1" applyFill="1" applyBorder="1" applyAlignment="1">
      <alignment horizontal="left" vertical="center"/>
    </xf>
    <xf numFmtId="220" fontId="166" fillId="0" borderId="28" xfId="0" applyNumberFormat="1" applyFont="1" applyFill="1" applyBorder="1" applyAlignment="1">
      <alignment horizontal="left" vertical="center"/>
    </xf>
    <xf numFmtId="0" fontId="144" fillId="0" borderId="72" xfId="0" applyFont="1" applyBorder="1" applyAlignment="1">
      <alignment horizontal="center" vertical="center"/>
    </xf>
    <xf numFmtId="0" fontId="144" fillId="0" borderId="41" xfId="0" applyFont="1" applyBorder="1" applyAlignment="1">
      <alignment horizontal="center" vertical="center"/>
    </xf>
    <xf numFmtId="0" fontId="144" fillId="0" borderId="90" xfId="0" applyFont="1" applyBorder="1" applyAlignment="1">
      <alignment horizontal="center" vertical="center"/>
    </xf>
    <xf numFmtId="234" fontId="166" fillId="0" borderId="40" xfId="0" applyNumberFormat="1" applyFont="1" applyBorder="1" applyAlignment="1">
      <alignment horizontal="left" vertical="center"/>
    </xf>
    <xf numFmtId="234" fontId="166" fillId="0" borderId="41" xfId="0" applyNumberFormat="1" applyFont="1" applyBorder="1" applyAlignment="1">
      <alignment horizontal="left" vertical="center"/>
    </xf>
    <xf numFmtId="234" fontId="166" fillId="0" borderId="30" xfId="0" applyNumberFormat="1" applyFont="1" applyBorder="1" applyAlignment="1">
      <alignment horizontal="left" vertical="center"/>
    </xf>
    <xf numFmtId="212" fontId="158" fillId="0" borderId="116" xfId="0" applyNumberFormat="1" applyFont="1" applyBorder="1" applyAlignment="1">
      <alignment horizontal="right" vertical="center"/>
    </xf>
    <xf numFmtId="212" fontId="158" fillId="0" borderId="217" xfId="0" applyNumberFormat="1" applyFont="1" applyBorder="1" applyAlignment="1">
      <alignment horizontal="right" vertical="center"/>
    </xf>
    <xf numFmtId="212" fontId="158" fillId="0" borderId="110" xfId="0" applyNumberFormat="1" applyFont="1" applyBorder="1" applyAlignment="1">
      <alignment horizontal="left" vertical="center"/>
    </xf>
    <xf numFmtId="212" fontId="158" fillId="0" borderId="216" xfId="0" applyNumberFormat="1" applyFont="1" applyBorder="1" applyAlignment="1">
      <alignment horizontal="left" vertical="center"/>
    </xf>
    <xf numFmtId="0" fontId="160" fillId="0" borderId="3" xfId="0" applyFont="1" applyFill="1" applyBorder="1" applyAlignment="1">
      <alignment horizontal="center" vertical="center" textRotation="255"/>
    </xf>
    <xf numFmtId="0" fontId="160" fillId="0" borderId="140" xfId="0" applyFont="1" applyFill="1" applyBorder="1" applyAlignment="1">
      <alignment horizontal="center" vertical="center" textRotation="255"/>
    </xf>
    <xf numFmtId="0" fontId="160" fillId="0" borderId="59" xfId="0" applyFont="1" applyFill="1" applyBorder="1" applyAlignment="1">
      <alignment horizontal="center" vertical="center" textRotation="255"/>
    </xf>
    <xf numFmtId="0" fontId="160" fillId="0" borderId="66" xfId="0" applyFont="1" applyFill="1" applyBorder="1" applyAlignment="1">
      <alignment horizontal="center" vertical="center" textRotation="255"/>
    </xf>
    <xf numFmtId="0" fontId="160" fillId="0" borderId="60" xfId="0" applyFont="1" applyFill="1" applyBorder="1" applyAlignment="1">
      <alignment horizontal="center" vertical="center" textRotation="255"/>
    </xf>
    <xf numFmtId="0" fontId="160" fillId="0" borderId="154" xfId="0" applyFont="1" applyFill="1" applyBorder="1" applyAlignment="1">
      <alignment horizontal="center" vertical="center" textRotation="255"/>
    </xf>
    <xf numFmtId="0" fontId="160" fillId="0" borderId="203" xfId="0" applyFont="1" applyBorder="1" applyAlignment="1">
      <alignment horizontal="center" vertical="center"/>
    </xf>
    <xf numFmtId="0" fontId="160" fillId="0" borderId="19" xfId="0" applyFont="1" applyBorder="1" applyAlignment="1">
      <alignment horizontal="center" vertical="center"/>
    </xf>
    <xf numFmtId="0" fontId="160" fillId="0" borderId="20" xfId="0" applyFont="1" applyBorder="1" applyAlignment="1">
      <alignment horizontal="center" vertical="center"/>
    </xf>
    <xf numFmtId="212" fontId="158" fillId="0" borderId="110" xfId="0" applyNumberFormat="1" applyFont="1" applyBorder="1" applyAlignment="1">
      <alignment horizontal="right" vertical="center"/>
    </xf>
    <xf numFmtId="212" fontId="158" fillId="0" borderId="216" xfId="0" applyNumberFormat="1" applyFont="1" applyBorder="1" applyAlignment="1">
      <alignment horizontal="right" vertical="center"/>
    </xf>
    <xf numFmtId="180" fontId="158" fillId="0" borderId="65" xfId="0" applyNumberFormat="1" applyFont="1" applyFill="1" applyBorder="1" applyAlignment="1">
      <alignment horizontal="center" vertical="center"/>
    </xf>
    <xf numFmtId="180" fontId="158" fillId="0" borderId="38" xfId="0" applyNumberFormat="1" applyFont="1" applyFill="1" applyBorder="1" applyAlignment="1">
      <alignment horizontal="center" vertical="center"/>
    </xf>
    <xf numFmtId="180" fontId="158" fillId="0" borderId="88" xfId="0" applyNumberFormat="1" applyFont="1" applyFill="1" applyBorder="1" applyAlignment="1">
      <alignment horizontal="center" vertical="center"/>
    </xf>
    <xf numFmtId="228" fontId="158" fillId="67" borderId="106" xfId="0" applyNumberFormat="1" applyFont="1" applyFill="1" applyBorder="1" applyAlignment="1">
      <alignment horizontal="right" vertical="center"/>
    </xf>
    <xf numFmtId="228" fontId="158" fillId="67" borderId="110" xfId="0" applyNumberFormat="1" applyFont="1" applyFill="1" applyBorder="1" applyAlignment="1">
      <alignment horizontal="right" vertical="center"/>
    </xf>
    <xf numFmtId="228" fontId="158" fillId="67" borderId="216" xfId="0" applyNumberFormat="1" applyFont="1" applyFill="1" applyBorder="1" applyAlignment="1">
      <alignment horizontal="right" vertical="center"/>
    </xf>
    <xf numFmtId="0" fontId="21" fillId="67" borderId="60" xfId="0" applyFont="1" applyFill="1" applyBorder="1" applyAlignment="1">
      <alignment horizontal="left" vertical="center" wrapText="1"/>
    </xf>
    <xf numFmtId="0" fontId="21" fillId="67" borderId="4" xfId="0" applyFont="1" applyFill="1" applyBorder="1" applyAlignment="1">
      <alignment horizontal="left" vertical="center" wrapText="1"/>
    </xf>
    <xf numFmtId="229" fontId="158" fillId="67" borderId="232" xfId="0" applyNumberFormat="1" applyFont="1" applyFill="1" applyBorder="1" applyAlignment="1">
      <alignment horizontal="right" vertical="center"/>
    </xf>
    <xf numFmtId="229" fontId="158" fillId="67" borderId="233" xfId="0" applyNumberFormat="1" applyFont="1" applyFill="1" applyBorder="1" applyAlignment="1">
      <alignment horizontal="right" vertical="center"/>
    </xf>
    <xf numFmtId="218" fontId="166" fillId="0" borderId="37" xfId="0" applyNumberFormat="1" applyFont="1" applyBorder="1" applyAlignment="1">
      <alignment horizontal="left" vertical="center"/>
    </xf>
    <xf numFmtId="218" fontId="166" fillId="0" borderId="38" xfId="0" applyNumberFormat="1" applyFont="1" applyBorder="1" applyAlignment="1">
      <alignment horizontal="left" vertical="center"/>
    </xf>
    <xf numFmtId="218" fontId="166" fillId="0" borderId="26" xfId="0" applyNumberFormat="1" applyFont="1" applyBorder="1" applyAlignment="1">
      <alignment horizontal="left" vertical="center"/>
    </xf>
    <xf numFmtId="219" fontId="166" fillId="0" borderId="39" xfId="0" applyNumberFormat="1" applyFont="1" applyFill="1" applyBorder="1" applyAlignment="1">
      <alignment horizontal="left" vertical="center"/>
    </xf>
    <xf numFmtId="219" fontId="166" fillId="0" borderId="31" xfId="0" applyNumberFormat="1" applyFont="1" applyFill="1" applyBorder="1" applyAlignment="1">
      <alignment horizontal="left" vertical="center"/>
    </xf>
    <xf numFmtId="219" fontId="166" fillId="0" borderId="28" xfId="0" applyNumberFormat="1" applyFont="1" applyFill="1" applyBorder="1" applyAlignment="1">
      <alignment horizontal="left" vertical="center"/>
    </xf>
    <xf numFmtId="0" fontId="85" fillId="0" borderId="199" xfId="0" applyFont="1" applyBorder="1" applyAlignment="1">
      <alignment horizontal="center" vertical="center" textRotation="255" wrapText="1"/>
    </xf>
    <xf numFmtId="0" fontId="85" fillId="0" borderId="200" xfId="0" applyFont="1" applyBorder="1" applyAlignment="1">
      <alignment horizontal="center" vertical="center" textRotation="255"/>
    </xf>
    <xf numFmtId="0" fontId="85" fillId="0" borderId="201" xfId="0" applyFont="1" applyBorder="1" applyAlignment="1">
      <alignment horizontal="center" vertical="center" textRotation="255"/>
    </xf>
    <xf numFmtId="0" fontId="166" fillId="0" borderId="124" xfId="0" applyFont="1" applyFill="1" applyBorder="1" applyAlignment="1">
      <alignment horizontal="center" vertical="center" textRotation="255" wrapText="1" shrinkToFit="1"/>
    </xf>
    <xf numFmtId="0" fontId="166" fillId="0" borderId="127" xfId="0" applyFont="1" applyFill="1" applyBorder="1" applyAlignment="1">
      <alignment horizontal="center" vertical="center" textRotation="255" shrinkToFit="1"/>
    </xf>
    <xf numFmtId="0" fontId="166" fillId="0" borderId="229" xfId="0" applyFont="1" applyFill="1" applyBorder="1" applyAlignment="1">
      <alignment horizontal="center" vertical="center" textRotation="255" shrinkToFit="1"/>
    </xf>
    <xf numFmtId="201" fontId="244" fillId="0" borderId="118" xfId="0" applyNumberFormat="1" applyFont="1" applyFill="1" applyBorder="1" applyAlignment="1">
      <alignment horizontal="center" vertical="center" wrapText="1"/>
    </xf>
    <xf numFmtId="201" fontId="244" fillId="0" borderId="219" xfId="0" applyNumberFormat="1" applyFont="1" applyFill="1" applyBorder="1" applyAlignment="1">
      <alignment horizontal="center" vertical="center" wrapText="1"/>
    </xf>
    <xf numFmtId="0" fontId="144" fillId="61" borderId="25" xfId="0" applyFont="1" applyFill="1" applyBorder="1" applyAlignment="1">
      <alignment horizontal="center" vertical="center"/>
    </xf>
    <xf numFmtId="0" fontId="144" fillId="61" borderId="168" xfId="0" applyFont="1" applyFill="1" applyBorder="1" applyAlignment="1">
      <alignment horizontal="center" vertical="center"/>
    </xf>
    <xf numFmtId="0" fontId="160" fillId="0" borderId="199" xfId="0" applyFont="1" applyBorder="1" applyAlignment="1">
      <alignment horizontal="center" vertical="center" textRotation="255"/>
    </xf>
    <xf numFmtId="0" fontId="160" fillId="0" borderId="200" xfId="0" applyFont="1" applyBorder="1" applyAlignment="1">
      <alignment horizontal="center" vertical="center" textRotation="255"/>
    </xf>
    <xf numFmtId="206" fontId="174" fillId="61" borderId="168" xfId="0" applyNumberFormat="1" applyFont="1" applyFill="1" applyBorder="1" applyAlignment="1">
      <alignment horizontal="center" vertical="center"/>
    </xf>
    <xf numFmtId="206" fontId="174" fillId="61" borderId="32" xfId="0" applyNumberFormat="1" applyFont="1" applyFill="1" applyBorder="1" applyAlignment="1">
      <alignment horizontal="center" vertical="center"/>
    </xf>
    <xf numFmtId="3" fontId="169" fillId="0" borderId="179" xfId="0" applyNumberFormat="1" applyFont="1" applyBorder="1" applyAlignment="1">
      <alignment horizontal="right" vertical="center" shrinkToFit="1"/>
    </xf>
    <xf numFmtId="0" fontId="169" fillId="0" borderId="179" xfId="0" applyFont="1" applyBorder="1" applyAlignment="1">
      <alignment horizontal="right" vertical="center" shrinkToFit="1"/>
    </xf>
    <xf numFmtId="0" fontId="169" fillId="0" borderId="230" xfId="0" applyFont="1" applyBorder="1" applyAlignment="1">
      <alignment horizontal="right" vertical="center" shrinkToFit="1"/>
    </xf>
    <xf numFmtId="0" fontId="144" fillId="61" borderId="27" xfId="0" applyFont="1" applyFill="1" applyBorder="1" applyAlignment="1">
      <alignment horizontal="center" vertical="center"/>
    </xf>
    <xf numFmtId="0" fontId="144" fillId="61" borderId="110" xfId="0" applyFont="1" applyFill="1" applyBorder="1" applyAlignment="1">
      <alignment horizontal="center" vertical="center"/>
    </xf>
    <xf numFmtId="206" fontId="174" fillId="61" borderId="110" xfId="0" applyNumberFormat="1" applyFont="1" applyFill="1" applyBorder="1" applyAlignment="1">
      <alignment horizontal="center" vertical="center"/>
    </xf>
    <xf numFmtId="206" fontId="174" fillId="61" borderId="33" xfId="0" applyNumberFormat="1" applyFont="1" applyFill="1" applyBorder="1" applyAlignment="1">
      <alignment horizontal="center" vertical="center"/>
    </xf>
    <xf numFmtId="227" fontId="158" fillId="67" borderId="106" xfId="0" applyNumberFormat="1" applyFont="1" applyFill="1" applyBorder="1" applyAlignment="1">
      <alignment horizontal="right" vertical="center"/>
    </xf>
    <xf numFmtId="227" fontId="158" fillId="67" borderId="110" xfId="0" applyNumberFormat="1" applyFont="1" applyFill="1" applyBorder="1" applyAlignment="1">
      <alignment horizontal="right" vertical="center"/>
    </xf>
    <xf numFmtId="227" fontId="158" fillId="67" borderId="216" xfId="0" applyNumberFormat="1" applyFont="1" applyFill="1" applyBorder="1" applyAlignment="1">
      <alignment horizontal="right" vertical="center"/>
    </xf>
    <xf numFmtId="0" fontId="164" fillId="61" borderId="29" xfId="0" applyFont="1" applyFill="1" applyBorder="1" applyAlignment="1">
      <alignment horizontal="center" vertical="center"/>
    </xf>
    <xf numFmtId="0" fontId="164" fillId="61" borderId="147" xfId="0" applyFont="1" applyFill="1" applyBorder="1" applyAlignment="1">
      <alignment horizontal="center" vertical="center"/>
    </xf>
    <xf numFmtId="210" fontId="174" fillId="61" borderId="147" xfId="0" applyNumberFormat="1" applyFont="1" applyFill="1" applyBorder="1" applyAlignment="1">
      <alignment horizontal="center" vertical="center" shrinkToFit="1"/>
    </xf>
    <xf numFmtId="210" fontId="174" fillId="61" borderId="34" xfId="0" applyNumberFormat="1" applyFont="1" applyFill="1" applyBorder="1" applyAlignment="1">
      <alignment horizontal="center" vertical="center" shrinkToFit="1"/>
    </xf>
    <xf numFmtId="212" fontId="158" fillId="0" borderId="170" xfId="0" applyNumberFormat="1" applyFont="1" applyBorder="1" applyAlignment="1">
      <alignment horizontal="right" vertical="center"/>
    </xf>
    <xf numFmtId="212" fontId="158" fillId="0" borderId="227" xfId="0" applyNumberFormat="1" applyFont="1" applyBorder="1" applyAlignment="1">
      <alignment horizontal="right" vertical="center"/>
    </xf>
    <xf numFmtId="180" fontId="158" fillId="0" borderId="72" xfId="0" applyNumberFormat="1" applyFont="1" applyFill="1" applyBorder="1" applyAlignment="1">
      <alignment horizontal="center" vertical="center"/>
    </xf>
    <xf numFmtId="180" fontId="158" fillId="0" borderId="41" xfId="0" applyNumberFormat="1" applyFont="1" applyFill="1" applyBorder="1" applyAlignment="1">
      <alignment horizontal="center" vertical="center"/>
    </xf>
    <xf numFmtId="180" fontId="158" fillId="0" borderId="90" xfId="0" applyNumberFormat="1" applyFont="1" applyFill="1" applyBorder="1" applyAlignment="1">
      <alignment horizontal="center" vertical="center"/>
    </xf>
    <xf numFmtId="215" fontId="157" fillId="69" borderId="25" xfId="0" applyNumberFormat="1" applyFont="1" applyFill="1" applyBorder="1" applyAlignment="1">
      <alignment horizontal="right" vertical="center"/>
    </xf>
    <xf numFmtId="215" fontId="157" fillId="69" borderId="168" xfId="0" applyNumberFormat="1" applyFont="1" applyFill="1" applyBorder="1" applyAlignment="1">
      <alignment horizontal="right" vertical="center"/>
    </xf>
    <xf numFmtId="215" fontId="157" fillId="69" borderId="228" xfId="0" applyNumberFormat="1" applyFont="1" applyFill="1" applyBorder="1" applyAlignment="1">
      <alignment horizontal="right" vertical="center"/>
    </xf>
    <xf numFmtId="216" fontId="157" fillId="69" borderId="27" xfId="0" applyNumberFormat="1" applyFont="1" applyFill="1" applyBorder="1" applyAlignment="1">
      <alignment horizontal="right" vertical="center"/>
    </xf>
    <xf numFmtId="216" fontId="157" fillId="69" borderId="110" xfId="0" applyNumberFormat="1" applyFont="1" applyFill="1" applyBorder="1" applyAlignment="1">
      <alignment horizontal="right" vertical="center"/>
    </xf>
    <xf numFmtId="216" fontId="157" fillId="69" borderId="216" xfId="0" applyNumberFormat="1" applyFont="1" applyFill="1" applyBorder="1" applyAlignment="1">
      <alignment horizontal="right" vertical="center"/>
    </xf>
    <xf numFmtId="180" fontId="161" fillId="0" borderId="72" xfId="0" applyNumberFormat="1" applyFont="1" applyFill="1" applyBorder="1" applyAlignment="1">
      <alignment horizontal="center" vertical="center"/>
    </xf>
    <xf numFmtId="180" fontId="161" fillId="0" borderId="41" xfId="0" applyNumberFormat="1" applyFont="1" applyFill="1" applyBorder="1" applyAlignment="1">
      <alignment horizontal="center" vertical="center"/>
    </xf>
    <xf numFmtId="180" fontId="161" fillId="0" borderId="90" xfId="0" applyNumberFormat="1" applyFont="1" applyFill="1" applyBorder="1" applyAlignment="1">
      <alignment horizontal="center" vertical="center"/>
    </xf>
    <xf numFmtId="184" fontId="258" fillId="0" borderId="144" xfId="0" applyNumberFormat="1" applyFont="1" applyBorder="1" applyAlignment="1">
      <alignment horizontal="right" vertical="center"/>
    </xf>
    <xf numFmtId="184" fontId="258" fillId="0" borderId="234" xfId="0" applyNumberFormat="1" applyFont="1" applyBorder="1" applyAlignment="1">
      <alignment horizontal="right" vertical="center"/>
    </xf>
    <xf numFmtId="0" fontId="160" fillId="0" borderId="199" xfId="0" applyFont="1" applyBorder="1" applyAlignment="1">
      <alignment horizontal="center" vertical="center" textRotation="255" shrinkToFit="1"/>
    </xf>
    <xf numFmtId="0" fontId="160" fillId="0" borderId="200" xfId="0" applyFont="1" applyBorder="1" applyAlignment="1">
      <alignment horizontal="center" vertical="center" textRotation="255" shrinkToFit="1"/>
    </xf>
    <xf numFmtId="3" fontId="169" fillId="0" borderId="148" xfId="0" applyNumberFormat="1" applyFont="1" applyFill="1" applyBorder="1" applyAlignment="1">
      <alignment horizontal="right" vertical="center" wrapText="1"/>
    </xf>
    <xf numFmtId="0" fontId="169" fillId="0" borderId="148" xfId="0" applyFont="1" applyFill="1" applyBorder="1" applyAlignment="1">
      <alignment horizontal="right" vertical="center" wrapText="1"/>
    </xf>
    <xf numFmtId="0" fontId="169" fillId="0" borderId="238" xfId="0" applyFont="1" applyFill="1" applyBorder="1" applyAlignment="1">
      <alignment horizontal="right" vertical="center" wrapText="1"/>
    </xf>
    <xf numFmtId="4" fontId="169" fillId="0" borderId="170" xfId="0" applyNumberFormat="1" applyFont="1" applyFill="1" applyBorder="1" applyAlignment="1">
      <alignment horizontal="right" vertical="center" wrapText="1"/>
    </xf>
    <xf numFmtId="0" fontId="169" fillId="0" borderId="170" xfId="0" applyFont="1" applyFill="1" applyBorder="1" applyAlignment="1">
      <alignment horizontal="right" vertical="center" wrapText="1"/>
    </xf>
    <xf numFmtId="0" fontId="169" fillId="0" borderId="227" xfId="0" applyFont="1" applyFill="1" applyBorder="1" applyAlignment="1">
      <alignment horizontal="right" vertical="center" wrapText="1"/>
    </xf>
    <xf numFmtId="212" fontId="158" fillId="0" borderId="106" xfId="0" applyNumberFormat="1" applyFont="1" applyBorder="1" applyAlignment="1">
      <alignment horizontal="right" vertical="center"/>
    </xf>
    <xf numFmtId="212" fontId="158" fillId="0" borderId="29" xfId="0" applyNumberFormat="1" applyFont="1" applyBorder="1" applyAlignment="1">
      <alignment horizontal="right" vertical="center"/>
    </xf>
    <xf numFmtId="212" fontId="158" fillId="0" borderId="147" xfId="0" applyNumberFormat="1" applyFont="1" applyBorder="1" applyAlignment="1">
      <alignment horizontal="right" vertical="center"/>
    </xf>
    <xf numFmtId="212" fontId="158" fillId="0" borderId="231" xfId="0" applyNumberFormat="1" applyFont="1" applyBorder="1" applyAlignment="1">
      <alignment horizontal="right" vertical="center"/>
    </xf>
    <xf numFmtId="230" fontId="158" fillId="67" borderId="208" xfId="0" applyNumberFormat="1" applyFont="1" applyFill="1" applyBorder="1" applyAlignment="1">
      <alignment horizontal="right" vertical="center"/>
    </xf>
    <xf numFmtId="230" fontId="158" fillId="67" borderId="116" xfId="0" applyNumberFormat="1" applyFont="1" applyFill="1" applyBorder="1" applyAlignment="1">
      <alignment horizontal="right" vertical="center"/>
    </xf>
    <xf numFmtId="230" fontId="158" fillId="67" borderId="217" xfId="0" applyNumberFormat="1" applyFont="1" applyFill="1" applyBorder="1" applyAlignment="1">
      <alignment horizontal="right" vertical="center"/>
    </xf>
    <xf numFmtId="3" fontId="241" fillId="68" borderId="175" xfId="0" applyNumberFormat="1" applyFont="1" applyFill="1" applyBorder="1" applyAlignment="1">
      <alignment horizontal="right" vertical="center" wrapText="1"/>
    </xf>
    <xf numFmtId="3" fontId="241" fillId="68" borderId="147" xfId="0" applyNumberFormat="1" applyFont="1" applyFill="1" applyBorder="1" applyAlignment="1">
      <alignment horizontal="right" vertical="center" wrapText="1"/>
    </xf>
    <xf numFmtId="3" fontId="241" fillId="68" borderId="231" xfId="0" applyNumberFormat="1" applyFont="1" applyFill="1" applyBorder="1" applyAlignment="1">
      <alignment horizontal="right" vertical="center" wrapText="1"/>
    </xf>
    <xf numFmtId="212" fontId="158" fillId="0" borderId="182" xfId="0" applyNumberFormat="1" applyFont="1" applyBorder="1" applyAlignment="1">
      <alignment horizontal="right" vertical="center"/>
    </xf>
    <xf numFmtId="212" fontId="158" fillId="0" borderId="168" xfId="0" applyNumberFormat="1" applyFont="1" applyBorder="1" applyAlignment="1">
      <alignment horizontal="right" vertical="center"/>
    </xf>
    <xf numFmtId="212" fontId="158" fillId="0" borderId="228" xfId="0" applyNumberFormat="1" applyFont="1" applyBorder="1" applyAlignment="1">
      <alignment horizontal="right" vertical="center"/>
    </xf>
    <xf numFmtId="3" fontId="144" fillId="68" borderId="182" xfId="0" applyNumberFormat="1" applyFont="1" applyFill="1" applyBorder="1" applyAlignment="1">
      <alignment horizontal="center" vertical="center" wrapText="1"/>
    </xf>
    <xf numFmtId="0" fontId="144" fillId="68" borderId="168" xfId="0" applyFont="1" applyFill="1" applyBorder="1" applyAlignment="1">
      <alignment horizontal="center" vertical="center" wrapText="1"/>
    </xf>
    <xf numFmtId="0" fontId="144" fillId="68" borderId="228" xfId="0" applyFont="1" applyFill="1" applyBorder="1" applyAlignment="1">
      <alignment horizontal="center" vertical="center" wrapText="1"/>
    </xf>
    <xf numFmtId="3" fontId="241" fillId="68" borderId="106" xfId="0" applyNumberFormat="1" applyFont="1" applyFill="1" applyBorder="1" applyAlignment="1">
      <alignment horizontal="right" vertical="center" wrapText="1"/>
    </xf>
    <xf numFmtId="0" fontId="241" fillId="68" borderId="110" xfId="0" applyFont="1" applyFill="1" applyBorder="1" applyAlignment="1">
      <alignment horizontal="right" vertical="center" wrapText="1"/>
    </xf>
    <xf numFmtId="0" fontId="241" fillId="68" borderId="216" xfId="0" applyFont="1" applyFill="1" applyBorder="1" applyAlignment="1">
      <alignment horizontal="right" vertical="center" wrapText="1"/>
    </xf>
    <xf numFmtId="0" fontId="85" fillId="0" borderId="200" xfId="0" applyFont="1" applyBorder="1" applyAlignment="1">
      <alignment horizontal="center" vertical="center" textRotation="255" wrapText="1"/>
    </xf>
    <xf numFmtId="0" fontId="85" fillId="0" borderId="201" xfId="0" applyFont="1" applyBorder="1" applyAlignment="1">
      <alignment horizontal="center" vertical="center" textRotation="255" wrapText="1"/>
    </xf>
    <xf numFmtId="0" fontId="85" fillId="0" borderId="199" xfId="0" applyFont="1" applyBorder="1" applyAlignment="1">
      <alignment horizontal="center" vertical="center" textRotation="255"/>
    </xf>
    <xf numFmtId="0" fontId="21" fillId="67" borderId="154" xfId="0" applyFont="1" applyFill="1" applyBorder="1" applyAlignment="1">
      <alignment horizontal="left" vertical="center" wrapText="1"/>
    </xf>
    <xf numFmtId="3" fontId="169" fillId="66" borderId="161" xfId="0" applyNumberFormat="1" applyFont="1" applyFill="1" applyBorder="1" applyAlignment="1">
      <alignment horizontal="right" vertical="center" shrinkToFit="1"/>
    </xf>
    <xf numFmtId="0" fontId="169" fillId="66" borderId="161" xfId="0" applyFont="1" applyFill="1" applyBorder="1" applyAlignment="1">
      <alignment horizontal="right" vertical="center" shrinkToFit="1"/>
    </xf>
    <xf numFmtId="0" fontId="169" fillId="66" borderId="166" xfId="0" applyFont="1" applyFill="1" applyBorder="1" applyAlignment="1">
      <alignment horizontal="right" vertical="center" shrinkToFit="1"/>
    </xf>
    <xf numFmtId="226" fontId="240" fillId="0" borderId="7" xfId="0" applyNumberFormat="1" applyFont="1" applyBorder="1" applyAlignment="1">
      <alignment horizontal="right" vertical="top"/>
    </xf>
    <xf numFmtId="10" fontId="169" fillId="66" borderId="106" xfId="0" applyNumberFormat="1" applyFont="1" applyFill="1" applyBorder="1" applyAlignment="1">
      <alignment horizontal="right" vertical="center"/>
    </xf>
    <xf numFmtId="10" fontId="169" fillId="66" borderId="110" xfId="0" applyNumberFormat="1" applyFont="1" applyFill="1" applyBorder="1" applyAlignment="1">
      <alignment horizontal="right" vertical="center"/>
    </xf>
    <xf numFmtId="10" fontId="169" fillId="66" borderId="216" xfId="0" applyNumberFormat="1" applyFont="1" applyFill="1" applyBorder="1" applyAlignment="1">
      <alignment horizontal="right" vertical="center"/>
    </xf>
    <xf numFmtId="9" fontId="171" fillId="66" borderId="236" xfId="0" applyNumberFormat="1" applyFont="1" applyFill="1" applyBorder="1" applyAlignment="1">
      <alignment horizontal="right" vertical="center" shrinkToFit="1"/>
    </xf>
    <xf numFmtId="9" fontId="171" fillId="66" borderId="232" xfId="0" applyNumberFormat="1" applyFont="1" applyFill="1" applyBorder="1" applyAlignment="1">
      <alignment horizontal="right" vertical="center" shrinkToFit="1"/>
    </xf>
    <xf numFmtId="9" fontId="171" fillId="66" borderId="233" xfId="0" applyNumberFormat="1" applyFont="1" applyFill="1" applyBorder="1" applyAlignment="1">
      <alignment horizontal="right" vertical="center" shrinkToFit="1"/>
    </xf>
    <xf numFmtId="232" fontId="157" fillId="0" borderId="137" xfId="0" applyNumberFormat="1" applyFont="1" applyBorder="1" applyAlignment="1">
      <alignment horizontal="right" vertical="center"/>
    </xf>
    <xf numFmtId="232" fontId="157" fillId="0" borderId="210" xfId="0" applyNumberFormat="1" applyFont="1" applyBorder="1" applyAlignment="1">
      <alignment horizontal="right" vertical="center"/>
    </xf>
    <xf numFmtId="232" fontId="157" fillId="0" borderId="235" xfId="0" applyNumberFormat="1" applyFont="1" applyBorder="1" applyAlignment="1">
      <alignment horizontal="right" vertical="center"/>
    </xf>
    <xf numFmtId="38" fontId="168" fillId="65" borderId="208" xfId="451" applyNumberFormat="1" applyFont="1" applyFill="1" applyBorder="1" applyAlignment="1">
      <alignment horizontal="right" vertical="center" shrinkToFit="1"/>
    </xf>
    <xf numFmtId="38" fontId="168" fillId="65" borderId="116" xfId="451" applyNumberFormat="1" applyFont="1" applyFill="1" applyBorder="1" applyAlignment="1">
      <alignment horizontal="right" vertical="center" shrinkToFit="1"/>
    </xf>
    <xf numFmtId="38" fontId="168" fillId="65" borderId="217" xfId="451" applyNumberFormat="1" applyFont="1" applyFill="1" applyBorder="1" applyAlignment="1">
      <alignment horizontal="right" vertical="center" shrinkToFit="1"/>
    </xf>
    <xf numFmtId="3" fontId="169" fillId="65" borderId="106" xfId="0" applyNumberFormat="1" applyFont="1" applyFill="1" applyBorder="1" applyAlignment="1">
      <alignment horizontal="right" vertical="center" shrinkToFit="1"/>
    </xf>
    <xf numFmtId="0" fontId="169" fillId="65" borderId="110" xfId="0" applyFont="1" applyFill="1" applyBorder="1" applyAlignment="1">
      <alignment horizontal="right" vertical="center" shrinkToFit="1"/>
    </xf>
    <xf numFmtId="0" fontId="169" fillId="65" borderId="216" xfId="0" applyFont="1" applyFill="1" applyBorder="1" applyAlignment="1">
      <alignment horizontal="right" vertical="center" shrinkToFit="1"/>
    </xf>
    <xf numFmtId="10" fontId="171" fillId="61" borderId="106" xfId="0" applyNumberFormat="1" applyFont="1" applyFill="1" applyBorder="1" applyAlignment="1">
      <alignment horizontal="right" vertical="center" shrinkToFit="1"/>
    </xf>
    <xf numFmtId="10" fontId="171" fillId="61" borderId="110" xfId="0" applyNumberFormat="1" applyFont="1" applyFill="1" applyBorder="1" applyAlignment="1">
      <alignment horizontal="right" vertical="center" shrinkToFit="1"/>
    </xf>
    <xf numFmtId="10" fontId="171" fillId="61" borderId="216" xfId="0" applyNumberFormat="1" applyFont="1" applyFill="1" applyBorder="1" applyAlignment="1">
      <alignment horizontal="right" vertical="center" shrinkToFit="1"/>
    </xf>
    <xf numFmtId="0" fontId="25" fillId="0" borderId="39" xfId="0" applyFont="1" applyFill="1" applyBorder="1" applyAlignment="1">
      <alignment horizontal="center" vertical="center" shrinkToFit="1"/>
    </xf>
    <xf numFmtId="0" fontId="25" fillId="0" borderId="31" xfId="0" applyFont="1" applyFill="1" applyBorder="1" applyAlignment="1">
      <alignment horizontal="center" vertical="center" shrinkToFit="1"/>
    </xf>
    <xf numFmtId="0" fontId="25" fillId="0" borderId="89" xfId="0" applyFont="1" applyFill="1" applyBorder="1" applyAlignment="1">
      <alignment horizontal="center" vertical="center" shrinkToFit="1"/>
    </xf>
    <xf numFmtId="3" fontId="169" fillId="0" borderId="98" xfId="0" applyNumberFormat="1" applyFont="1" applyFill="1" applyBorder="1" applyAlignment="1">
      <alignment horizontal="center" vertical="center" shrinkToFit="1"/>
    </xf>
    <xf numFmtId="0" fontId="169" fillId="0" borderId="170" xfId="0" applyFont="1" applyFill="1" applyBorder="1" applyAlignment="1">
      <alignment horizontal="center" vertical="center" shrinkToFit="1"/>
    </xf>
    <xf numFmtId="0" fontId="169" fillId="0" borderId="227" xfId="0" applyFont="1" applyFill="1" applyBorder="1" applyAlignment="1">
      <alignment horizontal="center" vertical="center" shrinkToFit="1"/>
    </xf>
    <xf numFmtId="3" fontId="241" fillId="66" borderId="135" xfId="0" applyNumberFormat="1" applyFont="1" applyFill="1" applyBorder="1" applyAlignment="1">
      <alignment horizontal="right" vertical="center"/>
    </xf>
    <xf numFmtId="3" fontId="241" fillId="66" borderId="144" xfId="0" applyNumberFormat="1" applyFont="1" applyFill="1" applyBorder="1" applyAlignment="1">
      <alignment horizontal="right" vertical="center"/>
    </xf>
    <xf numFmtId="3" fontId="241" fillId="66" borderId="234" xfId="0" applyNumberFormat="1" applyFont="1" applyFill="1" applyBorder="1" applyAlignment="1">
      <alignment horizontal="right" vertical="center"/>
    </xf>
    <xf numFmtId="0" fontId="134" fillId="0" borderId="0" xfId="0" applyFont="1" applyAlignment="1">
      <alignment horizontal="center" vertical="center"/>
    </xf>
    <xf numFmtId="0" fontId="156" fillId="0" borderId="0" xfId="0" applyFont="1" applyAlignment="1">
      <alignment horizontal="center" vertical="center"/>
    </xf>
    <xf numFmtId="0" fontId="157" fillId="0" borderId="0" xfId="0" applyFont="1" applyAlignment="1">
      <alignment horizontal="center" vertical="center"/>
    </xf>
    <xf numFmtId="0" fontId="236" fillId="0" borderId="0" xfId="0" applyFont="1" applyAlignment="1">
      <alignment horizontal="center" vertical="center"/>
    </xf>
    <xf numFmtId="179" fontId="157" fillId="0" borderId="0" xfId="0" applyNumberFormat="1" applyFont="1" applyBorder="1" applyAlignment="1">
      <alignment horizontal="right" vertical="center"/>
    </xf>
    <xf numFmtId="0" fontId="159" fillId="0" borderId="0" xfId="0" applyFont="1" applyAlignment="1">
      <alignment horizontal="left" vertical="center" shrinkToFit="1"/>
    </xf>
    <xf numFmtId="0" fontId="190" fillId="76" borderId="221" xfId="0" applyFont="1" applyFill="1" applyBorder="1" applyAlignment="1">
      <alignment horizontal="left" vertical="center" wrapText="1"/>
    </xf>
    <xf numFmtId="0" fontId="190" fillId="76" borderId="222" xfId="0" applyFont="1" applyFill="1" applyBorder="1" applyAlignment="1">
      <alignment horizontal="left" vertical="center" wrapText="1"/>
    </xf>
    <xf numFmtId="0" fontId="190" fillId="76" borderId="214" xfId="0" applyFont="1" applyFill="1" applyBorder="1" applyAlignment="1">
      <alignment horizontal="left" vertical="center" wrapText="1"/>
    </xf>
    <xf numFmtId="0" fontId="190" fillId="76" borderId="210" xfId="0" applyFont="1" applyFill="1" applyBorder="1" applyAlignment="1">
      <alignment horizontal="left" vertical="center" wrapText="1"/>
    </xf>
    <xf numFmtId="0" fontId="190" fillId="76" borderId="223" xfId="0" applyFont="1" applyFill="1" applyBorder="1" applyAlignment="1">
      <alignment horizontal="left" vertical="center" wrapText="1"/>
    </xf>
    <xf numFmtId="0" fontId="190" fillId="76" borderId="224" xfId="0" applyFont="1" applyFill="1" applyBorder="1" applyAlignment="1">
      <alignment horizontal="left" vertical="center" wrapText="1"/>
    </xf>
    <xf numFmtId="0" fontId="50" fillId="76" borderId="222" xfId="0" applyFont="1" applyFill="1" applyBorder="1" applyAlignment="1">
      <alignment horizontal="left" vertical="center" wrapText="1"/>
    </xf>
    <xf numFmtId="0" fontId="50" fillId="76" borderId="225" xfId="0" applyFont="1" applyFill="1" applyBorder="1" applyAlignment="1">
      <alignment horizontal="left" vertical="center" wrapText="1"/>
    </xf>
    <xf numFmtId="0" fontId="50" fillId="76" borderId="210" xfId="0" applyFont="1" applyFill="1" applyBorder="1" applyAlignment="1">
      <alignment horizontal="left" vertical="center" wrapText="1"/>
    </xf>
    <xf numFmtId="0" fontId="50" fillId="76" borderId="213" xfId="0" applyFont="1" applyFill="1" applyBorder="1" applyAlignment="1">
      <alignment horizontal="left" vertical="center" wrapText="1"/>
    </xf>
    <xf numFmtId="0" fontId="50" fillId="76" borderId="224" xfId="0" applyFont="1" applyFill="1" applyBorder="1" applyAlignment="1">
      <alignment horizontal="left" vertical="center" wrapText="1"/>
    </xf>
    <xf numFmtId="0" fontId="50" fillId="76" borderId="226" xfId="0" applyFont="1" applyFill="1" applyBorder="1" applyAlignment="1">
      <alignment horizontal="left" vertical="center" wrapText="1"/>
    </xf>
    <xf numFmtId="0" fontId="162" fillId="0" borderId="0" xfId="0" applyFont="1" applyFill="1" applyAlignment="1">
      <alignment horizontal="left" vertical="center"/>
    </xf>
    <xf numFmtId="0" fontId="163" fillId="0" borderId="4" xfId="0" applyFont="1" applyFill="1" applyBorder="1" applyAlignment="1">
      <alignment horizontal="right" vertical="center"/>
    </xf>
    <xf numFmtId="0" fontId="164" fillId="0" borderId="56" xfId="0" applyFont="1" applyFill="1" applyBorder="1" applyAlignment="1">
      <alignment horizontal="center" vertical="center" wrapText="1"/>
    </xf>
    <xf numFmtId="0" fontId="164" fillId="0" borderId="207" xfId="0" applyFont="1" applyFill="1" applyBorder="1" applyAlignment="1">
      <alignment horizontal="center" vertical="center" wrapText="1"/>
    </xf>
    <xf numFmtId="0" fontId="164" fillId="0" borderId="204" xfId="0" applyFont="1" applyFill="1" applyBorder="1" applyAlignment="1">
      <alignment horizontal="center" vertical="center" wrapText="1"/>
    </xf>
    <xf numFmtId="0" fontId="165" fillId="0" borderId="7" xfId="0" applyFont="1" applyFill="1" applyBorder="1" applyAlignment="1">
      <alignment horizontal="center" vertical="center" wrapText="1"/>
    </xf>
    <xf numFmtId="0" fontId="165" fillId="0" borderId="205" xfId="0" applyFont="1" applyFill="1" applyBorder="1" applyAlignment="1">
      <alignment horizontal="center" vertical="center" wrapText="1"/>
    </xf>
    <xf numFmtId="9" fontId="166" fillId="0" borderId="199" xfId="432" applyFont="1" applyFill="1" applyBorder="1" applyAlignment="1">
      <alignment horizontal="center" vertical="center" textRotation="255" wrapText="1"/>
    </xf>
    <xf numFmtId="9" fontId="166" fillId="0" borderId="200" xfId="432" applyFont="1" applyFill="1" applyBorder="1" applyAlignment="1">
      <alignment horizontal="center" vertical="center" textRotation="255" wrapText="1"/>
    </xf>
    <xf numFmtId="3" fontId="170" fillId="66" borderId="15" xfId="0" applyNumberFormat="1" applyFont="1" applyFill="1" applyBorder="1" applyAlignment="1">
      <alignment horizontal="right" vertical="center" wrapText="1"/>
    </xf>
    <xf numFmtId="3" fontId="170" fillId="66" borderId="237" xfId="0" applyNumberFormat="1" applyFont="1" applyFill="1" applyBorder="1" applyAlignment="1">
      <alignment horizontal="right" vertical="center" wrapText="1"/>
    </xf>
    <xf numFmtId="58" fontId="196" fillId="0" borderId="0" xfId="0" applyNumberFormat="1" applyFont="1" applyFill="1" applyBorder="1" applyAlignment="1">
      <alignment horizontal="center" vertical="center"/>
    </xf>
    <xf numFmtId="14" fontId="5" fillId="0" borderId="24" xfId="0" applyNumberFormat="1" applyFont="1" applyBorder="1" applyAlignment="1">
      <alignment horizontal="center" vertical="center"/>
    </xf>
    <xf numFmtId="14" fontId="5" fillId="0" borderId="8" xfId="0" applyNumberFormat="1" applyFont="1" applyBorder="1" applyAlignment="1">
      <alignment horizontal="center" vertical="center"/>
    </xf>
    <xf numFmtId="14" fontId="5" fillId="0" borderId="70" xfId="0" applyNumberFormat="1" applyFont="1" applyBorder="1" applyAlignment="1">
      <alignment horizontal="center" vertical="center"/>
    </xf>
    <xf numFmtId="0" fontId="5" fillId="61" borderId="9" xfId="0" applyFont="1" applyFill="1" applyBorder="1" applyAlignment="1">
      <alignment horizontal="left" vertical="center"/>
    </xf>
    <xf numFmtId="0" fontId="5" fillId="61" borderId="43" xfId="0" applyFont="1" applyFill="1" applyBorder="1" applyAlignment="1">
      <alignment horizontal="left" vertical="center"/>
    </xf>
    <xf numFmtId="0" fontId="5" fillId="0" borderId="9" xfId="0" applyFont="1" applyFill="1" applyBorder="1" applyAlignment="1">
      <alignment horizontal="left" vertical="center"/>
    </xf>
    <xf numFmtId="0" fontId="0" fillId="0" borderId="9" xfId="0" applyBorder="1" applyAlignment="1">
      <alignment horizontal="center" vertical="center"/>
    </xf>
    <xf numFmtId="0" fontId="249" fillId="73" borderId="0" xfId="0" applyFont="1" applyFill="1" applyAlignment="1">
      <alignment horizontal="left" wrapText="1"/>
    </xf>
    <xf numFmtId="248" fontId="215" fillId="0" borderId="0" xfId="452" applyNumberFormat="1" applyFont="1" applyFill="1" applyBorder="1" applyAlignment="1">
      <alignment horizontal="right" vertical="center" shrinkToFit="1"/>
    </xf>
    <xf numFmtId="194" fontId="215" fillId="0" borderId="0" xfId="452" applyNumberFormat="1" applyFont="1" applyFill="1" applyBorder="1" applyAlignment="1">
      <alignment horizontal="right" vertical="center"/>
    </xf>
    <xf numFmtId="251" fontId="216" fillId="0" borderId="0" xfId="452" applyNumberFormat="1" applyFont="1" applyFill="1" applyBorder="1" applyAlignment="1">
      <alignment horizontal="right" vertical="center"/>
    </xf>
    <xf numFmtId="0" fontId="35" fillId="0" borderId="0" xfId="452" applyFont="1" applyAlignment="1">
      <alignment horizontal="center" vertical="center" shrinkToFit="1"/>
    </xf>
    <xf numFmtId="0" fontId="203" fillId="0" borderId="180" xfId="452" applyFont="1" applyBorder="1" applyAlignment="1">
      <alignment vertical="center" textRotation="255"/>
    </xf>
    <xf numFmtId="0" fontId="203" fillId="0" borderId="136" xfId="452" applyFont="1" applyBorder="1" applyAlignment="1">
      <alignment vertical="center" textRotation="255"/>
    </xf>
    <xf numFmtId="0" fontId="203" fillId="0" borderId="141" xfId="452" applyFont="1" applyBorder="1" applyAlignment="1">
      <alignment vertical="center" textRotation="255"/>
    </xf>
    <xf numFmtId="0" fontId="216" fillId="0" borderId="171" xfId="452" applyFont="1" applyBorder="1" applyAlignment="1">
      <alignment horizontal="center" vertical="center" wrapText="1"/>
    </xf>
    <xf numFmtId="0" fontId="216" fillId="0" borderId="98" xfId="452" applyFont="1" applyBorder="1" applyAlignment="1">
      <alignment horizontal="center" vertical="center" wrapText="1"/>
    </xf>
    <xf numFmtId="0" fontId="216" fillId="0" borderId="206" xfId="452" applyFont="1" applyBorder="1" applyAlignment="1">
      <alignment horizontal="center" vertical="center" wrapText="1"/>
    </xf>
    <xf numFmtId="0" fontId="216" fillId="0" borderId="137" xfId="452" applyFont="1" applyBorder="1" applyAlignment="1">
      <alignment horizontal="center" vertical="center" wrapText="1"/>
    </xf>
    <xf numFmtId="0" fontId="216" fillId="0" borderId="169" xfId="452" applyFont="1" applyBorder="1" applyAlignment="1">
      <alignment horizontal="center" vertical="center" wrapText="1"/>
    </xf>
    <xf numFmtId="0" fontId="216" fillId="0" borderId="208" xfId="452" applyFont="1" applyBorder="1" applyAlignment="1">
      <alignment horizontal="center" vertical="center" wrapText="1"/>
    </xf>
    <xf numFmtId="194" fontId="216" fillId="0" borderId="0" xfId="452" applyNumberFormat="1" applyFont="1" applyFill="1" applyBorder="1" applyAlignment="1">
      <alignment horizontal="right" vertical="center"/>
    </xf>
    <xf numFmtId="250" fontId="216" fillId="0" borderId="0" xfId="452" applyNumberFormat="1" applyFont="1" applyFill="1" applyBorder="1" applyAlignment="1">
      <alignment horizontal="right" vertical="center" shrinkToFit="1"/>
    </xf>
    <xf numFmtId="0" fontId="203" fillId="0" borderId="209" xfId="452" applyFont="1" applyBorder="1" applyAlignment="1">
      <alignment vertical="center" textRotation="255"/>
    </xf>
    <xf numFmtId="0" fontId="203" fillId="0" borderId="206" xfId="452" applyFont="1" applyBorder="1" applyAlignment="1">
      <alignment vertical="center" textRotation="255"/>
    </xf>
    <xf numFmtId="0" fontId="203" fillId="0" borderId="210" xfId="452" applyFont="1" applyBorder="1" applyAlignment="1">
      <alignment vertical="center" textRotation="255"/>
    </xf>
    <xf numFmtId="0" fontId="203" fillId="0" borderId="116" xfId="452" applyFont="1" applyBorder="1" applyAlignment="1">
      <alignment vertical="center" textRotation="255"/>
    </xf>
    <xf numFmtId="0" fontId="203" fillId="24" borderId="37" xfId="452" applyFont="1" applyFill="1" applyBorder="1" applyAlignment="1">
      <alignment horizontal="center" vertical="center"/>
    </xf>
    <xf numFmtId="0" fontId="203" fillId="24" borderId="182" xfId="452" applyFont="1" applyFill="1" applyBorder="1" applyAlignment="1">
      <alignment horizontal="center" vertical="center"/>
    </xf>
    <xf numFmtId="0" fontId="203" fillId="24" borderId="39" xfId="452" applyFont="1" applyFill="1" applyBorder="1" applyAlignment="1">
      <alignment horizontal="center" vertical="center"/>
    </xf>
    <xf numFmtId="0" fontId="203" fillId="24" borderId="106" xfId="452" applyFont="1" applyFill="1" applyBorder="1" applyAlignment="1">
      <alignment horizontal="center" vertical="center"/>
    </xf>
    <xf numFmtId="0" fontId="203" fillId="24" borderId="51" xfId="452" applyFont="1" applyFill="1" applyBorder="1" applyAlignment="1">
      <alignment horizontal="center" vertical="center"/>
    </xf>
    <xf numFmtId="0" fontId="203" fillId="24" borderId="98" xfId="452" applyFont="1" applyFill="1" applyBorder="1" applyAlignment="1">
      <alignment horizontal="center" vertical="center"/>
    </xf>
    <xf numFmtId="0" fontId="203" fillId="24" borderId="40" xfId="452" applyFont="1" applyFill="1" applyBorder="1" applyAlignment="1">
      <alignment horizontal="center" vertical="center"/>
    </xf>
    <xf numFmtId="0" fontId="203" fillId="24" borderId="175" xfId="452" applyFont="1" applyFill="1" applyBorder="1" applyAlignment="1">
      <alignment horizontal="center" vertical="center"/>
    </xf>
    <xf numFmtId="0" fontId="203" fillId="0" borderId="170" xfId="452" applyFont="1" applyBorder="1" applyAlignment="1">
      <alignment vertical="center" textRotation="255"/>
    </xf>
    <xf numFmtId="0" fontId="203" fillId="0" borderId="211" xfId="452" applyFont="1" applyBorder="1" applyAlignment="1">
      <alignment vertical="center" textRotation="255"/>
    </xf>
    <xf numFmtId="0" fontId="203" fillId="0" borderId="180" xfId="452" applyFont="1" applyBorder="1" applyAlignment="1">
      <alignment horizontal="center" vertical="center" textRotation="255"/>
    </xf>
    <xf numFmtId="0" fontId="203" fillId="0" borderId="136" xfId="452" applyFont="1" applyBorder="1" applyAlignment="1">
      <alignment horizontal="center" vertical="center" textRotation="255"/>
    </xf>
    <xf numFmtId="0" fontId="203" fillId="0" borderId="141" xfId="452" applyFont="1" applyBorder="1" applyAlignment="1">
      <alignment horizontal="center" vertical="center" textRotation="255"/>
    </xf>
    <xf numFmtId="0" fontId="203" fillId="51" borderId="209" xfId="452" applyFont="1" applyFill="1" applyBorder="1" applyAlignment="1">
      <alignment vertical="center" textRotation="255"/>
    </xf>
    <xf numFmtId="0" fontId="203" fillId="51" borderId="206" xfId="452" applyFont="1" applyFill="1" applyBorder="1" applyAlignment="1">
      <alignment vertical="center" textRotation="255"/>
    </xf>
    <xf numFmtId="0" fontId="203" fillId="51" borderId="169" xfId="452" applyFont="1" applyFill="1" applyBorder="1" applyAlignment="1">
      <alignment vertical="center" textRotation="255"/>
    </xf>
    <xf numFmtId="0" fontId="203" fillId="52" borderId="171" xfId="452" applyFont="1" applyFill="1" applyBorder="1" applyAlignment="1">
      <alignment horizontal="center" vertical="center" textRotation="255"/>
    </xf>
    <xf numFmtId="0" fontId="203" fillId="52" borderId="206" xfId="452" applyFont="1" applyFill="1" applyBorder="1" applyAlignment="1">
      <alignment horizontal="center" vertical="center" textRotation="255"/>
    </xf>
    <xf numFmtId="0" fontId="203" fillId="52" borderId="169" xfId="452" applyFont="1" applyFill="1" applyBorder="1" applyAlignment="1">
      <alignment horizontal="center" vertical="center" textRotation="255"/>
    </xf>
    <xf numFmtId="0" fontId="203" fillId="0" borderId="170" xfId="452" applyFont="1" applyBorder="1" applyAlignment="1">
      <alignment horizontal="center" vertical="center" textRotation="255"/>
    </xf>
    <xf numFmtId="0" fontId="203" fillId="0" borderId="210" xfId="452" applyFont="1" applyBorder="1" applyAlignment="1">
      <alignment horizontal="center" vertical="center" textRotation="255"/>
    </xf>
    <xf numFmtId="0" fontId="203" fillId="0" borderId="116" xfId="452" applyFont="1" applyBorder="1" applyAlignment="1">
      <alignment horizontal="center" vertical="center" textRotation="255"/>
    </xf>
    <xf numFmtId="0" fontId="203" fillId="53" borderId="170" xfId="452" applyFont="1" applyFill="1" applyBorder="1" applyAlignment="1">
      <alignment horizontal="center" vertical="center" textRotation="255"/>
    </xf>
    <xf numFmtId="0" fontId="203" fillId="53" borderId="210" xfId="452" applyFont="1" applyFill="1" applyBorder="1" applyAlignment="1">
      <alignment horizontal="center" vertical="center" textRotation="255"/>
    </xf>
    <xf numFmtId="0" fontId="203" fillId="53" borderId="211" xfId="452" applyFont="1" applyFill="1" applyBorder="1" applyAlignment="1">
      <alignment horizontal="center" vertical="center" textRotation="255"/>
    </xf>
    <xf numFmtId="176" fontId="12" fillId="0" borderId="24" xfId="463" applyNumberFormat="1" applyFont="1" applyBorder="1" applyAlignment="1">
      <alignment horizontal="center" vertical="center"/>
    </xf>
    <xf numFmtId="176" fontId="12" fillId="0" borderId="70" xfId="463" applyNumberFormat="1" applyFont="1" applyBorder="1" applyAlignment="1">
      <alignment horizontal="center" vertical="center"/>
    </xf>
    <xf numFmtId="176" fontId="12" fillId="0" borderId="195" xfId="463" applyNumberFormat="1" applyFont="1" applyBorder="1" applyAlignment="1">
      <alignment horizontal="center" vertical="center"/>
    </xf>
    <xf numFmtId="176" fontId="12" fillId="0" borderId="200" xfId="463" applyNumberFormat="1" applyFont="1" applyBorder="1" applyAlignment="1">
      <alignment horizontal="center" vertical="center"/>
    </xf>
    <xf numFmtId="176" fontId="12" fillId="0" borderId="212" xfId="463" applyNumberFormat="1" applyFont="1" applyBorder="1" applyAlignment="1">
      <alignment horizontal="center" vertical="center"/>
    </xf>
    <xf numFmtId="176" fontId="12" fillId="0" borderId="43" xfId="463" applyNumberFormat="1" applyFont="1" applyBorder="1" applyAlignment="1">
      <alignment horizontal="center" vertical="center"/>
    </xf>
    <xf numFmtId="176" fontId="12" fillId="0" borderId="45" xfId="463" applyNumberFormat="1" applyFont="1" applyBorder="1" applyAlignment="1">
      <alignment horizontal="center" vertical="center"/>
    </xf>
    <xf numFmtId="176" fontId="12" fillId="0" borderId="8" xfId="463" applyNumberFormat="1" applyFont="1" applyBorder="1" applyAlignment="1">
      <alignment horizontal="left" vertical="center"/>
    </xf>
    <xf numFmtId="176" fontId="12" fillId="0" borderId="23" xfId="463" applyNumberFormat="1" applyFont="1" applyBorder="1" applyAlignment="1">
      <alignment horizontal="left" vertical="center"/>
    </xf>
    <xf numFmtId="176" fontId="18" fillId="0" borderId="24" xfId="463" applyNumberFormat="1" applyFont="1" applyBorder="1" applyAlignment="1">
      <alignment horizontal="center" vertical="center"/>
    </xf>
    <xf numFmtId="176" fontId="18" fillId="0" borderId="8" xfId="463" applyNumberFormat="1" applyFont="1" applyBorder="1" applyAlignment="1">
      <alignment horizontal="center" vertical="center"/>
    </xf>
    <xf numFmtId="176" fontId="18" fillId="0" borderId="70" xfId="463" applyNumberFormat="1" applyFont="1" applyBorder="1" applyAlignment="1">
      <alignment horizontal="center" vertical="center"/>
    </xf>
    <xf numFmtId="176" fontId="12" fillId="0" borderId="8" xfId="463" applyNumberFormat="1" applyFont="1" applyBorder="1" applyAlignment="1">
      <alignment horizontal="center" vertical="center"/>
    </xf>
    <xf numFmtId="176" fontId="18" fillId="0" borderId="23" xfId="463" applyNumberFormat="1" applyFont="1" applyBorder="1" applyAlignment="1">
      <alignment horizontal="center" vertical="center"/>
    </xf>
    <xf numFmtId="176" fontId="85" fillId="0" borderId="0" xfId="463" applyNumberFormat="1" applyFont="1" applyAlignment="1">
      <alignment horizontal="center" vertical="center"/>
    </xf>
    <xf numFmtId="176" fontId="12" fillId="0" borderId="4" xfId="463" applyNumberFormat="1" applyFont="1" applyBorder="1" applyAlignment="1">
      <alignment horizontal="right" vertical="center"/>
    </xf>
    <xf numFmtId="176" fontId="18" fillId="0" borderId="24" xfId="463" applyNumberFormat="1" applyFont="1" applyBorder="1" applyAlignment="1">
      <alignment horizontal="left" vertical="center" shrinkToFit="1"/>
    </xf>
    <xf numFmtId="176" fontId="18" fillId="0" borderId="8" xfId="463" applyNumberFormat="1" applyFont="1" applyBorder="1" applyAlignment="1">
      <alignment horizontal="left" vertical="center" shrinkToFit="1"/>
    </xf>
    <xf numFmtId="176" fontId="18" fillId="0" borderId="23" xfId="463" applyNumberFormat="1" applyFont="1" applyBorder="1" applyAlignment="1">
      <alignment horizontal="left" vertical="center" shrinkToFit="1"/>
    </xf>
    <xf numFmtId="177" fontId="18" fillId="0" borderId="24" xfId="463" applyNumberFormat="1" applyFont="1" applyBorder="1" applyAlignment="1">
      <alignment horizontal="center" vertical="center" shrinkToFit="1"/>
    </xf>
    <xf numFmtId="177" fontId="18" fillId="0" borderId="8" xfId="463" applyNumberFormat="1" applyFont="1" applyBorder="1" applyAlignment="1">
      <alignment horizontal="center" vertical="center" shrinkToFit="1"/>
    </xf>
    <xf numFmtId="177" fontId="18" fillId="0" borderId="70" xfId="463" applyNumberFormat="1" applyFont="1" applyBorder="1" applyAlignment="1">
      <alignment horizontal="center" vertical="center" shrinkToFit="1"/>
    </xf>
    <xf numFmtId="176" fontId="18" fillId="0" borderId="24" xfId="463" applyNumberFormat="1" applyFont="1" applyBorder="1" applyAlignment="1">
      <alignment horizontal="center" vertical="center" shrinkToFit="1"/>
    </xf>
    <xf numFmtId="176" fontId="18" fillId="0" borderId="23" xfId="463" applyNumberFormat="1" applyFont="1" applyBorder="1" applyAlignment="1">
      <alignment horizontal="center" vertical="center" shrinkToFit="1"/>
    </xf>
    <xf numFmtId="176" fontId="19" fillId="0" borderId="24" xfId="463" applyNumberFormat="1" applyFont="1" applyBorder="1" applyAlignment="1">
      <alignment horizontal="center" vertical="center"/>
    </xf>
    <xf numFmtId="176" fontId="19" fillId="0" borderId="70" xfId="463" applyNumberFormat="1" applyFont="1" applyBorder="1" applyAlignment="1">
      <alignment horizontal="center" vertical="center"/>
    </xf>
    <xf numFmtId="176" fontId="12" fillId="0" borderId="9" xfId="463" applyNumberFormat="1" applyFont="1" applyBorder="1" applyAlignment="1">
      <alignment horizontal="center" vertical="center"/>
    </xf>
    <xf numFmtId="176" fontId="18" fillId="0" borderId="9" xfId="463" applyNumberFormat="1" applyFont="1" applyBorder="1" applyAlignment="1">
      <alignment horizontal="center" vertical="center"/>
    </xf>
    <xf numFmtId="176" fontId="18" fillId="0" borderId="165" xfId="463" applyNumberFormat="1" applyFont="1" applyBorder="1" applyAlignment="1">
      <alignment horizontal="center" vertical="center"/>
    </xf>
    <xf numFmtId="176" fontId="18" fillId="0" borderId="18" xfId="463" applyNumberFormat="1" applyFont="1" applyBorder="1" applyAlignment="1">
      <alignment horizontal="left" vertical="center"/>
    </xf>
    <xf numFmtId="176" fontId="18" fillId="0" borderId="10" xfId="463" applyNumberFormat="1" applyFont="1" applyBorder="1" applyAlignment="1">
      <alignment horizontal="left" vertical="center"/>
    </xf>
    <xf numFmtId="176" fontId="18" fillId="0" borderId="91" xfId="463" applyNumberFormat="1" applyFont="1" applyBorder="1" applyAlignment="1">
      <alignment horizontal="left" vertical="center"/>
    </xf>
    <xf numFmtId="176" fontId="12" fillId="0" borderId="43" xfId="463" applyNumberFormat="1" applyFont="1" applyFill="1" applyBorder="1" applyAlignment="1">
      <alignment horizontal="center" vertical="center"/>
    </xf>
    <xf numFmtId="176" fontId="14" fillId="0" borderId="195" xfId="463" applyNumberFormat="1" applyFont="1" applyBorder="1" applyAlignment="1">
      <alignment horizontal="center" vertical="center"/>
    </xf>
    <xf numFmtId="9" fontId="18" fillId="0" borderId="24" xfId="432" applyFont="1" applyBorder="1" applyAlignment="1">
      <alignment horizontal="center" vertical="center"/>
    </xf>
    <xf numFmtId="9" fontId="18" fillId="0" borderId="8" xfId="432" applyFont="1" applyBorder="1" applyAlignment="1">
      <alignment horizontal="center" vertical="center"/>
    </xf>
    <xf numFmtId="9" fontId="18" fillId="0" borderId="70" xfId="432" applyFont="1" applyBorder="1" applyAlignment="1">
      <alignment horizontal="center" vertical="center"/>
    </xf>
    <xf numFmtId="9" fontId="18" fillId="0" borderId="23" xfId="432" applyFont="1" applyBorder="1" applyAlignment="1">
      <alignment horizontal="center" vertical="center"/>
    </xf>
    <xf numFmtId="176" fontId="12" fillId="0" borderId="12" xfId="463" applyNumberFormat="1" applyFont="1" applyBorder="1" applyAlignment="1">
      <alignment horizontal="left" vertical="center" shrinkToFit="1"/>
    </xf>
    <xf numFmtId="176" fontId="12" fillId="0" borderId="13" xfId="463" applyNumberFormat="1" applyFont="1" applyBorder="1" applyAlignment="1">
      <alignment horizontal="left" vertical="center" shrinkToFit="1"/>
    </xf>
    <xf numFmtId="176" fontId="12" fillId="0" borderId="21" xfId="463" applyNumberFormat="1" applyFont="1" applyBorder="1" applyAlignment="1">
      <alignment horizontal="left" vertical="center" shrinkToFit="1"/>
    </xf>
    <xf numFmtId="176" fontId="12" fillId="0" borderId="201" xfId="463" applyNumberFormat="1" applyFont="1" applyBorder="1" applyAlignment="1">
      <alignment horizontal="center" vertical="center"/>
    </xf>
    <xf numFmtId="195" fontId="18" fillId="0" borderId="0" xfId="442" applyNumberFormat="1" applyFont="1" applyAlignment="1">
      <alignment horizontal="center" vertical="center"/>
    </xf>
    <xf numFmtId="196" fontId="18" fillId="0" borderId="0" xfId="442" applyNumberFormat="1" applyFont="1" applyAlignment="1">
      <alignment horizontal="center" vertical="center"/>
    </xf>
    <xf numFmtId="196" fontId="18" fillId="0" borderId="22" xfId="442" applyNumberFormat="1" applyFont="1" applyBorder="1" applyAlignment="1">
      <alignment horizontal="center" vertical="center"/>
    </xf>
    <xf numFmtId="190" fontId="18" fillId="0" borderId="0" xfId="442" applyNumberFormat="1" applyFont="1" applyBorder="1" applyAlignment="1">
      <alignment horizontal="center" vertical="center"/>
    </xf>
    <xf numFmtId="181" fontId="18" fillId="0" borderId="0" xfId="442" applyNumberFormat="1" applyFont="1" applyBorder="1" applyAlignment="1">
      <alignment horizontal="left" vertical="center"/>
    </xf>
    <xf numFmtId="181" fontId="18" fillId="0" borderId="22" xfId="442" applyNumberFormat="1" applyFont="1" applyBorder="1" applyAlignment="1">
      <alignment horizontal="left" vertical="center"/>
    </xf>
    <xf numFmtId="176" fontId="18" fillId="0" borderId="14" xfId="463" applyNumberFormat="1" applyFont="1" applyBorder="1" applyAlignment="1">
      <alignment horizontal="left" vertical="center"/>
    </xf>
    <xf numFmtId="176" fontId="18" fillId="0" borderId="0" xfId="463" applyNumberFormat="1" applyFont="1" applyBorder="1" applyAlignment="1">
      <alignment horizontal="left" vertical="center"/>
    </xf>
    <xf numFmtId="176" fontId="18" fillId="0" borderId="0" xfId="463" applyNumberFormat="1" applyFont="1" applyBorder="1" applyAlignment="1">
      <alignment horizontal="center" vertical="center"/>
    </xf>
    <xf numFmtId="176" fontId="201" fillId="0" borderId="42" xfId="463" applyNumberFormat="1" applyFont="1" applyBorder="1" applyAlignment="1">
      <alignment horizontal="left" vertical="center" shrinkToFit="1"/>
    </xf>
    <xf numFmtId="176" fontId="18" fillId="0" borderId="4" xfId="463" applyNumberFormat="1" applyFont="1" applyBorder="1" applyAlignment="1">
      <alignment horizontal="left" vertical="center" shrinkToFit="1"/>
    </xf>
    <xf numFmtId="176" fontId="18" fillId="0" borderId="61" xfId="463" applyNumberFormat="1" applyFont="1" applyBorder="1" applyAlignment="1">
      <alignment horizontal="left" vertical="center" shrinkToFit="1"/>
    </xf>
    <xf numFmtId="183" fontId="18" fillId="0" borderId="0" xfId="442" applyNumberFormat="1" applyFont="1" applyBorder="1" applyAlignment="1">
      <alignment horizontal="left" vertical="center"/>
    </xf>
    <xf numFmtId="239" fontId="21" fillId="0" borderId="24" xfId="463" applyNumberFormat="1" applyFont="1" applyBorder="1" applyAlignment="1">
      <alignment horizontal="center" vertical="center"/>
    </xf>
    <xf numFmtId="239" fontId="21" fillId="0" borderId="8" xfId="463" applyNumberFormat="1" applyFont="1" applyBorder="1" applyAlignment="1">
      <alignment horizontal="center" vertical="center"/>
    </xf>
    <xf numFmtId="239" fontId="21" fillId="0" borderId="23" xfId="463" applyNumberFormat="1" applyFont="1" applyBorder="1" applyAlignment="1">
      <alignment horizontal="center" vertical="center"/>
    </xf>
    <xf numFmtId="176" fontId="27" fillId="0" borderId="0" xfId="463" applyNumberFormat="1" applyFont="1" applyAlignment="1">
      <alignment vertical="center"/>
    </xf>
    <xf numFmtId="176" fontId="25" fillId="0" borderId="0" xfId="463" applyNumberFormat="1" applyFont="1" applyBorder="1" applyAlignment="1">
      <alignment horizontal="right"/>
    </xf>
    <xf numFmtId="0" fontId="287" fillId="79" borderId="9" xfId="452" applyNumberFormat="1" applyFont="1" applyFill="1" applyBorder="1" applyAlignment="1">
      <alignment horizontal="center" vertical="center"/>
    </xf>
    <xf numFmtId="10" fontId="286" fillId="0" borderId="9" xfId="452" applyNumberFormat="1" applyFont="1" applyFill="1" applyBorder="1" applyAlignment="1">
      <alignment horizontal="center" vertical="center"/>
    </xf>
    <xf numFmtId="186" fontId="9" fillId="0" borderId="0" xfId="452" applyNumberFormat="1" applyFont="1" applyFill="1" applyBorder="1" applyAlignment="1">
      <alignment horizontal="center" vertical="center"/>
    </xf>
    <xf numFmtId="225" fontId="283" fillId="42" borderId="0" xfId="452" applyNumberFormat="1" applyFont="1" applyFill="1" applyAlignment="1">
      <alignment horizontal="right" vertical="center"/>
    </xf>
    <xf numFmtId="189" fontId="111" fillId="0" borderId="0" xfId="462" applyNumberFormat="1" applyFont="1" applyFill="1" applyAlignment="1">
      <alignment horizontal="right" vertical="center"/>
    </xf>
    <xf numFmtId="225" fontId="111" fillId="0" borderId="0" xfId="462" applyNumberFormat="1" applyFont="1" applyFill="1" applyAlignment="1">
      <alignment horizontal="right" vertical="center"/>
    </xf>
    <xf numFmtId="260" fontId="9" fillId="0" borderId="37" xfId="452" applyNumberFormat="1" applyFont="1" applyFill="1" applyBorder="1" applyAlignment="1">
      <alignment horizontal="right" vertical="center" shrinkToFit="1"/>
    </xf>
    <xf numFmtId="260" fontId="9" fillId="0" borderId="26" xfId="452" applyNumberFormat="1" applyFont="1" applyFill="1" applyBorder="1" applyAlignment="1">
      <alignment horizontal="right" vertical="center" shrinkToFit="1"/>
    </xf>
    <xf numFmtId="225" fontId="9" fillId="0" borderId="40" xfId="443" applyNumberFormat="1" applyFont="1" applyFill="1" applyBorder="1" applyAlignment="1">
      <alignment horizontal="right" vertical="center"/>
    </xf>
    <xf numFmtId="225" fontId="9" fillId="0" borderId="30" xfId="443" applyNumberFormat="1" applyFont="1" applyFill="1" applyBorder="1" applyAlignment="1">
      <alignment horizontal="right" vertical="center"/>
    </xf>
    <xf numFmtId="261" fontId="282" fillId="0" borderId="0" xfId="462" applyNumberFormat="1" applyFont="1" applyFill="1" applyAlignment="1">
      <alignment horizontal="right" vertical="center"/>
    </xf>
    <xf numFmtId="225" fontId="9" fillId="0" borderId="0" xfId="443" applyNumberFormat="1" applyFont="1" applyFill="1" applyBorder="1" applyAlignment="1">
      <alignment horizontal="right" vertical="center"/>
    </xf>
    <xf numFmtId="189" fontId="282" fillId="0" borderId="0" xfId="462" applyNumberFormat="1" applyFont="1" applyFill="1" applyAlignment="1">
      <alignment horizontal="right" vertical="center"/>
    </xf>
    <xf numFmtId="0" fontId="280" fillId="74" borderId="14" xfId="452" applyNumberFormat="1" applyFont="1" applyFill="1" applyBorder="1" applyAlignment="1">
      <alignment horizontal="left" vertical="center" wrapText="1"/>
    </xf>
    <xf numFmtId="0" fontId="280" fillId="74" borderId="0" xfId="452" applyNumberFormat="1" applyFont="1" applyFill="1" applyAlignment="1">
      <alignment horizontal="left" vertical="center" wrapText="1"/>
    </xf>
    <xf numFmtId="0" fontId="9" fillId="0" borderId="24" xfId="452" applyNumberFormat="1" applyFont="1" applyFill="1" applyBorder="1" applyAlignment="1">
      <alignment horizontal="center" vertical="center"/>
    </xf>
    <xf numFmtId="0" fontId="9" fillId="0" borderId="70" xfId="452" applyNumberFormat="1" applyFont="1" applyFill="1" applyBorder="1" applyAlignment="1">
      <alignment horizontal="center" vertical="center"/>
    </xf>
    <xf numFmtId="225" fontId="283" fillId="42" borderId="0" xfId="452" applyNumberFormat="1" applyFont="1" applyFill="1" applyAlignment="1">
      <alignment horizontal="center" vertical="center"/>
    </xf>
    <xf numFmtId="191" fontId="111" fillId="0" borderId="0" xfId="462" applyNumberFormat="1" applyFont="1" applyFill="1" applyAlignment="1">
      <alignment horizontal="right" vertical="center"/>
    </xf>
    <xf numFmtId="0" fontId="262" fillId="0" borderId="0" xfId="452" applyNumberFormat="1" applyFont="1" applyAlignment="1">
      <alignment horizontal="center" vertical="center"/>
    </xf>
    <xf numFmtId="0" fontId="9" fillId="0" borderId="43" xfId="452" applyNumberFormat="1" applyFont="1" applyFill="1" applyBorder="1" applyAlignment="1">
      <alignment horizontal="center" vertical="center"/>
    </xf>
    <xf numFmtId="0" fontId="9" fillId="0" borderId="45" xfId="452" applyNumberFormat="1" applyFont="1" applyFill="1" applyBorder="1" applyAlignment="1">
      <alignment horizontal="center" vertical="center"/>
    </xf>
    <xf numFmtId="0" fontId="9" fillId="0" borderId="9" xfId="452" applyNumberFormat="1" applyFont="1" applyFill="1" applyBorder="1" applyAlignment="1">
      <alignment horizontal="center" vertical="center" wrapText="1"/>
    </xf>
    <xf numFmtId="0" fontId="9" fillId="0" borderId="9" xfId="452" applyNumberFormat="1" applyFont="1" applyFill="1" applyBorder="1" applyAlignment="1">
      <alignment horizontal="center" vertical="center"/>
    </xf>
    <xf numFmtId="0" fontId="9" fillId="0" borderId="12" xfId="452" applyNumberFormat="1" applyFont="1" applyFill="1" applyBorder="1" applyAlignment="1">
      <alignment horizontal="center" vertical="center"/>
    </xf>
    <xf numFmtId="0" fontId="9" fillId="0" borderId="64" xfId="452" applyNumberFormat="1" applyFont="1" applyFill="1" applyBorder="1" applyAlignment="1">
      <alignment horizontal="center" vertical="center"/>
    </xf>
    <xf numFmtId="0" fontId="9" fillId="0" borderId="43" xfId="452" applyNumberFormat="1" applyFont="1" applyFill="1" applyBorder="1" applyAlignment="1">
      <alignment horizontal="center" vertical="center" wrapText="1"/>
    </xf>
    <xf numFmtId="0" fontId="9" fillId="0" borderId="24" xfId="462" applyNumberFormat="1" applyFont="1" applyFill="1" applyBorder="1" applyAlignment="1">
      <alignment horizontal="center" vertical="center"/>
    </xf>
    <xf numFmtId="0" fontId="9" fillId="0" borderId="8" xfId="462" applyNumberFormat="1" applyFont="1" applyFill="1" applyBorder="1" applyAlignment="1">
      <alignment horizontal="center" vertical="center"/>
    </xf>
    <xf numFmtId="0" fontId="9" fillId="0" borderId="70" xfId="462" applyNumberFormat="1" applyFont="1" applyFill="1" applyBorder="1" applyAlignment="1">
      <alignment horizontal="center" vertical="center"/>
    </xf>
    <xf numFmtId="0" fontId="148" fillId="61" borderId="110" xfId="0" applyFont="1" applyFill="1" applyBorder="1" applyAlignment="1">
      <alignment horizontal="left" vertical="center" shrinkToFit="1"/>
    </xf>
    <xf numFmtId="0" fontId="148" fillId="61" borderId="216" xfId="0" applyFont="1" applyFill="1" applyBorder="1" applyAlignment="1">
      <alignment horizontal="left" vertical="center" shrinkToFit="1"/>
    </xf>
    <xf numFmtId="0" fontId="148" fillId="61" borderId="67" xfId="0" applyFont="1" applyFill="1" applyBorder="1" applyAlignment="1">
      <alignment horizontal="left" vertical="center" shrinkToFit="1"/>
    </xf>
    <xf numFmtId="0" fontId="148" fillId="61" borderId="31" xfId="0" applyFont="1" applyFill="1" applyBorder="1" applyAlignment="1">
      <alignment horizontal="left" vertical="center" shrinkToFit="1"/>
    </xf>
    <xf numFmtId="0" fontId="148" fillId="61" borderId="89" xfId="0" applyFont="1" applyFill="1" applyBorder="1" applyAlignment="1">
      <alignment horizontal="left" vertical="center" shrinkToFit="1"/>
    </xf>
    <xf numFmtId="0" fontId="148" fillId="61" borderId="114" xfId="0" applyFont="1" applyFill="1" applyBorder="1" applyAlignment="1">
      <alignment horizontal="center" vertical="center" shrinkToFit="1"/>
    </xf>
    <xf numFmtId="0" fontId="148" fillId="61" borderId="220" xfId="0" applyFont="1" applyFill="1" applyBorder="1" applyAlignment="1">
      <alignment horizontal="center" vertical="center" shrinkToFit="1"/>
    </xf>
    <xf numFmtId="0" fontId="148" fillId="61" borderId="112" xfId="0" applyFont="1" applyFill="1" applyBorder="1" applyAlignment="1">
      <alignment horizontal="center" vertical="center" shrinkToFit="1"/>
    </xf>
    <xf numFmtId="0" fontId="148" fillId="61" borderId="218" xfId="0" applyFont="1" applyFill="1" applyBorder="1" applyAlignment="1">
      <alignment horizontal="center" vertical="center" shrinkToFit="1"/>
    </xf>
    <xf numFmtId="0" fontId="148" fillId="0" borderId="118" xfId="0" applyFont="1" applyBorder="1" applyAlignment="1">
      <alignment horizontal="left" vertical="center"/>
    </xf>
    <xf numFmtId="0" fontId="148" fillId="0" borderId="219" xfId="0" applyFont="1" applyBorder="1" applyAlignment="1">
      <alignment horizontal="left" vertical="center"/>
    </xf>
    <xf numFmtId="0" fontId="148" fillId="61" borderId="65" xfId="0" applyFont="1" applyFill="1" applyBorder="1" applyAlignment="1">
      <alignment horizontal="left" vertical="center" shrinkToFit="1"/>
    </xf>
    <xf numFmtId="0" fontId="148" fillId="61" borderId="38" xfId="0" applyFont="1" applyFill="1" applyBorder="1" applyAlignment="1">
      <alignment horizontal="left" vertical="center" shrinkToFit="1"/>
    </xf>
    <xf numFmtId="0" fontId="148" fillId="61" borderId="88" xfId="0" applyFont="1" applyFill="1" applyBorder="1" applyAlignment="1">
      <alignment horizontal="left" vertical="center" shrinkToFit="1"/>
    </xf>
    <xf numFmtId="223" fontId="148" fillId="0" borderId="12" xfId="0" applyNumberFormat="1" applyFont="1" applyBorder="1" applyAlignment="1">
      <alignment horizontal="left" vertical="top" wrapText="1"/>
    </xf>
    <xf numFmtId="223" fontId="148" fillId="0" borderId="13" xfId="0" applyNumberFormat="1" applyFont="1" applyBorder="1" applyAlignment="1">
      <alignment horizontal="left" vertical="top"/>
    </xf>
    <xf numFmtId="223" fontId="148" fillId="0" borderId="64" xfId="0" applyNumberFormat="1" applyFont="1" applyBorder="1" applyAlignment="1">
      <alignment horizontal="left" vertical="top"/>
    </xf>
    <xf numFmtId="223" fontId="148" fillId="0" borderId="14" xfId="0" applyNumberFormat="1" applyFont="1" applyBorder="1" applyAlignment="1">
      <alignment horizontal="left" vertical="top"/>
    </xf>
    <xf numFmtId="223" fontId="148" fillId="0" borderId="0" xfId="0" applyNumberFormat="1" applyFont="1" applyBorder="1" applyAlignment="1">
      <alignment horizontal="left" vertical="top"/>
    </xf>
    <xf numFmtId="223" fontId="148" fillId="0" borderId="66" xfId="0" applyNumberFormat="1" applyFont="1" applyBorder="1" applyAlignment="1">
      <alignment horizontal="left" vertical="top"/>
    </xf>
    <xf numFmtId="223" fontId="148" fillId="0" borderId="18" xfId="0" applyNumberFormat="1" applyFont="1" applyBorder="1" applyAlignment="1">
      <alignment horizontal="left" vertical="top"/>
    </xf>
    <xf numFmtId="223" fontId="148" fillId="0" borderId="10" xfId="0" applyNumberFormat="1" applyFont="1" applyBorder="1" applyAlignment="1">
      <alignment horizontal="left" vertical="top"/>
    </xf>
    <xf numFmtId="223" fontId="148" fillId="0" borderId="68" xfId="0" applyNumberFormat="1" applyFont="1" applyBorder="1" applyAlignment="1">
      <alignment horizontal="left" vertical="top"/>
    </xf>
    <xf numFmtId="0" fontId="148" fillId="61" borderId="116" xfId="0" applyFont="1" applyFill="1" applyBorder="1" applyAlignment="1">
      <alignment horizontal="left" vertical="center" shrinkToFit="1"/>
    </xf>
    <xf numFmtId="0" fontId="148" fillId="61" borderId="217" xfId="0" applyFont="1" applyFill="1" applyBorder="1" applyAlignment="1">
      <alignment horizontal="left" vertical="center" shrinkToFit="1"/>
    </xf>
    <xf numFmtId="49" fontId="153" fillId="0" borderId="0" xfId="0" applyNumberFormat="1" applyFont="1" applyAlignment="1">
      <alignment horizontal="center" vertical="center"/>
    </xf>
    <xf numFmtId="186" fontId="148" fillId="0" borderId="0" xfId="0" applyNumberFormat="1" applyFont="1" applyAlignment="1">
      <alignment horizontal="left" vertical="center"/>
    </xf>
    <xf numFmtId="223" fontId="148" fillId="0" borderId="0" xfId="0" applyNumberFormat="1" applyFont="1" applyFill="1" applyBorder="1" applyAlignment="1">
      <alignment horizontal="right" vertical="center"/>
    </xf>
    <xf numFmtId="0" fontId="148" fillId="0" borderId="0" xfId="0" applyFont="1" applyAlignment="1">
      <alignment horizontal="right" vertical="center"/>
    </xf>
    <xf numFmtId="0" fontId="85" fillId="0" borderId="199" xfId="0" applyFont="1" applyFill="1" applyBorder="1" applyAlignment="1">
      <alignment horizontal="center" vertical="center" textRotation="255" wrapText="1"/>
    </xf>
    <xf numFmtId="0" fontId="85" fillId="0" borderId="200" xfId="0" applyFont="1" applyFill="1" applyBorder="1" applyAlignment="1">
      <alignment horizontal="center" vertical="center" textRotation="255" wrapText="1"/>
    </xf>
    <xf numFmtId="0" fontId="85" fillId="0" borderId="201" xfId="0" applyFont="1" applyFill="1" applyBorder="1" applyAlignment="1">
      <alignment horizontal="center" vertical="center" textRotation="255" wrapText="1"/>
    </xf>
    <xf numFmtId="0" fontId="9" fillId="0" borderId="43" xfId="0" applyNumberFormat="1" applyFont="1" applyFill="1" applyBorder="1" applyAlignment="1">
      <alignment horizontal="center" vertical="center"/>
    </xf>
    <xf numFmtId="0" fontId="9" fillId="0" borderId="45" xfId="0" applyNumberFormat="1" applyFont="1" applyFill="1" applyBorder="1" applyAlignment="1">
      <alignment horizontal="center" vertical="center"/>
    </xf>
    <xf numFmtId="0" fontId="9" fillId="0" borderId="12" xfId="0" applyNumberFormat="1" applyFont="1" applyFill="1" applyBorder="1" applyAlignment="1">
      <alignment horizontal="center" vertical="center"/>
    </xf>
    <xf numFmtId="0" fontId="9" fillId="0" borderId="64" xfId="0" applyNumberFormat="1" applyFont="1" applyFill="1" applyBorder="1" applyAlignment="1">
      <alignment horizontal="center" vertical="center"/>
    </xf>
    <xf numFmtId="0" fontId="126" fillId="0" borderId="0" xfId="460" applyNumberFormat="1" applyFont="1" applyAlignment="1">
      <alignment horizontal="center" vertical="center"/>
    </xf>
    <xf numFmtId="0" fontId="9" fillId="0" borderId="195" xfId="460" applyNumberFormat="1" applyFont="1" applyBorder="1" applyAlignment="1">
      <alignment horizontal="center" vertical="center"/>
    </xf>
    <xf numFmtId="0" fontId="9" fillId="0" borderId="200" xfId="460" applyNumberFormat="1" applyFont="1" applyBorder="1" applyAlignment="1">
      <alignment horizontal="center" vertical="center"/>
    </xf>
    <xf numFmtId="0" fontId="9" fillId="0" borderId="212" xfId="460" applyNumberFormat="1" applyFont="1" applyBorder="1" applyAlignment="1">
      <alignment horizontal="center" vertical="center"/>
    </xf>
    <xf numFmtId="0" fontId="9" fillId="0" borderId="201" xfId="460" applyNumberFormat="1" applyFont="1" applyBorder="1" applyAlignment="1">
      <alignment horizontal="center" vertical="center"/>
    </xf>
    <xf numFmtId="0" fontId="9" fillId="0" borderId="13" xfId="460" applyNumberFormat="1" applyFont="1" applyBorder="1" applyAlignment="1">
      <alignment horizontal="left" vertical="center"/>
    </xf>
    <xf numFmtId="177" fontId="9" fillId="0" borderId="4" xfId="460" applyNumberFormat="1" applyFont="1" applyBorder="1" applyAlignment="1">
      <alignment horizontal="left" vertical="center"/>
    </xf>
    <xf numFmtId="0" fontId="9" fillId="0" borderId="12" xfId="462" applyNumberFormat="1" applyFont="1" applyBorder="1" applyAlignment="1">
      <alignment horizontal="center" vertical="center"/>
    </xf>
    <xf numFmtId="0" fontId="9" fillId="0" borderId="64" xfId="462" applyNumberFormat="1" applyFont="1" applyBorder="1" applyAlignment="1">
      <alignment horizontal="center" vertical="center"/>
    </xf>
    <xf numFmtId="0" fontId="9" fillId="0" borderId="18" xfId="462" applyNumberFormat="1" applyFont="1" applyBorder="1" applyAlignment="1">
      <alignment horizontal="center" vertical="center"/>
    </xf>
    <xf numFmtId="0" fontId="9" fillId="0" borderId="68" xfId="462" applyNumberFormat="1" applyFont="1" applyBorder="1" applyAlignment="1">
      <alignment horizontal="center" vertical="center"/>
    </xf>
    <xf numFmtId="0" fontId="9" fillId="0" borderId="12" xfId="0" applyNumberFormat="1" applyFont="1" applyFill="1" applyBorder="1" applyAlignment="1">
      <alignment horizontal="center" vertical="center" wrapText="1"/>
    </xf>
    <xf numFmtId="0" fontId="9" fillId="0" borderId="64" xfId="0" applyNumberFormat="1" applyFont="1" applyFill="1" applyBorder="1" applyAlignment="1">
      <alignment horizontal="center" vertical="center" wrapText="1"/>
    </xf>
    <xf numFmtId="0" fontId="9" fillId="0" borderId="18" xfId="0" applyNumberFormat="1" applyFont="1" applyFill="1" applyBorder="1" applyAlignment="1">
      <alignment horizontal="center" vertical="center" wrapText="1"/>
    </xf>
    <xf numFmtId="0" fontId="9" fillId="0" borderId="68" xfId="0" applyNumberFormat="1" applyFont="1" applyFill="1" applyBorder="1" applyAlignment="1">
      <alignment horizontal="center" vertical="center" wrapText="1"/>
    </xf>
    <xf numFmtId="0" fontId="9" fillId="0" borderId="18" xfId="0" applyNumberFormat="1" applyFont="1" applyFill="1" applyBorder="1" applyAlignment="1">
      <alignment horizontal="center" vertical="center"/>
    </xf>
    <xf numFmtId="0" fontId="9" fillId="0" borderId="68" xfId="0" applyNumberFormat="1" applyFont="1" applyFill="1" applyBorder="1" applyAlignment="1">
      <alignment horizontal="center" vertical="center"/>
    </xf>
    <xf numFmtId="0" fontId="9" fillId="0" borderId="43" xfId="462" applyNumberFormat="1" applyFont="1" applyBorder="1" applyAlignment="1">
      <alignment horizontal="center" vertical="center" wrapText="1"/>
    </xf>
    <xf numFmtId="0" fontId="9" fillId="0" borderId="45" xfId="462" applyNumberFormat="1" applyFont="1" applyBorder="1" applyAlignment="1">
      <alignment horizontal="center" vertical="center" wrapText="1"/>
    </xf>
    <xf numFmtId="0" fontId="9" fillId="0" borderId="12" xfId="462" applyNumberFormat="1" applyFont="1" applyBorder="1" applyAlignment="1">
      <alignment horizontal="center" vertical="center" wrapText="1"/>
    </xf>
    <xf numFmtId="0" fontId="9" fillId="0" borderId="64" xfId="462" applyNumberFormat="1" applyFont="1" applyBorder="1" applyAlignment="1">
      <alignment horizontal="center" vertical="center" wrapText="1"/>
    </xf>
    <xf numFmtId="0" fontId="9" fillId="0" borderId="24" xfId="462" applyNumberFormat="1" applyFont="1" applyBorder="1" applyAlignment="1">
      <alignment horizontal="center" vertical="center"/>
    </xf>
    <xf numFmtId="0" fontId="9" fillId="0" borderId="70" xfId="462" applyNumberFormat="1" applyFont="1" applyBorder="1" applyAlignment="1">
      <alignment horizontal="center" vertical="center"/>
    </xf>
    <xf numFmtId="0" fontId="297" fillId="80" borderId="43" xfId="0" applyNumberFormat="1" applyFont="1" applyFill="1" applyBorder="1" applyAlignment="1">
      <alignment horizontal="center" vertical="center" shrinkToFit="1"/>
    </xf>
    <xf numFmtId="0" fontId="297" fillId="80" borderId="69" xfId="0" applyNumberFormat="1" applyFont="1" applyFill="1" applyBorder="1" applyAlignment="1">
      <alignment horizontal="center" vertical="center" shrinkToFit="1"/>
    </xf>
    <xf numFmtId="0" fontId="297" fillId="80" borderId="75" xfId="0" applyNumberFormat="1" applyFont="1" applyFill="1" applyBorder="1" applyAlignment="1">
      <alignment horizontal="center" vertical="center" shrinkToFit="1"/>
    </xf>
    <xf numFmtId="38" fontId="119" fillId="0" borderId="24" xfId="451" applyNumberFormat="1" applyFont="1" applyFill="1" applyBorder="1" applyAlignment="1">
      <alignment horizontal="center" vertical="center" shrinkToFit="1"/>
    </xf>
    <xf numFmtId="38" fontId="119" fillId="0" borderId="70" xfId="451" applyNumberFormat="1" applyFont="1" applyFill="1" applyBorder="1" applyAlignment="1">
      <alignment horizontal="center" vertical="center" shrinkToFit="1"/>
    </xf>
    <xf numFmtId="0" fontId="9" fillId="0" borderId="24" xfId="460" applyNumberFormat="1" applyFont="1" applyFill="1" applyBorder="1" applyAlignment="1">
      <alignment horizontal="center" vertical="center"/>
    </xf>
    <xf numFmtId="0" fontId="9" fillId="0" borderId="70" xfId="460" applyNumberFormat="1" applyFont="1" applyFill="1" applyBorder="1" applyAlignment="1">
      <alignment horizontal="center" vertical="center"/>
    </xf>
    <xf numFmtId="38" fontId="119" fillId="63" borderId="24" xfId="451" applyNumberFormat="1" applyFont="1" applyFill="1" applyBorder="1" applyAlignment="1">
      <alignment horizontal="center" vertical="center" shrinkToFit="1"/>
    </xf>
    <xf numFmtId="38" fontId="119" fillId="63" borderId="70" xfId="451" applyNumberFormat="1" applyFont="1" applyFill="1" applyBorder="1" applyAlignment="1">
      <alignment horizontal="center" vertical="center" shrinkToFit="1"/>
    </xf>
    <xf numFmtId="38" fontId="119" fillId="64" borderId="24" xfId="451" applyNumberFormat="1" applyFont="1" applyFill="1" applyBorder="1" applyAlignment="1">
      <alignment horizontal="center" vertical="center" shrinkToFit="1"/>
    </xf>
    <xf numFmtId="38" fontId="119" fillId="64" borderId="70" xfId="451" applyNumberFormat="1" applyFont="1" applyFill="1" applyBorder="1" applyAlignment="1">
      <alignment horizontal="center" vertical="center" shrinkToFit="1"/>
    </xf>
    <xf numFmtId="0" fontId="118" fillId="41" borderId="24" xfId="460" applyNumberFormat="1" applyFont="1" applyFill="1" applyBorder="1" applyAlignment="1">
      <alignment horizontal="center" vertical="center"/>
    </xf>
    <xf numFmtId="0" fontId="118" fillId="41" borderId="70" xfId="460" applyNumberFormat="1" applyFont="1" applyFill="1" applyBorder="1" applyAlignment="1">
      <alignment horizontal="center" vertical="center"/>
    </xf>
    <xf numFmtId="0" fontId="9" fillId="0" borderId="37" xfId="460" applyNumberFormat="1" applyFont="1" applyFill="1" applyBorder="1" applyAlignment="1">
      <alignment horizontal="center" vertical="center" shrinkToFit="1"/>
    </xf>
    <xf numFmtId="0" fontId="9" fillId="0" borderId="26" xfId="460" applyNumberFormat="1" applyFont="1" applyFill="1" applyBorder="1" applyAlignment="1">
      <alignment horizontal="center" vertical="center" shrinkToFit="1"/>
    </xf>
    <xf numFmtId="0" fontId="297" fillId="61" borderId="0" xfId="462" applyNumberFormat="1" applyFont="1" applyFill="1" applyAlignment="1">
      <alignment vertical="center"/>
    </xf>
    <xf numFmtId="0" fontId="297" fillId="61" borderId="0" xfId="455" applyFont="1" applyFill="1" applyBorder="1" applyAlignment="1">
      <alignment horizontal="center" vertical="center"/>
    </xf>
    <xf numFmtId="0" fontId="297" fillId="81" borderId="47" xfId="462" applyNumberFormat="1" applyFont="1" applyFill="1" applyBorder="1" applyAlignment="1">
      <alignment horizontal="center" vertical="center" wrapText="1"/>
    </xf>
    <xf numFmtId="0" fontId="297" fillId="81" borderId="50" xfId="462" applyNumberFormat="1" applyFont="1" applyFill="1" applyBorder="1" applyAlignment="1">
      <alignment horizontal="center" vertical="center" wrapText="1"/>
    </xf>
    <xf numFmtId="0" fontId="297" fillId="81" borderId="44" xfId="458" applyFont="1" applyFill="1" applyBorder="1" applyAlignment="1">
      <alignment horizontal="center" vertical="center"/>
    </xf>
    <xf numFmtId="198" fontId="297" fillId="81" borderId="47" xfId="462" applyNumberFormat="1" applyFont="1" applyFill="1" applyBorder="1" applyAlignment="1">
      <alignment vertical="center"/>
    </xf>
    <xf numFmtId="186" fontId="297" fillId="81" borderId="47" xfId="462" applyNumberFormat="1" applyFont="1" applyFill="1" applyBorder="1" applyAlignment="1">
      <alignment vertical="center"/>
    </xf>
    <xf numFmtId="186" fontId="297" fillId="81" borderId="47" xfId="462" applyNumberFormat="1" applyFont="1" applyFill="1" applyBorder="1" applyAlignment="1">
      <alignment horizontal="right" vertical="center"/>
    </xf>
    <xf numFmtId="197" fontId="297" fillId="81" borderId="47" xfId="462" applyNumberFormat="1" applyFont="1" applyFill="1" applyBorder="1" applyAlignment="1">
      <alignment vertical="center"/>
    </xf>
    <xf numFmtId="49" fontId="298" fillId="81" borderId="47" xfId="462" applyNumberFormat="1" applyFont="1" applyFill="1" applyBorder="1" applyAlignment="1">
      <alignment horizontal="center" vertical="center"/>
    </xf>
    <xf numFmtId="0" fontId="297" fillId="81" borderId="37" xfId="462" applyNumberFormat="1" applyFont="1" applyFill="1" applyBorder="1" applyAlignment="1">
      <alignment horizontal="center" vertical="center" shrinkToFit="1"/>
    </xf>
    <xf numFmtId="0" fontId="297" fillId="81" borderId="26" xfId="462" applyNumberFormat="1" applyFont="1" applyFill="1" applyBorder="1" applyAlignment="1">
      <alignment horizontal="center" vertical="center" shrinkToFit="1"/>
    </xf>
    <xf numFmtId="0" fontId="297" fillId="81" borderId="75" xfId="462" applyNumberFormat="1" applyFont="1" applyFill="1" applyBorder="1" applyAlignment="1">
      <alignment horizontal="center" vertical="center" wrapText="1"/>
    </xf>
    <xf numFmtId="0" fontId="297" fillId="81" borderId="62" xfId="462" applyFont="1" applyFill="1" applyBorder="1" applyAlignment="1">
      <alignment horizontal="center" vertical="center" shrinkToFit="1"/>
    </xf>
    <xf numFmtId="198" fontId="297" fillId="81" borderId="75" xfId="462" applyNumberFormat="1" applyFont="1" applyFill="1" applyBorder="1" applyAlignment="1">
      <alignment vertical="center"/>
    </xf>
    <xf numFmtId="186" fontId="297" fillId="81" borderId="75" xfId="462" applyNumberFormat="1" applyFont="1" applyFill="1" applyBorder="1" applyAlignment="1">
      <alignment vertical="center"/>
    </xf>
    <xf numFmtId="186" fontId="297" fillId="81" borderId="62" xfId="462" applyNumberFormat="1" applyFont="1" applyFill="1" applyBorder="1" applyAlignment="1">
      <alignment vertical="center"/>
    </xf>
    <xf numFmtId="186" fontId="297" fillId="81" borderId="75" xfId="462" applyNumberFormat="1" applyFont="1" applyFill="1" applyBorder="1" applyAlignment="1">
      <alignment horizontal="right" vertical="center"/>
    </xf>
    <xf numFmtId="197" fontId="297" fillId="81" borderId="75" xfId="462" applyNumberFormat="1" applyFont="1" applyFill="1" applyBorder="1" applyAlignment="1">
      <alignment vertical="center"/>
    </xf>
    <xf numFmtId="199" fontId="298" fillId="81" borderId="75" xfId="462" applyNumberFormat="1" applyFont="1" applyFill="1" applyBorder="1" applyAlignment="1">
      <alignment horizontal="center" vertical="center"/>
    </xf>
    <xf numFmtId="0" fontId="297" fillId="81" borderId="240" xfId="462" applyNumberFormat="1" applyFont="1" applyFill="1" applyBorder="1" applyAlignment="1">
      <alignment horizontal="center" vertical="center" shrinkToFit="1"/>
    </xf>
    <xf numFmtId="0" fontId="297" fillId="81" borderId="100" xfId="462" applyNumberFormat="1" applyFont="1" applyFill="1" applyBorder="1" applyAlignment="1">
      <alignment horizontal="center" vertical="center" shrinkToFit="1"/>
    </xf>
    <xf numFmtId="0" fontId="113" fillId="0" borderId="45" xfId="0" applyNumberFormat="1" applyFont="1" applyBorder="1" applyAlignment="1">
      <alignment horizontal="center" vertical="center"/>
    </xf>
    <xf numFmtId="0" fontId="113" fillId="0" borderId="45" xfId="0" applyNumberFormat="1" applyFont="1" applyBorder="1" applyAlignment="1">
      <alignment vertical="center"/>
    </xf>
    <xf numFmtId="0" fontId="9" fillId="0" borderId="0" xfId="0" applyNumberFormat="1" applyFont="1" applyFill="1" applyBorder="1" applyAlignment="1">
      <alignment vertical="center"/>
    </xf>
    <xf numFmtId="194" fontId="9" fillId="0" borderId="0" xfId="455" applyNumberFormat="1" applyFont="1" applyFill="1" applyBorder="1" applyAlignment="1">
      <alignment horizontal="center" vertical="center"/>
    </xf>
    <xf numFmtId="201" fontId="9" fillId="0" borderId="0" xfId="458" applyNumberFormat="1" applyFont="1" applyFill="1" applyBorder="1" applyAlignment="1">
      <alignment horizontal="center" vertical="center"/>
    </xf>
    <xf numFmtId="0" fontId="296" fillId="61" borderId="119" xfId="0" applyFont="1" applyFill="1" applyBorder="1">
      <alignment vertical="center"/>
    </xf>
    <xf numFmtId="0" fontId="297" fillId="80" borderId="13" xfId="0" applyNumberFormat="1" applyFont="1" applyFill="1" applyBorder="1" applyAlignment="1">
      <alignment horizontal="center" vertical="center" shrinkToFit="1"/>
    </xf>
    <xf numFmtId="0" fontId="297" fillId="80" borderId="0" xfId="0" applyNumberFormat="1" applyFont="1" applyFill="1" applyBorder="1" applyAlignment="1">
      <alignment horizontal="center" vertical="center" shrinkToFit="1"/>
    </xf>
    <xf numFmtId="0" fontId="297" fillId="80" borderId="12" xfId="0" applyNumberFormat="1" applyFont="1" applyFill="1" applyBorder="1" applyAlignment="1">
      <alignment horizontal="center" vertical="center" shrinkToFit="1"/>
    </xf>
    <xf numFmtId="0" fontId="297" fillId="80" borderId="14" xfId="0" applyNumberFormat="1" applyFont="1" applyFill="1" applyBorder="1" applyAlignment="1">
      <alignment horizontal="center" vertical="center" shrinkToFit="1"/>
    </xf>
    <xf numFmtId="0" fontId="297" fillId="80" borderId="245" xfId="0" applyNumberFormat="1" applyFont="1" applyFill="1" applyBorder="1" applyAlignment="1">
      <alignment horizontal="center" vertical="center" shrinkToFit="1"/>
    </xf>
    <xf numFmtId="0" fontId="266" fillId="76" borderId="221" xfId="0" applyFont="1" applyFill="1" applyBorder="1" applyAlignment="1">
      <alignment horizontal="left" vertical="center" wrapText="1"/>
    </xf>
  </cellXfs>
  <cellStyles count="478">
    <cellStyle name="_xffff__x0005__xffff_" xfId="1"/>
    <cellStyle name="-" xfId="2"/>
    <cellStyle name=";;;" xfId="3"/>
    <cellStyle name="?_x0005_?" xfId="4"/>
    <cellStyle name="?? [0.00]_laroux" xfId="5"/>
    <cellStyle name="?? [0]_VERA" xfId="6"/>
    <cellStyle name="???" xfId="7"/>
    <cellStyle name="????" xfId="8"/>
    <cellStyle name="???? [0.00]_laroux" xfId="9"/>
    <cellStyle name="?????_VERA" xfId="10"/>
    <cellStyle name="????_laroux" xfId="11"/>
    <cellStyle name="???_事業計画書R1005（渋谷TKビル）121002" xfId="12"/>
    <cellStyle name="??_AP" xfId="13"/>
    <cellStyle name="?・a??e [0.00]_Book2" xfId="14"/>
    <cellStyle name="?・a??e_Book2]_" xfId="15"/>
    <cellStyle name="?…?a唇?e [0.00]_Book2" xfId="16"/>
    <cellStyle name="?…?a唇?e_Book2]_" xfId="17"/>
    <cellStyle name="?W?_?f??^ (2)\?" xfId="18"/>
    <cellStyle name="?W準_?f?o‘O‰n香EAL_B" xfId="19"/>
    <cellStyle name="_%(SignOnly)" xfId="20"/>
    <cellStyle name="_%(SignOnly)_ﾌﾞﾙｰﾏｰﾚ月島(試算)" xfId="21"/>
    <cellStyle name="_%(SignOnly)_事業計画書R1005（渋谷TKビル）121002" xfId="22"/>
    <cellStyle name="_%(SignOnly)_精算確認書（九段NI）130619_FINAL" xfId="23"/>
    <cellStyle name="_%(SignSpaceOnly)" xfId="24"/>
    <cellStyle name="_%(SignSpaceOnly)_ﾌﾞﾙｰﾏｰﾚ月島(試算)" xfId="25"/>
    <cellStyle name="_%(SignSpaceOnly)_事業計画書R1005（渋谷TKビル）121002" xfId="26"/>
    <cellStyle name="_%(SignSpaceOnly)_精算確認書（九段NI）130619_FINAL" xfId="27"/>
    <cellStyle name="_1表紙～ｺﾝｾﾌﾟﾄ" xfId="28"/>
    <cellStyle name="_1表紙～ｺﾝｾﾌﾟﾄ.xls グラフ 16" xfId="29"/>
    <cellStyle name="_1表紙～ｺﾝｾﾌﾟﾄ.xls グラフ 16_1" xfId="30"/>
    <cellStyle name="_1表紙～ｺﾝｾﾌﾟﾄ.xls グラフ 16_2" xfId="31"/>
    <cellStyle name="_1表紙～ｺﾝｾﾌﾟﾄ.xls グラフ 16_3" xfId="32"/>
    <cellStyle name="_1表紙～ｺﾝｾﾌﾟﾄ_1" xfId="33"/>
    <cellStyle name="_1表紙～ｺﾝｾﾌﾟﾄ_2" xfId="34"/>
    <cellStyle name="_1表紙～ｺﾝｾﾌﾟﾄ_3" xfId="35"/>
    <cellStyle name="_２管理提案（目次）" xfId="36"/>
    <cellStyle name="_２管理提案（目次）_1" xfId="37"/>
    <cellStyle name="_２管理提案（目次）_2" xfId="38"/>
    <cellStyle name="_２管理提案（目次）_3" xfId="39"/>
    <cellStyle name="_４管理提案（ｺﾝｾﾌﾟﾄ）" xfId="40"/>
    <cellStyle name="_４管理提案（ｺﾝｾﾌﾟﾄ）_1" xfId="41"/>
    <cellStyle name="_４管理提案（ｺﾝｾﾌﾟﾄ）_2" xfId="42"/>
    <cellStyle name="_４管理提案（ｺﾝｾﾌﾟﾄ）_3" xfId="43"/>
    <cellStyle name="_５管理提案（教育体制）" xfId="44"/>
    <cellStyle name="_５管理提案（教育体制）_1" xfId="45"/>
    <cellStyle name="_５管理提案（教育体制）_2" xfId="46"/>
    <cellStyle name="_５管理提案（教育体制）_3" xfId="47"/>
    <cellStyle name="_６管理提案（年間計画）" xfId="48"/>
    <cellStyle name="_６管理提案（年間計画）_1" xfId="49"/>
    <cellStyle name="_６管理提案（年間計画）_2" xfId="50"/>
    <cellStyle name="_６管理提案（年間計画）_3" xfId="51"/>
    <cellStyle name="_７管理提案（ﾊﾞｯｸｱｯﾌﾟ）" xfId="52"/>
    <cellStyle name="_７管理提案（ﾊﾞｯｸｱｯﾌﾟ）_1" xfId="53"/>
    <cellStyle name="_７管理提案（ﾊﾞｯｸｱｯﾌﾟ）_2" xfId="54"/>
    <cellStyle name="_７管理提案（ﾊﾞｯｸｱｯﾌﾟ）_3" xfId="55"/>
    <cellStyle name="_８管理提案（長期１）" xfId="56"/>
    <cellStyle name="_８管理提案（長期１）_1" xfId="57"/>
    <cellStyle name="_８管理提案（長期１）_2" xfId="58"/>
    <cellStyle name="_８管理提案（長期１）_3" xfId="59"/>
    <cellStyle name="_８管理提案(長期２)" xfId="60"/>
    <cellStyle name="_９管理提案（管理方式）" xfId="61"/>
    <cellStyle name="_９管理提案（管理方式）_1" xfId="62"/>
    <cellStyle name="_９管理提案（管理方式）_2" xfId="63"/>
    <cellStyle name="_９管理提案（管理方式）_3" xfId="64"/>
    <cellStyle name="_Comma" xfId="65"/>
    <cellStyle name="_Comma_30パレス経堂（テンプレート：9.18）" xfId="66"/>
    <cellStyle name="_Comma_30パレス経堂（テンプレート：9.18）_事業計画書R1005（渋谷TKビル）121002" xfId="67"/>
    <cellStyle name="_Comma_30パレス経堂（テンプレート：9.18）_精算確認書（九段NI）130619_FINAL" xfId="68"/>
    <cellStyle name="_Comma_30パレス経堂（テンプレート：9.18）_報告書【中岡ビル】 Ｈ23.12" xfId="69"/>
    <cellStyle name="_Comma_30パレス経堂（テンプレート：9.18）_報告書【中岡ビル】 Ｈ24 1" xfId="70"/>
    <cellStyle name="_Comma_ﾄｰﾒﾝ富山（試算)" xfId="71"/>
    <cellStyle name="_Comma_ﾌﾞﾙｰﾏｰﾚ月島(試算)" xfId="72"/>
    <cellStyle name="_Comma_三軒茶屋(試算)" xfId="73"/>
    <cellStyle name="_Comma_三軒茶屋(試算)_コピー ～ 鑑定書Excel版(本文)" xfId="74"/>
    <cellStyle name="_Comma_事業計画書R1005（渋谷TKビル）121002" xfId="75"/>
    <cellStyle name="_Comma_精算確認書（九段NI）130619_FINAL" xfId="76"/>
    <cellStyle name="_Comma_報告書【中岡ビル】 Ｈ24 1" xfId="77"/>
    <cellStyle name="_Comma_要町（試算)" xfId="78"/>
    <cellStyle name="_Currency" xfId="79"/>
    <cellStyle name="_Currency_30パレス経堂（テンプレート：9.18）" xfId="80"/>
    <cellStyle name="_Currency_ＲＤＬα シュミレーション" xfId="81"/>
    <cellStyle name="_Currency_Rent roll 6  31" xfId="82"/>
    <cellStyle name="_Currency_USC　CF" xfId="83"/>
    <cellStyle name="_Currency_ﾄｰﾒﾝ富山（試算)" xfId="84"/>
    <cellStyle name="_Currency_ﾌﾞﾙｰﾏｰﾚ月島(試算)" xfId="85"/>
    <cellStyle name="_Currency_三軒茶屋(試算)" xfId="86"/>
    <cellStyle name="_Currency_事業計画書R1005（渋谷TKビル）121002" xfId="87"/>
    <cellStyle name="_Currency_精算確認書（九段NI）130619_FINAL" xfId="88"/>
    <cellStyle name="_Currency_要町（試算)" xfId="89"/>
    <cellStyle name="_CurrencySpace" xfId="90"/>
    <cellStyle name="_CurrencySpace_30パレス経堂（テンプレート：9.18）" xfId="91"/>
    <cellStyle name="_CurrencySpace_ﾄｰﾒﾝ富山（試算)" xfId="92"/>
    <cellStyle name="_CurrencySpace_ﾌﾞﾙｰﾏｰﾚ月島(試算)" xfId="93"/>
    <cellStyle name="_CurrencySpace_三軒茶屋(試算)" xfId="94"/>
    <cellStyle name="_CurrencySpace_事業計画書R1005（渋谷TKビル）121002" xfId="95"/>
    <cellStyle name="_CurrencySpace_精算確認書（九段NI）130619_FINAL" xfId="96"/>
    <cellStyle name="_CurrencySpace_要町（試算)" xfId="97"/>
    <cellStyle name="_Euro" xfId="98"/>
    <cellStyle name="_Euro_0705BM報告書(USC)" xfId="99"/>
    <cellStyle name="_Euro_0705BM報告書(USC)_事業計画書R1005（渋谷TKビル）121002" xfId="100"/>
    <cellStyle name="_Euro_0705BM報告書(USC)_精算確認書（九段NI）130619_FINAL" xfId="101"/>
    <cellStyle name="_Euro_0705BM報告書(USC)_報告書【中岡ビル】 Ｈ23.12" xfId="102"/>
    <cellStyle name="_Euro_0705BM報告書(USC)_報告書【中岡ビル】 Ｈ24 1" xfId="103"/>
    <cellStyle name="_Euro_0706BM報告書(USC) (version 1)" xfId="104"/>
    <cellStyle name="_Euro_070715PMReport【LBビル6月度報告書】" xfId="105"/>
    <cellStyle name="_Euro_0707BM報告書(USC)" xfId="106"/>
    <cellStyle name="_Euro_0801BM報告書(USC) (version 1)" xfId="107"/>
    <cellStyle name="_Euro_0802BM報告書(USC)" xfId="108"/>
    <cellStyle name="_Euro_0803BM報告書(USC)" xfId="109"/>
    <cellStyle name="_Euro_0804BM報告書(USC)" xfId="110"/>
    <cellStyle name="_Euro_0806BM報告書(USC)" xfId="111"/>
    <cellStyle name="_Euro_0807BM報告書(USC)" xfId="112"/>
    <cellStyle name="_Euro_0808BM報告書(USC)" xfId="113"/>
    <cellStyle name="_Euro_ＲＤＬα シュミレーション" xfId="114"/>
    <cellStyle name="_Euro_ﾌﾞﾙｰﾏｰﾚ月島(試算)" xfId="115"/>
    <cellStyle name="_Euro_事業計画書【ＵＳＣビル】2007.1.31～2007.12.31finalⅡ修正070718" xfId="116"/>
    <cellStyle name="_Euro_事業計画書【ＵＳＣビル】2007.1.31～2007.12.31finalⅡ修正070718_080810PMReport【USCビル】7月度_ final-2" xfId="117"/>
    <cellStyle name="_Euro_事業計画書R1005（渋谷TKビル）121002" xfId="118"/>
    <cellStyle name="_Euro_精算確認書（九段NI）130619_FINAL" xfId="119"/>
    <cellStyle name="_Heading" xfId="120"/>
    <cellStyle name="_Highlight" xfId="121"/>
    <cellStyle name="_kanri" xfId="122"/>
    <cellStyle name="_kanri_1" xfId="123"/>
    <cellStyle name="_kanri_2" xfId="124"/>
    <cellStyle name="_kanri_3" xfId="125"/>
    <cellStyle name="_Multiple" xfId="126"/>
    <cellStyle name="_Multiple_30パレス経堂（テンプレート：9.18）" xfId="127"/>
    <cellStyle name="_Multiple_30パレス経堂（テンプレート：9.18）_報告書【中岡ビル】 Ｈ23.12" xfId="128"/>
    <cellStyle name="_Multiple_30パレス経堂（テンプレート：9.18）_報告書【中岡ビル】 Ｈ24 1" xfId="129"/>
    <cellStyle name="_Multiple_ﾄｰﾒﾝ富山（試算)" xfId="130"/>
    <cellStyle name="_Multiple_ﾌﾞﾙｰﾏｰﾚ月島(試算)" xfId="131"/>
    <cellStyle name="_Multiple_三軒茶屋(試算)" xfId="132"/>
    <cellStyle name="_Multiple_三軒茶屋(試算)_コピー ～ 鑑定書Excel版(本文)" xfId="133"/>
    <cellStyle name="_Multiple_事業計画書R1005（渋谷TKビル）121002" xfId="134"/>
    <cellStyle name="_Multiple_精算確認書（九段NI）130619_FINAL" xfId="135"/>
    <cellStyle name="_Multiple_報告書【中岡ビル】 Ｈ23.12" xfId="136"/>
    <cellStyle name="_Multiple_要町（試算)" xfId="137"/>
    <cellStyle name="_MultipleSpace" xfId="138"/>
    <cellStyle name="_MultipleSpace_30パレス経堂（テンプレート：9.18）" xfId="139"/>
    <cellStyle name="_MultipleSpace_30パレス経堂（テンプレート：9.18）_事業計画書R1005（渋谷TKビル）121002" xfId="140"/>
    <cellStyle name="_MultipleSpace_30パレス経堂（テンプレート：9.18）_精算確認書（九段NI）130619_FINAL" xfId="141"/>
    <cellStyle name="_MultipleSpace_30パレス経堂（テンプレート：9.18）_報告書【中岡ビル】 Ｈ23.12" xfId="142"/>
    <cellStyle name="_MultipleSpace_30パレス経堂（テンプレート：9.18）_報告書【中岡ビル】 Ｈ24 1" xfId="143"/>
    <cellStyle name="_MultipleSpace_ﾄｰﾒﾝ富山（試算)" xfId="144"/>
    <cellStyle name="_MultipleSpace_ﾌﾞﾙｰﾏｰﾚ月島(試算)" xfId="145"/>
    <cellStyle name="_MultipleSpace_三軒茶屋(試算)" xfId="146"/>
    <cellStyle name="_MultipleSpace_三軒茶屋(試算)_コピー ～ 鑑定書Excel版(本文)" xfId="147"/>
    <cellStyle name="_MultipleSpace_事業計画書R1005（渋谷TKビル）121002" xfId="148"/>
    <cellStyle name="_MultipleSpace_精算確認書（九段NI）130619_FINAL" xfId="149"/>
    <cellStyle name="_MultipleSpace_要町（試算)" xfId="150"/>
    <cellStyle name="_Percent" xfId="151"/>
    <cellStyle name="_Percent_ＲＤＬα シュミレーション" xfId="152"/>
    <cellStyle name="_Percent_USC　CF" xfId="153"/>
    <cellStyle name="_Percent_事業計画書R1005（渋谷TKビル）121002" xfId="154"/>
    <cellStyle name="_Percent_精算確認書（九段NI）130619_FINAL" xfId="155"/>
    <cellStyle name="_PercentSpace" xfId="156"/>
    <cellStyle name="_PercentSpace_ＲＤＬα シュミレーション" xfId="157"/>
    <cellStyle name="_PercentSpace_USC　CF" xfId="158"/>
    <cellStyle name="_PercentSpace_事業計画書R1005（渋谷TKビル）121002" xfId="159"/>
    <cellStyle name="_PercentSpace_精算確認書（九段NI）130619_FINAL" xfId="160"/>
    <cellStyle name="_PercentSpace_報告書【中岡ビル】 Ｈ24 1" xfId="161"/>
    <cellStyle name="_SubHeading" xfId="162"/>
    <cellStyle name="_Table" xfId="163"/>
    <cellStyle name="_TableHead" xfId="164"/>
    <cellStyle name="_TableRowHead" xfId="165"/>
    <cellStyle name="_TableSuperHead" xfId="166"/>
    <cellStyle name="_リニューアル工事.xls グラフ 175" xfId="167"/>
    <cellStyle name="_リニューアル工事.xls グラフ 175_1" xfId="168"/>
    <cellStyle name="_リニューアル工事.xls グラフ 175_2" xfId="169"/>
    <cellStyle name="_リニューアル工事.xls グラフ 175_3" xfId="170"/>
    <cellStyle name="_リニューアル工事.xls グラフ 176" xfId="171"/>
    <cellStyle name="_リニューアル工事.xls グラフ 176_1" xfId="172"/>
    <cellStyle name="_リニューアル工事.xls グラフ 176_2" xfId="173"/>
    <cellStyle name="_リニューアル工事.xls グラフ 176_3" xfId="174"/>
    <cellStyle name="_リニューアル工事.xls グラフ 3" xfId="175"/>
    <cellStyle name="_リニューアル工事.xls グラフ 3_1" xfId="176"/>
    <cellStyle name="_リニューアル工事.xls グラフ 3_2" xfId="177"/>
    <cellStyle name="_リニューアル工事.xls グラフ 3_3" xfId="178"/>
    <cellStyle name="_リニューアル工事.xls グラフ 4" xfId="179"/>
    <cellStyle name="_リニューアル工事.xls グラフ 4_1" xfId="180"/>
    <cellStyle name="_リニューアル工事.xls グラフ 4_2" xfId="181"/>
    <cellStyle name="_リニューアル工事.xls グラフ 4_3" xfId="182"/>
    <cellStyle name="_管理提案（本   文）" xfId="183"/>
    <cellStyle name="_管理提案（本   文）_1" xfId="184"/>
    <cellStyle name="_管理提案（本   文）_2" xfId="185"/>
    <cellStyle name="_管理提案（本   文）_3" xfId="186"/>
    <cellStyle name="_管理提案（本   文）－２" xfId="187"/>
    <cellStyle name="_管理提案（本   文）－２_1" xfId="188"/>
    <cellStyle name="_管理提案（本   文）－２_2" xfId="189"/>
    <cellStyle name="_管理提案（本   文）－２_3" xfId="190"/>
    <cellStyle name="_管理提案（目　次）２" xfId="191"/>
    <cellStyle name="_管理提案（目　次）２_1" xfId="192"/>
    <cellStyle name="_管理提案（目　次）２_2" xfId="193"/>
    <cellStyle name="_管理提案（目　次）２_3" xfId="194"/>
    <cellStyle name="_管理提案書A3.xls グラフ 4" xfId="195"/>
    <cellStyle name="_管理提案書A3.xls グラフ 4_1" xfId="196"/>
    <cellStyle name="_管理提案書A3.xls グラフ 4_2" xfId="197"/>
    <cellStyle name="_管理提案書A3.xls グラフ 4_3" xfId="198"/>
    <cellStyle name="_管理提案書A3.xls グラフ 5" xfId="199"/>
    <cellStyle name="_管理提案書A3.xls グラフ 5_1" xfId="200"/>
    <cellStyle name="_管理提案書A3.xls グラフ 5_2" xfId="201"/>
    <cellStyle name="_管理提案書A3.xls グラフ 5_3" xfId="202"/>
    <cellStyle name="_管理提案書A3.xls グラフ 9" xfId="203"/>
    <cellStyle name="_管理提案書A3.xls グラフ 9_1" xfId="204"/>
    <cellStyle name="_管理提案書A3.xls グラフ 9_2" xfId="205"/>
    <cellStyle name="_管理提案書A3.xls グラフ 9_3" xfId="206"/>
    <cellStyle name="_室町ＮＳビル総合管理提案２" xfId="207"/>
    <cellStyle name="_室町ＮＳビル総合管理提案２.xls グラフ 3" xfId="208"/>
    <cellStyle name="_室町ＮＳビル総合管理提案２.xls グラフ 3_1" xfId="209"/>
    <cellStyle name="_室町ＮＳビル総合管理提案２.xls グラフ 3_2" xfId="210"/>
    <cellStyle name="_室町ＮＳビル総合管理提案２.xls グラフ 3_3" xfId="211"/>
    <cellStyle name="_室町ＮＳビル総合管理提案２.xls グラフ 4" xfId="212"/>
    <cellStyle name="_室町ＮＳビル総合管理提案２.xls グラフ 4_1" xfId="213"/>
    <cellStyle name="_室町ＮＳビル総合管理提案２.xls グラフ 4_2" xfId="214"/>
    <cellStyle name="_室町ＮＳビル総合管理提案２.xls グラフ 4_3" xfId="215"/>
    <cellStyle name="_室町ＮＳビル総合管理提案２.xls グラフ 8" xfId="216"/>
    <cellStyle name="_室町ＮＳビル総合管理提案２.xls グラフ 8_1" xfId="217"/>
    <cellStyle name="_室町ＮＳビル総合管理提案２.xls グラフ 8_2" xfId="218"/>
    <cellStyle name="_室町ＮＳビル総合管理提案２.xls グラフ 8_3" xfId="219"/>
    <cellStyle name="_室町ＮＳビル総合管理提案２_1" xfId="220"/>
    <cellStyle name="_室町ＮＳビル総合管理提案２_2" xfId="221"/>
    <cellStyle name="_室町ＮＳビル総合管理提案２_3" xfId="222"/>
    <cellStyle name="_提案書2-2" xfId="223"/>
    <cellStyle name="_提案書2-2_1" xfId="224"/>
    <cellStyle name="_提案書2-2_2" xfId="225"/>
    <cellStyle name="_提案書2-2_3" xfId="226"/>
    <cellStyle name="’E‰Y [0.00]_?f?o‘O‰n香ELpect" xfId="227"/>
    <cellStyle name="’E‰Y_?f?o‘O‰n香ESONAL" xfId="228"/>
    <cellStyle name="_x0001_·?_x0001_··?" xfId="229"/>
    <cellStyle name="_x0001_・｢_x0001_・・義" xfId="230"/>
    <cellStyle name="1Normal" xfId="231"/>
    <cellStyle name="20% - アクセント1" xfId="232"/>
    <cellStyle name="20% - アクセント2" xfId="233"/>
    <cellStyle name="20% - アクセント3" xfId="234"/>
    <cellStyle name="20% - アクセント4" xfId="235"/>
    <cellStyle name="20% - アクセント5" xfId="236"/>
    <cellStyle name="20% - アクセント6" xfId="237"/>
    <cellStyle name="40% - アクセント1" xfId="238"/>
    <cellStyle name="40% - アクセント2" xfId="239"/>
    <cellStyle name="40% - アクセント3" xfId="240"/>
    <cellStyle name="40% - アクセント4" xfId="241"/>
    <cellStyle name="40% - アクセント5" xfId="242"/>
    <cellStyle name="40% - アクセント6" xfId="243"/>
    <cellStyle name="6-0" xfId="244"/>
    <cellStyle name="60% - アクセント1" xfId="245"/>
    <cellStyle name="60% - アクセント2" xfId="246"/>
    <cellStyle name="60% - アクセント3" xfId="247"/>
    <cellStyle name="60% - アクセント4" xfId="248"/>
    <cellStyle name="60% - アクセント5" xfId="249"/>
    <cellStyle name="60% - アクセント6" xfId="250"/>
    <cellStyle name="6-0_事業計画書R1005（渋谷TKビル）121002" xfId="251"/>
    <cellStyle name="active" xfId="252"/>
    <cellStyle name="Border Heavy" xfId="253"/>
    <cellStyle name="Border Thin" xfId="254"/>
    <cellStyle name="Calc Currency (0)" xfId="255"/>
    <cellStyle name="Calc Currency (2)" xfId="256"/>
    <cellStyle name="Calc Percent (0)" xfId="257"/>
    <cellStyle name="Calc Percent (1)" xfId="258"/>
    <cellStyle name="Calc Percent (2)" xfId="259"/>
    <cellStyle name="Calc Units (0)" xfId="260"/>
    <cellStyle name="Calc Units (1)" xfId="261"/>
    <cellStyle name="Calc Units (2)" xfId="262"/>
    <cellStyle name="Comma  - Style1" xfId="263"/>
    <cellStyle name="Comma  - Style2" xfId="264"/>
    <cellStyle name="Comma  - Style3" xfId="265"/>
    <cellStyle name="Comma  - Style4" xfId="266"/>
    <cellStyle name="Comma  - Style5" xfId="267"/>
    <cellStyle name="Comma  - Style6" xfId="268"/>
    <cellStyle name="Comma  - Style7" xfId="269"/>
    <cellStyle name="Comma  - Style8" xfId="270"/>
    <cellStyle name="Comma (0)" xfId="271"/>
    <cellStyle name="Comma (1)" xfId="272"/>
    <cellStyle name="Comma [0]_$" xfId="273"/>
    <cellStyle name="Comma [00]" xfId="274"/>
    <cellStyle name="Comma [1]" xfId="275"/>
    <cellStyle name="Comma 0" xfId="276"/>
    <cellStyle name="Comma 2" xfId="277"/>
    <cellStyle name="Comma_$" xfId="278"/>
    <cellStyle name="Comma0 - Modelo1" xfId="279"/>
    <cellStyle name="Comma0 - Style1" xfId="280"/>
    <cellStyle name="Comma1 - Modelo2" xfId="281"/>
    <cellStyle name="Comma1 - Style2" xfId="282"/>
    <cellStyle name="Contracts" xfId="283"/>
    <cellStyle name="Currency (0)" xfId="284"/>
    <cellStyle name="Currency (1)" xfId="285"/>
    <cellStyle name="Currency [¥]" xfId="286"/>
    <cellStyle name="Currency [0]_$" xfId="287"/>
    <cellStyle name="Currency [00]" xfId="288"/>
    <cellStyle name="Currency [1]" xfId="289"/>
    <cellStyle name="Currency 0" xfId="290"/>
    <cellStyle name="Currency 2" xfId="291"/>
    <cellStyle name="Currency_$" xfId="292"/>
    <cellStyle name="Date" xfId="293"/>
    <cellStyle name="Date (m/d/y)" xfId="294"/>
    <cellStyle name="Date Aligned" xfId="295"/>
    <cellStyle name="Date Short" xfId="296"/>
    <cellStyle name="Date_USC　CF" xfId="297"/>
    <cellStyle name="dgw" xfId="298"/>
    <cellStyle name="Dollars" xfId="299"/>
    <cellStyle name="Dotted Line" xfId="300"/>
    <cellStyle name="Ebuils対外帳票" xfId="301"/>
    <cellStyle name="Enter Currency (0)" xfId="302"/>
    <cellStyle name="Enter Currency (2)" xfId="303"/>
    <cellStyle name="Enter Units (0)" xfId="304"/>
    <cellStyle name="Enter Units (1)" xfId="305"/>
    <cellStyle name="Enter Units (2)" xfId="306"/>
    <cellStyle name="entry" xfId="307"/>
    <cellStyle name="Euro" xfId="308"/>
    <cellStyle name="F2" xfId="309"/>
    <cellStyle name="F3" xfId="310"/>
    <cellStyle name="F4" xfId="311"/>
    <cellStyle name="F5" xfId="312"/>
    <cellStyle name="F6" xfId="313"/>
    <cellStyle name="F7" xfId="314"/>
    <cellStyle name="F8" xfId="315"/>
    <cellStyle name="Followed Hyperlink" xfId="316"/>
    <cellStyle name="Footnote" xfId="317"/>
    <cellStyle name="Grey" xfId="318"/>
    <cellStyle name="Hard Percent" xfId="319"/>
    <cellStyle name="Header" xfId="320"/>
    <cellStyle name="Header1" xfId="321"/>
    <cellStyle name="Header2" xfId="322"/>
    <cellStyle name="heading" xfId="323"/>
    <cellStyle name="Heading 2" xfId="324"/>
    <cellStyle name="Heading 3" xfId="325"/>
    <cellStyle name="Hyperlink" xfId="326"/>
    <cellStyle name="Inhaltsverzeichnispunke" xfId="327"/>
    <cellStyle name="Input [yellow]" xfId="328"/>
    <cellStyle name="Link Currency (0)" xfId="329"/>
    <cellStyle name="Link Currency (2)" xfId="330"/>
    <cellStyle name="Link Units (0)" xfId="331"/>
    <cellStyle name="Link Units (1)" xfId="332"/>
    <cellStyle name="Link Units (2)" xfId="333"/>
    <cellStyle name="MainData" xfId="334"/>
    <cellStyle name="MajorTotal" xfId="335"/>
    <cellStyle name="Milliers [0]_laroux" xfId="336"/>
    <cellStyle name="Milliers_laroux" xfId="337"/>
    <cellStyle name="Mon騁aire [0]_laroux" xfId="338"/>
    <cellStyle name="Mon騁aire_laroux" xfId="339"/>
    <cellStyle name="Multiple" xfId="340"/>
    <cellStyle name="Multiple [0]" xfId="341"/>
    <cellStyle name="Multiple [1]" xfId="342"/>
    <cellStyle name="Multiple_【USC】テナントリレーション・ＭＲ090925" xfId="343"/>
    <cellStyle name="NavStyleDefault" xfId="344"/>
    <cellStyle name="new" xfId="345"/>
    <cellStyle name="new change" xfId="346"/>
    <cellStyle name="new_ＲＤＬα シュミレーション" xfId="347"/>
    <cellStyle name="Normal - Style1" xfId="348"/>
    <cellStyle name="Normal_# 41-Market &amp;Trends" xfId="349"/>
    <cellStyle name="NormalOPrint_Module_E (2)" xfId="350"/>
    <cellStyle name="Page Heading Large" xfId="351"/>
    <cellStyle name="Page Heading Small" xfId="352"/>
    <cellStyle name="Page Number" xfId="353"/>
    <cellStyle name="Percent (1)" xfId="354"/>
    <cellStyle name="Percent (2)" xfId="355"/>
    <cellStyle name="Percent [0]" xfId="356"/>
    <cellStyle name="Percent [1]" xfId="357"/>
    <cellStyle name="Percent [2]" xfId="358"/>
    <cellStyle name="Percent Hard" xfId="359"/>
    <cellStyle name="Percent_laroux" xfId="360"/>
    <cellStyle name="PrePop Currency (0)" xfId="361"/>
    <cellStyle name="PrePop Currency (2)" xfId="362"/>
    <cellStyle name="PrePop Units (0)" xfId="363"/>
    <cellStyle name="PrePop Units (1)" xfId="364"/>
    <cellStyle name="PrePop Units (2)" xfId="365"/>
    <cellStyle name="price" xfId="366"/>
    <cellStyle name="revised" xfId="367"/>
    <cellStyle name="section" xfId="368"/>
    <cellStyle name="Shade" xfId="369"/>
    <cellStyle name="Shaded" xfId="370"/>
    <cellStyle name="SS Col Hdr" xfId="371"/>
    <cellStyle name="SS Dim 1 Blank" xfId="372"/>
    <cellStyle name="SS Dim 1 Title" xfId="373"/>
    <cellStyle name="SS Dim 1 Value" xfId="374"/>
    <cellStyle name="SS Dim 2 Blank" xfId="375"/>
    <cellStyle name="SS Dim 2 Title" xfId="376"/>
    <cellStyle name="SS Dim 2 Value" xfId="377"/>
    <cellStyle name="SS Dim 3 Blank" xfId="378"/>
    <cellStyle name="SS Dim 3 Title" xfId="379"/>
    <cellStyle name="SS Dim 3 Value" xfId="380"/>
    <cellStyle name="SS Dim 4 Blank" xfId="381"/>
    <cellStyle name="SS Dim 4 Title" xfId="382"/>
    <cellStyle name="SS Dim 4 Value" xfId="383"/>
    <cellStyle name="SS Dim 5 Blank" xfId="384"/>
    <cellStyle name="SS Dim 5 Title" xfId="385"/>
    <cellStyle name="SS Dim 5 Value" xfId="386"/>
    <cellStyle name="SS Other Measure" xfId="387"/>
    <cellStyle name="SS Sum Measure" xfId="388"/>
    <cellStyle name="SS Unbound Dim" xfId="389"/>
    <cellStyle name="SS WAvg Measure" xfId="390"/>
    <cellStyle name="subhead" xfId="391"/>
    <cellStyle name="SubTotal" xfId="392"/>
    <cellStyle name="t" xfId="393"/>
    <cellStyle name="Table Col Head" xfId="394"/>
    <cellStyle name="Table Head" xfId="395"/>
    <cellStyle name="Table Head Aligned" xfId="396"/>
    <cellStyle name="Table Head Blue" xfId="397"/>
    <cellStyle name="Table Head Green" xfId="398"/>
    <cellStyle name="Table Sub Head" xfId="399"/>
    <cellStyle name="Table Title" xfId="400"/>
    <cellStyle name="Table Units" xfId="401"/>
    <cellStyle name="Text Indent A" xfId="402"/>
    <cellStyle name="Text Indent B" xfId="403"/>
    <cellStyle name="Text Indent C" xfId="404"/>
    <cellStyle name="Times New Roman" xfId="405"/>
    <cellStyle name="Title" xfId="406"/>
    <cellStyle name="UB1" xfId="407"/>
    <cellStyle name="UB2" xfId="408"/>
    <cellStyle name="UnlockedCell" xfId="409"/>
    <cellStyle name="w12" xfId="410"/>
    <cellStyle name="Year" xfId="411"/>
    <cellStyle name="アクセント 1 - 20%" xfId="412"/>
    <cellStyle name="アクセント 1 - 40%" xfId="413"/>
    <cellStyle name="アクセント 1 - 60%" xfId="414"/>
    <cellStyle name="アクセント 2 - 20%" xfId="415"/>
    <cellStyle name="アクセント 2 - 40%" xfId="416"/>
    <cellStyle name="アクセント 2 - 60%" xfId="417"/>
    <cellStyle name="アクセント 3 - 20%" xfId="418"/>
    <cellStyle name="アクセント 3 - 40%" xfId="419"/>
    <cellStyle name="アクセント 3 - 60%" xfId="420"/>
    <cellStyle name="アクセント 4 - 20%" xfId="421"/>
    <cellStyle name="アクセント 4 - 40%" xfId="422"/>
    <cellStyle name="アクセント 4 - 60%" xfId="423"/>
    <cellStyle name="アクセント 5 - 20%" xfId="424"/>
    <cellStyle name="アクセント 5 - 40%" xfId="425"/>
    <cellStyle name="アクセント 5 - 60%" xfId="426"/>
    <cellStyle name="アクセント 6 - 20%" xfId="427"/>
    <cellStyle name="アクセント 6 - 40%" xfId="428"/>
    <cellStyle name="アクセント 6 - 60%" xfId="429"/>
    <cellStyle name="スタイル 1" xfId="430"/>
    <cellStyle name="スタイル 2" xfId="431"/>
    <cellStyle name="パーセント" xfId="432" builtinId="5"/>
    <cellStyle name="パーセント 2" xfId="433"/>
    <cellStyle name="パーセント 2 2" xfId="434"/>
    <cellStyle name="パーセント 3" xfId="477"/>
    <cellStyle name="ﾌｫﾝﾄだけ" xfId="435"/>
    <cellStyle name="一覧標準" xfId="436"/>
    <cellStyle name="下点線" xfId="437"/>
    <cellStyle name="強調 1" xfId="438"/>
    <cellStyle name="強調 2" xfId="439"/>
    <cellStyle name="強調 3" xfId="440"/>
    <cellStyle name="型番" xfId="441"/>
    <cellStyle name="桁区切り" xfId="442" builtinId="6"/>
    <cellStyle name="桁区切り 2" xfId="443"/>
    <cellStyle name="桁区切り 2 2" xfId="444"/>
    <cellStyle name="桁区切り_CI port east" xfId="445"/>
    <cellStyle name="合計" xfId="446"/>
    <cellStyle name="在庫" xfId="447"/>
    <cellStyle name="出金" xfId="448"/>
    <cellStyle name="脱浦 [0.00]_?f?o疫善?ELp" xfId="449"/>
    <cellStyle name="脱浦_?f?o疫善?ESO" xfId="450"/>
    <cellStyle name="通貨" xfId="451" builtinId="7"/>
    <cellStyle name="通貨 2" xfId="475"/>
    <cellStyle name="通貨 3" xfId="476"/>
    <cellStyle name="標準" xfId="0" builtinId="0"/>
    <cellStyle name="標準 2" xfId="452"/>
    <cellStyle name="標準 3" xfId="453"/>
    <cellStyle name="標準_Book111" xfId="454"/>
    <cellStyle name="標準_CF080428(道玄坂PJ)【確認申請図面】@43000※リファイナンス対応中" xfId="455"/>
    <cellStyle name="標準_Kanda Sunrex_yasusei port" xfId="456"/>
    <cellStyle name="標準_Kanda Sunrex_yasusei port_グレタ作成賃料表エンド_ＮＥＴ利回り_ＮＥＴ利回り" xfId="457"/>
    <cellStyle name="標準_RRT_GS_071020" xfId="458"/>
    <cellStyle name="標準_Sheet1" xfId="459"/>
    <cellStyle name="標準_事業計画書（浜松町RS）130803_RN4" xfId="460"/>
    <cellStyle name="標準_事業計画書R1005（九段ＮＩビル）13.06.21" xfId="461"/>
    <cellStyle name="標準_賃料表（道玄坂2丁目新築計画+fleg）190409" xfId="462"/>
    <cellStyle name="標準_物件概要書（アーバンハイム不動前）NEW" xfId="463"/>
    <cellStyle name="標準2" xfId="464"/>
    <cellStyle name="標準３" xfId="465"/>
    <cellStyle name="標準フォント" xfId="466"/>
    <cellStyle name="標準精算" xfId="467"/>
    <cellStyle name="標徨䄀䌀倀刀匀匀䨀　　⸀〰⥜尩⌠⌣尣⌭⌣弣㬠 彀㼠" xfId="468"/>
    <cellStyle name="表旨巧・・ハイパーリンク" xfId="469"/>
    <cellStyle name="不良" xfId="470"/>
    <cellStyle name="普通" xfId="471"/>
    <cellStyle name="未定義" xfId="472"/>
    <cellStyle name="良" xfId="473"/>
    <cellStyle name="禃宁垃㌠" xfId="474"/>
  </cellStyles>
  <dxfs count="62">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9933"/>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0.emf"/></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emf"/></Relationships>
</file>

<file path=xl/drawings/_rels/drawing8.x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jpeg"/></Relationships>
</file>

<file path=xl/drawings/_rels/drawing9.x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5.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1.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oneCellAnchor>
    <xdr:from>
      <xdr:col>19</xdr:col>
      <xdr:colOff>309561</xdr:colOff>
      <xdr:row>4</xdr:row>
      <xdr:rowOff>2562224</xdr:rowOff>
    </xdr:from>
    <xdr:ext cx="5214938" cy="8735725"/>
    <xdr:sp macro="" textlink="">
      <xdr:nvSpPr>
        <xdr:cNvPr id="4" name="テキスト ボックス 3">
          <a:extLst>
            <a:ext uri="{FF2B5EF4-FFF2-40B4-BE49-F238E27FC236}">
              <a16:creationId xmlns="" xmlns:a16="http://schemas.microsoft.com/office/drawing/2014/main" id="{00000000-0008-0000-0200-000004000000}"/>
            </a:ext>
          </a:extLst>
        </xdr:cNvPr>
        <xdr:cNvSpPr txBox="1"/>
      </xdr:nvSpPr>
      <xdr:spPr>
        <a:xfrm>
          <a:off x="15192374" y="4633912"/>
          <a:ext cx="5214938" cy="8735725"/>
        </a:xfrm>
        <a:prstGeom prst="rect">
          <a:avLst/>
        </a:prstGeom>
        <a:solidFill>
          <a:schemeClr val="accent2">
            <a:lumMod val="20000"/>
            <a:lumOff val="80000"/>
          </a:schemeClr>
        </a:solidFill>
        <a:ln>
          <a:solidFill>
            <a:schemeClr val="accent2"/>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nSpc>
              <a:spcPts val="3400"/>
            </a:lnSpc>
          </a:pPr>
          <a:r>
            <a:rPr kumimoji="1" lang="ja-JP" altLang="en-US" sz="2400" u="sng">
              <a:latin typeface="Meiryo UI" panose="020B0604030504040204" pitchFamily="50" charset="-128"/>
              <a:ea typeface="Meiryo UI" panose="020B0604030504040204" pitchFamily="50" charset="-128"/>
              <a:cs typeface="Meiryo UI" panose="020B0604030504040204" pitchFamily="50" charset="-128"/>
            </a:rPr>
            <a:t>＜作成の手引き＞</a:t>
          </a:r>
          <a:r>
            <a:rPr kumimoji="1" lang="en-US" altLang="ja-JP" sz="2400" u="sng">
              <a:latin typeface="Meiryo UI" panose="020B0604030504040204" pitchFamily="50" charset="-128"/>
              <a:ea typeface="Meiryo UI" panose="020B0604030504040204" pitchFamily="50" charset="-128"/>
              <a:cs typeface="Meiryo UI" panose="020B0604030504040204" pitchFamily="50" charset="-128"/>
            </a:rPr>
            <a:t>18.2.19</a:t>
          </a:r>
        </a:p>
        <a:p>
          <a:pPr>
            <a:lnSpc>
              <a:spcPts val="3400"/>
            </a:lnSpc>
          </a:pPr>
          <a:r>
            <a:rPr kumimoji="1" lang="ja-JP" altLang="en-US" sz="2400">
              <a:latin typeface="Meiryo UI" panose="020B0604030504040204" pitchFamily="50" charset="-128"/>
              <a:ea typeface="Meiryo UI" panose="020B0604030504040204" pitchFamily="50" charset="-128"/>
              <a:cs typeface="Meiryo UI" panose="020B0604030504040204" pitchFamily="50" charset="-128"/>
            </a:rPr>
            <a:t>①「基本情報」及び「事業計画書（事業決定時）」「事業計画書（現行）」からデータを引いています。</a:t>
          </a:r>
          <a:endParaRPr kumimoji="1" lang="en-US" altLang="ja-JP" sz="2400">
            <a:latin typeface="Meiryo UI" panose="020B0604030504040204" pitchFamily="50" charset="-128"/>
            <a:ea typeface="Meiryo UI" panose="020B0604030504040204" pitchFamily="50" charset="-128"/>
            <a:cs typeface="Meiryo UI" panose="020B0604030504040204" pitchFamily="50" charset="-128"/>
          </a:endParaRPr>
        </a:p>
        <a:p>
          <a:pPr>
            <a:lnSpc>
              <a:spcPts val="3400"/>
            </a:lnSpc>
          </a:pPr>
          <a:r>
            <a:rPr kumimoji="1" lang="ja-JP" altLang="en-US" sz="2400">
              <a:latin typeface="Meiryo UI" panose="020B0604030504040204" pitchFamily="50" charset="-128"/>
              <a:ea typeface="Meiryo UI" panose="020B0604030504040204" pitchFamily="50" charset="-128"/>
              <a:cs typeface="Meiryo UI" panose="020B0604030504040204" pitchFamily="50" charset="-128"/>
            </a:rPr>
            <a:t>②左上「第●号報告」を経営企画部に確認し入力してください。</a:t>
          </a:r>
          <a:endParaRPr kumimoji="1" lang="en-US" altLang="ja-JP" sz="2400">
            <a:latin typeface="Meiryo UI" panose="020B0604030504040204" pitchFamily="50" charset="-128"/>
            <a:ea typeface="Meiryo UI" panose="020B0604030504040204" pitchFamily="50" charset="-128"/>
            <a:cs typeface="Meiryo UI" panose="020B0604030504040204" pitchFamily="50" charset="-128"/>
          </a:endParaRPr>
        </a:p>
        <a:p>
          <a:pPr>
            <a:lnSpc>
              <a:spcPts val="3300"/>
            </a:lnSpc>
          </a:pPr>
          <a:r>
            <a:rPr kumimoji="1" lang="ja-JP" altLang="en-US" sz="2400">
              <a:latin typeface="Meiryo UI" panose="020B0604030504040204" pitchFamily="50" charset="-128"/>
              <a:ea typeface="Meiryo UI" panose="020B0604030504040204" pitchFamily="50" charset="-128"/>
              <a:cs typeface="Meiryo UI" panose="020B0604030504040204" pitchFamily="50" charset="-128"/>
            </a:rPr>
            <a:t>③「外観写真」「地図」を挿入してください。</a:t>
          </a:r>
          <a:endParaRPr kumimoji="1" lang="en-US" altLang="ja-JP" sz="2400">
            <a:latin typeface="Meiryo UI" panose="020B0604030504040204" pitchFamily="50" charset="-128"/>
            <a:ea typeface="Meiryo UI" panose="020B0604030504040204" pitchFamily="50" charset="-128"/>
            <a:cs typeface="Meiryo UI" panose="020B0604030504040204" pitchFamily="50" charset="-128"/>
          </a:endParaRPr>
        </a:p>
        <a:p>
          <a:pPr>
            <a:lnSpc>
              <a:spcPts val="3300"/>
            </a:lnSpc>
          </a:pPr>
          <a:r>
            <a:rPr kumimoji="1" lang="ja-JP" altLang="en-US" sz="2400">
              <a:latin typeface="Meiryo UI" panose="020B0604030504040204" pitchFamily="50" charset="-128"/>
              <a:ea typeface="Meiryo UI" panose="020B0604030504040204" pitchFamily="50" charset="-128"/>
              <a:cs typeface="Meiryo UI" panose="020B0604030504040204" pitchFamily="50" charset="-128"/>
            </a:rPr>
            <a:t>④</a:t>
          </a:r>
          <a:r>
            <a:rPr kumimoji="1" lang="ja-JP" altLang="en-US" sz="2400" b="1" u="sng">
              <a:solidFill>
                <a:srgbClr val="FF0000"/>
              </a:solidFill>
              <a:latin typeface="Meiryo UI" panose="020B0604030504040204" pitchFamily="50" charset="-128"/>
              <a:ea typeface="Meiryo UI" panose="020B0604030504040204" pitchFamily="50" charset="-128"/>
              <a:cs typeface="Meiryo UI" panose="020B0604030504040204" pitchFamily="50" charset="-128"/>
            </a:rPr>
            <a:t>入力後は必ず精査をお願いします</a:t>
          </a:r>
          <a:r>
            <a:rPr kumimoji="1" lang="ja-JP" altLang="en-US" sz="2400">
              <a:latin typeface="Meiryo UI" panose="020B0604030504040204" pitchFamily="50" charset="-128"/>
              <a:ea typeface="Meiryo UI" panose="020B0604030504040204" pitchFamily="50" charset="-128"/>
              <a:cs typeface="Meiryo UI" panose="020B0604030504040204" pitchFamily="50" charset="-128"/>
            </a:rPr>
            <a:t>。</a:t>
          </a:r>
          <a:endParaRPr kumimoji="1" lang="en-US" altLang="ja-JP" sz="2400">
            <a:latin typeface="Meiryo UI" panose="020B0604030504040204" pitchFamily="50" charset="-128"/>
            <a:ea typeface="Meiryo UI" panose="020B0604030504040204" pitchFamily="50" charset="-128"/>
            <a:cs typeface="Meiryo UI" panose="020B0604030504040204" pitchFamily="50" charset="-128"/>
          </a:endParaRPr>
        </a:p>
        <a:p>
          <a:pPr>
            <a:lnSpc>
              <a:spcPts val="3300"/>
            </a:lnSpc>
          </a:pPr>
          <a:r>
            <a:rPr kumimoji="1" lang="ja-JP" altLang="en-US" sz="2400">
              <a:latin typeface="Meiryo UI" panose="020B0604030504040204" pitchFamily="50" charset="-128"/>
              <a:ea typeface="Meiryo UI" panose="020B0604030504040204" pitchFamily="50" charset="-128"/>
              <a:cs typeface="Meiryo UI" panose="020B0604030504040204" pitchFamily="50" charset="-128"/>
            </a:rPr>
            <a:t>　事業計画書などと必ず整合するよう、</a:t>
          </a:r>
          <a:endParaRPr kumimoji="1" lang="en-US" altLang="ja-JP" sz="2400">
            <a:latin typeface="Meiryo UI" panose="020B0604030504040204" pitchFamily="50" charset="-128"/>
            <a:ea typeface="Meiryo UI" panose="020B0604030504040204" pitchFamily="50" charset="-128"/>
            <a:cs typeface="Meiryo UI" panose="020B0604030504040204" pitchFamily="50" charset="-128"/>
          </a:endParaRPr>
        </a:p>
        <a:p>
          <a:pPr>
            <a:lnSpc>
              <a:spcPts val="3300"/>
            </a:lnSpc>
          </a:pPr>
          <a:r>
            <a:rPr kumimoji="1" lang="ja-JP" altLang="en-US" sz="2400">
              <a:latin typeface="Meiryo UI" panose="020B0604030504040204" pitchFamily="50" charset="-128"/>
              <a:ea typeface="Meiryo UI" panose="020B0604030504040204" pitchFamily="50" charset="-128"/>
              <a:cs typeface="Meiryo UI" panose="020B0604030504040204" pitchFamily="50" charset="-128"/>
            </a:rPr>
            <a:t>　隅々まで確認してください。</a:t>
          </a:r>
          <a:endParaRPr kumimoji="1" lang="en-US" altLang="ja-JP" sz="2400">
            <a:latin typeface="Meiryo UI" panose="020B0604030504040204" pitchFamily="50" charset="-128"/>
            <a:ea typeface="Meiryo UI" panose="020B0604030504040204" pitchFamily="50" charset="-128"/>
            <a:cs typeface="Meiryo UI" panose="020B0604030504040204" pitchFamily="50" charset="-128"/>
          </a:endParaRPr>
        </a:p>
        <a:p>
          <a:pPr>
            <a:lnSpc>
              <a:spcPts val="3400"/>
            </a:lnSpc>
          </a:pPr>
          <a:r>
            <a:rPr kumimoji="1" lang="ja-JP" altLang="en-US" sz="2400">
              <a:latin typeface="Meiryo UI" panose="020B0604030504040204" pitchFamily="50" charset="-128"/>
              <a:ea typeface="Meiryo UI" panose="020B0604030504040204" pitchFamily="50" charset="-128"/>
              <a:cs typeface="Meiryo UI" panose="020B0604030504040204" pitchFamily="50" charset="-128"/>
            </a:rPr>
            <a:t>⑤報告者である担当部長の手元資料として、以下</a:t>
          </a:r>
          <a:r>
            <a:rPr kumimoji="1" lang="en-US" altLang="ja-JP" sz="2400">
              <a:latin typeface="Meiryo UI" panose="020B0604030504040204" pitchFamily="50" charset="-128"/>
              <a:ea typeface="Meiryo UI" panose="020B0604030504040204" pitchFamily="50" charset="-128"/>
              <a:cs typeface="Meiryo UI" panose="020B0604030504040204" pitchFamily="50" charset="-128"/>
            </a:rPr>
            <a:t>2</a:t>
          </a:r>
          <a:r>
            <a:rPr kumimoji="1" lang="ja-JP" altLang="en-US" sz="2400">
              <a:latin typeface="Meiryo UI" panose="020B0604030504040204" pitchFamily="50" charset="-128"/>
              <a:ea typeface="Meiryo UI" panose="020B0604030504040204" pitchFamily="50" charset="-128"/>
              <a:cs typeface="Meiryo UI" panose="020B0604030504040204" pitchFamily="50" charset="-128"/>
            </a:rPr>
            <a:t>点セット</a:t>
          </a:r>
          <a:endParaRPr kumimoji="1" lang="en-US" altLang="ja-JP" sz="2400">
            <a:latin typeface="Meiryo UI" panose="020B0604030504040204" pitchFamily="50" charset="-128"/>
            <a:ea typeface="Meiryo UI" panose="020B0604030504040204" pitchFamily="50" charset="-128"/>
            <a:cs typeface="Meiryo UI" panose="020B0604030504040204" pitchFamily="50" charset="-128"/>
          </a:endParaRPr>
        </a:p>
        <a:p>
          <a:pPr>
            <a:lnSpc>
              <a:spcPts val="3400"/>
            </a:lnSpc>
          </a:pPr>
          <a:r>
            <a:rPr kumimoji="1" lang="ja-JP" altLang="en-US" sz="2400">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2400" b="1">
              <a:solidFill>
                <a:srgbClr val="FF0000"/>
              </a:solidFill>
              <a:latin typeface="Meiryo UI" panose="020B0604030504040204" pitchFamily="50" charset="-128"/>
              <a:ea typeface="Meiryo UI" panose="020B0604030504040204" pitchFamily="50" charset="-128"/>
              <a:cs typeface="Meiryo UI" panose="020B0604030504040204" pitchFamily="50" charset="-128"/>
            </a:rPr>
            <a:t>・販売資料簡易版</a:t>
          </a:r>
          <a:endParaRPr kumimoji="1" lang="en-US" altLang="ja-JP" sz="2400" b="1">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a:p>
          <a:pPr>
            <a:lnSpc>
              <a:spcPts val="3400"/>
            </a:lnSpc>
          </a:pPr>
          <a:r>
            <a:rPr kumimoji="1" lang="ja-JP" altLang="en-US" sz="2400" b="1">
              <a:solidFill>
                <a:srgbClr val="FF0000"/>
              </a:solidFill>
              <a:latin typeface="Meiryo UI" panose="020B0604030504040204" pitchFamily="50" charset="-128"/>
              <a:ea typeface="Meiryo UI" panose="020B0604030504040204" pitchFamily="50" charset="-128"/>
              <a:cs typeface="Meiryo UI" panose="020B0604030504040204" pitchFamily="50" charset="-128"/>
            </a:rPr>
            <a:t>　・事業決定時事業計画書</a:t>
          </a:r>
          <a:r>
            <a:rPr kumimoji="1" lang="ja-JP" altLang="en-US" sz="2400">
              <a:latin typeface="Meiryo UI" panose="020B0604030504040204" pitchFamily="50" charset="-128"/>
              <a:ea typeface="Meiryo UI" panose="020B0604030504040204" pitchFamily="50" charset="-128"/>
              <a:cs typeface="Meiryo UI" panose="020B0604030504040204" pitchFamily="50" charset="-128"/>
            </a:rPr>
            <a:t>（稟議時から契約決済日・原価をアップデート、報告書と数字が一致するもの）</a:t>
          </a:r>
          <a:endParaRPr kumimoji="1" lang="en-US" altLang="ja-JP" sz="2400">
            <a:latin typeface="Meiryo UI" panose="020B0604030504040204" pitchFamily="50" charset="-128"/>
            <a:ea typeface="Meiryo UI" panose="020B0604030504040204" pitchFamily="50" charset="-128"/>
            <a:cs typeface="Meiryo UI" panose="020B0604030504040204" pitchFamily="50" charset="-128"/>
          </a:endParaRPr>
        </a:p>
        <a:p>
          <a:pPr>
            <a:lnSpc>
              <a:spcPts val="3400"/>
            </a:lnSpc>
          </a:pPr>
          <a:r>
            <a:rPr kumimoji="1" lang="ja-JP" altLang="en-US" sz="2400">
              <a:latin typeface="Meiryo UI" panose="020B0604030504040204" pitchFamily="50" charset="-128"/>
              <a:ea typeface="Meiryo UI" panose="020B0604030504040204" pitchFamily="50" charset="-128"/>
              <a:cs typeface="Meiryo UI" panose="020B0604030504040204" pitchFamily="50" charset="-128"/>
            </a:rPr>
            <a:t>をデスクに提出してください。</a:t>
          </a:r>
          <a:endParaRPr kumimoji="1" lang="en-US" altLang="ja-JP" sz="2400">
            <a:latin typeface="Meiryo UI" panose="020B0604030504040204" pitchFamily="50" charset="-128"/>
            <a:ea typeface="Meiryo UI" panose="020B0604030504040204" pitchFamily="50" charset="-128"/>
            <a:cs typeface="Meiryo UI" panose="020B0604030504040204" pitchFamily="50" charset="-128"/>
          </a:endParaRPr>
        </a:p>
        <a:p>
          <a:pPr>
            <a:lnSpc>
              <a:spcPts val="3400"/>
            </a:lnSpc>
          </a:pPr>
          <a:endParaRPr kumimoji="1" lang="en-US" altLang="ja-JP" sz="2400">
            <a:latin typeface="Meiryo UI" panose="020B0604030504040204" pitchFamily="50" charset="-128"/>
            <a:ea typeface="Meiryo UI" panose="020B0604030504040204" pitchFamily="50" charset="-128"/>
            <a:cs typeface="Meiryo UI" panose="020B0604030504040204" pitchFamily="50" charset="-128"/>
          </a:endParaRPr>
        </a:p>
        <a:p>
          <a:pPr>
            <a:lnSpc>
              <a:spcPts val="3300"/>
            </a:lnSpc>
          </a:pPr>
          <a:r>
            <a:rPr kumimoji="1" lang="en-US" altLang="ja-JP" sz="24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2400">
              <a:latin typeface="Meiryo UI" panose="020B0604030504040204" pitchFamily="50" charset="-128"/>
              <a:ea typeface="Meiryo UI" panose="020B0604030504040204" pitchFamily="50" charset="-128"/>
              <a:cs typeface="Meiryo UI" panose="020B0604030504040204" pitchFamily="50" charset="-128"/>
            </a:rPr>
            <a:t>不明点があれば、必ず経営企画部に問い合わせてください。</a:t>
          </a:r>
          <a:endParaRPr kumimoji="1" lang="en-US" altLang="ja-JP" sz="24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3</xdr:col>
      <xdr:colOff>333374</xdr:colOff>
      <xdr:row>4</xdr:row>
      <xdr:rowOff>119061</xdr:rowOff>
    </xdr:from>
    <xdr:to>
      <xdr:col>10</xdr:col>
      <xdr:colOff>142874</xdr:colOff>
      <xdr:row>5</xdr:row>
      <xdr:rowOff>3700467</xdr:rowOff>
    </xdr:to>
    <xdr:sp macro="" textlink="">
      <xdr:nvSpPr>
        <xdr:cNvPr id="5" name="テキスト ボックス 4">
          <a:extLst>
            <a:ext uri="{FF2B5EF4-FFF2-40B4-BE49-F238E27FC236}">
              <a16:creationId xmlns="" xmlns:a16="http://schemas.microsoft.com/office/drawing/2014/main" id="{00000000-0008-0000-0200-000005000000}"/>
            </a:ext>
          </a:extLst>
        </xdr:cNvPr>
        <xdr:cNvSpPr txBox="1"/>
      </xdr:nvSpPr>
      <xdr:spPr>
        <a:xfrm>
          <a:off x="2276474" y="2214561"/>
          <a:ext cx="5476875" cy="7781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lnSpc>
              <a:spcPts val="5400"/>
            </a:lnSpc>
          </a:pPr>
          <a:r>
            <a:rPr kumimoji="1" lang="ja-JP" altLang="en-US" sz="4400" b="1"/>
            <a:t>外観写真</a:t>
          </a:r>
          <a:endParaRPr kumimoji="1" lang="en-US" altLang="ja-JP" sz="4400" b="1"/>
        </a:p>
        <a:p>
          <a:pPr algn="ctr">
            <a:lnSpc>
              <a:spcPts val="5300"/>
            </a:lnSpc>
          </a:pPr>
          <a:r>
            <a:rPr kumimoji="1" lang="ja-JP" altLang="en-US" sz="4400" b="1"/>
            <a:t>（右欄外参照）</a:t>
          </a:r>
          <a:endParaRPr kumimoji="1" lang="en-US" altLang="ja-JP" sz="4400" b="1"/>
        </a:p>
      </xdr:txBody>
    </xdr:sp>
    <xdr:clientData/>
  </xdr:twoCellAnchor>
  <xdr:twoCellAnchor>
    <xdr:from>
      <xdr:col>10</xdr:col>
      <xdr:colOff>414336</xdr:colOff>
      <xdr:row>4</xdr:row>
      <xdr:rowOff>128588</xdr:rowOff>
    </xdr:from>
    <xdr:to>
      <xdr:col>18</xdr:col>
      <xdr:colOff>523874</xdr:colOff>
      <xdr:row>5</xdr:row>
      <xdr:rowOff>3700463</xdr:rowOff>
    </xdr:to>
    <xdr:sp macro="" textlink="">
      <xdr:nvSpPr>
        <xdr:cNvPr id="6" name="テキスト ボックス 5">
          <a:extLst>
            <a:ext uri="{FF2B5EF4-FFF2-40B4-BE49-F238E27FC236}">
              <a16:creationId xmlns="" xmlns:a16="http://schemas.microsoft.com/office/drawing/2014/main" id="{00000000-0008-0000-0200-000006000000}"/>
            </a:ext>
          </a:extLst>
        </xdr:cNvPr>
        <xdr:cNvSpPr txBox="1"/>
      </xdr:nvSpPr>
      <xdr:spPr>
        <a:xfrm>
          <a:off x="8024811" y="2224088"/>
          <a:ext cx="6586538" cy="7781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lnSpc>
              <a:spcPts val="5300"/>
            </a:lnSpc>
          </a:pPr>
          <a:r>
            <a:rPr kumimoji="1" lang="ja-JP" altLang="en-US" sz="4400" b="1"/>
            <a:t>地図</a:t>
          </a:r>
          <a:endParaRPr kumimoji="1" lang="en-US" altLang="ja-JP" sz="4400" b="1"/>
        </a:p>
        <a:p>
          <a:pPr algn="ctr">
            <a:lnSpc>
              <a:spcPts val="5300"/>
            </a:lnSpc>
          </a:pPr>
          <a:r>
            <a:rPr kumimoji="1" lang="ja-JP" altLang="en-US" sz="4400" b="1"/>
            <a:t>（右欄外参照）</a:t>
          </a:r>
          <a:endParaRPr kumimoji="1" lang="en-US" altLang="ja-JP" sz="4400" b="1"/>
        </a:p>
      </xdr:txBody>
    </xdr:sp>
    <xdr:clientData/>
  </xdr:twoCellAnchor>
  <xdr:twoCellAnchor editAs="oneCell">
    <xdr:from>
      <xdr:col>26</xdr:col>
      <xdr:colOff>600075</xdr:colOff>
      <xdr:row>4</xdr:row>
      <xdr:rowOff>228600</xdr:rowOff>
    </xdr:from>
    <xdr:to>
      <xdr:col>34</xdr:col>
      <xdr:colOff>409575</xdr:colOff>
      <xdr:row>5</xdr:row>
      <xdr:rowOff>3762375</xdr:rowOff>
    </xdr:to>
    <xdr:pic>
      <xdr:nvPicPr>
        <xdr:cNvPr id="72815" name="図 6">
          <a:extLst>
            <a:ext uri="{FF2B5EF4-FFF2-40B4-BE49-F238E27FC236}">
              <a16:creationId xmlns="" xmlns:a16="http://schemas.microsoft.com/office/drawing/2014/main" id="{00000000-0008-0000-0200-00006F1C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40725" y="2324100"/>
          <a:ext cx="5419725" cy="77438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35</xdr:col>
      <xdr:colOff>190500</xdr:colOff>
      <xdr:row>4</xdr:row>
      <xdr:rowOff>228600</xdr:rowOff>
    </xdr:from>
    <xdr:to>
      <xdr:col>44</xdr:col>
      <xdr:colOff>561975</xdr:colOff>
      <xdr:row>5</xdr:row>
      <xdr:rowOff>3790950</xdr:rowOff>
    </xdr:to>
    <xdr:pic>
      <xdr:nvPicPr>
        <xdr:cNvPr id="72816" name="図 7">
          <a:extLst>
            <a:ext uri="{FF2B5EF4-FFF2-40B4-BE49-F238E27FC236}">
              <a16:creationId xmlns="" xmlns:a16="http://schemas.microsoft.com/office/drawing/2014/main" id="{00000000-0008-0000-0200-0000701C01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927175" y="2324100"/>
          <a:ext cx="6543675" cy="77724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865908</xdr:colOff>
      <xdr:row>19</xdr:row>
      <xdr:rowOff>190501</xdr:rowOff>
    </xdr:from>
    <xdr:to>
      <xdr:col>18</xdr:col>
      <xdr:colOff>1669676</xdr:colOff>
      <xdr:row>51</xdr:row>
      <xdr:rowOff>122465</xdr:rowOff>
    </xdr:to>
    <xdr:sp macro="" textlink="">
      <xdr:nvSpPr>
        <xdr:cNvPr id="2" name="Rectangle 7">
          <a:extLst>
            <a:ext uri="{FF2B5EF4-FFF2-40B4-BE49-F238E27FC236}">
              <a16:creationId xmlns="" xmlns:a16="http://schemas.microsoft.com/office/drawing/2014/main" id="{00000000-0008-0000-0C00-000002000000}"/>
            </a:ext>
          </a:extLst>
        </xdr:cNvPr>
        <xdr:cNvSpPr>
          <a:spLocks noChangeArrowheads="1"/>
        </xdr:cNvSpPr>
      </xdr:nvSpPr>
      <xdr:spPr bwMode="auto">
        <a:xfrm>
          <a:off x="11867283" y="6086476"/>
          <a:ext cx="8080868" cy="7247164"/>
        </a:xfrm>
        <a:prstGeom prst="rect">
          <a:avLst/>
        </a:prstGeom>
        <a:noFill/>
        <a:ln w="63500" cmpd="dbl">
          <a:solidFill>
            <a:srgbClr xmlns:mc="http://schemas.openxmlformats.org/markup-compatibility/2006" xmlns:a14="http://schemas.microsoft.com/office/drawing/2010/main" val="FF0000" mc:Ignorable="a14" a14:legacySpreadsheetColorIndex="10"/>
          </a:solidFill>
          <a:miter lim="800000"/>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19050</xdr:colOff>
      <xdr:row>39</xdr:row>
      <xdr:rowOff>114300</xdr:rowOff>
    </xdr:from>
    <xdr:to>
      <xdr:col>10</xdr:col>
      <xdr:colOff>638175</xdr:colOff>
      <xdr:row>44</xdr:row>
      <xdr:rowOff>76200</xdr:rowOff>
    </xdr:to>
    <xdr:grpSp>
      <xdr:nvGrpSpPr>
        <xdr:cNvPr id="67494" name="グループ化 15">
          <a:extLst>
            <a:ext uri="{FF2B5EF4-FFF2-40B4-BE49-F238E27FC236}">
              <a16:creationId xmlns="" xmlns:a16="http://schemas.microsoft.com/office/drawing/2014/main" id="{00000000-0008-0000-0D00-0000A6070100}"/>
            </a:ext>
          </a:extLst>
        </xdr:cNvPr>
        <xdr:cNvGrpSpPr>
          <a:grpSpLocks/>
        </xdr:cNvGrpSpPr>
      </xdr:nvGrpSpPr>
      <xdr:grpSpPr bwMode="auto">
        <a:xfrm>
          <a:off x="7839075" y="7372350"/>
          <a:ext cx="4505325" cy="819150"/>
          <a:chOff x="7581899" y="5010150"/>
          <a:chExt cx="5019676" cy="819150"/>
        </a:xfrm>
      </xdr:grpSpPr>
      <xdr:sp macro="" textlink="">
        <xdr:nvSpPr>
          <xdr:cNvPr id="67495" name="Rectangle 2">
            <a:extLst>
              <a:ext uri="{FF2B5EF4-FFF2-40B4-BE49-F238E27FC236}">
                <a16:creationId xmlns="" xmlns:a16="http://schemas.microsoft.com/office/drawing/2014/main" id="{00000000-0008-0000-0D00-0000A7070100}"/>
              </a:ext>
            </a:extLst>
          </xdr:cNvPr>
          <xdr:cNvSpPr>
            <a:spLocks noChangeArrowheads="1"/>
          </xdr:cNvSpPr>
        </xdr:nvSpPr>
        <xdr:spPr bwMode="auto">
          <a:xfrm>
            <a:off x="7581899" y="5010150"/>
            <a:ext cx="4381501" cy="809625"/>
          </a:xfrm>
          <a:prstGeom prst="rect">
            <a:avLst/>
          </a:prstGeom>
          <a:solidFill>
            <a:srgbClr xmlns:mc="http://schemas.openxmlformats.org/markup-compatibility/2006" xmlns:a14="http://schemas.microsoft.com/office/drawing/2010/main" val="FFFFFF" mc:Ignorable="a14" a14:legacySpreadsheetColorIndex="9"/>
          </a:solidFill>
          <a:ln w="1587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7496" name="Line 3">
            <a:extLst>
              <a:ext uri="{FF2B5EF4-FFF2-40B4-BE49-F238E27FC236}">
                <a16:creationId xmlns="" xmlns:a16="http://schemas.microsoft.com/office/drawing/2014/main" id="{00000000-0008-0000-0D00-0000A8070100}"/>
              </a:ext>
            </a:extLst>
          </xdr:cNvPr>
          <xdr:cNvSpPr>
            <a:spLocks noChangeShapeType="1"/>
          </xdr:cNvSpPr>
        </xdr:nvSpPr>
        <xdr:spPr bwMode="auto">
          <a:xfrm>
            <a:off x="7581900" y="5200650"/>
            <a:ext cx="43719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497" name="Line 4">
            <a:extLst>
              <a:ext uri="{FF2B5EF4-FFF2-40B4-BE49-F238E27FC236}">
                <a16:creationId xmlns="" xmlns:a16="http://schemas.microsoft.com/office/drawing/2014/main" id="{00000000-0008-0000-0D00-0000A9070100}"/>
              </a:ext>
            </a:extLst>
          </xdr:cNvPr>
          <xdr:cNvSpPr>
            <a:spLocks noChangeShapeType="1"/>
          </xdr:cNvSpPr>
        </xdr:nvSpPr>
        <xdr:spPr bwMode="auto">
          <a:xfrm>
            <a:off x="8315325" y="5019675"/>
            <a:ext cx="0" cy="800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498" name="Line 5">
            <a:extLst>
              <a:ext uri="{FF2B5EF4-FFF2-40B4-BE49-F238E27FC236}">
                <a16:creationId xmlns="" xmlns:a16="http://schemas.microsoft.com/office/drawing/2014/main" id="{00000000-0008-0000-0D00-0000AA070100}"/>
              </a:ext>
            </a:extLst>
          </xdr:cNvPr>
          <xdr:cNvSpPr>
            <a:spLocks noChangeShapeType="1"/>
          </xdr:cNvSpPr>
        </xdr:nvSpPr>
        <xdr:spPr bwMode="auto">
          <a:xfrm>
            <a:off x="9067800" y="5010150"/>
            <a:ext cx="0" cy="790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 name="Text Box 6">
            <a:extLst>
              <a:ext uri="{FF2B5EF4-FFF2-40B4-BE49-F238E27FC236}">
                <a16:creationId xmlns="" xmlns:a16="http://schemas.microsoft.com/office/drawing/2014/main" id="{00000000-0008-0000-0D00-000007000000}"/>
              </a:ext>
            </a:extLst>
          </xdr:cNvPr>
          <xdr:cNvSpPr txBox="1">
            <a:spLocks noChangeArrowheads="1"/>
          </xdr:cNvSpPr>
        </xdr:nvSpPr>
        <xdr:spPr bwMode="auto">
          <a:xfrm>
            <a:off x="8526405" y="5038725"/>
            <a:ext cx="795932" cy="4095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RP部長</a:t>
            </a:r>
          </a:p>
        </xdr:txBody>
      </xdr:sp>
      <xdr:sp macro="" textlink="">
        <xdr:nvSpPr>
          <xdr:cNvPr id="8" name="Text Box 7">
            <a:extLst>
              <a:ext uri="{FF2B5EF4-FFF2-40B4-BE49-F238E27FC236}">
                <a16:creationId xmlns="" xmlns:a16="http://schemas.microsoft.com/office/drawing/2014/main" id="{00000000-0008-0000-0D00-000008000000}"/>
              </a:ext>
            </a:extLst>
          </xdr:cNvPr>
          <xdr:cNvSpPr txBox="1">
            <a:spLocks noChangeArrowheads="1"/>
          </xdr:cNvSpPr>
        </xdr:nvSpPr>
        <xdr:spPr bwMode="auto">
          <a:xfrm>
            <a:off x="9216212" y="5038725"/>
            <a:ext cx="753482" cy="4095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建設部長</a:t>
            </a:r>
          </a:p>
        </xdr:txBody>
      </xdr:sp>
      <xdr:sp macro="" textlink="">
        <xdr:nvSpPr>
          <xdr:cNvPr id="9" name="Text Box 8">
            <a:extLst>
              <a:ext uri="{FF2B5EF4-FFF2-40B4-BE49-F238E27FC236}">
                <a16:creationId xmlns="" xmlns:a16="http://schemas.microsoft.com/office/drawing/2014/main" id="{00000000-0008-0000-0D00-000009000000}"/>
              </a:ext>
            </a:extLst>
          </xdr:cNvPr>
          <xdr:cNvSpPr txBox="1">
            <a:spLocks noChangeArrowheads="1"/>
          </xdr:cNvSpPr>
        </xdr:nvSpPr>
        <xdr:spPr bwMode="auto">
          <a:xfrm>
            <a:off x="7719860" y="5038725"/>
            <a:ext cx="594296" cy="4095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AM本部長</a:t>
            </a:r>
          </a:p>
        </xdr:txBody>
      </xdr:sp>
      <xdr:sp macro="" textlink="">
        <xdr:nvSpPr>
          <xdr:cNvPr id="67502" name="Line 9">
            <a:extLst>
              <a:ext uri="{FF2B5EF4-FFF2-40B4-BE49-F238E27FC236}">
                <a16:creationId xmlns="" xmlns:a16="http://schemas.microsoft.com/office/drawing/2014/main" id="{00000000-0008-0000-0D00-0000AE070100}"/>
              </a:ext>
            </a:extLst>
          </xdr:cNvPr>
          <xdr:cNvSpPr>
            <a:spLocks noChangeShapeType="1"/>
          </xdr:cNvSpPr>
        </xdr:nvSpPr>
        <xdr:spPr bwMode="auto">
          <a:xfrm flipH="1">
            <a:off x="9810750" y="5010150"/>
            <a:ext cx="0" cy="8096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 name="Text Box 10">
            <a:extLst>
              <a:ext uri="{FF2B5EF4-FFF2-40B4-BE49-F238E27FC236}">
                <a16:creationId xmlns="" xmlns:a16="http://schemas.microsoft.com/office/drawing/2014/main" id="{00000000-0008-0000-0D00-00000B000000}"/>
              </a:ext>
            </a:extLst>
          </xdr:cNvPr>
          <xdr:cNvSpPr txBox="1">
            <a:spLocks noChangeArrowheads="1"/>
          </xdr:cNvSpPr>
        </xdr:nvSpPr>
        <xdr:spPr bwMode="auto">
          <a:xfrm>
            <a:off x="11444821" y="5038725"/>
            <a:ext cx="1156754" cy="4095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PJ担当</a:t>
            </a:r>
          </a:p>
        </xdr:txBody>
      </xdr:sp>
      <xdr:sp macro="" textlink="">
        <xdr:nvSpPr>
          <xdr:cNvPr id="12" name="Text Box 7">
            <a:extLst>
              <a:ext uri="{FF2B5EF4-FFF2-40B4-BE49-F238E27FC236}">
                <a16:creationId xmlns="" xmlns:a16="http://schemas.microsoft.com/office/drawing/2014/main" id="{00000000-0008-0000-0D00-00000C000000}"/>
              </a:ext>
            </a:extLst>
          </xdr:cNvPr>
          <xdr:cNvSpPr txBox="1">
            <a:spLocks noChangeArrowheads="1"/>
          </xdr:cNvSpPr>
        </xdr:nvSpPr>
        <xdr:spPr bwMode="auto">
          <a:xfrm>
            <a:off x="10680726" y="5038725"/>
            <a:ext cx="753482" cy="4095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建設担当</a:t>
            </a:r>
          </a:p>
        </xdr:txBody>
      </xdr:sp>
      <xdr:sp macro="" textlink="">
        <xdr:nvSpPr>
          <xdr:cNvPr id="67505" name="Line 9">
            <a:extLst>
              <a:ext uri="{FF2B5EF4-FFF2-40B4-BE49-F238E27FC236}">
                <a16:creationId xmlns="" xmlns:a16="http://schemas.microsoft.com/office/drawing/2014/main" id="{00000000-0008-0000-0D00-0000B1070100}"/>
              </a:ext>
            </a:extLst>
          </xdr:cNvPr>
          <xdr:cNvSpPr>
            <a:spLocks noChangeShapeType="1"/>
          </xdr:cNvSpPr>
        </xdr:nvSpPr>
        <xdr:spPr bwMode="auto">
          <a:xfrm flipH="1">
            <a:off x="10534650" y="5010150"/>
            <a:ext cx="0" cy="8096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506" name="Line 9">
            <a:extLst>
              <a:ext uri="{FF2B5EF4-FFF2-40B4-BE49-F238E27FC236}">
                <a16:creationId xmlns="" xmlns:a16="http://schemas.microsoft.com/office/drawing/2014/main" id="{00000000-0008-0000-0D00-0000B2070100}"/>
              </a:ext>
            </a:extLst>
          </xdr:cNvPr>
          <xdr:cNvSpPr>
            <a:spLocks noChangeShapeType="1"/>
          </xdr:cNvSpPr>
        </xdr:nvSpPr>
        <xdr:spPr bwMode="auto">
          <a:xfrm flipH="1">
            <a:off x="11258550" y="5019675"/>
            <a:ext cx="0" cy="8096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5" name="Text Box 7">
            <a:extLst>
              <a:ext uri="{FF2B5EF4-FFF2-40B4-BE49-F238E27FC236}">
                <a16:creationId xmlns="" xmlns:a16="http://schemas.microsoft.com/office/drawing/2014/main" id="{00000000-0008-0000-0D00-00000F000000}"/>
              </a:ext>
            </a:extLst>
          </xdr:cNvPr>
          <xdr:cNvSpPr txBox="1">
            <a:spLocks noChangeArrowheads="1"/>
          </xdr:cNvSpPr>
        </xdr:nvSpPr>
        <xdr:spPr bwMode="auto">
          <a:xfrm>
            <a:off x="10043981" y="5038725"/>
            <a:ext cx="753482" cy="4095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800" b="0" i="0" u="none" strike="noStrike" baseline="0">
                <a:solidFill>
                  <a:srgbClr val="000000"/>
                </a:solidFill>
                <a:latin typeface="ＭＳ Ｐゴシック"/>
                <a:ea typeface="ＭＳ Ｐゴシック"/>
              </a:rPr>
              <a:t>AML</a:t>
            </a:r>
            <a:endParaRPr lang="ja-JP" altLang="en-US" sz="800" b="0" i="0" u="none" strike="noStrike" baseline="0">
              <a:solidFill>
                <a:srgbClr val="000000"/>
              </a:solidFill>
              <a:latin typeface="ＭＳ Ｐゴシック"/>
              <a:ea typeface="ＭＳ Ｐゴシック"/>
            </a:endParaRP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1076325</xdr:colOff>
      <xdr:row>1</xdr:row>
      <xdr:rowOff>47625</xdr:rowOff>
    </xdr:from>
    <xdr:to>
      <xdr:col>8</xdr:col>
      <xdr:colOff>847725</xdr:colOff>
      <xdr:row>3</xdr:row>
      <xdr:rowOff>0</xdr:rowOff>
    </xdr:to>
    <xdr:grpSp>
      <xdr:nvGrpSpPr>
        <xdr:cNvPr id="68322" name="グループ化 30">
          <a:extLst>
            <a:ext uri="{FF2B5EF4-FFF2-40B4-BE49-F238E27FC236}">
              <a16:creationId xmlns="" xmlns:a16="http://schemas.microsoft.com/office/drawing/2014/main" id="{00000000-0008-0000-0E00-0000E20A0100}"/>
            </a:ext>
          </a:extLst>
        </xdr:cNvPr>
        <xdr:cNvGrpSpPr>
          <a:grpSpLocks/>
        </xdr:cNvGrpSpPr>
      </xdr:nvGrpSpPr>
      <xdr:grpSpPr bwMode="auto">
        <a:xfrm>
          <a:off x="8869507" y="428625"/>
          <a:ext cx="6213763" cy="1043420"/>
          <a:chOff x="5870864" y="34688317"/>
          <a:chExt cx="6303818" cy="1056409"/>
        </a:xfrm>
      </xdr:grpSpPr>
      <xdr:sp macro="" textlink="">
        <xdr:nvSpPr>
          <xdr:cNvPr id="68324" name="Rectangle 2">
            <a:extLst>
              <a:ext uri="{FF2B5EF4-FFF2-40B4-BE49-F238E27FC236}">
                <a16:creationId xmlns="" xmlns:a16="http://schemas.microsoft.com/office/drawing/2014/main" id="{00000000-0008-0000-0E00-0000E40A0100}"/>
              </a:ext>
            </a:extLst>
          </xdr:cNvPr>
          <xdr:cNvSpPr>
            <a:spLocks noChangeArrowheads="1"/>
          </xdr:cNvSpPr>
        </xdr:nvSpPr>
        <xdr:spPr bwMode="auto">
          <a:xfrm>
            <a:off x="5870864" y="34688317"/>
            <a:ext cx="5363674" cy="1044125"/>
          </a:xfrm>
          <a:prstGeom prst="rect">
            <a:avLst/>
          </a:prstGeom>
          <a:solidFill>
            <a:srgbClr xmlns:mc="http://schemas.openxmlformats.org/markup-compatibility/2006" xmlns:a14="http://schemas.microsoft.com/office/drawing/2010/main" val="FFFFFF" mc:Ignorable="a14" a14:legacySpreadsheetColorIndex="9"/>
          </a:solidFill>
          <a:ln w="1587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8325" name="Line 3">
            <a:extLst>
              <a:ext uri="{FF2B5EF4-FFF2-40B4-BE49-F238E27FC236}">
                <a16:creationId xmlns="" xmlns:a16="http://schemas.microsoft.com/office/drawing/2014/main" id="{00000000-0008-0000-0E00-0000E50A0100}"/>
              </a:ext>
            </a:extLst>
          </xdr:cNvPr>
          <xdr:cNvSpPr>
            <a:spLocks noChangeShapeType="1"/>
          </xdr:cNvSpPr>
        </xdr:nvSpPr>
        <xdr:spPr bwMode="auto">
          <a:xfrm>
            <a:off x="5870864" y="34933994"/>
            <a:ext cx="534964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326" name="Line 5">
            <a:extLst>
              <a:ext uri="{FF2B5EF4-FFF2-40B4-BE49-F238E27FC236}">
                <a16:creationId xmlns="" xmlns:a16="http://schemas.microsoft.com/office/drawing/2014/main" id="{00000000-0008-0000-0E00-0000E60A0100}"/>
              </a:ext>
            </a:extLst>
          </xdr:cNvPr>
          <xdr:cNvSpPr>
            <a:spLocks noChangeShapeType="1"/>
          </xdr:cNvSpPr>
        </xdr:nvSpPr>
        <xdr:spPr bwMode="auto">
          <a:xfrm>
            <a:off x="6968811" y="34688317"/>
            <a:ext cx="0" cy="101955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 name="Text Box 6">
            <a:extLst>
              <a:ext uri="{FF2B5EF4-FFF2-40B4-BE49-F238E27FC236}">
                <a16:creationId xmlns="" xmlns:a16="http://schemas.microsoft.com/office/drawing/2014/main" id="{00000000-0008-0000-0E00-000012000000}"/>
              </a:ext>
            </a:extLst>
          </xdr:cNvPr>
          <xdr:cNvSpPr txBox="1">
            <a:spLocks noChangeArrowheads="1"/>
          </xdr:cNvSpPr>
        </xdr:nvSpPr>
        <xdr:spPr bwMode="auto">
          <a:xfrm>
            <a:off x="8330418" y="34726732"/>
            <a:ext cx="1171677" cy="5282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0" u="none" strike="noStrike" baseline="0">
                <a:solidFill>
                  <a:srgbClr val="000000"/>
                </a:solidFill>
                <a:latin typeface="ＭＳ Ｐゴシック"/>
                <a:ea typeface="ＭＳ Ｐゴシック"/>
              </a:rPr>
              <a:t>RP部長</a:t>
            </a:r>
          </a:p>
        </xdr:txBody>
      </xdr:sp>
      <xdr:sp macro="" textlink="">
        <xdr:nvSpPr>
          <xdr:cNvPr id="20" name="Text Box 8">
            <a:extLst>
              <a:ext uri="{FF2B5EF4-FFF2-40B4-BE49-F238E27FC236}">
                <a16:creationId xmlns="" xmlns:a16="http://schemas.microsoft.com/office/drawing/2014/main" id="{00000000-0008-0000-0E00-000014000000}"/>
              </a:ext>
            </a:extLst>
          </xdr:cNvPr>
          <xdr:cNvSpPr txBox="1">
            <a:spLocks noChangeArrowheads="1"/>
          </xdr:cNvSpPr>
        </xdr:nvSpPr>
        <xdr:spPr bwMode="auto">
          <a:xfrm>
            <a:off x="7178107" y="34726732"/>
            <a:ext cx="881179" cy="5282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0" u="none" strike="noStrike" baseline="0">
                <a:solidFill>
                  <a:srgbClr val="000000"/>
                </a:solidFill>
                <a:latin typeface="ＭＳ Ｐゴシック"/>
                <a:ea typeface="ＭＳ Ｐゴシック"/>
              </a:rPr>
              <a:t>AM本部長</a:t>
            </a:r>
          </a:p>
        </xdr:txBody>
      </xdr:sp>
      <xdr:sp macro="" textlink="">
        <xdr:nvSpPr>
          <xdr:cNvPr id="68329" name="Line 9">
            <a:extLst>
              <a:ext uri="{FF2B5EF4-FFF2-40B4-BE49-F238E27FC236}">
                <a16:creationId xmlns="" xmlns:a16="http://schemas.microsoft.com/office/drawing/2014/main" id="{00000000-0008-0000-0E00-0000E90A0100}"/>
              </a:ext>
            </a:extLst>
          </xdr:cNvPr>
          <xdr:cNvSpPr>
            <a:spLocks noChangeShapeType="1"/>
          </xdr:cNvSpPr>
        </xdr:nvSpPr>
        <xdr:spPr bwMode="auto">
          <a:xfrm flipH="1">
            <a:off x="8045989" y="34688317"/>
            <a:ext cx="0" cy="1044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2" name="Text Box 10">
            <a:extLst>
              <a:ext uri="{FF2B5EF4-FFF2-40B4-BE49-F238E27FC236}">
                <a16:creationId xmlns="" xmlns:a16="http://schemas.microsoft.com/office/drawing/2014/main" id="{00000000-0008-0000-0E00-000016000000}"/>
              </a:ext>
            </a:extLst>
          </xdr:cNvPr>
          <xdr:cNvSpPr txBox="1">
            <a:spLocks noChangeArrowheads="1"/>
          </xdr:cNvSpPr>
        </xdr:nvSpPr>
        <xdr:spPr bwMode="auto">
          <a:xfrm>
            <a:off x="10470424" y="34726732"/>
            <a:ext cx="1704258" cy="5282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0" u="none" strike="noStrike" baseline="0">
                <a:solidFill>
                  <a:srgbClr val="000000"/>
                </a:solidFill>
                <a:latin typeface="ＭＳ Ｐゴシック"/>
                <a:ea typeface="ＭＳ Ｐゴシック"/>
              </a:rPr>
              <a:t>PJ担当</a:t>
            </a:r>
          </a:p>
        </xdr:txBody>
      </xdr:sp>
      <xdr:sp macro="" textlink="">
        <xdr:nvSpPr>
          <xdr:cNvPr id="68331" name="Line 9">
            <a:extLst>
              <a:ext uri="{FF2B5EF4-FFF2-40B4-BE49-F238E27FC236}">
                <a16:creationId xmlns="" xmlns:a16="http://schemas.microsoft.com/office/drawing/2014/main" id="{00000000-0008-0000-0E00-0000EB0A0100}"/>
              </a:ext>
            </a:extLst>
          </xdr:cNvPr>
          <xdr:cNvSpPr>
            <a:spLocks noChangeShapeType="1"/>
          </xdr:cNvSpPr>
        </xdr:nvSpPr>
        <xdr:spPr bwMode="auto">
          <a:xfrm flipH="1">
            <a:off x="9129739" y="34688317"/>
            <a:ext cx="0" cy="1044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332" name="Line 9">
            <a:extLst>
              <a:ext uri="{FF2B5EF4-FFF2-40B4-BE49-F238E27FC236}">
                <a16:creationId xmlns="" xmlns:a16="http://schemas.microsoft.com/office/drawing/2014/main" id="{00000000-0008-0000-0E00-0000EC0A0100}"/>
              </a:ext>
            </a:extLst>
          </xdr:cNvPr>
          <xdr:cNvSpPr>
            <a:spLocks noChangeShapeType="1"/>
          </xdr:cNvSpPr>
        </xdr:nvSpPr>
        <xdr:spPr bwMode="auto">
          <a:xfrm flipH="1">
            <a:off x="10196170" y="34700601"/>
            <a:ext cx="0" cy="1044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6" name="Text Box 7">
            <a:extLst>
              <a:ext uri="{FF2B5EF4-FFF2-40B4-BE49-F238E27FC236}">
                <a16:creationId xmlns="" xmlns:a16="http://schemas.microsoft.com/office/drawing/2014/main" id="{00000000-0008-0000-0E00-00001A000000}"/>
              </a:ext>
            </a:extLst>
          </xdr:cNvPr>
          <xdr:cNvSpPr txBox="1">
            <a:spLocks noChangeArrowheads="1"/>
          </xdr:cNvSpPr>
        </xdr:nvSpPr>
        <xdr:spPr bwMode="auto">
          <a:xfrm>
            <a:off x="9492412" y="34726732"/>
            <a:ext cx="1113578" cy="5282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200" b="0" i="0" u="none" strike="noStrike" baseline="0">
                <a:solidFill>
                  <a:srgbClr val="000000"/>
                </a:solidFill>
                <a:latin typeface="ＭＳ Ｐゴシック"/>
                <a:ea typeface="ＭＳ Ｐゴシック"/>
              </a:rPr>
              <a:t>AML</a:t>
            </a:r>
            <a:endParaRPr lang="ja-JP" altLang="en-US" sz="1200" b="0" i="0" u="none" strike="noStrike" baseline="0">
              <a:solidFill>
                <a:srgbClr val="000000"/>
              </a:solidFill>
              <a:latin typeface="ＭＳ Ｐゴシック"/>
              <a:ea typeface="ＭＳ Ｐゴシック"/>
            </a:endParaRPr>
          </a:p>
        </xdr:txBody>
      </xdr:sp>
      <xdr:sp macro="" textlink="">
        <xdr:nvSpPr>
          <xdr:cNvPr id="27" name="Text Box 8">
            <a:extLst>
              <a:ext uri="{FF2B5EF4-FFF2-40B4-BE49-F238E27FC236}">
                <a16:creationId xmlns="" xmlns:a16="http://schemas.microsoft.com/office/drawing/2014/main" id="{00000000-0008-0000-0E00-00001B000000}"/>
              </a:ext>
            </a:extLst>
          </xdr:cNvPr>
          <xdr:cNvSpPr txBox="1">
            <a:spLocks noChangeArrowheads="1"/>
          </xdr:cNvSpPr>
        </xdr:nvSpPr>
        <xdr:spPr bwMode="auto">
          <a:xfrm>
            <a:off x="6248512" y="34717128"/>
            <a:ext cx="871496" cy="5282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0" u="none" strike="noStrike" baseline="0">
                <a:solidFill>
                  <a:srgbClr val="000000"/>
                </a:solidFill>
                <a:latin typeface="ＭＳ Ｐゴシック"/>
                <a:ea typeface="ＭＳ Ｐゴシック"/>
              </a:rPr>
              <a:t>社長</a:t>
            </a:r>
          </a:p>
        </xdr:txBody>
      </xdr:sp>
    </xdr:grpSp>
    <xdr:clientData/>
  </xdr:twoCellAnchor>
  <mc:AlternateContent xmlns:mc="http://schemas.openxmlformats.org/markup-compatibility/2006">
    <mc:Choice xmlns:a14="http://schemas.microsoft.com/office/drawing/2010/main" Requires="a14">
      <xdr:twoCellAnchor editAs="oneCell">
        <xdr:from>
          <xdr:col>1</xdr:col>
          <xdr:colOff>27709</xdr:colOff>
          <xdr:row>21</xdr:row>
          <xdr:rowOff>5195</xdr:rowOff>
        </xdr:from>
        <xdr:to>
          <xdr:col>7</xdr:col>
          <xdr:colOff>884959</xdr:colOff>
          <xdr:row>31</xdr:row>
          <xdr:rowOff>0</xdr:rowOff>
        </xdr:to>
        <xdr:pic>
          <xdr:nvPicPr>
            <xdr:cNvPr id="68323" name="図 32">
              <a:extLst>
                <a:ext uri="{FF2B5EF4-FFF2-40B4-BE49-F238E27FC236}">
                  <a16:creationId xmlns="" xmlns:a16="http://schemas.microsoft.com/office/drawing/2014/main" id="{00000000-0008-0000-0E00-0000E30A0100}"/>
                </a:ext>
              </a:extLst>
            </xdr:cNvPr>
            <xdr:cNvPicPr>
              <a:picLocks noChangeAspect="1" noChangeArrowheads="1"/>
              <a:extLst>
                <a:ext uri="{84589F7E-364E-4C9E-8A38-B11213B215E9}">
                  <a14:cameraTool cellRange="RN予算計画書!$A$54:$H$73" spid="_x0000_s101465"/>
                </a:ext>
              </a:extLst>
            </xdr:cNvPicPr>
          </xdr:nvPicPr>
          <xdr:blipFill>
            <a:blip xmlns:r="http://schemas.openxmlformats.org/officeDocument/2006/relationships" r:embed="rId1"/>
            <a:srcRect/>
            <a:stretch>
              <a:fillRect/>
            </a:stretch>
          </xdr:blipFill>
          <xdr:spPr bwMode="auto">
            <a:xfrm>
              <a:off x="703118" y="8335240"/>
              <a:ext cx="13343659" cy="415116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13.xml><?xml version="1.0" encoding="utf-8"?>
<xdr:wsDr xmlns:xdr="http://schemas.openxmlformats.org/drawingml/2006/spreadsheetDrawing" xmlns:a="http://schemas.openxmlformats.org/drawingml/2006/main">
  <xdr:oneCellAnchor>
    <xdr:from>
      <xdr:col>9</xdr:col>
      <xdr:colOff>851647</xdr:colOff>
      <xdr:row>1</xdr:row>
      <xdr:rowOff>246530</xdr:rowOff>
    </xdr:from>
    <xdr:ext cx="3204883" cy="1120588"/>
    <xdr:sp macro="" textlink="">
      <xdr:nvSpPr>
        <xdr:cNvPr id="2" name="テキスト ボックス 1">
          <a:extLst>
            <a:ext uri="{FF2B5EF4-FFF2-40B4-BE49-F238E27FC236}">
              <a16:creationId xmlns="" xmlns:a16="http://schemas.microsoft.com/office/drawing/2014/main" id="{00000000-0008-0000-0F00-000002000000}"/>
            </a:ext>
          </a:extLst>
        </xdr:cNvPr>
        <xdr:cNvSpPr txBox="1"/>
      </xdr:nvSpPr>
      <xdr:spPr>
        <a:xfrm>
          <a:off x="9693088" y="515471"/>
          <a:ext cx="3204883" cy="1120588"/>
        </a:xfrm>
        <a:prstGeom prst="rect">
          <a:avLst/>
        </a:prstGeom>
        <a:noFill/>
        <a:ln w="12700">
          <a:solidFill>
            <a:schemeClr val="accent2"/>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400" b="0">
              <a:solidFill>
                <a:schemeClr val="tx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400" b="0">
              <a:solidFill>
                <a:schemeClr val="tx1"/>
              </a:solidFill>
              <a:effectLst/>
              <a:latin typeface="Meiryo UI" panose="020B0604030504040204" pitchFamily="50" charset="-128"/>
              <a:ea typeface="Meiryo UI" panose="020B0604030504040204" pitchFamily="50" charset="-128"/>
              <a:cs typeface="Meiryo UI" panose="020B0604030504040204" pitchFamily="50" charset="-128"/>
            </a:rPr>
            <a:t>売主様自社使用の為、退去後全空</a:t>
          </a:r>
          <a:endParaRPr lang="en-US" altLang="ja-JP" sz="1400">
            <a:effectLst/>
            <a:latin typeface="Meiryo UI" panose="020B0604030504040204" pitchFamily="50" charset="-128"/>
            <a:ea typeface="Meiryo UI" panose="020B0604030504040204" pitchFamily="50" charset="-128"/>
            <a:cs typeface="Meiryo UI" panose="020B060403050404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400">
              <a:effectLst/>
              <a:latin typeface="Meiryo UI" panose="020B0604030504040204" pitchFamily="50" charset="-128"/>
              <a:ea typeface="Meiryo UI" panose="020B0604030504040204" pitchFamily="50" charset="-128"/>
              <a:cs typeface="Meiryo UI" panose="020B0604030504040204" pitchFamily="50" charset="-128"/>
            </a:rPr>
            <a:t>　</a:t>
          </a:r>
          <a:endParaRPr lang="en-US" altLang="ja-JP" sz="1400">
            <a:effectLst/>
            <a:latin typeface="Meiryo UI" panose="020B0604030504040204" pitchFamily="50" charset="-128"/>
            <a:ea typeface="Meiryo UI" panose="020B0604030504040204" pitchFamily="50" charset="-128"/>
            <a:cs typeface="Meiryo UI" panose="020B060403050404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200" b="0">
              <a:solidFill>
                <a:schemeClr val="tx1"/>
              </a:solidFill>
              <a:effectLst/>
              <a:latin typeface="Meiryo UI" panose="020B0604030504040204" pitchFamily="50" charset="-128"/>
              <a:ea typeface="Meiryo UI" panose="020B0604030504040204" pitchFamily="50" charset="-128"/>
              <a:cs typeface="Meiryo UI" panose="020B0604030504040204" pitchFamily="50" charset="-128"/>
            </a:rPr>
            <a:t>　　</a:t>
          </a:r>
          <a:r>
            <a:rPr kumimoji="1" lang="ja-JP" altLang="ja-JP" sz="1400" b="0">
              <a:solidFill>
                <a:schemeClr val="tx1"/>
              </a:solidFill>
              <a:effectLst/>
              <a:latin typeface="Meiryo UI" panose="020B0604030504040204" pitchFamily="50" charset="-128"/>
              <a:ea typeface="Meiryo UI" panose="020B0604030504040204" pitchFamily="50" charset="-128"/>
              <a:cs typeface="Meiryo UI" panose="020B0604030504040204" pitchFamily="50" charset="-128"/>
            </a:rPr>
            <a:t>見込み賃料</a:t>
          </a:r>
          <a:r>
            <a:rPr lang="ja-JP" altLang="en-US" sz="1400">
              <a:effectLst/>
              <a:latin typeface="Meiryo UI" panose="020B0604030504040204" pitchFamily="50" charset="-128"/>
              <a:ea typeface="Meiryo UI" panose="020B0604030504040204" pitchFamily="50" charset="-128"/>
              <a:cs typeface="Meiryo UI" panose="020B0604030504040204" pitchFamily="50" charset="-128"/>
            </a:rPr>
            <a:t>＠</a:t>
          </a:r>
          <a:r>
            <a:rPr lang="en-US" altLang="ja-JP" sz="1400">
              <a:effectLst/>
              <a:latin typeface="Meiryo UI" panose="020B0604030504040204" pitchFamily="50" charset="-128"/>
              <a:ea typeface="Meiryo UI" panose="020B0604030504040204" pitchFamily="50" charset="-128"/>
              <a:cs typeface="Meiryo UI" panose="020B0604030504040204" pitchFamily="50" charset="-128"/>
            </a:rPr>
            <a:t>24,000</a:t>
          </a:r>
          <a:r>
            <a:rPr lang="ja-JP" altLang="en-US" sz="1400">
              <a:effectLst/>
              <a:latin typeface="Meiryo UI" panose="020B0604030504040204" pitchFamily="50" charset="-128"/>
              <a:ea typeface="Meiryo UI" panose="020B0604030504040204" pitchFamily="50" charset="-128"/>
              <a:cs typeface="Meiryo UI" panose="020B0604030504040204" pitchFamily="50" charset="-128"/>
            </a:rPr>
            <a:t>円</a:t>
          </a:r>
          <a:endParaRPr lang="en-US" altLang="ja-JP" sz="1200">
            <a:effectLst/>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9</xdr:col>
      <xdr:colOff>605118</xdr:colOff>
      <xdr:row>1</xdr:row>
      <xdr:rowOff>168088</xdr:rowOff>
    </xdr:from>
    <xdr:ext cx="3204883" cy="1120588"/>
    <xdr:sp macro="" textlink="">
      <xdr:nvSpPr>
        <xdr:cNvPr id="4" name="テキスト ボックス 3">
          <a:extLst>
            <a:ext uri="{FF2B5EF4-FFF2-40B4-BE49-F238E27FC236}">
              <a16:creationId xmlns="" xmlns:a16="http://schemas.microsoft.com/office/drawing/2014/main" id="{00000000-0008-0000-1000-000004000000}"/>
            </a:ext>
          </a:extLst>
        </xdr:cNvPr>
        <xdr:cNvSpPr txBox="1"/>
      </xdr:nvSpPr>
      <xdr:spPr>
        <a:xfrm>
          <a:off x="9323294" y="437029"/>
          <a:ext cx="3204883" cy="1120588"/>
        </a:xfrm>
        <a:prstGeom prst="rect">
          <a:avLst/>
        </a:prstGeom>
        <a:noFill/>
        <a:ln w="12700">
          <a:solidFill>
            <a:schemeClr val="accent2"/>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400" b="0">
              <a:solidFill>
                <a:schemeClr val="tx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400" b="0">
              <a:solidFill>
                <a:schemeClr val="tx1"/>
              </a:solidFill>
              <a:effectLst/>
              <a:latin typeface="Meiryo UI" panose="020B0604030504040204" pitchFamily="50" charset="-128"/>
              <a:ea typeface="Meiryo UI" panose="020B0604030504040204" pitchFamily="50" charset="-128"/>
              <a:cs typeface="Meiryo UI" panose="020B0604030504040204" pitchFamily="50" charset="-128"/>
            </a:rPr>
            <a:t>売主様自社使用の為、退去後全空</a:t>
          </a:r>
          <a:endParaRPr lang="en-US" altLang="ja-JP" sz="1400">
            <a:effectLst/>
            <a:latin typeface="Meiryo UI" panose="020B0604030504040204" pitchFamily="50" charset="-128"/>
            <a:ea typeface="Meiryo UI" panose="020B0604030504040204" pitchFamily="50" charset="-128"/>
            <a:cs typeface="Meiryo UI" panose="020B060403050404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400">
              <a:effectLst/>
              <a:latin typeface="Meiryo UI" panose="020B0604030504040204" pitchFamily="50" charset="-128"/>
              <a:ea typeface="Meiryo UI" panose="020B0604030504040204" pitchFamily="50" charset="-128"/>
              <a:cs typeface="Meiryo UI" panose="020B0604030504040204" pitchFamily="50" charset="-128"/>
            </a:rPr>
            <a:t>　</a:t>
          </a:r>
          <a:endParaRPr lang="en-US" altLang="ja-JP" sz="1400">
            <a:effectLst/>
            <a:latin typeface="Meiryo UI" panose="020B0604030504040204" pitchFamily="50" charset="-128"/>
            <a:ea typeface="Meiryo UI" panose="020B0604030504040204" pitchFamily="50" charset="-128"/>
            <a:cs typeface="Meiryo UI" panose="020B060403050404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200" b="0">
              <a:solidFill>
                <a:schemeClr val="tx1"/>
              </a:solidFill>
              <a:effectLst/>
              <a:latin typeface="Meiryo UI" panose="020B0604030504040204" pitchFamily="50" charset="-128"/>
              <a:ea typeface="Meiryo UI" panose="020B0604030504040204" pitchFamily="50" charset="-128"/>
              <a:cs typeface="Meiryo UI" panose="020B0604030504040204" pitchFamily="50" charset="-128"/>
            </a:rPr>
            <a:t>　　</a:t>
          </a:r>
          <a:r>
            <a:rPr kumimoji="1" lang="ja-JP" altLang="ja-JP" sz="1400" b="0">
              <a:solidFill>
                <a:schemeClr val="tx1"/>
              </a:solidFill>
              <a:effectLst/>
              <a:latin typeface="Meiryo UI" panose="020B0604030504040204" pitchFamily="50" charset="-128"/>
              <a:ea typeface="Meiryo UI" panose="020B0604030504040204" pitchFamily="50" charset="-128"/>
              <a:cs typeface="Meiryo UI" panose="020B0604030504040204" pitchFamily="50" charset="-128"/>
            </a:rPr>
            <a:t>見込み賃料</a:t>
          </a:r>
          <a:r>
            <a:rPr lang="ja-JP" altLang="en-US" sz="1400">
              <a:effectLst/>
              <a:latin typeface="Meiryo UI" panose="020B0604030504040204" pitchFamily="50" charset="-128"/>
              <a:ea typeface="Meiryo UI" panose="020B0604030504040204" pitchFamily="50" charset="-128"/>
              <a:cs typeface="Meiryo UI" panose="020B0604030504040204" pitchFamily="50" charset="-128"/>
            </a:rPr>
            <a:t>＠</a:t>
          </a:r>
          <a:r>
            <a:rPr lang="en-US" altLang="ja-JP" sz="1400">
              <a:effectLst/>
              <a:latin typeface="Meiryo UI" panose="020B0604030504040204" pitchFamily="50" charset="-128"/>
              <a:ea typeface="Meiryo UI" panose="020B0604030504040204" pitchFamily="50" charset="-128"/>
              <a:cs typeface="Meiryo UI" panose="020B0604030504040204" pitchFamily="50" charset="-128"/>
            </a:rPr>
            <a:t>23,000</a:t>
          </a:r>
          <a:r>
            <a:rPr lang="ja-JP" altLang="en-US" sz="1400">
              <a:effectLst/>
              <a:latin typeface="Meiryo UI" panose="020B0604030504040204" pitchFamily="50" charset="-128"/>
              <a:ea typeface="Meiryo UI" panose="020B0604030504040204" pitchFamily="50" charset="-128"/>
              <a:cs typeface="Meiryo UI" panose="020B0604030504040204" pitchFamily="50" charset="-128"/>
            </a:rPr>
            <a:t>円</a:t>
          </a:r>
          <a:endParaRPr lang="en-US" altLang="ja-JP" sz="1200">
            <a:effectLst/>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9</xdr:col>
      <xdr:colOff>896470</xdr:colOff>
      <xdr:row>1</xdr:row>
      <xdr:rowOff>268942</xdr:rowOff>
    </xdr:from>
    <xdr:ext cx="3204883" cy="1120588"/>
    <xdr:sp macro="" textlink="">
      <xdr:nvSpPr>
        <xdr:cNvPr id="3" name="テキスト ボックス 2">
          <a:extLst>
            <a:ext uri="{FF2B5EF4-FFF2-40B4-BE49-F238E27FC236}">
              <a16:creationId xmlns="" xmlns:a16="http://schemas.microsoft.com/office/drawing/2014/main" id="{00000000-0008-0000-1100-000003000000}"/>
            </a:ext>
          </a:extLst>
        </xdr:cNvPr>
        <xdr:cNvSpPr txBox="1"/>
      </xdr:nvSpPr>
      <xdr:spPr>
        <a:xfrm>
          <a:off x="9735670" y="535642"/>
          <a:ext cx="3204883" cy="1120588"/>
        </a:xfrm>
        <a:prstGeom prst="rect">
          <a:avLst/>
        </a:prstGeom>
        <a:noFill/>
        <a:ln w="12700">
          <a:solidFill>
            <a:schemeClr val="accent2"/>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400" b="0">
              <a:solidFill>
                <a:schemeClr val="tx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400" b="0">
              <a:solidFill>
                <a:schemeClr val="tx1"/>
              </a:solidFill>
              <a:effectLst/>
              <a:latin typeface="Meiryo UI" panose="020B0604030504040204" pitchFamily="50" charset="-128"/>
              <a:ea typeface="Meiryo UI" panose="020B0604030504040204" pitchFamily="50" charset="-128"/>
              <a:cs typeface="Meiryo UI" panose="020B0604030504040204" pitchFamily="50" charset="-128"/>
            </a:rPr>
            <a:t>売主様自社使用の為、退去後全空</a:t>
          </a:r>
          <a:endParaRPr lang="en-US" altLang="ja-JP" sz="1400">
            <a:effectLst/>
            <a:latin typeface="Meiryo UI" panose="020B0604030504040204" pitchFamily="50" charset="-128"/>
            <a:ea typeface="Meiryo UI" panose="020B0604030504040204" pitchFamily="50" charset="-128"/>
            <a:cs typeface="Meiryo UI" panose="020B060403050404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400">
              <a:effectLst/>
              <a:latin typeface="Meiryo UI" panose="020B0604030504040204" pitchFamily="50" charset="-128"/>
              <a:ea typeface="Meiryo UI" panose="020B0604030504040204" pitchFamily="50" charset="-128"/>
              <a:cs typeface="Meiryo UI" panose="020B0604030504040204" pitchFamily="50" charset="-128"/>
            </a:rPr>
            <a:t>　</a:t>
          </a:r>
          <a:endParaRPr lang="en-US" altLang="ja-JP" sz="1400">
            <a:effectLst/>
            <a:latin typeface="Meiryo UI" panose="020B0604030504040204" pitchFamily="50" charset="-128"/>
            <a:ea typeface="Meiryo UI" panose="020B0604030504040204" pitchFamily="50" charset="-128"/>
            <a:cs typeface="Meiryo UI" panose="020B060403050404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200" b="0">
              <a:solidFill>
                <a:schemeClr val="tx1"/>
              </a:solidFill>
              <a:effectLst/>
              <a:latin typeface="Meiryo UI" panose="020B0604030504040204" pitchFamily="50" charset="-128"/>
              <a:ea typeface="Meiryo UI" panose="020B0604030504040204" pitchFamily="50" charset="-128"/>
              <a:cs typeface="Meiryo UI" panose="020B0604030504040204" pitchFamily="50" charset="-128"/>
            </a:rPr>
            <a:t>　　</a:t>
          </a:r>
          <a:r>
            <a:rPr kumimoji="1" lang="ja-JP" altLang="ja-JP" sz="1400" b="0">
              <a:solidFill>
                <a:schemeClr val="tx1"/>
              </a:solidFill>
              <a:effectLst/>
              <a:latin typeface="Meiryo UI" panose="020B0604030504040204" pitchFamily="50" charset="-128"/>
              <a:ea typeface="Meiryo UI" panose="020B0604030504040204" pitchFamily="50" charset="-128"/>
              <a:cs typeface="Meiryo UI" panose="020B0604030504040204" pitchFamily="50" charset="-128"/>
            </a:rPr>
            <a:t>見込み賃料</a:t>
          </a:r>
          <a:r>
            <a:rPr lang="ja-JP" altLang="en-US" sz="1400">
              <a:effectLst/>
              <a:latin typeface="Meiryo UI" panose="020B0604030504040204" pitchFamily="50" charset="-128"/>
              <a:ea typeface="Meiryo UI" panose="020B0604030504040204" pitchFamily="50" charset="-128"/>
              <a:cs typeface="Meiryo UI" panose="020B0604030504040204" pitchFamily="50" charset="-128"/>
            </a:rPr>
            <a:t>＠</a:t>
          </a:r>
          <a:r>
            <a:rPr lang="en-US" altLang="ja-JP" sz="1400">
              <a:effectLst/>
              <a:latin typeface="Meiryo UI" panose="020B0604030504040204" pitchFamily="50" charset="-128"/>
              <a:ea typeface="Meiryo UI" panose="020B0604030504040204" pitchFamily="50" charset="-128"/>
              <a:cs typeface="Meiryo UI" panose="020B0604030504040204" pitchFamily="50" charset="-128"/>
            </a:rPr>
            <a:t>20,000</a:t>
          </a:r>
          <a:r>
            <a:rPr lang="ja-JP" altLang="en-US" sz="1400">
              <a:effectLst/>
              <a:latin typeface="Meiryo UI" panose="020B0604030504040204" pitchFamily="50" charset="-128"/>
              <a:ea typeface="Meiryo UI" panose="020B0604030504040204" pitchFamily="50" charset="-128"/>
              <a:cs typeface="Meiryo UI" panose="020B0604030504040204" pitchFamily="50" charset="-128"/>
            </a:rPr>
            <a:t>円</a:t>
          </a:r>
          <a:endParaRPr lang="en-US" altLang="ja-JP" sz="1200">
            <a:effectLst/>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wsDr>
</file>

<file path=xl/drawings/drawing16.xml><?xml version="1.0" encoding="utf-8"?>
<xdr:wsDr xmlns:xdr="http://schemas.openxmlformats.org/drawingml/2006/spreadsheetDrawing" xmlns:a="http://schemas.openxmlformats.org/drawingml/2006/main">
  <xdr:oneCellAnchor>
    <xdr:from>
      <xdr:col>9</xdr:col>
      <xdr:colOff>246529</xdr:colOff>
      <xdr:row>4</xdr:row>
      <xdr:rowOff>22411</xdr:rowOff>
    </xdr:from>
    <xdr:ext cx="3204883" cy="1120588"/>
    <xdr:sp macro="" textlink="">
      <xdr:nvSpPr>
        <xdr:cNvPr id="2" name="テキスト ボックス 1">
          <a:extLst>
            <a:ext uri="{FF2B5EF4-FFF2-40B4-BE49-F238E27FC236}">
              <a16:creationId xmlns="" xmlns:a16="http://schemas.microsoft.com/office/drawing/2014/main" id="{0E24BA7F-EED0-4C06-BD22-E149C76AD860}"/>
            </a:ext>
          </a:extLst>
        </xdr:cNvPr>
        <xdr:cNvSpPr txBox="1"/>
      </xdr:nvSpPr>
      <xdr:spPr>
        <a:xfrm>
          <a:off x="9087970" y="918882"/>
          <a:ext cx="3204883" cy="1120588"/>
        </a:xfrm>
        <a:prstGeom prst="rect">
          <a:avLst/>
        </a:prstGeom>
        <a:noFill/>
        <a:ln w="12700">
          <a:solidFill>
            <a:schemeClr val="accent2"/>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400" b="0">
              <a:solidFill>
                <a:schemeClr val="tx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400" b="0">
              <a:solidFill>
                <a:schemeClr val="tx1"/>
              </a:solidFill>
              <a:effectLst/>
              <a:latin typeface="Meiryo UI" panose="020B0604030504040204" pitchFamily="50" charset="-128"/>
              <a:ea typeface="Meiryo UI" panose="020B0604030504040204" pitchFamily="50" charset="-128"/>
              <a:cs typeface="Meiryo UI" panose="020B0604030504040204" pitchFamily="50" charset="-128"/>
            </a:rPr>
            <a:t>売主様自社使用の為、退去後全空</a:t>
          </a:r>
          <a:endParaRPr lang="en-US" altLang="ja-JP" sz="1400">
            <a:effectLst/>
            <a:latin typeface="Meiryo UI" panose="020B0604030504040204" pitchFamily="50" charset="-128"/>
            <a:ea typeface="Meiryo UI" panose="020B0604030504040204" pitchFamily="50" charset="-128"/>
            <a:cs typeface="Meiryo UI" panose="020B060403050404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400">
              <a:effectLst/>
              <a:latin typeface="Meiryo UI" panose="020B0604030504040204" pitchFamily="50" charset="-128"/>
              <a:ea typeface="Meiryo UI" panose="020B0604030504040204" pitchFamily="50" charset="-128"/>
              <a:cs typeface="Meiryo UI" panose="020B0604030504040204" pitchFamily="50" charset="-128"/>
            </a:rPr>
            <a:t>　</a:t>
          </a:r>
          <a:endParaRPr lang="en-US" altLang="ja-JP" sz="1400">
            <a:effectLst/>
            <a:latin typeface="Meiryo UI" panose="020B0604030504040204" pitchFamily="50" charset="-128"/>
            <a:ea typeface="Meiryo UI" panose="020B0604030504040204" pitchFamily="50" charset="-128"/>
            <a:cs typeface="Meiryo UI" panose="020B060403050404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200" b="0">
              <a:solidFill>
                <a:schemeClr val="tx1"/>
              </a:solidFill>
              <a:effectLst/>
              <a:latin typeface="Meiryo UI" panose="020B0604030504040204" pitchFamily="50" charset="-128"/>
              <a:ea typeface="Meiryo UI" panose="020B0604030504040204" pitchFamily="50" charset="-128"/>
              <a:cs typeface="Meiryo UI" panose="020B0604030504040204" pitchFamily="50" charset="-128"/>
            </a:rPr>
            <a:t>　　</a:t>
          </a:r>
          <a:r>
            <a:rPr kumimoji="1" lang="ja-JP" altLang="ja-JP" sz="1400" b="0">
              <a:solidFill>
                <a:schemeClr val="tx1"/>
              </a:solidFill>
              <a:effectLst/>
              <a:latin typeface="Meiryo UI" panose="020B0604030504040204" pitchFamily="50" charset="-128"/>
              <a:ea typeface="Meiryo UI" panose="020B0604030504040204" pitchFamily="50" charset="-128"/>
              <a:cs typeface="Meiryo UI" panose="020B0604030504040204" pitchFamily="50" charset="-128"/>
            </a:rPr>
            <a:t>見込み賃料</a:t>
          </a:r>
          <a:r>
            <a:rPr lang="ja-JP" altLang="en-US" sz="1400">
              <a:effectLst/>
              <a:latin typeface="Meiryo UI" panose="020B0604030504040204" pitchFamily="50" charset="-128"/>
              <a:ea typeface="Meiryo UI" panose="020B0604030504040204" pitchFamily="50" charset="-128"/>
              <a:cs typeface="Meiryo UI" panose="020B0604030504040204" pitchFamily="50" charset="-128"/>
            </a:rPr>
            <a:t>＠</a:t>
          </a:r>
          <a:r>
            <a:rPr lang="en-US" altLang="ja-JP" sz="1400">
              <a:effectLst/>
              <a:latin typeface="Meiryo UI" panose="020B0604030504040204" pitchFamily="50" charset="-128"/>
              <a:ea typeface="Meiryo UI" panose="020B0604030504040204" pitchFamily="50" charset="-128"/>
              <a:cs typeface="Meiryo UI" panose="020B0604030504040204" pitchFamily="50" charset="-128"/>
            </a:rPr>
            <a:t>25,000</a:t>
          </a:r>
          <a:r>
            <a:rPr lang="ja-JP" altLang="en-US" sz="1400">
              <a:effectLst/>
              <a:latin typeface="Meiryo UI" panose="020B0604030504040204" pitchFamily="50" charset="-128"/>
              <a:ea typeface="Meiryo UI" panose="020B0604030504040204" pitchFamily="50" charset="-128"/>
              <a:cs typeface="Meiryo UI" panose="020B0604030504040204" pitchFamily="50" charset="-128"/>
            </a:rPr>
            <a:t>円</a:t>
          </a:r>
          <a:endParaRPr lang="en-US" altLang="ja-JP" sz="1200">
            <a:effectLst/>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19</xdr:col>
      <xdr:colOff>309561</xdr:colOff>
      <xdr:row>4</xdr:row>
      <xdr:rowOff>2562224</xdr:rowOff>
    </xdr:from>
    <xdr:ext cx="5214938" cy="9171742"/>
    <xdr:sp macro="" textlink="">
      <xdr:nvSpPr>
        <xdr:cNvPr id="4" name="テキスト ボックス 3">
          <a:extLst>
            <a:ext uri="{FF2B5EF4-FFF2-40B4-BE49-F238E27FC236}">
              <a16:creationId xmlns="" xmlns:a16="http://schemas.microsoft.com/office/drawing/2014/main" id="{00000000-0008-0000-0300-000004000000}"/>
            </a:ext>
          </a:extLst>
        </xdr:cNvPr>
        <xdr:cNvSpPr txBox="1"/>
      </xdr:nvSpPr>
      <xdr:spPr>
        <a:xfrm>
          <a:off x="15192374" y="4633912"/>
          <a:ext cx="5214938" cy="9171742"/>
        </a:xfrm>
        <a:prstGeom prst="rect">
          <a:avLst/>
        </a:prstGeom>
        <a:solidFill>
          <a:schemeClr val="accent2">
            <a:lumMod val="20000"/>
            <a:lumOff val="80000"/>
          </a:schemeClr>
        </a:solidFill>
        <a:ln>
          <a:solidFill>
            <a:schemeClr val="accent2"/>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nSpc>
              <a:spcPts val="3400"/>
            </a:lnSpc>
          </a:pPr>
          <a:r>
            <a:rPr kumimoji="1" lang="ja-JP" altLang="en-US" sz="2400" u="sng">
              <a:latin typeface="Meiryo UI" panose="020B0604030504040204" pitchFamily="50" charset="-128"/>
              <a:ea typeface="Meiryo UI" panose="020B0604030504040204" pitchFamily="50" charset="-128"/>
              <a:cs typeface="Meiryo UI" panose="020B0604030504040204" pitchFamily="50" charset="-128"/>
            </a:rPr>
            <a:t>＜作成の手引き＞</a:t>
          </a:r>
          <a:r>
            <a:rPr kumimoji="1" lang="en-US" altLang="ja-JP" sz="2400" u="sng">
              <a:latin typeface="Meiryo UI" panose="020B0604030504040204" pitchFamily="50" charset="-128"/>
              <a:ea typeface="Meiryo UI" panose="020B0604030504040204" pitchFamily="50" charset="-128"/>
              <a:cs typeface="Meiryo UI" panose="020B0604030504040204" pitchFamily="50" charset="-128"/>
            </a:rPr>
            <a:t>18.2.19</a:t>
          </a:r>
        </a:p>
        <a:p>
          <a:pPr>
            <a:lnSpc>
              <a:spcPts val="3400"/>
            </a:lnSpc>
          </a:pPr>
          <a:r>
            <a:rPr kumimoji="1" lang="ja-JP" altLang="en-US" sz="2400">
              <a:latin typeface="Meiryo UI" panose="020B0604030504040204" pitchFamily="50" charset="-128"/>
              <a:ea typeface="Meiryo UI" panose="020B0604030504040204" pitchFamily="50" charset="-128"/>
              <a:cs typeface="Meiryo UI" panose="020B0604030504040204" pitchFamily="50" charset="-128"/>
            </a:rPr>
            <a:t>①「基本情報」及び「事業計画書（事業決定時）」「事業計画書（現行）」からデータを引いています。</a:t>
          </a:r>
          <a:endParaRPr kumimoji="1" lang="en-US" altLang="ja-JP" sz="2400">
            <a:latin typeface="Meiryo UI" panose="020B0604030504040204" pitchFamily="50" charset="-128"/>
            <a:ea typeface="Meiryo UI" panose="020B0604030504040204" pitchFamily="50" charset="-128"/>
            <a:cs typeface="Meiryo UI" panose="020B0604030504040204" pitchFamily="50" charset="-128"/>
          </a:endParaRPr>
        </a:p>
        <a:p>
          <a:pPr>
            <a:lnSpc>
              <a:spcPts val="3400"/>
            </a:lnSpc>
          </a:pPr>
          <a:r>
            <a:rPr kumimoji="1" lang="ja-JP" altLang="en-US" sz="2400">
              <a:latin typeface="Meiryo UI" panose="020B0604030504040204" pitchFamily="50" charset="-128"/>
              <a:ea typeface="Meiryo UI" panose="020B0604030504040204" pitchFamily="50" charset="-128"/>
              <a:cs typeface="Meiryo UI" panose="020B0604030504040204" pitchFamily="50" charset="-128"/>
            </a:rPr>
            <a:t>②左上「第●号報告」を経営企画部に確認し入力してください。</a:t>
          </a:r>
          <a:endParaRPr kumimoji="1" lang="en-US" altLang="ja-JP" sz="2400">
            <a:latin typeface="Meiryo UI" panose="020B0604030504040204" pitchFamily="50" charset="-128"/>
            <a:ea typeface="Meiryo UI" panose="020B0604030504040204" pitchFamily="50" charset="-128"/>
            <a:cs typeface="Meiryo UI" panose="020B0604030504040204" pitchFamily="50" charset="-128"/>
          </a:endParaRPr>
        </a:p>
        <a:p>
          <a:pPr>
            <a:lnSpc>
              <a:spcPts val="3300"/>
            </a:lnSpc>
          </a:pPr>
          <a:r>
            <a:rPr kumimoji="1" lang="ja-JP" altLang="en-US" sz="2400">
              <a:latin typeface="Meiryo UI" panose="020B0604030504040204" pitchFamily="50" charset="-128"/>
              <a:ea typeface="Meiryo UI" panose="020B0604030504040204" pitchFamily="50" charset="-128"/>
              <a:cs typeface="Meiryo UI" panose="020B0604030504040204" pitchFamily="50" charset="-128"/>
            </a:rPr>
            <a:t>③「外観写真」「地図」を挿入してください。</a:t>
          </a:r>
          <a:endParaRPr kumimoji="1" lang="en-US" altLang="ja-JP" sz="2400">
            <a:latin typeface="Meiryo UI" panose="020B0604030504040204" pitchFamily="50" charset="-128"/>
            <a:ea typeface="Meiryo UI" panose="020B0604030504040204" pitchFamily="50" charset="-128"/>
            <a:cs typeface="Meiryo UI" panose="020B0604030504040204" pitchFamily="50" charset="-128"/>
          </a:endParaRPr>
        </a:p>
        <a:p>
          <a:pPr>
            <a:lnSpc>
              <a:spcPts val="3300"/>
            </a:lnSpc>
          </a:pPr>
          <a:r>
            <a:rPr kumimoji="1" lang="ja-JP" altLang="en-US" sz="2400">
              <a:latin typeface="Meiryo UI" panose="020B0604030504040204" pitchFamily="50" charset="-128"/>
              <a:ea typeface="Meiryo UI" panose="020B0604030504040204" pitchFamily="50" charset="-128"/>
              <a:cs typeface="Meiryo UI" panose="020B0604030504040204" pitchFamily="50" charset="-128"/>
            </a:rPr>
            <a:t>④</a:t>
          </a:r>
          <a:r>
            <a:rPr kumimoji="1" lang="ja-JP" altLang="en-US" sz="2400" b="1" u="sng">
              <a:solidFill>
                <a:srgbClr val="FF0000"/>
              </a:solidFill>
              <a:latin typeface="Meiryo UI" panose="020B0604030504040204" pitchFamily="50" charset="-128"/>
              <a:ea typeface="Meiryo UI" panose="020B0604030504040204" pitchFamily="50" charset="-128"/>
              <a:cs typeface="Meiryo UI" panose="020B0604030504040204" pitchFamily="50" charset="-128"/>
            </a:rPr>
            <a:t>入力後は必ず精査をお願いします</a:t>
          </a:r>
          <a:r>
            <a:rPr kumimoji="1" lang="ja-JP" altLang="en-US" sz="2400">
              <a:latin typeface="Meiryo UI" panose="020B0604030504040204" pitchFamily="50" charset="-128"/>
              <a:ea typeface="Meiryo UI" panose="020B0604030504040204" pitchFamily="50" charset="-128"/>
              <a:cs typeface="Meiryo UI" panose="020B0604030504040204" pitchFamily="50" charset="-128"/>
            </a:rPr>
            <a:t>。</a:t>
          </a:r>
          <a:endParaRPr kumimoji="1" lang="en-US" altLang="ja-JP" sz="2400">
            <a:latin typeface="Meiryo UI" panose="020B0604030504040204" pitchFamily="50" charset="-128"/>
            <a:ea typeface="Meiryo UI" panose="020B0604030504040204" pitchFamily="50" charset="-128"/>
            <a:cs typeface="Meiryo UI" panose="020B0604030504040204" pitchFamily="50" charset="-128"/>
          </a:endParaRPr>
        </a:p>
        <a:p>
          <a:pPr>
            <a:lnSpc>
              <a:spcPts val="3300"/>
            </a:lnSpc>
          </a:pPr>
          <a:r>
            <a:rPr kumimoji="1" lang="ja-JP" altLang="en-US" sz="2400">
              <a:latin typeface="Meiryo UI" panose="020B0604030504040204" pitchFamily="50" charset="-128"/>
              <a:ea typeface="Meiryo UI" panose="020B0604030504040204" pitchFamily="50" charset="-128"/>
              <a:cs typeface="Meiryo UI" panose="020B0604030504040204" pitchFamily="50" charset="-128"/>
            </a:rPr>
            <a:t>　事業計画書などと必ず整合するよう、</a:t>
          </a:r>
          <a:endParaRPr kumimoji="1" lang="en-US" altLang="ja-JP" sz="2400">
            <a:latin typeface="Meiryo UI" panose="020B0604030504040204" pitchFamily="50" charset="-128"/>
            <a:ea typeface="Meiryo UI" panose="020B0604030504040204" pitchFamily="50" charset="-128"/>
            <a:cs typeface="Meiryo UI" panose="020B0604030504040204" pitchFamily="50" charset="-128"/>
          </a:endParaRPr>
        </a:p>
        <a:p>
          <a:pPr>
            <a:lnSpc>
              <a:spcPts val="3300"/>
            </a:lnSpc>
          </a:pPr>
          <a:r>
            <a:rPr kumimoji="1" lang="ja-JP" altLang="en-US" sz="2400">
              <a:latin typeface="Meiryo UI" panose="020B0604030504040204" pitchFamily="50" charset="-128"/>
              <a:ea typeface="Meiryo UI" panose="020B0604030504040204" pitchFamily="50" charset="-128"/>
              <a:cs typeface="Meiryo UI" panose="020B0604030504040204" pitchFamily="50" charset="-128"/>
            </a:rPr>
            <a:t>　隅々まで確認してください。</a:t>
          </a:r>
          <a:endParaRPr kumimoji="1" lang="en-US" altLang="ja-JP" sz="2400">
            <a:latin typeface="Meiryo UI" panose="020B0604030504040204" pitchFamily="50" charset="-128"/>
            <a:ea typeface="Meiryo UI" panose="020B0604030504040204" pitchFamily="50" charset="-128"/>
            <a:cs typeface="Meiryo UI" panose="020B0604030504040204" pitchFamily="50" charset="-128"/>
          </a:endParaRPr>
        </a:p>
        <a:p>
          <a:pPr>
            <a:lnSpc>
              <a:spcPts val="3400"/>
            </a:lnSpc>
          </a:pPr>
          <a:r>
            <a:rPr kumimoji="1" lang="ja-JP" altLang="en-US" sz="2400">
              <a:latin typeface="Meiryo UI" panose="020B0604030504040204" pitchFamily="50" charset="-128"/>
              <a:ea typeface="Meiryo UI" panose="020B0604030504040204" pitchFamily="50" charset="-128"/>
              <a:cs typeface="Meiryo UI" panose="020B0604030504040204" pitchFamily="50" charset="-128"/>
            </a:rPr>
            <a:t>⑤報告者である担当部長の手元資料として、以下</a:t>
          </a:r>
          <a:r>
            <a:rPr kumimoji="1" lang="en-US" altLang="ja-JP" sz="2400">
              <a:latin typeface="Meiryo UI" panose="020B0604030504040204" pitchFamily="50" charset="-128"/>
              <a:ea typeface="Meiryo UI" panose="020B0604030504040204" pitchFamily="50" charset="-128"/>
              <a:cs typeface="Meiryo UI" panose="020B0604030504040204" pitchFamily="50" charset="-128"/>
            </a:rPr>
            <a:t>3</a:t>
          </a:r>
          <a:r>
            <a:rPr kumimoji="1" lang="ja-JP" altLang="en-US" sz="2400">
              <a:latin typeface="Meiryo UI" panose="020B0604030504040204" pitchFamily="50" charset="-128"/>
              <a:ea typeface="Meiryo UI" panose="020B0604030504040204" pitchFamily="50" charset="-128"/>
              <a:cs typeface="Meiryo UI" panose="020B0604030504040204" pitchFamily="50" charset="-128"/>
            </a:rPr>
            <a:t>点セット</a:t>
          </a:r>
          <a:endParaRPr kumimoji="1" lang="en-US" altLang="ja-JP" sz="2400">
            <a:latin typeface="Meiryo UI" panose="020B0604030504040204" pitchFamily="50" charset="-128"/>
            <a:ea typeface="Meiryo UI" panose="020B0604030504040204" pitchFamily="50" charset="-128"/>
            <a:cs typeface="Meiryo UI" panose="020B0604030504040204" pitchFamily="50" charset="-128"/>
          </a:endParaRPr>
        </a:p>
        <a:p>
          <a:pPr>
            <a:lnSpc>
              <a:spcPts val="3400"/>
            </a:lnSpc>
          </a:pPr>
          <a:r>
            <a:rPr kumimoji="1" lang="ja-JP" altLang="en-US" sz="2400">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2400" b="1">
              <a:solidFill>
                <a:srgbClr val="FF0000"/>
              </a:solidFill>
              <a:latin typeface="Meiryo UI" panose="020B0604030504040204" pitchFamily="50" charset="-128"/>
              <a:ea typeface="Meiryo UI" panose="020B0604030504040204" pitchFamily="50" charset="-128"/>
              <a:cs typeface="Meiryo UI" panose="020B0604030504040204" pitchFamily="50" charset="-128"/>
            </a:rPr>
            <a:t>・販売資料簡易版</a:t>
          </a:r>
          <a:endParaRPr kumimoji="1" lang="en-US" altLang="ja-JP" sz="2400" b="1">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a:p>
          <a:pPr>
            <a:lnSpc>
              <a:spcPts val="3400"/>
            </a:lnSpc>
          </a:pPr>
          <a:r>
            <a:rPr kumimoji="1" lang="ja-JP" altLang="en-US" sz="2400" b="1">
              <a:solidFill>
                <a:srgbClr val="FF0000"/>
              </a:solidFill>
              <a:latin typeface="Meiryo UI" panose="020B0604030504040204" pitchFamily="50" charset="-128"/>
              <a:ea typeface="Meiryo UI" panose="020B0604030504040204" pitchFamily="50" charset="-128"/>
              <a:cs typeface="Meiryo UI" panose="020B0604030504040204" pitchFamily="50" charset="-128"/>
            </a:rPr>
            <a:t>　・事業決定時事業計画書、</a:t>
          </a:r>
          <a:endParaRPr kumimoji="1" lang="en-US" altLang="ja-JP" sz="2400" b="1">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a:p>
          <a:pPr>
            <a:lnSpc>
              <a:spcPts val="3400"/>
            </a:lnSpc>
          </a:pPr>
          <a:r>
            <a:rPr kumimoji="1" lang="ja-JP" altLang="en-US" sz="2400" b="1">
              <a:solidFill>
                <a:srgbClr val="FF0000"/>
              </a:solidFill>
              <a:latin typeface="Meiryo UI" panose="020B0604030504040204" pitchFamily="50" charset="-128"/>
              <a:ea typeface="Meiryo UI" panose="020B0604030504040204" pitchFamily="50" charset="-128"/>
              <a:cs typeface="Meiryo UI" panose="020B0604030504040204" pitchFamily="50" charset="-128"/>
            </a:rPr>
            <a:t>　・売却時事業計画書</a:t>
          </a:r>
          <a:r>
            <a:rPr kumimoji="1" lang="ja-JP" altLang="en-US" sz="2400">
              <a:latin typeface="Meiryo UI" panose="020B0604030504040204" pitchFamily="50" charset="-128"/>
              <a:ea typeface="Meiryo UI" panose="020B0604030504040204" pitchFamily="50" charset="-128"/>
              <a:cs typeface="Meiryo UI" panose="020B0604030504040204" pitchFamily="50" charset="-128"/>
            </a:rPr>
            <a:t>（稟議時から契約決済日・原価をアップデート、報告書と数字が一致するもの）</a:t>
          </a:r>
          <a:endParaRPr kumimoji="1" lang="en-US" altLang="ja-JP" sz="2400">
            <a:latin typeface="Meiryo UI" panose="020B0604030504040204" pitchFamily="50" charset="-128"/>
            <a:ea typeface="Meiryo UI" panose="020B0604030504040204" pitchFamily="50" charset="-128"/>
            <a:cs typeface="Meiryo UI" panose="020B0604030504040204" pitchFamily="50" charset="-128"/>
          </a:endParaRPr>
        </a:p>
        <a:p>
          <a:pPr>
            <a:lnSpc>
              <a:spcPts val="3400"/>
            </a:lnSpc>
          </a:pPr>
          <a:r>
            <a:rPr kumimoji="1" lang="ja-JP" altLang="en-US" sz="2400">
              <a:latin typeface="Meiryo UI" panose="020B0604030504040204" pitchFamily="50" charset="-128"/>
              <a:ea typeface="Meiryo UI" panose="020B0604030504040204" pitchFamily="50" charset="-128"/>
              <a:cs typeface="Meiryo UI" panose="020B0604030504040204" pitchFamily="50" charset="-128"/>
            </a:rPr>
            <a:t>をデスクに提出してください。</a:t>
          </a:r>
          <a:endParaRPr kumimoji="1" lang="en-US" altLang="ja-JP" sz="2400">
            <a:latin typeface="Meiryo UI" panose="020B0604030504040204" pitchFamily="50" charset="-128"/>
            <a:ea typeface="Meiryo UI" panose="020B0604030504040204" pitchFamily="50" charset="-128"/>
            <a:cs typeface="Meiryo UI" panose="020B0604030504040204" pitchFamily="50" charset="-128"/>
          </a:endParaRPr>
        </a:p>
        <a:p>
          <a:pPr>
            <a:lnSpc>
              <a:spcPts val="3400"/>
            </a:lnSpc>
          </a:pPr>
          <a:endParaRPr kumimoji="1" lang="en-US" altLang="ja-JP" sz="2400">
            <a:latin typeface="Meiryo UI" panose="020B0604030504040204" pitchFamily="50" charset="-128"/>
            <a:ea typeface="Meiryo UI" panose="020B0604030504040204" pitchFamily="50" charset="-128"/>
            <a:cs typeface="Meiryo UI" panose="020B0604030504040204" pitchFamily="50" charset="-128"/>
          </a:endParaRPr>
        </a:p>
        <a:p>
          <a:pPr>
            <a:lnSpc>
              <a:spcPts val="3300"/>
            </a:lnSpc>
          </a:pPr>
          <a:r>
            <a:rPr kumimoji="1" lang="en-US" altLang="ja-JP" sz="24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2400">
              <a:latin typeface="Meiryo UI" panose="020B0604030504040204" pitchFamily="50" charset="-128"/>
              <a:ea typeface="Meiryo UI" panose="020B0604030504040204" pitchFamily="50" charset="-128"/>
              <a:cs typeface="Meiryo UI" panose="020B0604030504040204" pitchFamily="50" charset="-128"/>
            </a:rPr>
            <a:t>不明点があれば、必ず経営企画部に問い合わせてください。</a:t>
          </a:r>
          <a:endParaRPr kumimoji="1" lang="en-US" altLang="ja-JP" sz="24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3</xdr:col>
      <xdr:colOff>333374</xdr:colOff>
      <xdr:row>4</xdr:row>
      <xdr:rowOff>119061</xdr:rowOff>
    </xdr:from>
    <xdr:to>
      <xdr:col>10</xdr:col>
      <xdr:colOff>142874</xdr:colOff>
      <xdr:row>5</xdr:row>
      <xdr:rowOff>3700467</xdr:rowOff>
    </xdr:to>
    <xdr:sp macro="" textlink="">
      <xdr:nvSpPr>
        <xdr:cNvPr id="5" name="テキスト ボックス 4">
          <a:extLst>
            <a:ext uri="{FF2B5EF4-FFF2-40B4-BE49-F238E27FC236}">
              <a16:creationId xmlns="" xmlns:a16="http://schemas.microsoft.com/office/drawing/2014/main" id="{00000000-0008-0000-0300-000005000000}"/>
            </a:ext>
          </a:extLst>
        </xdr:cNvPr>
        <xdr:cNvSpPr txBox="1"/>
      </xdr:nvSpPr>
      <xdr:spPr>
        <a:xfrm>
          <a:off x="2262187" y="2190749"/>
          <a:ext cx="5476875" cy="77866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lnSpc>
              <a:spcPts val="5400"/>
            </a:lnSpc>
          </a:pPr>
          <a:r>
            <a:rPr kumimoji="1" lang="ja-JP" altLang="en-US" sz="4400" b="1">
              <a:latin typeface="ＭＳ 明朝" panose="02020609040205080304" pitchFamily="17" charset="-128"/>
              <a:ea typeface="ＭＳ 明朝" panose="02020609040205080304" pitchFamily="17" charset="-128"/>
            </a:rPr>
            <a:t>外観写真</a:t>
          </a:r>
          <a:endParaRPr kumimoji="1" lang="en-US" altLang="ja-JP" sz="4400" b="1">
            <a:latin typeface="ＭＳ 明朝" panose="02020609040205080304" pitchFamily="17" charset="-128"/>
            <a:ea typeface="ＭＳ 明朝" panose="02020609040205080304" pitchFamily="17" charset="-128"/>
          </a:endParaRPr>
        </a:p>
        <a:p>
          <a:pPr algn="ctr">
            <a:lnSpc>
              <a:spcPts val="5300"/>
            </a:lnSpc>
          </a:pPr>
          <a:r>
            <a:rPr kumimoji="1" lang="ja-JP" altLang="en-US" sz="4400" b="1">
              <a:latin typeface="ＭＳ 明朝" panose="02020609040205080304" pitchFamily="17" charset="-128"/>
              <a:ea typeface="ＭＳ 明朝" panose="02020609040205080304" pitchFamily="17" charset="-128"/>
            </a:rPr>
            <a:t>（右欄外参照）</a:t>
          </a:r>
          <a:endParaRPr kumimoji="1" lang="en-US" altLang="ja-JP" sz="4400" b="1">
            <a:latin typeface="ＭＳ 明朝" panose="02020609040205080304" pitchFamily="17" charset="-128"/>
            <a:ea typeface="ＭＳ 明朝" panose="02020609040205080304" pitchFamily="17" charset="-128"/>
          </a:endParaRPr>
        </a:p>
      </xdr:txBody>
    </xdr:sp>
    <xdr:clientData/>
  </xdr:twoCellAnchor>
  <xdr:twoCellAnchor>
    <xdr:from>
      <xdr:col>10</xdr:col>
      <xdr:colOff>414336</xdr:colOff>
      <xdr:row>4</xdr:row>
      <xdr:rowOff>128588</xdr:rowOff>
    </xdr:from>
    <xdr:to>
      <xdr:col>18</xdr:col>
      <xdr:colOff>523874</xdr:colOff>
      <xdr:row>5</xdr:row>
      <xdr:rowOff>3700463</xdr:rowOff>
    </xdr:to>
    <xdr:sp macro="" textlink="">
      <xdr:nvSpPr>
        <xdr:cNvPr id="6" name="テキスト ボックス 5">
          <a:extLst>
            <a:ext uri="{FF2B5EF4-FFF2-40B4-BE49-F238E27FC236}">
              <a16:creationId xmlns="" xmlns:a16="http://schemas.microsoft.com/office/drawing/2014/main" id="{00000000-0008-0000-0300-000006000000}"/>
            </a:ext>
          </a:extLst>
        </xdr:cNvPr>
        <xdr:cNvSpPr txBox="1"/>
      </xdr:nvSpPr>
      <xdr:spPr>
        <a:xfrm>
          <a:off x="8010524" y="2200276"/>
          <a:ext cx="6586538" cy="77866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lnSpc>
              <a:spcPts val="5300"/>
            </a:lnSpc>
          </a:pPr>
          <a:r>
            <a:rPr kumimoji="1" lang="ja-JP" altLang="en-US" sz="4400" b="1">
              <a:latin typeface="ＭＳ 明朝" panose="02020609040205080304" pitchFamily="17" charset="-128"/>
              <a:ea typeface="ＭＳ 明朝" panose="02020609040205080304" pitchFamily="17" charset="-128"/>
            </a:rPr>
            <a:t>地図</a:t>
          </a:r>
          <a:endParaRPr kumimoji="1" lang="en-US" altLang="ja-JP" sz="4400" b="1">
            <a:latin typeface="ＭＳ 明朝" panose="02020609040205080304" pitchFamily="17" charset="-128"/>
            <a:ea typeface="ＭＳ 明朝" panose="02020609040205080304" pitchFamily="17" charset="-128"/>
          </a:endParaRPr>
        </a:p>
        <a:p>
          <a:pPr algn="ctr">
            <a:lnSpc>
              <a:spcPts val="5300"/>
            </a:lnSpc>
          </a:pPr>
          <a:r>
            <a:rPr kumimoji="1" lang="ja-JP" altLang="en-US" sz="4400" b="1">
              <a:latin typeface="ＭＳ 明朝" panose="02020609040205080304" pitchFamily="17" charset="-128"/>
              <a:ea typeface="ＭＳ 明朝" panose="02020609040205080304" pitchFamily="17" charset="-128"/>
            </a:rPr>
            <a:t>（右欄外参照）</a:t>
          </a:r>
          <a:endParaRPr kumimoji="1" lang="en-US" altLang="ja-JP" sz="4400" b="1">
            <a:latin typeface="ＭＳ 明朝" panose="02020609040205080304" pitchFamily="17" charset="-128"/>
            <a:ea typeface="ＭＳ 明朝" panose="02020609040205080304" pitchFamily="17" charset="-128"/>
          </a:endParaRPr>
        </a:p>
      </xdr:txBody>
    </xdr:sp>
    <xdr:clientData/>
  </xdr:twoCellAnchor>
  <xdr:twoCellAnchor editAs="oneCell">
    <xdr:from>
      <xdr:col>27</xdr:col>
      <xdr:colOff>209550</xdr:colOff>
      <xdr:row>4</xdr:row>
      <xdr:rowOff>176212</xdr:rowOff>
    </xdr:from>
    <xdr:to>
      <xdr:col>35</xdr:col>
      <xdr:colOff>142875</xdr:colOff>
      <xdr:row>5</xdr:row>
      <xdr:rowOff>3700462</xdr:rowOff>
    </xdr:to>
    <xdr:pic>
      <xdr:nvPicPr>
        <xdr:cNvPr id="70778" name="図 1">
          <a:extLst>
            <a:ext uri="{FF2B5EF4-FFF2-40B4-BE49-F238E27FC236}">
              <a16:creationId xmlns="" xmlns:a16="http://schemas.microsoft.com/office/drawing/2014/main" id="{00000000-0008-0000-0300-00007A14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50300" y="2247900"/>
          <a:ext cx="5457825" cy="7739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35</xdr:col>
      <xdr:colOff>409575</xdr:colOff>
      <xdr:row>4</xdr:row>
      <xdr:rowOff>176212</xdr:rowOff>
    </xdr:from>
    <xdr:to>
      <xdr:col>45</xdr:col>
      <xdr:colOff>95250</xdr:colOff>
      <xdr:row>5</xdr:row>
      <xdr:rowOff>3729037</xdr:rowOff>
    </xdr:to>
    <xdr:pic>
      <xdr:nvPicPr>
        <xdr:cNvPr id="70779" name="図 2">
          <a:extLst>
            <a:ext uri="{FF2B5EF4-FFF2-40B4-BE49-F238E27FC236}">
              <a16:creationId xmlns="" xmlns:a16="http://schemas.microsoft.com/office/drawing/2014/main" id="{00000000-0008-0000-0300-00007B1401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174825" y="2247900"/>
          <a:ext cx="6591300" cy="77676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28576</xdr:colOff>
      <xdr:row>0</xdr:row>
      <xdr:rowOff>28575</xdr:rowOff>
    </xdr:from>
    <xdr:to>
      <xdr:col>4</xdr:col>
      <xdr:colOff>0</xdr:colOff>
      <xdr:row>0</xdr:row>
      <xdr:rowOff>371475</xdr:rowOff>
    </xdr:to>
    <xdr:sp macro="" textlink="">
      <xdr:nvSpPr>
        <xdr:cNvPr id="2" name="Text Box 1">
          <a:extLst>
            <a:ext uri="{FF2B5EF4-FFF2-40B4-BE49-F238E27FC236}">
              <a16:creationId xmlns="" xmlns:a16="http://schemas.microsoft.com/office/drawing/2014/main" id="{00000000-0008-0000-0400-000002000000}"/>
            </a:ext>
          </a:extLst>
        </xdr:cNvPr>
        <xdr:cNvSpPr txBox="1">
          <a:spLocks noChangeArrowheads="1"/>
        </xdr:cNvSpPr>
      </xdr:nvSpPr>
      <xdr:spPr bwMode="auto">
        <a:xfrm>
          <a:off x="28576" y="28575"/>
          <a:ext cx="2162174" cy="342900"/>
        </a:xfrm>
        <a:prstGeom prst="rect">
          <a:avLst/>
        </a:prstGeom>
        <a:solidFill>
          <a:srgbClr val="FFFFFF"/>
        </a:solidFill>
        <a:ln w="15875">
          <a:solidFill>
            <a:srgbClr val="000000"/>
          </a:solidFill>
          <a:miter lim="800000"/>
          <a:headEnd/>
          <a:tailEnd/>
        </a:ln>
      </xdr:spPr>
      <xdr:txBody>
        <a:bodyPr vertOverflow="clip" wrap="square" lIns="74295" tIns="8890" rIns="74295" bIns="8890" anchor="ctr" upright="1"/>
        <a:lstStyle/>
        <a:p>
          <a:pPr algn="ctr" rtl="0">
            <a:defRPr sz="1000"/>
          </a:pPr>
          <a:r>
            <a:rPr lang="ja-JP" altLang="en-US" sz="1600" b="1" i="0" u="none" strike="noStrike" baseline="0">
              <a:solidFill>
                <a:srgbClr val="000000"/>
              </a:solidFill>
              <a:latin typeface="ＭＳ 明朝"/>
              <a:ea typeface="ＭＳ 明朝"/>
            </a:rPr>
            <a:t>購入契約締結</a:t>
          </a:r>
          <a:endParaRPr lang="ja-JP" altLang="en-US" sz="1600" b="1" i="0" u="none" strike="noStrike" baseline="0">
            <a:solidFill>
              <a:srgbClr val="000000"/>
            </a:solidFill>
            <a:latin typeface="Times New Roman"/>
            <a:cs typeface="Times New Roman"/>
          </a:endParaRPr>
        </a:p>
      </xdr:txBody>
    </xdr:sp>
    <xdr:clientData/>
  </xdr:twoCellAnchor>
  <xdr:twoCellAnchor>
    <xdr:from>
      <xdr:col>8</xdr:col>
      <xdr:colOff>104776</xdr:colOff>
      <xdr:row>14</xdr:row>
      <xdr:rowOff>66675</xdr:rowOff>
    </xdr:from>
    <xdr:to>
      <xdr:col>8</xdr:col>
      <xdr:colOff>733426</xdr:colOff>
      <xdr:row>14</xdr:row>
      <xdr:rowOff>238125</xdr:rowOff>
    </xdr:to>
    <xdr:sp macro="" textlink="">
      <xdr:nvSpPr>
        <xdr:cNvPr id="3" name="正方形/長方形 2">
          <a:extLst>
            <a:ext uri="{FF2B5EF4-FFF2-40B4-BE49-F238E27FC236}">
              <a16:creationId xmlns="" xmlns:a16="http://schemas.microsoft.com/office/drawing/2014/main" id="{00000000-0008-0000-0400-000003000000}"/>
            </a:ext>
          </a:extLst>
        </xdr:cNvPr>
        <xdr:cNvSpPr/>
      </xdr:nvSpPr>
      <xdr:spPr>
        <a:xfrm>
          <a:off x="5848351" y="3429000"/>
          <a:ext cx="628650" cy="17145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28575</xdr:rowOff>
    </xdr:from>
    <xdr:to>
      <xdr:col>4</xdr:col>
      <xdr:colOff>0</xdr:colOff>
      <xdr:row>0</xdr:row>
      <xdr:rowOff>371475</xdr:rowOff>
    </xdr:to>
    <xdr:sp macro="" textlink="">
      <xdr:nvSpPr>
        <xdr:cNvPr id="2" name="Text Box 1">
          <a:extLst>
            <a:ext uri="{FF2B5EF4-FFF2-40B4-BE49-F238E27FC236}">
              <a16:creationId xmlns="" xmlns:a16="http://schemas.microsoft.com/office/drawing/2014/main" id="{00000000-0008-0000-0500-000002000000}"/>
            </a:ext>
          </a:extLst>
        </xdr:cNvPr>
        <xdr:cNvSpPr txBox="1">
          <a:spLocks noChangeArrowheads="1"/>
        </xdr:cNvSpPr>
      </xdr:nvSpPr>
      <xdr:spPr bwMode="auto">
        <a:xfrm>
          <a:off x="28575" y="28575"/>
          <a:ext cx="2162175" cy="342900"/>
        </a:xfrm>
        <a:prstGeom prst="rect">
          <a:avLst/>
        </a:prstGeom>
        <a:solidFill>
          <a:srgbClr val="FFFFFF"/>
        </a:solidFill>
        <a:ln w="15875">
          <a:solidFill>
            <a:srgbClr val="000000"/>
          </a:solidFill>
          <a:miter lim="800000"/>
          <a:headEnd/>
          <a:tailEnd/>
        </a:ln>
      </xdr:spPr>
      <xdr:txBody>
        <a:bodyPr vertOverflow="clip" wrap="square" lIns="74295" tIns="8890" rIns="74295" bIns="8890" anchor="ctr" upright="1"/>
        <a:lstStyle/>
        <a:p>
          <a:pPr algn="ctr" rtl="0">
            <a:defRPr sz="1000"/>
          </a:pPr>
          <a:r>
            <a:rPr lang="ja-JP" altLang="en-US" sz="1600" b="1" i="0" u="none" strike="noStrike" baseline="0">
              <a:solidFill>
                <a:srgbClr val="000000"/>
              </a:solidFill>
              <a:latin typeface="ＭＳ 明朝"/>
              <a:ea typeface="ＭＳ 明朝"/>
            </a:rPr>
            <a:t>売却契約締結</a:t>
          </a:r>
          <a:endParaRPr lang="ja-JP" altLang="en-US" sz="1600" b="1" i="0" u="none" strike="noStrike" baseline="0">
            <a:solidFill>
              <a:srgbClr val="000000"/>
            </a:solidFill>
            <a:latin typeface="Times New Roman"/>
            <a:cs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43</xdr:row>
      <xdr:rowOff>19050</xdr:rowOff>
    </xdr:from>
    <xdr:to>
      <xdr:col>1</xdr:col>
      <xdr:colOff>0</xdr:colOff>
      <xdr:row>44</xdr:row>
      <xdr:rowOff>2802</xdr:rowOff>
    </xdr:to>
    <xdr:sp macro="" textlink="">
      <xdr:nvSpPr>
        <xdr:cNvPr id="45485" name="Text Box 172">
          <a:extLst>
            <a:ext uri="{FF2B5EF4-FFF2-40B4-BE49-F238E27FC236}">
              <a16:creationId xmlns="" xmlns:a16="http://schemas.microsoft.com/office/drawing/2014/main" id="{00000000-0008-0000-0600-0000ADB10000}"/>
            </a:ext>
          </a:extLst>
        </xdr:cNvPr>
        <xdr:cNvSpPr txBox="1">
          <a:spLocks noChangeArrowheads="1"/>
        </xdr:cNvSpPr>
      </xdr:nvSpPr>
      <xdr:spPr bwMode="auto">
        <a:xfrm>
          <a:off x="0" y="10077450"/>
          <a:ext cx="95250"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1076325</xdr:colOff>
      <xdr:row>1</xdr:row>
      <xdr:rowOff>47625</xdr:rowOff>
    </xdr:from>
    <xdr:to>
      <xdr:col>8</xdr:col>
      <xdr:colOff>847725</xdr:colOff>
      <xdr:row>3</xdr:row>
      <xdr:rowOff>0</xdr:rowOff>
    </xdr:to>
    <xdr:grpSp>
      <xdr:nvGrpSpPr>
        <xdr:cNvPr id="74383" name="グループ化 30">
          <a:extLst>
            <a:ext uri="{FF2B5EF4-FFF2-40B4-BE49-F238E27FC236}">
              <a16:creationId xmlns="" xmlns:a16="http://schemas.microsoft.com/office/drawing/2014/main" id="{00000000-0008-0000-0700-00008F220100}"/>
            </a:ext>
          </a:extLst>
        </xdr:cNvPr>
        <xdr:cNvGrpSpPr>
          <a:grpSpLocks/>
        </xdr:cNvGrpSpPr>
      </xdr:nvGrpSpPr>
      <xdr:grpSpPr bwMode="auto">
        <a:xfrm>
          <a:off x="8924925" y="428625"/>
          <a:ext cx="6210300" cy="1057275"/>
          <a:chOff x="5870864" y="34688317"/>
          <a:chExt cx="6303818" cy="1056409"/>
        </a:xfrm>
      </xdr:grpSpPr>
      <xdr:sp macro="" textlink="">
        <xdr:nvSpPr>
          <xdr:cNvPr id="74410" name="Rectangle 2">
            <a:extLst>
              <a:ext uri="{FF2B5EF4-FFF2-40B4-BE49-F238E27FC236}">
                <a16:creationId xmlns="" xmlns:a16="http://schemas.microsoft.com/office/drawing/2014/main" id="{00000000-0008-0000-0700-0000AA220100}"/>
              </a:ext>
            </a:extLst>
          </xdr:cNvPr>
          <xdr:cNvSpPr>
            <a:spLocks noChangeArrowheads="1"/>
          </xdr:cNvSpPr>
        </xdr:nvSpPr>
        <xdr:spPr bwMode="auto">
          <a:xfrm>
            <a:off x="5870864" y="34688317"/>
            <a:ext cx="5363674" cy="1044125"/>
          </a:xfrm>
          <a:prstGeom prst="rect">
            <a:avLst/>
          </a:prstGeom>
          <a:solidFill>
            <a:srgbClr xmlns:mc="http://schemas.openxmlformats.org/markup-compatibility/2006" xmlns:a14="http://schemas.microsoft.com/office/drawing/2010/main" val="FFFFFF" mc:Ignorable="a14" a14:legacySpreadsheetColorIndex="9"/>
          </a:solidFill>
          <a:ln w="1587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74411" name="Line 3">
            <a:extLst>
              <a:ext uri="{FF2B5EF4-FFF2-40B4-BE49-F238E27FC236}">
                <a16:creationId xmlns="" xmlns:a16="http://schemas.microsoft.com/office/drawing/2014/main" id="{00000000-0008-0000-0700-0000AB220100}"/>
              </a:ext>
            </a:extLst>
          </xdr:cNvPr>
          <xdr:cNvSpPr>
            <a:spLocks noChangeShapeType="1"/>
          </xdr:cNvSpPr>
        </xdr:nvSpPr>
        <xdr:spPr bwMode="auto">
          <a:xfrm>
            <a:off x="5870864" y="34933994"/>
            <a:ext cx="534964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4412" name="Line 5">
            <a:extLst>
              <a:ext uri="{FF2B5EF4-FFF2-40B4-BE49-F238E27FC236}">
                <a16:creationId xmlns="" xmlns:a16="http://schemas.microsoft.com/office/drawing/2014/main" id="{00000000-0008-0000-0700-0000AC220100}"/>
              </a:ext>
            </a:extLst>
          </xdr:cNvPr>
          <xdr:cNvSpPr>
            <a:spLocks noChangeShapeType="1"/>
          </xdr:cNvSpPr>
        </xdr:nvSpPr>
        <xdr:spPr bwMode="auto">
          <a:xfrm>
            <a:off x="6968811" y="34688317"/>
            <a:ext cx="0" cy="101955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 name="Text Box 6">
            <a:extLst>
              <a:ext uri="{FF2B5EF4-FFF2-40B4-BE49-F238E27FC236}">
                <a16:creationId xmlns="" xmlns:a16="http://schemas.microsoft.com/office/drawing/2014/main" id="{00000000-0008-0000-0700-000006000000}"/>
              </a:ext>
            </a:extLst>
          </xdr:cNvPr>
          <xdr:cNvSpPr txBox="1">
            <a:spLocks noChangeArrowheads="1"/>
          </xdr:cNvSpPr>
        </xdr:nvSpPr>
        <xdr:spPr bwMode="auto">
          <a:xfrm>
            <a:off x="8330418" y="34726732"/>
            <a:ext cx="1171677" cy="5282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0" u="none" strike="noStrike" baseline="0">
                <a:solidFill>
                  <a:srgbClr val="000000"/>
                </a:solidFill>
                <a:latin typeface="ＭＳ Ｐゴシック"/>
                <a:ea typeface="ＭＳ Ｐゴシック"/>
              </a:rPr>
              <a:t>RP部長</a:t>
            </a:r>
          </a:p>
        </xdr:txBody>
      </xdr:sp>
      <xdr:sp macro="" textlink="">
        <xdr:nvSpPr>
          <xdr:cNvPr id="7" name="Text Box 8">
            <a:extLst>
              <a:ext uri="{FF2B5EF4-FFF2-40B4-BE49-F238E27FC236}">
                <a16:creationId xmlns="" xmlns:a16="http://schemas.microsoft.com/office/drawing/2014/main" id="{00000000-0008-0000-0700-000007000000}"/>
              </a:ext>
            </a:extLst>
          </xdr:cNvPr>
          <xdr:cNvSpPr txBox="1">
            <a:spLocks noChangeArrowheads="1"/>
          </xdr:cNvSpPr>
        </xdr:nvSpPr>
        <xdr:spPr bwMode="auto">
          <a:xfrm>
            <a:off x="7178107" y="34726732"/>
            <a:ext cx="881179" cy="5282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0" u="none" strike="noStrike" baseline="0">
                <a:solidFill>
                  <a:srgbClr val="000000"/>
                </a:solidFill>
                <a:latin typeface="ＭＳ Ｐゴシック"/>
                <a:ea typeface="ＭＳ Ｐゴシック"/>
              </a:rPr>
              <a:t>AM本部長</a:t>
            </a:r>
          </a:p>
        </xdr:txBody>
      </xdr:sp>
      <xdr:sp macro="" textlink="">
        <xdr:nvSpPr>
          <xdr:cNvPr id="74415" name="Line 9">
            <a:extLst>
              <a:ext uri="{FF2B5EF4-FFF2-40B4-BE49-F238E27FC236}">
                <a16:creationId xmlns="" xmlns:a16="http://schemas.microsoft.com/office/drawing/2014/main" id="{00000000-0008-0000-0700-0000AF220100}"/>
              </a:ext>
            </a:extLst>
          </xdr:cNvPr>
          <xdr:cNvSpPr>
            <a:spLocks noChangeShapeType="1"/>
          </xdr:cNvSpPr>
        </xdr:nvSpPr>
        <xdr:spPr bwMode="auto">
          <a:xfrm flipH="1">
            <a:off x="8045989" y="34688317"/>
            <a:ext cx="0" cy="1044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 name="Text Box 10">
            <a:extLst>
              <a:ext uri="{FF2B5EF4-FFF2-40B4-BE49-F238E27FC236}">
                <a16:creationId xmlns="" xmlns:a16="http://schemas.microsoft.com/office/drawing/2014/main" id="{00000000-0008-0000-0700-000009000000}"/>
              </a:ext>
            </a:extLst>
          </xdr:cNvPr>
          <xdr:cNvSpPr txBox="1">
            <a:spLocks noChangeArrowheads="1"/>
          </xdr:cNvSpPr>
        </xdr:nvSpPr>
        <xdr:spPr bwMode="auto">
          <a:xfrm>
            <a:off x="10470424" y="34726732"/>
            <a:ext cx="1704258" cy="5282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0" u="none" strike="noStrike" baseline="0">
                <a:solidFill>
                  <a:srgbClr val="000000"/>
                </a:solidFill>
                <a:latin typeface="ＭＳ Ｐゴシック"/>
                <a:ea typeface="ＭＳ Ｐゴシック"/>
              </a:rPr>
              <a:t>PJ担当</a:t>
            </a:r>
          </a:p>
        </xdr:txBody>
      </xdr:sp>
      <xdr:sp macro="" textlink="">
        <xdr:nvSpPr>
          <xdr:cNvPr id="74417" name="Line 9">
            <a:extLst>
              <a:ext uri="{FF2B5EF4-FFF2-40B4-BE49-F238E27FC236}">
                <a16:creationId xmlns="" xmlns:a16="http://schemas.microsoft.com/office/drawing/2014/main" id="{00000000-0008-0000-0700-0000B1220100}"/>
              </a:ext>
            </a:extLst>
          </xdr:cNvPr>
          <xdr:cNvSpPr>
            <a:spLocks noChangeShapeType="1"/>
          </xdr:cNvSpPr>
        </xdr:nvSpPr>
        <xdr:spPr bwMode="auto">
          <a:xfrm flipH="1">
            <a:off x="9129739" y="34688317"/>
            <a:ext cx="0" cy="1044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4418" name="Line 9">
            <a:extLst>
              <a:ext uri="{FF2B5EF4-FFF2-40B4-BE49-F238E27FC236}">
                <a16:creationId xmlns="" xmlns:a16="http://schemas.microsoft.com/office/drawing/2014/main" id="{00000000-0008-0000-0700-0000B2220100}"/>
              </a:ext>
            </a:extLst>
          </xdr:cNvPr>
          <xdr:cNvSpPr>
            <a:spLocks noChangeShapeType="1"/>
          </xdr:cNvSpPr>
        </xdr:nvSpPr>
        <xdr:spPr bwMode="auto">
          <a:xfrm flipH="1">
            <a:off x="10196170" y="34700601"/>
            <a:ext cx="0" cy="1044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2" name="Text Box 7">
            <a:extLst>
              <a:ext uri="{FF2B5EF4-FFF2-40B4-BE49-F238E27FC236}">
                <a16:creationId xmlns="" xmlns:a16="http://schemas.microsoft.com/office/drawing/2014/main" id="{00000000-0008-0000-0700-00000C000000}"/>
              </a:ext>
            </a:extLst>
          </xdr:cNvPr>
          <xdr:cNvSpPr txBox="1">
            <a:spLocks noChangeArrowheads="1"/>
          </xdr:cNvSpPr>
        </xdr:nvSpPr>
        <xdr:spPr bwMode="auto">
          <a:xfrm>
            <a:off x="9492412" y="34726732"/>
            <a:ext cx="1113578" cy="5282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200" b="0" i="0" u="none" strike="noStrike" baseline="0">
                <a:solidFill>
                  <a:srgbClr val="000000"/>
                </a:solidFill>
                <a:latin typeface="ＭＳ Ｐゴシック"/>
                <a:ea typeface="ＭＳ Ｐゴシック"/>
              </a:rPr>
              <a:t>AML</a:t>
            </a:r>
            <a:endParaRPr lang="ja-JP" altLang="en-US" sz="1200" b="0" i="0" u="none" strike="noStrike" baseline="0">
              <a:solidFill>
                <a:srgbClr val="000000"/>
              </a:solidFill>
              <a:latin typeface="ＭＳ Ｐゴシック"/>
              <a:ea typeface="ＭＳ Ｐゴシック"/>
            </a:endParaRPr>
          </a:p>
        </xdr:txBody>
      </xdr:sp>
      <xdr:sp macro="" textlink="">
        <xdr:nvSpPr>
          <xdr:cNvPr id="13" name="Text Box 8">
            <a:extLst>
              <a:ext uri="{FF2B5EF4-FFF2-40B4-BE49-F238E27FC236}">
                <a16:creationId xmlns="" xmlns:a16="http://schemas.microsoft.com/office/drawing/2014/main" id="{00000000-0008-0000-0700-00000D000000}"/>
              </a:ext>
            </a:extLst>
          </xdr:cNvPr>
          <xdr:cNvSpPr txBox="1">
            <a:spLocks noChangeArrowheads="1"/>
          </xdr:cNvSpPr>
        </xdr:nvSpPr>
        <xdr:spPr bwMode="auto">
          <a:xfrm>
            <a:off x="6248512" y="34717128"/>
            <a:ext cx="871496" cy="5282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0" u="none" strike="noStrike" baseline="0">
                <a:solidFill>
                  <a:srgbClr val="000000"/>
                </a:solidFill>
                <a:latin typeface="ＭＳ Ｐゴシック"/>
                <a:ea typeface="ＭＳ Ｐゴシック"/>
              </a:rPr>
              <a:t>社長</a:t>
            </a:r>
          </a:p>
        </xdr:txBody>
      </xdr:sp>
    </xdr:grpSp>
    <xdr:clientData/>
  </xdr:twoCellAnchor>
  <xdr:twoCellAnchor>
    <xdr:from>
      <xdr:col>4</xdr:col>
      <xdr:colOff>1076325</xdr:colOff>
      <xdr:row>1</xdr:row>
      <xdr:rowOff>47625</xdr:rowOff>
    </xdr:from>
    <xdr:to>
      <xdr:col>8</xdr:col>
      <xdr:colOff>847725</xdr:colOff>
      <xdr:row>3</xdr:row>
      <xdr:rowOff>0</xdr:rowOff>
    </xdr:to>
    <xdr:grpSp>
      <xdr:nvGrpSpPr>
        <xdr:cNvPr id="74385" name="グループ化 30">
          <a:extLst>
            <a:ext uri="{FF2B5EF4-FFF2-40B4-BE49-F238E27FC236}">
              <a16:creationId xmlns="" xmlns:a16="http://schemas.microsoft.com/office/drawing/2014/main" id="{00000000-0008-0000-0700-000091220100}"/>
            </a:ext>
          </a:extLst>
        </xdr:cNvPr>
        <xdr:cNvGrpSpPr>
          <a:grpSpLocks/>
        </xdr:cNvGrpSpPr>
      </xdr:nvGrpSpPr>
      <xdr:grpSpPr bwMode="auto">
        <a:xfrm>
          <a:off x="8924925" y="428625"/>
          <a:ext cx="6210300" cy="1057275"/>
          <a:chOff x="5870864" y="34688317"/>
          <a:chExt cx="6303818" cy="1056409"/>
        </a:xfrm>
      </xdr:grpSpPr>
      <xdr:sp macro="" textlink="">
        <xdr:nvSpPr>
          <xdr:cNvPr id="74399" name="Rectangle 2">
            <a:extLst>
              <a:ext uri="{FF2B5EF4-FFF2-40B4-BE49-F238E27FC236}">
                <a16:creationId xmlns="" xmlns:a16="http://schemas.microsoft.com/office/drawing/2014/main" id="{00000000-0008-0000-0700-00009F220100}"/>
              </a:ext>
            </a:extLst>
          </xdr:cNvPr>
          <xdr:cNvSpPr>
            <a:spLocks noChangeArrowheads="1"/>
          </xdr:cNvSpPr>
        </xdr:nvSpPr>
        <xdr:spPr bwMode="auto">
          <a:xfrm>
            <a:off x="5870864" y="34688317"/>
            <a:ext cx="5363674" cy="1044125"/>
          </a:xfrm>
          <a:prstGeom prst="rect">
            <a:avLst/>
          </a:prstGeom>
          <a:solidFill>
            <a:srgbClr xmlns:mc="http://schemas.openxmlformats.org/markup-compatibility/2006" xmlns:a14="http://schemas.microsoft.com/office/drawing/2010/main" val="FFFFFF" mc:Ignorable="a14" a14:legacySpreadsheetColorIndex="9"/>
          </a:solidFill>
          <a:ln w="1587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74400" name="Line 3">
            <a:extLst>
              <a:ext uri="{FF2B5EF4-FFF2-40B4-BE49-F238E27FC236}">
                <a16:creationId xmlns="" xmlns:a16="http://schemas.microsoft.com/office/drawing/2014/main" id="{00000000-0008-0000-0700-0000A0220100}"/>
              </a:ext>
            </a:extLst>
          </xdr:cNvPr>
          <xdr:cNvSpPr>
            <a:spLocks noChangeShapeType="1"/>
          </xdr:cNvSpPr>
        </xdr:nvSpPr>
        <xdr:spPr bwMode="auto">
          <a:xfrm>
            <a:off x="5870864" y="34933994"/>
            <a:ext cx="534964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4401" name="Line 5">
            <a:extLst>
              <a:ext uri="{FF2B5EF4-FFF2-40B4-BE49-F238E27FC236}">
                <a16:creationId xmlns="" xmlns:a16="http://schemas.microsoft.com/office/drawing/2014/main" id="{00000000-0008-0000-0700-0000A1220100}"/>
              </a:ext>
            </a:extLst>
          </xdr:cNvPr>
          <xdr:cNvSpPr>
            <a:spLocks noChangeShapeType="1"/>
          </xdr:cNvSpPr>
        </xdr:nvSpPr>
        <xdr:spPr bwMode="auto">
          <a:xfrm>
            <a:off x="6968811" y="34688317"/>
            <a:ext cx="0" cy="101955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9" name="Text Box 6">
            <a:extLst>
              <a:ext uri="{FF2B5EF4-FFF2-40B4-BE49-F238E27FC236}">
                <a16:creationId xmlns="" xmlns:a16="http://schemas.microsoft.com/office/drawing/2014/main" id="{00000000-0008-0000-0700-000013000000}"/>
              </a:ext>
            </a:extLst>
          </xdr:cNvPr>
          <xdr:cNvSpPr txBox="1">
            <a:spLocks noChangeArrowheads="1"/>
          </xdr:cNvSpPr>
        </xdr:nvSpPr>
        <xdr:spPr bwMode="auto">
          <a:xfrm>
            <a:off x="8330418" y="34726732"/>
            <a:ext cx="1171677" cy="5282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0" u="none" strike="noStrike" baseline="0">
                <a:solidFill>
                  <a:srgbClr val="000000"/>
                </a:solidFill>
                <a:latin typeface="ＭＳ Ｐゴシック"/>
                <a:ea typeface="ＭＳ Ｐゴシック"/>
              </a:rPr>
              <a:t>RP部長</a:t>
            </a:r>
          </a:p>
        </xdr:txBody>
      </xdr:sp>
      <xdr:sp macro="" textlink="">
        <xdr:nvSpPr>
          <xdr:cNvPr id="20" name="Text Box 8">
            <a:extLst>
              <a:ext uri="{FF2B5EF4-FFF2-40B4-BE49-F238E27FC236}">
                <a16:creationId xmlns="" xmlns:a16="http://schemas.microsoft.com/office/drawing/2014/main" id="{00000000-0008-0000-0700-000014000000}"/>
              </a:ext>
            </a:extLst>
          </xdr:cNvPr>
          <xdr:cNvSpPr txBox="1">
            <a:spLocks noChangeArrowheads="1"/>
          </xdr:cNvSpPr>
        </xdr:nvSpPr>
        <xdr:spPr bwMode="auto">
          <a:xfrm>
            <a:off x="7178107" y="34726732"/>
            <a:ext cx="881179" cy="5282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0" u="none" strike="noStrike" baseline="0">
                <a:solidFill>
                  <a:srgbClr val="000000"/>
                </a:solidFill>
                <a:latin typeface="ＭＳ Ｐゴシック"/>
                <a:ea typeface="ＭＳ Ｐゴシック"/>
              </a:rPr>
              <a:t>AM本部長</a:t>
            </a:r>
          </a:p>
        </xdr:txBody>
      </xdr:sp>
      <xdr:sp macro="" textlink="">
        <xdr:nvSpPr>
          <xdr:cNvPr id="74404" name="Line 9">
            <a:extLst>
              <a:ext uri="{FF2B5EF4-FFF2-40B4-BE49-F238E27FC236}">
                <a16:creationId xmlns="" xmlns:a16="http://schemas.microsoft.com/office/drawing/2014/main" id="{00000000-0008-0000-0700-0000A4220100}"/>
              </a:ext>
            </a:extLst>
          </xdr:cNvPr>
          <xdr:cNvSpPr>
            <a:spLocks noChangeShapeType="1"/>
          </xdr:cNvSpPr>
        </xdr:nvSpPr>
        <xdr:spPr bwMode="auto">
          <a:xfrm flipH="1">
            <a:off x="8045989" y="34688317"/>
            <a:ext cx="0" cy="1044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2" name="Text Box 10">
            <a:extLst>
              <a:ext uri="{FF2B5EF4-FFF2-40B4-BE49-F238E27FC236}">
                <a16:creationId xmlns="" xmlns:a16="http://schemas.microsoft.com/office/drawing/2014/main" id="{00000000-0008-0000-0700-000016000000}"/>
              </a:ext>
            </a:extLst>
          </xdr:cNvPr>
          <xdr:cNvSpPr txBox="1">
            <a:spLocks noChangeArrowheads="1"/>
          </xdr:cNvSpPr>
        </xdr:nvSpPr>
        <xdr:spPr bwMode="auto">
          <a:xfrm>
            <a:off x="10470424" y="34726732"/>
            <a:ext cx="1704258" cy="5282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0" u="none" strike="noStrike" baseline="0">
                <a:solidFill>
                  <a:srgbClr val="000000"/>
                </a:solidFill>
                <a:latin typeface="ＭＳ Ｐゴシック"/>
                <a:ea typeface="ＭＳ Ｐゴシック"/>
              </a:rPr>
              <a:t>PJ担当</a:t>
            </a:r>
          </a:p>
        </xdr:txBody>
      </xdr:sp>
      <xdr:sp macro="" textlink="">
        <xdr:nvSpPr>
          <xdr:cNvPr id="74406" name="Line 9">
            <a:extLst>
              <a:ext uri="{FF2B5EF4-FFF2-40B4-BE49-F238E27FC236}">
                <a16:creationId xmlns="" xmlns:a16="http://schemas.microsoft.com/office/drawing/2014/main" id="{00000000-0008-0000-0700-0000A6220100}"/>
              </a:ext>
            </a:extLst>
          </xdr:cNvPr>
          <xdr:cNvSpPr>
            <a:spLocks noChangeShapeType="1"/>
          </xdr:cNvSpPr>
        </xdr:nvSpPr>
        <xdr:spPr bwMode="auto">
          <a:xfrm flipH="1">
            <a:off x="9129739" y="34688317"/>
            <a:ext cx="0" cy="1044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4407" name="Line 9">
            <a:extLst>
              <a:ext uri="{FF2B5EF4-FFF2-40B4-BE49-F238E27FC236}">
                <a16:creationId xmlns="" xmlns:a16="http://schemas.microsoft.com/office/drawing/2014/main" id="{00000000-0008-0000-0700-0000A7220100}"/>
              </a:ext>
            </a:extLst>
          </xdr:cNvPr>
          <xdr:cNvSpPr>
            <a:spLocks noChangeShapeType="1"/>
          </xdr:cNvSpPr>
        </xdr:nvSpPr>
        <xdr:spPr bwMode="auto">
          <a:xfrm flipH="1">
            <a:off x="10196170" y="34700601"/>
            <a:ext cx="0" cy="1044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5" name="Text Box 7">
            <a:extLst>
              <a:ext uri="{FF2B5EF4-FFF2-40B4-BE49-F238E27FC236}">
                <a16:creationId xmlns="" xmlns:a16="http://schemas.microsoft.com/office/drawing/2014/main" id="{00000000-0008-0000-0700-000019000000}"/>
              </a:ext>
            </a:extLst>
          </xdr:cNvPr>
          <xdr:cNvSpPr txBox="1">
            <a:spLocks noChangeArrowheads="1"/>
          </xdr:cNvSpPr>
        </xdr:nvSpPr>
        <xdr:spPr bwMode="auto">
          <a:xfrm>
            <a:off x="9492412" y="34726732"/>
            <a:ext cx="1113578" cy="5282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200" b="0" i="0" u="none" strike="noStrike" baseline="0">
                <a:solidFill>
                  <a:srgbClr val="000000"/>
                </a:solidFill>
                <a:latin typeface="ＭＳ Ｐゴシック"/>
                <a:ea typeface="ＭＳ Ｐゴシック"/>
              </a:rPr>
              <a:t>AML</a:t>
            </a:r>
            <a:endParaRPr lang="ja-JP" altLang="en-US" sz="1200" b="0" i="0" u="none" strike="noStrike" baseline="0">
              <a:solidFill>
                <a:srgbClr val="000000"/>
              </a:solidFill>
              <a:latin typeface="ＭＳ Ｐゴシック"/>
              <a:ea typeface="ＭＳ Ｐゴシック"/>
            </a:endParaRPr>
          </a:p>
        </xdr:txBody>
      </xdr:sp>
      <xdr:sp macro="" textlink="">
        <xdr:nvSpPr>
          <xdr:cNvPr id="26" name="Text Box 8">
            <a:extLst>
              <a:ext uri="{FF2B5EF4-FFF2-40B4-BE49-F238E27FC236}">
                <a16:creationId xmlns="" xmlns:a16="http://schemas.microsoft.com/office/drawing/2014/main" id="{00000000-0008-0000-0700-00001A000000}"/>
              </a:ext>
            </a:extLst>
          </xdr:cNvPr>
          <xdr:cNvSpPr txBox="1">
            <a:spLocks noChangeArrowheads="1"/>
          </xdr:cNvSpPr>
        </xdr:nvSpPr>
        <xdr:spPr bwMode="auto">
          <a:xfrm>
            <a:off x="6248512" y="34717128"/>
            <a:ext cx="871496" cy="5282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0" u="none" strike="noStrike" baseline="0">
                <a:solidFill>
                  <a:srgbClr val="000000"/>
                </a:solidFill>
                <a:latin typeface="ＭＳ Ｐゴシック"/>
                <a:ea typeface="ＭＳ Ｐゴシック"/>
              </a:rPr>
              <a:t>社長</a:t>
            </a:r>
          </a:p>
        </xdr:txBody>
      </xdr:sp>
    </xdr:grpSp>
    <xdr:clientData/>
  </xdr:twoCellAnchor>
  <xdr:twoCellAnchor>
    <xdr:from>
      <xdr:col>2</xdr:col>
      <xdr:colOff>2309810</xdr:colOff>
      <xdr:row>0</xdr:row>
      <xdr:rowOff>23</xdr:rowOff>
    </xdr:from>
    <xdr:to>
      <xdr:col>5</xdr:col>
      <xdr:colOff>380997</xdr:colOff>
      <xdr:row>1</xdr:row>
      <xdr:rowOff>15023</xdr:rowOff>
    </xdr:to>
    <xdr:sp macro="" textlink="">
      <xdr:nvSpPr>
        <xdr:cNvPr id="28" name="テキスト ボックス 27">
          <a:extLst>
            <a:ext uri="{FF2B5EF4-FFF2-40B4-BE49-F238E27FC236}">
              <a16:creationId xmlns="" xmlns:a16="http://schemas.microsoft.com/office/drawing/2014/main" id="{00000000-0008-0000-0700-00001C000000}"/>
            </a:ext>
          </a:extLst>
        </xdr:cNvPr>
        <xdr:cNvSpPr txBox="1"/>
      </xdr:nvSpPr>
      <xdr:spPr>
        <a:xfrm>
          <a:off x="3643310" y="23"/>
          <a:ext cx="7786687" cy="396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200" b="1">
              <a:latin typeface="ＭＳ 明朝" panose="02020609040205080304" pitchFamily="17" charset="-128"/>
              <a:ea typeface="ＭＳ 明朝" panose="02020609040205080304" pitchFamily="17" charset="-128"/>
            </a:rPr>
            <a:t>事　業　計　画　書（事 業</a:t>
          </a:r>
          <a:r>
            <a:rPr kumimoji="1" lang="ja-JP" altLang="en-US" sz="2200" b="1" baseline="0">
              <a:latin typeface="ＭＳ 明朝" panose="02020609040205080304" pitchFamily="17" charset="-128"/>
              <a:ea typeface="ＭＳ 明朝" panose="02020609040205080304" pitchFamily="17" charset="-128"/>
            </a:rPr>
            <a:t> </a:t>
          </a:r>
          <a:r>
            <a:rPr kumimoji="1" lang="ja-JP" altLang="en-US" sz="2200" b="1">
              <a:latin typeface="ＭＳ 明朝" panose="02020609040205080304" pitchFamily="17" charset="-128"/>
              <a:ea typeface="ＭＳ 明朝" panose="02020609040205080304" pitchFamily="17" charset="-128"/>
            </a:rPr>
            <a:t>承</a:t>
          </a:r>
          <a:r>
            <a:rPr kumimoji="1" lang="ja-JP" altLang="en-US" sz="2200" b="1" baseline="0">
              <a:latin typeface="ＭＳ 明朝" panose="02020609040205080304" pitchFamily="17" charset="-128"/>
              <a:ea typeface="ＭＳ 明朝" panose="02020609040205080304" pitchFamily="17" charset="-128"/>
            </a:rPr>
            <a:t> </a:t>
          </a:r>
          <a:r>
            <a:rPr kumimoji="1" lang="ja-JP" altLang="en-US" sz="2200" b="1">
              <a:latin typeface="ＭＳ 明朝" panose="02020609040205080304" pitchFamily="17" charset="-128"/>
              <a:ea typeface="ＭＳ 明朝" panose="02020609040205080304" pitchFamily="17" charset="-128"/>
            </a:rPr>
            <a:t>認</a:t>
          </a:r>
          <a:r>
            <a:rPr kumimoji="1" lang="ja-JP" altLang="en-US" sz="2200" b="1" baseline="0">
              <a:latin typeface="ＭＳ 明朝" panose="02020609040205080304" pitchFamily="17" charset="-128"/>
              <a:ea typeface="ＭＳ 明朝" panose="02020609040205080304" pitchFamily="17" charset="-128"/>
            </a:rPr>
            <a:t> </a:t>
          </a:r>
          <a:r>
            <a:rPr kumimoji="1" lang="ja-JP" altLang="en-US" sz="2200" b="1">
              <a:latin typeface="ＭＳ 明朝" panose="02020609040205080304" pitchFamily="17" charset="-128"/>
              <a:ea typeface="ＭＳ 明朝" panose="02020609040205080304" pitchFamily="17" charset="-128"/>
            </a:rPr>
            <a:t>時）</a:t>
          </a:r>
        </a:p>
      </xdr:txBody>
    </xdr:sp>
    <xdr:clientData/>
  </xdr:twoCellAnchor>
  <xdr:twoCellAnchor>
    <xdr:from>
      <xdr:col>4</xdr:col>
      <xdr:colOff>1076325</xdr:colOff>
      <xdr:row>1</xdr:row>
      <xdr:rowOff>47625</xdr:rowOff>
    </xdr:from>
    <xdr:to>
      <xdr:col>8</xdr:col>
      <xdr:colOff>847725</xdr:colOff>
      <xdr:row>3</xdr:row>
      <xdr:rowOff>0</xdr:rowOff>
    </xdr:to>
    <xdr:grpSp>
      <xdr:nvGrpSpPr>
        <xdr:cNvPr id="74387" name="グループ化 30">
          <a:extLst>
            <a:ext uri="{FF2B5EF4-FFF2-40B4-BE49-F238E27FC236}">
              <a16:creationId xmlns="" xmlns:a16="http://schemas.microsoft.com/office/drawing/2014/main" id="{00000000-0008-0000-0700-000093220100}"/>
            </a:ext>
          </a:extLst>
        </xdr:cNvPr>
        <xdr:cNvGrpSpPr>
          <a:grpSpLocks/>
        </xdr:cNvGrpSpPr>
      </xdr:nvGrpSpPr>
      <xdr:grpSpPr bwMode="auto">
        <a:xfrm>
          <a:off x="8924925" y="428625"/>
          <a:ext cx="6210300" cy="1057275"/>
          <a:chOff x="5870864" y="34688317"/>
          <a:chExt cx="6303818" cy="1056409"/>
        </a:xfrm>
      </xdr:grpSpPr>
      <xdr:sp macro="" textlink="">
        <xdr:nvSpPr>
          <xdr:cNvPr id="74388" name="Rectangle 2">
            <a:extLst>
              <a:ext uri="{FF2B5EF4-FFF2-40B4-BE49-F238E27FC236}">
                <a16:creationId xmlns="" xmlns:a16="http://schemas.microsoft.com/office/drawing/2014/main" id="{00000000-0008-0000-0700-000094220100}"/>
              </a:ext>
            </a:extLst>
          </xdr:cNvPr>
          <xdr:cNvSpPr>
            <a:spLocks noChangeArrowheads="1"/>
          </xdr:cNvSpPr>
        </xdr:nvSpPr>
        <xdr:spPr bwMode="auto">
          <a:xfrm>
            <a:off x="5870864" y="34688317"/>
            <a:ext cx="5363674" cy="1044125"/>
          </a:xfrm>
          <a:prstGeom prst="rect">
            <a:avLst/>
          </a:prstGeom>
          <a:solidFill>
            <a:srgbClr xmlns:mc="http://schemas.openxmlformats.org/markup-compatibility/2006" xmlns:a14="http://schemas.microsoft.com/office/drawing/2010/main" val="FFFFFF" mc:Ignorable="a14" a14:legacySpreadsheetColorIndex="9"/>
          </a:solidFill>
          <a:ln w="1587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74389" name="Line 3">
            <a:extLst>
              <a:ext uri="{FF2B5EF4-FFF2-40B4-BE49-F238E27FC236}">
                <a16:creationId xmlns="" xmlns:a16="http://schemas.microsoft.com/office/drawing/2014/main" id="{00000000-0008-0000-0700-000095220100}"/>
              </a:ext>
            </a:extLst>
          </xdr:cNvPr>
          <xdr:cNvSpPr>
            <a:spLocks noChangeShapeType="1"/>
          </xdr:cNvSpPr>
        </xdr:nvSpPr>
        <xdr:spPr bwMode="auto">
          <a:xfrm>
            <a:off x="5870864" y="34933994"/>
            <a:ext cx="534964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4390" name="Line 5">
            <a:extLst>
              <a:ext uri="{FF2B5EF4-FFF2-40B4-BE49-F238E27FC236}">
                <a16:creationId xmlns="" xmlns:a16="http://schemas.microsoft.com/office/drawing/2014/main" id="{00000000-0008-0000-0700-000096220100}"/>
              </a:ext>
            </a:extLst>
          </xdr:cNvPr>
          <xdr:cNvSpPr>
            <a:spLocks noChangeShapeType="1"/>
          </xdr:cNvSpPr>
        </xdr:nvSpPr>
        <xdr:spPr bwMode="auto">
          <a:xfrm>
            <a:off x="6968811" y="34688317"/>
            <a:ext cx="0" cy="101955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3" name="Text Box 6">
            <a:extLst>
              <a:ext uri="{FF2B5EF4-FFF2-40B4-BE49-F238E27FC236}">
                <a16:creationId xmlns="" xmlns:a16="http://schemas.microsoft.com/office/drawing/2014/main" id="{00000000-0008-0000-0700-000021000000}"/>
              </a:ext>
            </a:extLst>
          </xdr:cNvPr>
          <xdr:cNvSpPr txBox="1">
            <a:spLocks noChangeArrowheads="1"/>
          </xdr:cNvSpPr>
        </xdr:nvSpPr>
        <xdr:spPr bwMode="auto">
          <a:xfrm>
            <a:off x="8330418" y="34726732"/>
            <a:ext cx="1171677" cy="5282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0" u="none" strike="noStrike" baseline="0">
                <a:solidFill>
                  <a:srgbClr val="000000"/>
                </a:solidFill>
                <a:latin typeface="ＭＳ Ｐゴシック"/>
                <a:ea typeface="ＭＳ Ｐゴシック"/>
              </a:rPr>
              <a:t>RP部長</a:t>
            </a:r>
          </a:p>
        </xdr:txBody>
      </xdr:sp>
      <xdr:sp macro="" textlink="">
        <xdr:nvSpPr>
          <xdr:cNvPr id="34" name="Text Box 8">
            <a:extLst>
              <a:ext uri="{FF2B5EF4-FFF2-40B4-BE49-F238E27FC236}">
                <a16:creationId xmlns="" xmlns:a16="http://schemas.microsoft.com/office/drawing/2014/main" id="{00000000-0008-0000-0700-000022000000}"/>
              </a:ext>
            </a:extLst>
          </xdr:cNvPr>
          <xdr:cNvSpPr txBox="1">
            <a:spLocks noChangeArrowheads="1"/>
          </xdr:cNvSpPr>
        </xdr:nvSpPr>
        <xdr:spPr bwMode="auto">
          <a:xfrm>
            <a:off x="7178107" y="34726732"/>
            <a:ext cx="881179" cy="5282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0" u="none" strike="noStrike" baseline="0">
                <a:solidFill>
                  <a:srgbClr val="000000"/>
                </a:solidFill>
                <a:latin typeface="ＭＳ Ｐゴシック"/>
                <a:ea typeface="ＭＳ Ｐゴシック"/>
              </a:rPr>
              <a:t>AM本部長</a:t>
            </a:r>
          </a:p>
        </xdr:txBody>
      </xdr:sp>
      <xdr:sp macro="" textlink="">
        <xdr:nvSpPr>
          <xdr:cNvPr id="74393" name="Line 9">
            <a:extLst>
              <a:ext uri="{FF2B5EF4-FFF2-40B4-BE49-F238E27FC236}">
                <a16:creationId xmlns="" xmlns:a16="http://schemas.microsoft.com/office/drawing/2014/main" id="{00000000-0008-0000-0700-000099220100}"/>
              </a:ext>
            </a:extLst>
          </xdr:cNvPr>
          <xdr:cNvSpPr>
            <a:spLocks noChangeShapeType="1"/>
          </xdr:cNvSpPr>
        </xdr:nvSpPr>
        <xdr:spPr bwMode="auto">
          <a:xfrm flipH="1">
            <a:off x="8045989" y="34688317"/>
            <a:ext cx="0" cy="1044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6" name="Text Box 10">
            <a:extLst>
              <a:ext uri="{FF2B5EF4-FFF2-40B4-BE49-F238E27FC236}">
                <a16:creationId xmlns="" xmlns:a16="http://schemas.microsoft.com/office/drawing/2014/main" id="{00000000-0008-0000-0700-000024000000}"/>
              </a:ext>
            </a:extLst>
          </xdr:cNvPr>
          <xdr:cNvSpPr txBox="1">
            <a:spLocks noChangeArrowheads="1"/>
          </xdr:cNvSpPr>
        </xdr:nvSpPr>
        <xdr:spPr bwMode="auto">
          <a:xfrm>
            <a:off x="10470424" y="34726732"/>
            <a:ext cx="1704258" cy="5282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0" u="none" strike="noStrike" baseline="0">
                <a:solidFill>
                  <a:srgbClr val="000000"/>
                </a:solidFill>
                <a:latin typeface="ＭＳ Ｐゴシック"/>
                <a:ea typeface="ＭＳ Ｐゴシック"/>
              </a:rPr>
              <a:t>PJ担当</a:t>
            </a:r>
          </a:p>
        </xdr:txBody>
      </xdr:sp>
      <xdr:sp macro="" textlink="">
        <xdr:nvSpPr>
          <xdr:cNvPr id="74395" name="Line 9">
            <a:extLst>
              <a:ext uri="{FF2B5EF4-FFF2-40B4-BE49-F238E27FC236}">
                <a16:creationId xmlns="" xmlns:a16="http://schemas.microsoft.com/office/drawing/2014/main" id="{00000000-0008-0000-0700-00009B220100}"/>
              </a:ext>
            </a:extLst>
          </xdr:cNvPr>
          <xdr:cNvSpPr>
            <a:spLocks noChangeShapeType="1"/>
          </xdr:cNvSpPr>
        </xdr:nvSpPr>
        <xdr:spPr bwMode="auto">
          <a:xfrm flipH="1">
            <a:off x="9129739" y="34688317"/>
            <a:ext cx="0" cy="1044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4396" name="Line 9">
            <a:extLst>
              <a:ext uri="{FF2B5EF4-FFF2-40B4-BE49-F238E27FC236}">
                <a16:creationId xmlns="" xmlns:a16="http://schemas.microsoft.com/office/drawing/2014/main" id="{00000000-0008-0000-0700-00009C220100}"/>
              </a:ext>
            </a:extLst>
          </xdr:cNvPr>
          <xdr:cNvSpPr>
            <a:spLocks noChangeShapeType="1"/>
          </xdr:cNvSpPr>
        </xdr:nvSpPr>
        <xdr:spPr bwMode="auto">
          <a:xfrm flipH="1">
            <a:off x="10196170" y="34700601"/>
            <a:ext cx="0" cy="1044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9" name="Text Box 7">
            <a:extLst>
              <a:ext uri="{FF2B5EF4-FFF2-40B4-BE49-F238E27FC236}">
                <a16:creationId xmlns="" xmlns:a16="http://schemas.microsoft.com/office/drawing/2014/main" id="{00000000-0008-0000-0700-000027000000}"/>
              </a:ext>
            </a:extLst>
          </xdr:cNvPr>
          <xdr:cNvSpPr txBox="1">
            <a:spLocks noChangeArrowheads="1"/>
          </xdr:cNvSpPr>
        </xdr:nvSpPr>
        <xdr:spPr bwMode="auto">
          <a:xfrm>
            <a:off x="9492412" y="34726732"/>
            <a:ext cx="1113578" cy="5282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200" b="0" i="0" u="none" strike="noStrike" baseline="0">
                <a:solidFill>
                  <a:srgbClr val="000000"/>
                </a:solidFill>
                <a:latin typeface="ＭＳ Ｐゴシック"/>
                <a:ea typeface="ＭＳ Ｐゴシック"/>
              </a:rPr>
              <a:t>AML</a:t>
            </a:r>
            <a:endParaRPr lang="ja-JP" altLang="en-US" sz="1200" b="0" i="0" u="none" strike="noStrike" baseline="0">
              <a:solidFill>
                <a:srgbClr val="000000"/>
              </a:solidFill>
              <a:latin typeface="ＭＳ Ｐゴシック"/>
              <a:ea typeface="ＭＳ Ｐゴシック"/>
            </a:endParaRPr>
          </a:p>
        </xdr:txBody>
      </xdr:sp>
      <xdr:sp macro="" textlink="">
        <xdr:nvSpPr>
          <xdr:cNvPr id="40" name="Text Box 8">
            <a:extLst>
              <a:ext uri="{FF2B5EF4-FFF2-40B4-BE49-F238E27FC236}">
                <a16:creationId xmlns="" xmlns:a16="http://schemas.microsoft.com/office/drawing/2014/main" id="{00000000-0008-0000-0700-000028000000}"/>
              </a:ext>
            </a:extLst>
          </xdr:cNvPr>
          <xdr:cNvSpPr txBox="1">
            <a:spLocks noChangeArrowheads="1"/>
          </xdr:cNvSpPr>
        </xdr:nvSpPr>
        <xdr:spPr bwMode="auto">
          <a:xfrm>
            <a:off x="6248512" y="34717128"/>
            <a:ext cx="871496" cy="5282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0" u="none" strike="noStrike" baseline="0">
                <a:solidFill>
                  <a:srgbClr val="000000"/>
                </a:solidFill>
                <a:latin typeface="ＭＳ Ｐゴシック"/>
                <a:ea typeface="ＭＳ Ｐゴシック"/>
              </a:rPr>
              <a:t>社長</a:t>
            </a:r>
          </a:p>
        </xdr:txBody>
      </xdr:sp>
    </xdr:grpSp>
    <xdr:clientData/>
  </xdr:twoCellAnchor>
  <xdr:twoCellAnchor>
    <xdr:from>
      <xdr:col>4</xdr:col>
      <xdr:colOff>1076325</xdr:colOff>
      <xdr:row>1</xdr:row>
      <xdr:rowOff>47625</xdr:rowOff>
    </xdr:from>
    <xdr:to>
      <xdr:col>8</xdr:col>
      <xdr:colOff>847725</xdr:colOff>
      <xdr:row>3</xdr:row>
      <xdr:rowOff>0</xdr:rowOff>
    </xdr:to>
    <xdr:grpSp>
      <xdr:nvGrpSpPr>
        <xdr:cNvPr id="41" name="グループ化 30">
          <a:extLst>
            <a:ext uri="{FF2B5EF4-FFF2-40B4-BE49-F238E27FC236}">
              <a16:creationId xmlns="" xmlns:a16="http://schemas.microsoft.com/office/drawing/2014/main" id="{00000000-0008-0000-0700-000029000000}"/>
            </a:ext>
          </a:extLst>
        </xdr:cNvPr>
        <xdr:cNvGrpSpPr>
          <a:grpSpLocks/>
        </xdr:cNvGrpSpPr>
      </xdr:nvGrpSpPr>
      <xdr:grpSpPr bwMode="auto">
        <a:xfrm>
          <a:off x="8924925" y="428625"/>
          <a:ext cx="6210300" cy="1057275"/>
          <a:chOff x="5870864" y="34688317"/>
          <a:chExt cx="6303818" cy="1056409"/>
        </a:xfrm>
      </xdr:grpSpPr>
      <xdr:sp macro="" textlink="">
        <xdr:nvSpPr>
          <xdr:cNvPr id="42" name="Rectangle 2">
            <a:extLst>
              <a:ext uri="{FF2B5EF4-FFF2-40B4-BE49-F238E27FC236}">
                <a16:creationId xmlns="" xmlns:a16="http://schemas.microsoft.com/office/drawing/2014/main" id="{00000000-0008-0000-0700-00002A000000}"/>
              </a:ext>
            </a:extLst>
          </xdr:cNvPr>
          <xdr:cNvSpPr>
            <a:spLocks noChangeArrowheads="1"/>
          </xdr:cNvSpPr>
        </xdr:nvSpPr>
        <xdr:spPr bwMode="auto">
          <a:xfrm>
            <a:off x="5870864" y="34688317"/>
            <a:ext cx="5363674" cy="1044125"/>
          </a:xfrm>
          <a:prstGeom prst="rect">
            <a:avLst/>
          </a:prstGeom>
          <a:solidFill>
            <a:srgbClr xmlns:mc="http://schemas.openxmlformats.org/markup-compatibility/2006" xmlns:a14="http://schemas.microsoft.com/office/drawing/2010/main" val="FFFFFF" mc:Ignorable="a14" a14:legacySpreadsheetColorIndex="9"/>
          </a:solidFill>
          <a:ln w="1587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43" name="Line 3">
            <a:extLst>
              <a:ext uri="{FF2B5EF4-FFF2-40B4-BE49-F238E27FC236}">
                <a16:creationId xmlns="" xmlns:a16="http://schemas.microsoft.com/office/drawing/2014/main" id="{00000000-0008-0000-0700-00002B000000}"/>
              </a:ext>
            </a:extLst>
          </xdr:cNvPr>
          <xdr:cNvSpPr>
            <a:spLocks noChangeShapeType="1"/>
          </xdr:cNvSpPr>
        </xdr:nvSpPr>
        <xdr:spPr bwMode="auto">
          <a:xfrm>
            <a:off x="5870864" y="34933994"/>
            <a:ext cx="534964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4" name="Line 5">
            <a:extLst>
              <a:ext uri="{FF2B5EF4-FFF2-40B4-BE49-F238E27FC236}">
                <a16:creationId xmlns="" xmlns:a16="http://schemas.microsoft.com/office/drawing/2014/main" id="{00000000-0008-0000-0700-00002C000000}"/>
              </a:ext>
            </a:extLst>
          </xdr:cNvPr>
          <xdr:cNvSpPr>
            <a:spLocks noChangeShapeType="1"/>
          </xdr:cNvSpPr>
        </xdr:nvSpPr>
        <xdr:spPr bwMode="auto">
          <a:xfrm>
            <a:off x="6968811" y="34688317"/>
            <a:ext cx="0" cy="101955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5" name="Text Box 6">
            <a:extLst>
              <a:ext uri="{FF2B5EF4-FFF2-40B4-BE49-F238E27FC236}">
                <a16:creationId xmlns="" xmlns:a16="http://schemas.microsoft.com/office/drawing/2014/main" id="{00000000-0008-0000-0700-00002D000000}"/>
              </a:ext>
            </a:extLst>
          </xdr:cNvPr>
          <xdr:cNvSpPr txBox="1">
            <a:spLocks noChangeArrowheads="1"/>
          </xdr:cNvSpPr>
        </xdr:nvSpPr>
        <xdr:spPr bwMode="auto">
          <a:xfrm>
            <a:off x="8330418" y="34726732"/>
            <a:ext cx="1171677" cy="5282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0" u="none" strike="noStrike" baseline="0">
                <a:solidFill>
                  <a:srgbClr val="000000"/>
                </a:solidFill>
                <a:latin typeface="ＭＳ Ｐゴシック"/>
                <a:ea typeface="ＭＳ Ｐゴシック"/>
              </a:rPr>
              <a:t>RP部長</a:t>
            </a:r>
          </a:p>
        </xdr:txBody>
      </xdr:sp>
      <xdr:sp macro="" textlink="">
        <xdr:nvSpPr>
          <xdr:cNvPr id="46" name="Text Box 8">
            <a:extLst>
              <a:ext uri="{FF2B5EF4-FFF2-40B4-BE49-F238E27FC236}">
                <a16:creationId xmlns="" xmlns:a16="http://schemas.microsoft.com/office/drawing/2014/main" id="{00000000-0008-0000-0700-00002E000000}"/>
              </a:ext>
            </a:extLst>
          </xdr:cNvPr>
          <xdr:cNvSpPr txBox="1">
            <a:spLocks noChangeArrowheads="1"/>
          </xdr:cNvSpPr>
        </xdr:nvSpPr>
        <xdr:spPr bwMode="auto">
          <a:xfrm>
            <a:off x="7178107" y="34726732"/>
            <a:ext cx="881179" cy="5282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0" u="none" strike="noStrike" baseline="0">
                <a:solidFill>
                  <a:srgbClr val="000000"/>
                </a:solidFill>
                <a:latin typeface="ＭＳ Ｐゴシック"/>
                <a:ea typeface="ＭＳ Ｐゴシック"/>
              </a:rPr>
              <a:t>AM本部長</a:t>
            </a:r>
          </a:p>
        </xdr:txBody>
      </xdr:sp>
      <xdr:sp macro="" textlink="">
        <xdr:nvSpPr>
          <xdr:cNvPr id="47" name="Line 9">
            <a:extLst>
              <a:ext uri="{FF2B5EF4-FFF2-40B4-BE49-F238E27FC236}">
                <a16:creationId xmlns="" xmlns:a16="http://schemas.microsoft.com/office/drawing/2014/main" id="{00000000-0008-0000-0700-00002F000000}"/>
              </a:ext>
            </a:extLst>
          </xdr:cNvPr>
          <xdr:cNvSpPr>
            <a:spLocks noChangeShapeType="1"/>
          </xdr:cNvSpPr>
        </xdr:nvSpPr>
        <xdr:spPr bwMode="auto">
          <a:xfrm flipH="1">
            <a:off x="8045989" y="34688317"/>
            <a:ext cx="0" cy="1044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8" name="Text Box 10">
            <a:extLst>
              <a:ext uri="{FF2B5EF4-FFF2-40B4-BE49-F238E27FC236}">
                <a16:creationId xmlns="" xmlns:a16="http://schemas.microsoft.com/office/drawing/2014/main" id="{00000000-0008-0000-0700-000030000000}"/>
              </a:ext>
            </a:extLst>
          </xdr:cNvPr>
          <xdr:cNvSpPr txBox="1">
            <a:spLocks noChangeArrowheads="1"/>
          </xdr:cNvSpPr>
        </xdr:nvSpPr>
        <xdr:spPr bwMode="auto">
          <a:xfrm>
            <a:off x="10470424" y="34726732"/>
            <a:ext cx="1704258" cy="5282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0" u="none" strike="noStrike" baseline="0">
                <a:solidFill>
                  <a:srgbClr val="000000"/>
                </a:solidFill>
                <a:latin typeface="ＭＳ Ｐゴシック"/>
                <a:ea typeface="ＭＳ Ｐゴシック"/>
              </a:rPr>
              <a:t>PJ担当</a:t>
            </a:r>
          </a:p>
        </xdr:txBody>
      </xdr:sp>
      <xdr:sp macro="" textlink="">
        <xdr:nvSpPr>
          <xdr:cNvPr id="49" name="Line 9">
            <a:extLst>
              <a:ext uri="{FF2B5EF4-FFF2-40B4-BE49-F238E27FC236}">
                <a16:creationId xmlns="" xmlns:a16="http://schemas.microsoft.com/office/drawing/2014/main" id="{00000000-0008-0000-0700-000031000000}"/>
              </a:ext>
            </a:extLst>
          </xdr:cNvPr>
          <xdr:cNvSpPr>
            <a:spLocks noChangeShapeType="1"/>
          </xdr:cNvSpPr>
        </xdr:nvSpPr>
        <xdr:spPr bwMode="auto">
          <a:xfrm flipH="1">
            <a:off x="9129739" y="34688317"/>
            <a:ext cx="0" cy="1044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0" name="Line 9">
            <a:extLst>
              <a:ext uri="{FF2B5EF4-FFF2-40B4-BE49-F238E27FC236}">
                <a16:creationId xmlns="" xmlns:a16="http://schemas.microsoft.com/office/drawing/2014/main" id="{00000000-0008-0000-0700-000032000000}"/>
              </a:ext>
            </a:extLst>
          </xdr:cNvPr>
          <xdr:cNvSpPr>
            <a:spLocks noChangeShapeType="1"/>
          </xdr:cNvSpPr>
        </xdr:nvSpPr>
        <xdr:spPr bwMode="auto">
          <a:xfrm flipH="1">
            <a:off x="10196170" y="34700601"/>
            <a:ext cx="0" cy="1044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1" name="Text Box 7">
            <a:extLst>
              <a:ext uri="{FF2B5EF4-FFF2-40B4-BE49-F238E27FC236}">
                <a16:creationId xmlns="" xmlns:a16="http://schemas.microsoft.com/office/drawing/2014/main" id="{00000000-0008-0000-0700-000033000000}"/>
              </a:ext>
            </a:extLst>
          </xdr:cNvPr>
          <xdr:cNvSpPr txBox="1">
            <a:spLocks noChangeArrowheads="1"/>
          </xdr:cNvSpPr>
        </xdr:nvSpPr>
        <xdr:spPr bwMode="auto">
          <a:xfrm>
            <a:off x="9492412" y="34726732"/>
            <a:ext cx="1113578" cy="5282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200" b="0" i="0" u="none" strike="noStrike" baseline="0">
                <a:solidFill>
                  <a:srgbClr val="000000"/>
                </a:solidFill>
                <a:latin typeface="ＭＳ Ｐゴシック"/>
                <a:ea typeface="ＭＳ Ｐゴシック"/>
              </a:rPr>
              <a:t>AML</a:t>
            </a:r>
            <a:endParaRPr lang="ja-JP" altLang="en-US" sz="1200" b="0" i="0" u="none" strike="noStrike" baseline="0">
              <a:solidFill>
                <a:srgbClr val="000000"/>
              </a:solidFill>
              <a:latin typeface="ＭＳ Ｐゴシック"/>
              <a:ea typeface="ＭＳ Ｐゴシック"/>
            </a:endParaRPr>
          </a:p>
        </xdr:txBody>
      </xdr:sp>
      <xdr:sp macro="" textlink="">
        <xdr:nvSpPr>
          <xdr:cNvPr id="52" name="Text Box 8">
            <a:extLst>
              <a:ext uri="{FF2B5EF4-FFF2-40B4-BE49-F238E27FC236}">
                <a16:creationId xmlns="" xmlns:a16="http://schemas.microsoft.com/office/drawing/2014/main" id="{00000000-0008-0000-0700-000034000000}"/>
              </a:ext>
            </a:extLst>
          </xdr:cNvPr>
          <xdr:cNvSpPr txBox="1">
            <a:spLocks noChangeArrowheads="1"/>
          </xdr:cNvSpPr>
        </xdr:nvSpPr>
        <xdr:spPr bwMode="auto">
          <a:xfrm>
            <a:off x="6248512" y="34717128"/>
            <a:ext cx="871496" cy="5282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0" u="none" strike="noStrike" baseline="0">
                <a:solidFill>
                  <a:srgbClr val="000000"/>
                </a:solidFill>
                <a:latin typeface="ＭＳ Ｐゴシック"/>
                <a:ea typeface="ＭＳ Ｐゴシック"/>
              </a:rPr>
              <a:t>社長</a:t>
            </a:r>
          </a:p>
        </xdr:txBody>
      </xdr:sp>
    </xdr:grpSp>
    <xdr:clientData/>
  </xdr:twoCellAnchor>
  <mc:AlternateContent xmlns:mc="http://schemas.openxmlformats.org/markup-compatibility/2006">
    <mc:Choice xmlns:a14="http://schemas.microsoft.com/office/drawing/2010/main" Requires="a14">
      <xdr:twoCellAnchor editAs="oneCell">
        <xdr:from>
          <xdr:col>1</xdr:col>
          <xdr:colOff>114300</xdr:colOff>
          <xdr:row>21</xdr:row>
          <xdr:rowOff>57150</xdr:rowOff>
        </xdr:from>
        <xdr:to>
          <xdr:col>7</xdr:col>
          <xdr:colOff>876300</xdr:colOff>
          <xdr:row>30</xdr:row>
          <xdr:rowOff>342900</xdr:rowOff>
        </xdr:to>
        <xdr:pic>
          <xdr:nvPicPr>
            <xdr:cNvPr id="53" name="図 32">
              <a:extLst>
                <a:ext uri="{FF2B5EF4-FFF2-40B4-BE49-F238E27FC236}">
                  <a16:creationId xmlns="" xmlns:a16="http://schemas.microsoft.com/office/drawing/2014/main" id="{00000000-0008-0000-0700-000035000000}"/>
                </a:ext>
              </a:extLst>
            </xdr:cNvPr>
            <xdr:cNvPicPr>
              <a:picLocks noChangeAspect="1" noChangeArrowheads="1"/>
              <a:extLst>
                <a:ext uri="{84589F7E-364E-4C9E-8A38-B11213B215E9}">
                  <a14:cameraTool cellRange="RN予算計画書!$A$54:$H$73" spid="_x0000_s109651"/>
                </a:ext>
              </a:extLst>
            </xdr:cNvPicPr>
          </xdr:nvPicPr>
          <xdr:blipFill>
            <a:blip xmlns:r="http://schemas.openxmlformats.org/officeDocument/2006/relationships" r:embed="rId1"/>
            <a:srcRect/>
            <a:stretch>
              <a:fillRect/>
            </a:stretch>
          </xdr:blipFill>
          <xdr:spPr bwMode="auto">
            <a:xfrm>
              <a:off x="800100" y="8458200"/>
              <a:ext cx="13296900" cy="405765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0</xdr:col>
      <xdr:colOff>19050</xdr:colOff>
      <xdr:row>57</xdr:row>
      <xdr:rowOff>133350</xdr:rowOff>
    </xdr:from>
    <xdr:to>
      <xdr:col>3</xdr:col>
      <xdr:colOff>247650</xdr:colOff>
      <xdr:row>59</xdr:row>
      <xdr:rowOff>9525</xdr:rowOff>
    </xdr:to>
    <xdr:sp macro="" textlink="">
      <xdr:nvSpPr>
        <xdr:cNvPr id="3" name="Text Box 15">
          <a:extLst>
            <a:ext uri="{FF2B5EF4-FFF2-40B4-BE49-F238E27FC236}">
              <a16:creationId xmlns="" xmlns:a16="http://schemas.microsoft.com/office/drawing/2014/main" id="{00000000-0008-0000-0900-000003000000}"/>
            </a:ext>
          </a:extLst>
        </xdr:cNvPr>
        <xdr:cNvSpPr txBox="1">
          <a:spLocks noChangeArrowheads="1"/>
        </xdr:cNvSpPr>
      </xdr:nvSpPr>
      <xdr:spPr bwMode="auto">
        <a:xfrm>
          <a:off x="19050" y="10229850"/>
          <a:ext cx="1295400" cy="161925"/>
        </a:xfrm>
        <a:prstGeom prst="rect">
          <a:avLst/>
        </a:prstGeom>
        <a:solidFill>
          <a:srgbClr val="000000"/>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sng" strike="noStrike" baseline="0">
              <a:solidFill>
                <a:srgbClr val="FFFFFF"/>
              </a:solidFill>
              <a:latin typeface="ＭＳ Ｐゴシック"/>
              <a:ea typeface="ＭＳ Ｐゴシック"/>
            </a:rPr>
            <a:t>closing simulation</a:t>
          </a:r>
          <a:endParaRPr lang="ja-JP" altLang="en-US"/>
        </a:p>
      </xdr:txBody>
    </xdr:sp>
    <xdr:clientData/>
  </xdr:twoCellAnchor>
  <xdr:twoCellAnchor>
    <xdr:from>
      <xdr:col>14</xdr:col>
      <xdr:colOff>19050</xdr:colOff>
      <xdr:row>60</xdr:row>
      <xdr:rowOff>85725</xdr:rowOff>
    </xdr:from>
    <xdr:to>
      <xdr:col>14</xdr:col>
      <xdr:colOff>209550</xdr:colOff>
      <xdr:row>60</xdr:row>
      <xdr:rowOff>85725</xdr:rowOff>
    </xdr:to>
    <xdr:sp macro="" textlink="">
      <xdr:nvSpPr>
        <xdr:cNvPr id="75049" name="Line 16">
          <a:extLst>
            <a:ext uri="{FF2B5EF4-FFF2-40B4-BE49-F238E27FC236}">
              <a16:creationId xmlns="" xmlns:a16="http://schemas.microsoft.com/office/drawing/2014/main" id="{00000000-0008-0000-0900-000029250100}"/>
            </a:ext>
          </a:extLst>
        </xdr:cNvPr>
        <xdr:cNvSpPr>
          <a:spLocks noChangeShapeType="1"/>
        </xdr:cNvSpPr>
      </xdr:nvSpPr>
      <xdr:spPr bwMode="auto">
        <a:xfrm rot="5400000" flipV="1">
          <a:off x="7800975" y="105537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95250</xdr:colOff>
      <xdr:row>60</xdr:row>
      <xdr:rowOff>28575</xdr:rowOff>
    </xdr:from>
    <xdr:to>
      <xdr:col>14</xdr:col>
      <xdr:colOff>9525</xdr:colOff>
      <xdr:row>60</xdr:row>
      <xdr:rowOff>161925</xdr:rowOff>
    </xdr:to>
    <xdr:sp macro="" textlink="">
      <xdr:nvSpPr>
        <xdr:cNvPr id="5" name="Text Box 17">
          <a:extLst>
            <a:ext uri="{FF2B5EF4-FFF2-40B4-BE49-F238E27FC236}">
              <a16:creationId xmlns="" xmlns:a16="http://schemas.microsoft.com/office/drawing/2014/main" id="{00000000-0008-0000-0900-000005000000}"/>
            </a:ext>
          </a:extLst>
        </xdr:cNvPr>
        <xdr:cNvSpPr txBox="1">
          <a:spLocks noChangeArrowheads="1"/>
        </xdr:cNvSpPr>
      </xdr:nvSpPr>
      <xdr:spPr bwMode="auto">
        <a:xfrm>
          <a:off x="6638925" y="10591800"/>
          <a:ext cx="1057275" cy="133350"/>
        </a:xfrm>
        <a:prstGeom prst="rect">
          <a:avLst/>
        </a:prstGeom>
        <a:solidFill>
          <a:srgbClr val="C0C0C0">
            <a:alpha val="70000"/>
          </a:srgbClr>
        </a:solidFill>
        <a:ln>
          <a:noFill/>
        </a:ln>
        <a:extLst/>
      </xdr:spPr>
      <xdr:txBody>
        <a:bodyPr vertOverflow="clip" wrap="square" lIns="27432" tIns="18288" rIns="27432" bIns="0" anchor="t" upright="1"/>
        <a:lstStyle/>
        <a:p>
          <a:pPr algn="ctr" rtl="0">
            <a:defRPr sz="1000"/>
          </a:pPr>
          <a:r>
            <a:rPr lang="ja-JP" altLang="en-US" sz="800" b="0" i="0" u="sng" strike="noStrike" baseline="0">
              <a:solidFill>
                <a:srgbClr val="000000"/>
              </a:solidFill>
              <a:latin typeface="ＭＳ ゴシック"/>
              <a:ea typeface="ＭＳ ゴシック"/>
            </a:rPr>
            <a:t>0.25%増予測</a:t>
          </a:r>
          <a:endParaRPr lang="ja-JP" altLang="en-US"/>
        </a:p>
      </xdr:txBody>
    </xdr:sp>
    <xdr:clientData/>
  </xdr:twoCellAnchor>
  <xdr:twoCellAnchor>
    <xdr:from>
      <xdr:col>19</xdr:col>
      <xdr:colOff>9525</xdr:colOff>
      <xdr:row>60</xdr:row>
      <xdr:rowOff>85725</xdr:rowOff>
    </xdr:from>
    <xdr:to>
      <xdr:col>19</xdr:col>
      <xdr:colOff>200025</xdr:colOff>
      <xdr:row>60</xdr:row>
      <xdr:rowOff>85725</xdr:rowOff>
    </xdr:to>
    <xdr:sp macro="" textlink="">
      <xdr:nvSpPr>
        <xdr:cNvPr id="75051" name="Line 18">
          <a:extLst>
            <a:ext uri="{FF2B5EF4-FFF2-40B4-BE49-F238E27FC236}">
              <a16:creationId xmlns="" xmlns:a16="http://schemas.microsoft.com/office/drawing/2014/main" id="{00000000-0008-0000-0900-00002B250100}"/>
            </a:ext>
          </a:extLst>
        </xdr:cNvPr>
        <xdr:cNvSpPr>
          <a:spLocks noChangeShapeType="1"/>
        </xdr:cNvSpPr>
      </xdr:nvSpPr>
      <xdr:spPr bwMode="auto">
        <a:xfrm rot="5400000" flipV="1">
          <a:off x="10648950" y="105537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85725</xdr:colOff>
      <xdr:row>60</xdr:row>
      <xdr:rowOff>28575</xdr:rowOff>
    </xdr:from>
    <xdr:to>
      <xdr:col>19</xdr:col>
      <xdr:colOff>0</xdr:colOff>
      <xdr:row>60</xdr:row>
      <xdr:rowOff>161925</xdr:rowOff>
    </xdr:to>
    <xdr:sp macro="" textlink="">
      <xdr:nvSpPr>
        <xdr:cNvPr id="7" name="Text Box 19">
          <a:extLst>
            <a:ext uri="{FF2B5EF4-FFF2-40B4-BE49-F238E27FC236}">
              <a16:creationId xmlns="" xmlns:a16="http://schemas.microsoft.com/office/drawing/2014/main" id="{00000000-0008-0000-0900-000007000000}"/>
            </a:ext>
          </a:extLst>
        </xdr:cNvPr>
        <xdr:cNvSpPr txBox="1">
          <a:spLocks noChangeArrowheads="1"/>
        </xdr:cNvSpPr>
      </xdr:nvSpPr>
      <xdr:spPr bwMode="auto">
        <a:xfrm>
          <a:off x="9486900" y="10591800"/>
          <a:ext cx="1057275" cy="133350"/>
        </a:xfrm>
        <a:prstGeom prst="rect">
          <a:avLst/>
        </a:prstGeom>
        <a:solidFill>
          <a:srgbClr val="C0C0C0">
            <a:alpha val="70000"/>
          </a:srgbClr>
        </a:solidFill>
        <a:ln>
          <a:noFill/>
        </a:ln>
        <a:extLst/>
      </xdr:spPr>
      <xdr:txBody>
        <a:bodyPr vertOverflow="clip" wrap="square" lIns="27432" tIns="18288" rIns="27432" bIns="0" anchor="t" upright="1"/>
        <a:lstStyle/>
        <a:p>
          <a:pPr algn="ctr" rtl="0">
            <a:defRPr sz="1000"/>
          </a:pPr>
          <a:r>
            <a:rPr lang="ja-JP" altLang="en-US" sz="800" b="0" i="0" u="sng" strike="noStrike" baseline="0">
              <a:solidFill>
                <a:srgbClr val="000000"/>
              </a:solidFill>
              <a:latin typeface="ＭＳ ゴシック"/>
              <a:ea typeface="ＭＳ ゴシック"/>
            </a:rPr>
            <a:t>0.25%増予測</a:t>
          </a:r>
          <a:endParaRPr lang="ja-JP" altLang="en-US"/>
        </a:p>
      </xdr:txBody>
    </xdr:sp>
    <xdr:clientData/>
  </xdr:twoCellAnchor>
  <xdr:twoCellAnchor>
    <xdr:from>
      <xdr:col>24</xdr:col>
      <xdr:colOff>9525</xdr:colOff>
      <xdr:row>60</xdr:row>
      <xdr:rowOff>85725</xdr:rowOff>
    </xdr:from>
    <xdr:to>
      <xdr:col>24</xdr:col>
      <xdr:colOff>200025</xdr:colOff>
      <xdr:row>60</xdr:row>
      <xdr:rowOff>85725</xdr:rowOff>
    </xdr:to>
    <xdr:sp macro="" textlink="">
      <xdr:nvSpPr>
        <xdr:cNvPr id="75053" name="Line 20">
          <a:extLst>
            <a:ext uri="{FF2B5EF4-FFF2-40B4-BE49-F238E27FC236}">
              <a16:creationId xmlns="" xmlns:a16="http://schemas.microsoft.com/office/drawing/2014/main" id="{00000000-0008-0000-0900-00002D250100}"/>
            </a:ext>
          </a:extLst>
        </xdr:cNvPr>
        <xdr:cNvSpPr>
          <a:spLocks noChangeShapeType="1"/>
        </xdr:cNvSpPr>
      </xdr:nvSpPr>
      <xdr:spPr bwMode="auto">
        <a:xfrm rot="5400000" flipV="1">
          <a:off x="13506450" y="105537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85725</xdr:colOff>
      <xdr:row>60</xdr:row>
      <xdr:rowOff>28575</xdr:rowOff>
    </xdr:from>
    <xdr:to>
      <xdr:col>24</xdr:col>
      <xdr:colOff>0</xdr:colOff>
      <xdr:row>60</xdr:row>
      <xdr:rowOff>161925</xdr:rowOff>
    </xdr:to>
    <xdr:sp macro="" textlink="">
      <xdr:nvSpPr>
        <xdr:cNvPr id="9" name="Text Box 21">
          <a:extLst>
            <a:ext uri="{FF2B5EF4-FFF2-40B4-BE49-F238E27FC236}">
              <a16:creationId xmlns="" xmlns:a16="http://schemas.microsoft.com/office/drawing/2014/main" id="{00000000-0008-0000-0900-000009000000}"/>
            </a:ext>
          </a:extLst>
        </xdr:cNvPr>
        <xdr:cNvSpPr txBox="1">
          <a:spLocks noChangeArrowheads="1"/>
        </xdr:cNvSpPr>
      </xdr:nvSpPr>
      <xdr:spPr bwMode="auto">
        <a:xfrm>
          <a:off x="12344400" y="10591800"/>
          <a:ext cx="1057275" cy="133350"/>
        </a:xfrm>
        <a:prstGeom prst="rect">
          <a:avLst/>
        </a:prstGeom>
        <a:solidFill>
          <a:srgbClr val="C0C0C0">
            <a:alpha val="70000"/>
          </a:srgbClr>
        </a:solidFill>
        <a:ln>
          <a:noFill/>
        </a:ln>
        <a:extLst/>
      </xdr:spPr>
      <xdr:txBody>
        <a:bodyPr vertOverflow="clip" wrap="square" lIns="27432" tIns="18288" rIns="27432" bIns="0" anchor="t" upright="1"/>
        <a:lstStyle/>
        <a:p>
          <a:pPr algn="ctr" rtl="0">
            <a:defRPr sz="1000"/>
          </a:pPr>
          <a:r>
            <a:rPr lang="ja-JP" altLang="en-US" sz="800" b="0" i="0" u="sng" strike="noStrike" baseline="0">
              <a:solidFill>
                <a:srgbClr val="000000"/>
              </a:solidFill>
              <a:latin typeface="ＭＳ ゴシック"/>
              <a:ea typeface="ＭＳ ゴシック"/>
            </a:rPr>
            <a:t>0.25%増予測</a:t>
          </a:r>
          <a:endParaRPr lang="ja-JP" altLang="en-US"/>
        </a:p>
      </xdr:txBody>
    </xdr:sp>
    <xdr:clientData/>
  </xdr:twoCellAnchor>
  <xdr:twoCellAnchor>
    <xdr:from>
      <xdr:col>29</xdr:col>
      <xdr:colOff>19050</xdr:colOff>
      <xdr:row>60</xdr:row>
      <xdr:rowOff>85725</xdr:rowOff>
    </xdr:from>
    <xdr:to>
      <xdr:col>29</xdr:col>
      <xdr:colOff>209550</xdr:colOff>
      <xdr:row>60</xdr:row>
      <xdr:rowOff>85725</xdr:rowOff>
    </xdr:to>
    <xdr:sp macro="" textlink="">
      <xdr:nvSpPr>
        <xdr:cNvPr id="75055" name="Line 22">
          <a:extLst>
            <a:ext uri="{FF2B5EF4-FFF2-40B4-BE49-F238E27FC236}">
              <a16:creationId xmlns="" xmlns:a16="http://schemas.microsoft.com/office/drawing/2014/main" id="{00000000-0008-0000-0900-00002F250100}"/>
            </a:ext>
          </a:extLst>
        </xdr:cNvPr>
        <xdr:cNvSpPr>
          <a:spLocks noChangeShapeType="1"/>
        </xdr:cNvSpPr>
      </xdr:nvSpPr>
      <xdr:spPr bwMode="auto">
        <a:xfrm rot="5400000" flipV="1">
          <a:off x="16373475" y="105537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27</xdr:col>
      <xdr:colOff>95250</xdr:colOff>
      <xdr:row>60</xdr:row>
      <xdr:rowOff>28575</xdr:rowOff>
    </xdr:from>
    <xdr:to>
      <xdr:col>29</xdr:col>
      <xdr:colOff>9525</xdr:colOff>
      <xdr:row>60</xdr:row>
      <xdr:rowOff>161925</xdr:rowOff>
    </xdr:to>
    <xdr:sp macro="" textlink="">
      <xdr:nvSpPr>
        <xdr:cNvPr id="11" name="Text Box 23">
          <a:extLst>
            <a:ext uri="{FF2B5EF4-FFF2-40B4-BE49-F238E27FC236}">
              <a16:creationId xmlns="" xmlns:a16="http://schemas.microsoft.com/office/drawing/2014/main" id="{00000000-0008-0000-0900-00000B000000}"/>
            </a:ext>
          </a:extLst>
        </xdr:cNvPr>
        <xdr:cNvSpPr txBox="1">
          <a:spLocks noChangeArrowheads="1"/>
        </xdr:cNvSpPr>
      </xdr:nvSpPr>
      <xdr:spPr bwMode="auto">
        <a:xfrm>
          <a:off x="15211425" y="10591800"/>
          <a:ext cx="1057275" cy="133350"/>
        </a:xfrm>
        <a:prstGeom prst="rect">
          <a:avLst/>
        </a:prstGeom>
        <a:solidFill>
          <a:srgbClr val="C0C0C0">
            <a:alpha val="70000"/>
          </a:srgbClr>
        </a:solidFill>
        <a:ln>
          <a:noFill/>
        </a:ln>
        <a:extLst/>
      </xdr:spPr>
      <xdr:txBody>
        <a:bodyPr vertOverflow="clip" wrap="square" lIns="27432" tIns="18288" rIns="27432" bIns="0" anchor="t" upright="1"/>
        <a:lstStyle/>
        <a:p>
          <a:pPr algn="ctr" rtl="0">
            <a:defRPr sz="1000"/>
          </a:pPr>
          <a:r>
            <a:rPr lang="ja-JP" altLang="en-US" sz="800" b="0" i="0" u="sng" strike="noStrike" baseline="0">
              <a:solidFill>
                <a:srgbClr val="000000"/>
              </a:solidFill>
              <a:latin typeface="ＭＳ ゴシック"/>
              <a:ea typeface="ＭＳ ゴシック"/>
            </a:rPr>
            <a:t>0.25%増予測</a:t>
          </a:r>
          <a:endParaRPr lang="ja-JP" altLang="en-US"/>
        </a:p>
      </xdr:txBody>
    </xdr:sp>
    <xdr:clientData/>
  </xdr:twoCellAnchor>
  <xdr:twoCellAnchor>
    <xdr:from>
      <xdr:col>0</xdr:col>
      <xdr:colOff>19050</xdr:colOff>
      <xdr:row>57</xdr:row>
      <xdr:rowOff>133350</xdr:rowOff>
    </xdr:from>
    <xdr:to>
      <xdr:col>3</xdr:col>
      <xdr:colOff>247650</xdr:colOff>
      <xdr:row>59</xdr:row>
      <xdr:rowOff>9525</xdr:rowOff>
    </xdr:to>
    <xdr:sp macro="" textlink="">
      <xdr:nvSpPr>
        <xdr:cNvPr id="12" name="Text Box 15">
          <a:extLst>
            <a:ext uri="{FF2B5EF4-FFF2-40B4-BE49-F238E27FC236}">
              <a16:creationId xmlns="" xmlns:a16="http://schemas.microsoft.com/office/drawing/2014/main" id="{00000000-0008-0000-0900-00000C000000}"/>
            </a:ext>
          </a:extLst>
        </xdr:cNvPr>
        <xdr:cNvSpPr txBox="1">
          <a:spLocks noChangeArrowheads="1"/>
        </xdr:cNvSpPr>
      </xdr:nvSpPr>
      <xdr:spPr bwMode="auto">
        <a:xfrm>
          <a:off x="19050" y="10229850"/>
          <a:ext cx="1295400" cy="161925"/>
        </a:xfrm>
        <a:prstGeom prst="rect">
          <a:avLst/>
        </a:prstGeom>
        <a:solidFill>
          <a:srgbClr val="000000"/>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sng" strike="noStrike" baseline="0">
              <a:solidFill>
                <a:srgbClr val="FFFFFF"/>
              </a:solidFill>
              <a:latin typeface="ＭＳ Ｐゴシック"/>
              <a:ea typeface="ＭＳ Ｐゴシック"/>
            </a:rPr>
            <a:t>closing simulation</a:t>
          </a:r>
          <a:endParaRPr lang="ja-JP" altLang="en-US"/>
        </a:p>
      </xdr:txBody>
    </xdr:sp>
    <xdr:clientData/>
  </xdr:twoCellAnchor>
  <xdr:twoCellAnchor>
    <xdr:from>
      <xdr:col>14</xdr:col>
      <xdr:colOff>19050</xdr:colOff>
      <xdr:row>60</xdr:row>
      <xdr:rowOff>85725</xdr:rowOff>
    </xdr:from>
    <xdr:to>
      <xdr:col>14</xdr:col>
      <xdr:colOff>209550</xdr:colOff>
      <xdr:row>60</xdr:row>
      <xdr:rowOff>85725</xdr:rowOff>
    </xdr:to>
    <xdr:sp macro="" textlink="">
      <xdr:nvSpPr>
        <xdr:cNvPr id="75058" name="Line 16">
          <a:extLst>
            <a:ext uri="{FF2B5EF4-FFF2-40B4-BE49-F238E27FC236}">
              <a16:creationId xmlns="" xmlns:a16="http://schemas.microsoft.com/office/drawing/2014/main" id="{00000000-0008-0000-0900-000032250100}"/>
            </a:ext>
          </a:extLst>
        </xdr:cNvPr>
        <xdr:cNvSpPr>
          <a:spLocks noChangeShapeType="1"/>
        </xdr:cNvSpPr>
      </xdr:nvSpPr>
      <xdr:spPr bwMode="auto">
        <a:xfrm rot="5400000" flipV="1">
          <a:off x="7800975" y="105537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95250</xdr:colOff>
      <xdr:row>60</xdr:row>
      <xdr:rowOff>28575</xdr:rowOff>
    </xdr:from>
    <xdr:to>
      <xdr:col>14</xdr:col>
      <xdr:colOff>9525</xdr:colOff>
      <xdr:row>60</xdr:row>
      <xdr:rowOff>161925</xdr:rowOff>
    </xdr:to>
    <xdr:sp macro="" textlink="">
      <xdr:nvSpPr>
        <xdr:cNvPr id="14" name="Text Box 17">
          <a:extLst>
            <a:ext uri="{FF2B5EF4-FFF2-40B4-BE49-F238E27FC236}">
              <a16:creationId xmlns="" xmlns:a16="http://schemas.microsoft.com/office/drawing/2014/main" id="{00000000-0008-0000-0900-00000E000000}"/>
            </a:ext>
          </a:extLst>
        </xdr:cNvPr>
        <xdr:cNvSpPr txBox="1">
          <a:spLocks noChangeArrowheads="1"/>
        </xdr:cNvSpPr>
      </xdr:nvSpPr>
      <xdr:spPr bwMode="auto">
        <a:xfrm>
          <a:off x="6638925" y="10591800"/>
          <a:ext cx="1057275" cy="133350"/>
        </a:xfrm>
        <a:prstGeom prst="rect">
          <a:avLst/>
        </a:prstGeom>
        <a:solidFill>
          <a:srgbClr val="C0C0C0">
            <a:alpha val="70000"/>
          </a:srgbClr>
        </a:solidFill>
        <a:ln>
          <a:noFill/>
        </a:ln>
        <a:extLst/>
      </xdr:spPr>
      <xdr:txBody>
        <a:bodyPr vertOverflow="clip" wrap="square" lIns="27432" tIns="18288" rIns="27432" bIns="0" anchor="t" upright="1"/>
        <a:lstStyle/>
        <a:p>
          <a:pPr algn="ctr" rtl="0">
            <a:defRPr sz="1000"/>
          </a:pPr>
          <a:r>
            <a:rPr lang="ja-JP" altLang="en-US" sz="800" b="0" i="0" u="sng" strike="noStrike" baseline="0">
              <a:solidFill>
                <a:srgbClr val="000000"/>
              </a:solidFill>
              <a:latin typeface="ＭＳ ゴシック"/>
              <a:ea typeface="ＭＳ ゴシック"/>
            </a:rPr>
            <a:t>0.25%増予測</a:t>
          </a:r>
          <a:endParaRPr lang="ja-JP" altLang="en-US"/>
        </a:p>
      </xdr:txBody>
    </xdr:sp>
    <xdr:clientData/>
  </xdr:twoCellAnchor>
  <xdr:twoCellAnchor>
    <xdr:from>
      <xdr:col>19</xdr:col>
      <xdr:colOff>9525</xdr:colOff>
      <xdr:row>60</xdr:row>
      <xdr:rowOff>85725</xdr:rowOff>
    </xdr:from>
    <xdr:to>
      <xdr:col>19</xdr:col>
      <xdr:colOff>200025</xdr:colOff>
      <xdr:row>60</xdr:row>
      <xdr:rowOff>85725</xdr:rowOff>
    </xdr:to>
    <xdr:sp macro="" textlink="">
      <xdr:nvSpPr>
        <xdr:cNvPr id="75060" name="Line 18">
          <a:extLst>
            <a:ext uri="{FF2B5EF4-FFF2-40B4-BE49-F238E27FC236}">
              <a16:creationId xmlns="" xmlns:a16="http://schemas.microsoft.com/office/drawing/2014/main" id="{00000000-0008-0000-0900-000034250100}"/>
            </a:ext>
          </a:extLst>
        </xdr:cNvPr>
        <xdr:cNvSpPr>
          <a:spLocks noChangeShapeType="1"/>
        </xdr:cNvSpPr>
      </xdr:nvSpPr>
      <xdr:spPr bwMode="auto">
        <a:xfrm rot="5400000" flipV="1">
          <a:off x="10648950" y="105537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85725</xdr:colOff>
      <xdr:row>60</xdr:row>
      <xdr:rowOff>28575</xdr:rowOff>
    </xdr:from>
    <xdr:to>
      <xdr:col>19</xdr:col>
      <xdr:colOff>0</xdr:colOff>
      <xdr:row>60</xdr:row>
      <xdr:rowOff>161925</xdr:rowOff>
    </xdr:to>
    <xdr:sp macro="" textlink="">
      <xdr:nvSpPr>
        <xdr:cNvPr id="16" name="Text Box 19">
          <a:extLst>
            <a:ext uri="{FF2B5EF4-FFF2-40B4-BE49-F238E27FC236}">
              <a16:creationId xmlns="" xmlns:a16="http://schemas.microsoft.com/office/drawing/2014/main" id="{00000000-0008-0000-0900-000010000000}"/>
            </a:ext>
          </a:extLst>
        </xdr:cNvPr>
        <xdr:cNvSpPr txBox="1">
          <a:spLocks noChangeArrowheads="1"/>
        </xdr:cNvSpPr>
      </xdr:nvSpPr>
      <xdr:spPr bwMode="auto">
        <a:xfrm>
          <a:off x="9486900" y="10591800"/>
          <a:ext cx="1057275" cy="133350"/>
        </a:xfrm>
        <a:prstGeom prst="rect">
          <a:avLst/>
        </a:prstGeom>
        <a:solidFill>
          <a:srgbClr val="C0C0C0">
            <a:alpha val="70000"/>
          </a:srgbClr>
        </a:solidFill>
        <a:ln>
          <a:noFill/>
        </a:ln>
        <a:extLst/>
      </xdr:spPr>
      <xdr:txBody>
        <a:bodyPr vertOverflow="clip" wrap="square" lIns="27432" tIns="18288" rIns="27432" bIns="0" anchor="t" upright="1"/>
        <a:lstStyle/>
        <a:p>
          <a:pPr algn="ctr" rtl="0">
            <a:defRPr sz="1000"/>
          </a:pPr>
          <a:r>
            <a:rPr lang="ja-JP" altLang="en-US" sz="800" b="0" i="0" u="sng" strike="noStrike" baseline="0">
              <a:solidFill>
                <a:srgbClr val="000000"/>
              </a:solidFill>
              <a:latin typeface="ＭＳ ゴシック"/>
              <a:ea typeface="ＭＳ ゴシック"/>
            </a:rPr>
            <a:t>0.25%増予測</a:t>
          </a:r>
          <a:endParaRPr lang="ja-JP" altLang="en-US"/>
        </a:p>
      </xdr:txBody>
    </xdr:sp>
    <xdr:clientData/>
  </xdr:twoCellAnchor>
  <xdr:twoCellAnchor>
    <xdr:from>
      <xdr:col>24</xdr:col>
      <xdr:colOff>9525</xdr:colOff>
      <xdr:row>60</xdr:row>
      <xdr:rowOff>85725</xdr:rowOff>
    </xdr:from>
    <xdr:to>
      <xdr:col>24</xdr:col>
      <xdr:colOff>200025</xdr:colOff>
      <xdr:row>60</xdr:row>
      <xdr:rowOff>85725</xdr:rowOff>
    </xdr:to>
    <xdr:sp macro="" textlink="">
      <xdr:nvSpPr>
        <xdr:cNvPr id="75062" name="Line 20">
          <a:extLst>
            <a:ext uri="{FF2B5EF4-FFF2-40B4-BE49-F238E27FC236}">
              <a16:creationId xmlns="" xmlns:a16="http://schemas.microsoft.com/office/drawing/2014/main" id="{00000000-0008-0000-0900-000036250100}"/>
            </a:ext>
          </a:extLst>
        </xdr:cNvPr>
        <xdr:cNvSpPr>
          <a:spLocks noChangeShapeType="1"/>
        </xdr:cNvSpPr>
      </xdr:nvSpPr>
      <xdr:spPr bwMode="auto">
        <a:xfrm rot="5400000" flipV="1">
          <a:off x="13506450" y="105537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85725</xdr:colOff>
      <xdr:row>60</xdr:row>
      <xdr:rowOff>28575</xdr:rowOff>
    </xdr:from>
    <xdr:to>
      <xdr:col>24</xdr:col>
      <xdr:colOff>0</xdr:colOff>
      <xdr:row>60</xdr:row>
      <xdr:rowOff>161925</xdr:rowOff>
    </xdr:to>
    <xdr:sp macro="" textlink="">
      <xdr:nvSpPr>
        <xdr:cNvPr id="18" name="Text Box 21">
          <a:extLst>
            <a:ext uri="{FF2B5EF4-FFF2-40B4-BE49-F238E27FC236}">
              <a16:creationId xmlns="" xmlns:a16="http://schemas.microsoft.com/office/drawing/2014/main" id="{00000000-0008-0000-0900-000012000000}"/>
            </a:ext>
          </a:extLst>
        </xdr:cNvPr>
        <xdr:cNvSpPr txBox="1">
          <a:spLocks noChangeArrowheads="1"/>
        </xdr:cNvSpPr>
      </xdr:nvSpPr>
      <xdr:spPr bwMode="auto">
        <a:xfrm>
          <a:off x="12344400" y="10591800"/>
          <a:ext cx="1057275" cy="133350"/>
        </a:xfrm>
        <a:prstGeom prst="rect">
          <a:avLst/>
        </a:prstGeom>
        <a:solidFill>
          <a:srgbClr val="C0C0C0">
            <a:alpha val="70000"/>
          </a:srgbClr>
        </a:solidFill>
        <a:ln>
          <a:noFill/>
        </a:ln>
        <a:extLst/>
      </xdr:spPr>
      <xdr:txBody>
        <a:bodyPr vertOverflow="clip" wrap="square" lIns="27432" tIns="18288" rIns="27432" bIns="0" anchor="t" upright="1"/>
        <a:lstStyle/>
        <a:p>
          <a:pPr algn="ctr" rtl="0">
            <a:defRPr sz="1000"/>
          </a:pPr>
          <a:r>
            <a:rPr lang="ja-JP" altLang="en-US" sz="800" b="0" i="0" u="sng" strike="noStrike" baseline="0">
              <a:solidFill>
                <a:srgbClr val="000000"/>
              </a:solidFill>
              <a:latin typeface="ＭＳ ゴシック"/>
              <a:ea typeface="ＭＳ ゴシック"/>
            </a:rPr>
            <a:t>0.25%増予測</a:t>
          </a:r>
          <a:endParaRPr lang="ja-JP" altLang="en-US"/>
        </a:p>
      </xdr:txBody>
    </xdr:sp>
    <xdr:clientData/>
  </xdr:twoCellAnchor>
  <xdr:twoCellAnchor>
    <xdr:from>
      <xdr:col>29</xdr:col>
      <xdr:colOff>19050</xdr:colOff>
      <xdr:row>60</xdr:row>
      <xdr:rowOff>85725</xdr:rowOff>
    </xdr:from>
    <xdr:to>
      <xdr:col>29</xdr:col>
      <xdr:colOff>209550</xdr:colOff>
      <xdr:row>60</xdr:row>
      <xdr:rowOff>85725</xdr:rowOff>
    </xdr:to>
    <xdr:sp macro="" textlink="">
      <xdr:nvSpPr>
        <xdr:cNvPr id="75064" name="Line 22">
          <a:extLst>
            <a:ext uri="{FF2B5EF4-FFF2-40B4-BE49-F238E27FC236}">
              <a16:creationId xmlns="" xmlns:a16="http://schemas.microsoft.com/office/drawing/2014/main" id="{00000000-0008-0000-0900-000038250100}"/>
            </a:ext>
          </a:extLst>
        </xdr:cNvPr>
        <xdr:cNvSpPr>
          <a:spLocks noChangeShapeType="1"/>
        </xdr:cNvSpPr>
      </xdr:nvSpPr>
      <xdr:spPr bwMode="auto">
        <a:xfrm rot="5400000" flipV="1">
          <a:off x="16373475" y="105537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27</xdr:col>
      <xdr:colOff>95250</xdr:colOff>
      <xdr:row>60</xdr:row>
      <xdr:rowOff>28575</xdr:rowOff>
    </xdr:from>
    <xdr:to>
      <xdr:col>29</xdr:col>
      <xdr:colOff>9525</xdr:colOff>
      <xdr:row>60</xdr:row>
      <xdr:rowOff>161925</xdr:rowOff>
    </xdr:to>
    <xdr:sp macro="" textlink="">
      <xdr:nvSpPr>
        <xdr:cNvPr id="20" name="Text Box 23">
          <a:extLst>
            <a:ext uri="{FF2B5EF4-FFF2-40B4-BE49-F238E27FC236}">
              <a16:creationId xmlns="" xmlns:a16="http://schemas.microsoft.com/office/drawing/2014/main" id="{00000000-0008-0000-0900-000014000000}"/>
            </a:ext>
          </a:extLst>
        </xdr:cNvPr>
        <xdr:cNvSpPr txBox="1">
          <a:spLocks noChangeArrowheads="1"/>
        </xdr:cNvSpPr>
      </xdr:nvSpPr>
      <xdr:spPr bwMode="auto">
        <a:xfrm>
          <a:off x="15211425" y="10591800"/>
          <a:ext cx="1057275" cy="133350"/>
        </a:xfrm>
        <a:prstGeom prst="rect">
          <a:avLst/>
        </a:prstGeom>
        <a:solidFill>
          <a:srgbClr val="C0C0C0">
            <a:alpha val="70000"/>
          </a:srgbClr>
        </a:solidFill>
        <a:ln>
          <a:noFill/>
        </a:ln>
        <a:extLst/>
      </xdr:spPr>
      <xdr:txBody>
        <a:bodyPr vertOverflow="clip" wrap="square" lIns="27432" tIns="18288" rIns="27432" bIns="0" anchor="t" upright="1"/>
        <a:lstStyle/>
        <a:p>
          <a:pPr algn="ctr" rtl="0">
            <a:defRPr sz="1000"/>
          </a:pPr>
          <a:r>
            <a:rPr lang="ja-JP" altLang="en-US" sz="800" b="0" i="0" u="sng" strike="noStrike" baseline="0">
              <a:solidFill>
                <a:srgbClr val="000000"/>
              </a:solidFill>
              <a:latin typeface="ＭＳ ゴシック"/>
              <a:ea typeface="ＭＳ ゴシック"/>
            </a:rPr>
            <a:t>0.25%増予測</a:t>
          </a:r>
          <a:endParaRPr lang="ja-JP" alt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200025</xdr:colOff>
      <xdr:row>44</xdr:row>
      <xdr:rowOff>9525</xdr:rowOff>
    </xdr:from>
    <xdr:to>
      <xdr:col>10</xdr:col>
      <xdr:colOff>790575</xdr:colOff>
      <xdr:row>49</xdr:row>
      <xdr:rowOff>57150</xdr:rowOff>
    </xdr:to>
    <xdr:pic>
      <xdr:nvPicPr>
        <xdr:cNvPr id="69745" name="図 4" descr="RP帯（マーク有り）">
          <a:extLst>
            <a:ext uri="{FF2B5EF4-FFF2-40B4-BE49-F238E27FC236}">
              <a16:creationId xmlns="" xmlns:a16="http://schemas.microsoft.com/office/drawing/2014/main" id="{00000000-0008-0000-0A00-00007110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275" y="11296650"/>
          <a:ext cx="718185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266700</xdr:colOff>
          <xdr:row>47</xdr:row>
          <xdr:rowOff>66675</xdr:rowOff>
        </xdr:from>
        <xdr:to>
          <xdr:col>10</xdr:col>
          <xdr:colOff>866775</xdr:colOff>
          <xdr:row>49</xdr:row>
          <xdr:rowOff>9525</xdr:rowOff>
        </xdr:to>
        <xdr:pic>
          <xdr:nvPicPr>
            <xdr:cNvPr id="69746" name="図 4">
              <a:extLst>
                <a:ext uri="{FF2B5EF4-FFF2-40B4-BE49-F238E27FC236}">
                  <a16:creationId xmlns="" xmlns:a16="http://schemas.microsoft.com/office/drawing/2014/main" id="{00000000-0008-0000-0A00-000072100100}"/>
                </a:ext>
              </a:extLst>
            </xdr:cNvPr>
            <xdr:cNvPicPr>
              <a:picLocks noChangeAspect="1" noChangeArrowheads="1"/>
              <a:extLst>
                <a:ext uri="{84589F7E-364E-4C9E-8A38-B11213B215E9}">
                  <a14:cameraTool cellRange="$M$48:$P$49" spid="_x0000_s70090"/>
                </a:ext>
              </a:extLst>
            </xdr:cNvPicPr>
          </xdr:nvPicPr>
          <xdr:blipFill>
            <a:blip xmlns:r="http://schemas.openxmlformats.org/officeDocument/2006/relationships" r:embed="rId2"/>
            <a:srcRect/>
            <a:stretch>
              <a:fillRect/>
            </a:stretch>
          </xdr:blipFill>
          <xdr:spPr bwMode="auto">
            <a:xfrm>
              <a:off x="5229225" y="11934825"/>
              <a:ext cx="2324100" cy="323850"/>
            </a:xfrm>
            <a:prstGeom prst="rect">
              <a:avLst/>
            </a:prstGeom>
            <a:solidFill>
              <a:srgbClr val="FFFFFF" mc:Ignorable="a14" a14:legacySpreadsheetColorIndex="9"/>
            </a:solidFill>
            <a:ln>
              <a:noFill/>
            </a:ln>
            <a:extLst>
              <a:ext uri="{91240B29-F687-4F45-9708-019B960494DF}">
                <a14:hiddenLine w="9525">
                  <a:solidFill>
                    <a:srgbClr val="000000"/>
                  </a:solidFill>
                  <a:miter lim="800000"/>
                  <a:headEnd/>
                  <a:tailEnd/>
                </a14:hiddenLine>
              </a:ext>
            </a:extLst>
          </xdr:spPr>
        </xdr:pic>
        <xdr:clientData/>
      </xdr:twoCellAnchor>
    </mc:Choice>
    <mc:Fallback/>
  </mc:AlternateContent>
  <xdr:twoCellAnchor>
    <xdr:from>
      <xdr:col>1</xdr:col>
      <xdr:colOff>11206</xdr:colOff>
      <xdr:row>0</xdr:row>
      <xdr:rowOff>33619</xdr:rowOff>
    </xdr:from>
    <xdr:to>
      <xdr:col>10</xdr:col>
      <xdr:colOff>1075764</xdr:colOff>
      <xdr:row>0</xdr:row>
      <xdr:rowOff>560295</xdr:rowOff>
    </xdr:to>
    <xdr:sp macro="" textlink="">
      <xdr:nvSpPr>
        <xdr:cNvPr id="2" name="テキスト ボックス 1">
          <a:extLst>
            <a:ext uri="{FF2B5EF4-FFF2-40B4-BE49-F238E27FC236}">
              <a16:creationId xmlns="" xmlns:a16="http://schemas.microsoft.com/office/drawing/2014/main" id="{00000000-0008-0000-0A00-000002000000}"/>
            </a:ext>
          </a:extLst>
        </xdr:cNvPr>
        <xdr:cNvSpPr txBox="1"/>
      </xdr:nvSpPr>
      <xdr:spPr>
        <a:xfrm>
          <a:off x="112059" y="33619"/>
          <a:ext cx="7676029" cy="526676"/>
        </a:xfrm>
        <a:prstGeom prst="rect">
          <a:avLst/>
        </a:prstGeom>
        <a:solidFill>
          <a:schemeClr val="accent1">
            <a:lumMod val="40000"/>
            <a:lumOff val="60000"/>
            <a:alpha val="65000"/>
          </a:schemeClr>
        </a:solidFill>
        <a:ln w="31750" cmpd="dbl">
          <a:solidFill>
            <a:srgbClr val="0070C0"/>
          </a:solidFill>
          <a:miter lim="800000"/>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ja-JP" sz="1100" b="1" u="sng">
              <a:solidFill>
                <a:schemeClr val="dk1"/>
              </a:solidFill>
              <a:effectLst/>
              <a:latin typeface="ＭＳ 明朝" panose="02020609040205080304" pitchFamily="17" charset="-128"/>
              <a:ea typeface="ＭＳ 明朝" panose="02020609040205080304" pitchFamily="17" charset="-128"/>
              <a:cs typeface="+mn-cs"/>
            </a:rPr>
            <a:t>銀座の地に相応しく、弊社の再生実績をふんだんに注ぎ込み、新築同様に作り込んだ、</a:t>
          </a:r>
          <a:endParaRPr lang="ja-JP" altLang="ja-JP" sz="1100">
            <a:solidFill>
              <a:schemeClr val="dk1"/>
            </a:solidFill>
            <a:effectLst/>
            <a:latin typeface="ＭＳ 明朝" panose="02020609040205080304" pitchFamily="17" charset="-128"/>
            <a:ea typeface="ＭＳ 明朝" panose="02020609040205080304" pitchFamily="17" charset="-128"/>
            <a:cs typeface="+mn-cs"/>
          </a:endParaRPr>
        </a:p>
        <a:p>
          <a:pPr algn="ctr"/>
          <a:r>
            <a:rPr lang="ja-JP" altLang="ja-JP" sz="1100" b="1" u="sng">
              <a:solidFill>
                <a:schemeClr val="dk1"/>
              </a:solidFill>
              <a:effectLst/>
              <a:latin typeface="ＭＳ 明朝" panose="02020609040205080304" pitchFamily="17" charset="-128"/>
              <a:ea typeface="ＭＳ 明朝" panose="02020609040205080304" pitchFamily="17" charset="-128"/>
              <a:cs typeface="+mn-cs"/>
            </a:rPr>
            <a:t>昭和通り面の唯一無二の「プレミアム・リプランニングオフィスビル」</a:t>
          </a:r>
          <a:endParaRPr kumimoji="1" lang="ja-JP" altLang="en-US" sz="1100">
            <a:latin typeface="ＭＳ 明朝" panose="02020609040205080304" pitchFamily="17" charset="-128"/>
            <a:ea typeface="ＭＳ 明朝" panose="02020609040205080304" pitchFamily="17"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200025</xdr:colOff>
      <xdr:row>44</xdr:row>
      <xdr:rowOff>9525</xdr:rowOff>
    </xdr:from>
    <xdr:to>
      <xdr:col>10</xdr:col>
      <xdr:colOff>790575</xdr:colOff>
      <xdr:row>49</xdr:row>
      <xdr:rowOff>57150</xdr:rowOff>
    </xdr:to>
    <xdr:pic>
      <xdr:nvPicPr>
        <xdr:cNvPr id="53977" name="図 4" descr="RP帯（マーク有り）">
          <a:extLst>
            <a:ext uri="{FF2B5EF4-FFF2-40B4-BE49-F238E27FC236}">
              <a16:creationId xmlns="" xmlns:a16="http://schemas.microsoft.com/office/drawing/2014/main" id="{00000000-0008-0000-0B00-0000D9D2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275" y="11296650"/>
          <a:ext cx="718185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295275</xdr:colOff>
          <xdr:row>47</xdr:row>
          <xdr:rowOff>66675</xdr:rowOff>
        </xdr:from>
        <xdr:to>
          <xdr:col>11</xdr:col>
          <xdr:colOff>0</xdr:colOff>
          <xdr:row>49</xdr:row>
          <xdr:rowOff>0</xdr:rowOff>
        </xdr:to>
        <xdr:pic>
          <xdr:nvPicPr>
            <xdr:cNvPr id="53978" name="図 2">
              <a:extLst>
                <a:ext uri="{FF2B5EF4-FFF2-40B4-BE49-F238E27FC236}">
                  <a16:creationId xmlns="" xmlns:a16="http://schemas.microsoft.com/office/drawing/2014/main" id="{00000000-0008-0000-0B00-0000DAD20000}"/>
                </a:ext>
              </a:extLst>
            </xdr:cNvPr>
            <xdr:cNvPicPr>
              <a:picLocks noChangeAspect="1" noChangeArrowheads="1"/>
              <a:extLst>
                <a:ext uri="{84589F7E-364E-4C9E-8A38-B11213B215E9}">
                  <a14:cameraTool cellRange="$M$48:$P$49" spid="_x0000_s123954"/>
                </a:ext>
              </a:extLst>
            </xdr:cNvPicPr>
          </xdr:nvPicPr>
          <xdr:blipFill>
            <a:blip xmlns:r="http://schemas.openxmlformats.org/officeDocument/2006/relationships" r:embed="rId2"/>
            <a:srcRect/>
            <a:stretch>
              <a:fillRect/>
            </a:stretch>
          </xdr:blipFill>
          <xdr:spPr bwMode="auto">
            <a:xfrm>
              <a:off x="5257800" y="11934825"/>
              <a:ext cx="2533650" cy="314325"/>
            </a:xfrm>
            <a:prstGeom prst="rect">
              <a:avLst/>
            </a:prstGeom>
            <a:solidFill>
              <a:srgbClr val="FFFFFF" mc:Ignorable="a14" a14:legacySpreadsheetColorIndex="9"/>
            </a:solidFill>
            <a:ln>
              <a:noFill/>
            </a:ln>
            <a:extLst>
              <a:ext uri="{91240B29-F687-4F45-9708-019B960494DF}">
                <a14:hiddenLine w="9525">
                  <a:solidFill>
                    <a:srgbClr val="000000"/>
                  </a:solidFill>
                  <a:miter lim="800000"/>
                  <a:headEnd/>
                  <a:tailEnd/>
                </a14:hiddenLine>
              </a:ext>
            </a:extLst>
          </xdr:spPr>
        </xdr:pic>
        <xdr:clientData/>
      </xdr:twoCellAnchor>
    </mc:Choice>
    <mc:Fallback/>
  </mc:AlternateContent>
  <xdr:twoCellAnchor>
    <xdr:from>
      <xdr:col>1</xdr:col>
      <xdr:colOff>11206</xdr:colOff>
      <xdr:row>0</xdr:row>
      <xdr:rowOff>33619</xdr:rowOff>
    </xdr:from>
    <xdr:to>
      <xdr:col>10</xdr:col>
      <xdr:colOff>1075764</xdr:colOff>
      <xdr:row>0</xdr:row>
      <xdr:rowOff>560295</xdr:rowOff>
    </xdr:to>
    <xdr:sp macro="" textlink="">
      <xdr:nvSpPr>
        <xdr:cNvPr id="4" name="テキスト ボックス 3">
          <a:extLst>
            <a:ext uri="{FF2B5EF4-FFF2-40B4-BE49-F238E27FC236}">
              <a16:creationId xmlns="" xmlns:a16="http://schemas.microsoft.com/office/drawing/2014/main" id="{00000000-0008-0000-0B00-000004000000}"/>
            </a:ext>
          </a:extLst>
        </xdr:cNvPr>
        <xdr:cNvSpPr txBox="1"/>
      </xdr:nvSpPr>
      <xdr:spPr>
        <a:xfrm>
          <a:off x="106456" y="33619"/>
          <a:ext cx="7655858" cy="526676"/>
        </a:xfrm>
        <a:prstGeom prst="rect">
          <a:avLst/>
        </a:prstGeom>
        <a:solidFill>
          <a:schemeClr val="accent1">
            <a:lumMod val="40000"/>
            <a:lumOff val="60000"/>
            <a:alpha val="65000"/>
          </a:schemeClr>
        </a:solidFill>
        <a:ln w="31750" cmpd="dbl">
          <a:solidFill>
            <a:srgbClr val="0070C0"/>
          </a:solidFill>
          <a:miter lim="800000"/>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ja-JP" sz="1100" b="1" u="sng">
              <a:solidFill>
                <a:schemeClr val="dk1"/>
              </a:solidFill>
              <a:effectLst/>
              <a:latin typeface="ＭＳ 明朝" panose="02020609040205080304" pitchFamily="17" charset="-128"/>
              <a:ea typeface="ＭＳ 明朝" panose="02020609040205080304" pitchFamily="17" charset="-128"/>
              <a:cs typeface="+mn-cs"/>
            </a:rPr>
            <a:t>銀座の地に相応しく、弊社の再生実績をふんだんに注ぎ込み、新築同様に作り込んだ、</a:t>
          </a:r>
          <a:endParaRPr lang="ja-JP" altLang="ja-JP" sz="1100">
            <a:solidFill>
              <a:schemeClr val="dk1"/>
            </a:solidFill>
            <a:effectLst/>
            <a:latin typeface="ＭＳ 明朝" panose="02020609040205080304" pitchFamily="17" charset="-128"/>
            <a:ea typeface="ＭＳ 明朝" panose="02020609040205080304" pitchFamily="17" charset="-128"/>
            <a:cs typeface="+mn-cs"/>
          </a:endParaRPr>
        </a:p>
        <a:p>
          <a:pPr algn="ctr"/>
          <a:r>
            <a:rPr lang="ja-JP" altLang="ja-JP" sz="1100" b="1" u="sng">
              <a:solidFill>
                <a:schemeClr val="dk1"/>
              </a:solidFill>
              <a:effectLst/>
              <a:latin typeface="ＭＳ 明朝" panose="02020609040205080304" pitchFamily="17" charset="-128"/>
              <a:ea typeface="ＭＳ 明朝" panose="02020609040205080304" pitchFamily="17" charset="-128"/>
              <a:cs typeface="+mn-cs"/>
            </a:rPr>
            <a:t>昭和通り面の唯一無二の「プレミアム・リプランニングオフィスビル」</a:t>
          </a:r>
          <a:endParaRPr kumimoji="1" lang="ja-JP" altLang="en-US" sz="1100">
            <a:latin typeface="ＭＳ 明朝" panose="02020609040205080304" pitchFamily="17" charset="-128"/>
            <a:ea typeface="ＭＳ 明朝" panose="02020609040205080304" pitchFamily="17"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unfrt_f01\rp&#20849;&#26377;\Documents%20and%20Settings\saeki.DIX_KUROKI\&#12487;&#12473;&#12463;&#12488;&#12483;&#12503;\&#65432;&#65437;&#65400;&#20803;&#1228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CROSCASH"/>
      <sheetName val="敷金（駐車場）"/>
      <sheetName val="定期巡回報告書"/>
      <sheetName val="入力用(駐車)"/>
      <sheetName val="譲渡対象"/>
      <sheetName val="CASHPROJ"/>
      <sheetName val="Ｒｅｎｔ　Ｒｏｌｌ"/>
      <sheetName val="入力用(家賃)"/>
      <sheetName val="disposition"/>
      <sheetName val="Footwork"/>
      <sheetName val="Summary"/>
      <sheetName val="Pricing(Contractual)"/>
      <sheetName val="Collateral"/>
      <sheetName val="新規"/>
      <sheetName val="BOTM"/>
      <sheetName val="#REF"/>
      <sheetName val="修繕"/>
      <sheetName val="Rent Roll"/>
      <sheetName val="LIST"/>
      <sheetName val="土地"/>
      <sheetName val="付属設備"/>
      <sheetName val="減少什器"/>
      <sheetName val="構築物"/>
      <sheetName val="車両運搬"/>
      <sheetName val=" 周辺地図"/>
      <sheetName val="入居率･稼働率"/>
      <sheetName val="入金明細（10月入金分）"/>
      <sheetName val="予実月次（単月） "/>
      <sheetName val=" 目次"/>
      <sheetName val=" 解約"/>
      <sheetName val="物件概要"/>
      <sheetName val="ﾘﾝｸ元　"/>
      <sheetName val="入居者分類"/>
      <sheetName val="滞納 "/>
      <sheetName val=" 滞納（明細）"/>
      <sheetName val="Ｒｅｎｔ　Ｒｏｌｌ（駐車場・看板）"/>
      <sheetName val="敷金（貸室）"/>
      <sheetName val="Replacement"/>
      <sheetName val="賃料稼働率 "/>
      <sheetName val="支出明細"/>
      <sheetName val="Ｒｅｎｔ　Ｒｏｌｌ（貸室）"/>
      <sheetName val="実績予算一覧"/>
      <sheetName val="表紙 (2)"/>
      <sheetName val="賃料等一覧"/>
      <sheetName val=" グラフ元"/>
      <sheetName val="表紙"/>
      <sheetName val="_目次"/>
      <sheetName val="Ｒｅｎｔ_Ｒｏｌｌ_駐車場_看板_"/>
      <sheetName val="敷金_貸室_"/>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0.xml"/><Relationship Id="rId1" Type="http://schemas.openxmlformats.org/officeDocument/2006/relationships/printerSettings" Target="../printerSettings/printerSettings13.bin"/><Relationship Id="rId4"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1.xml"/><Relationship Id="rId1" Type="http://schemas.openxmlformats.org/officeDocument/2006/relationships/printerSettings" Target="../printerSettings/printerSettings14.bin"/><Relationship Id="rId4"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3.xml"/><Relationship Id="rId1" Type="http://schemas.openxmlformats.org/officeDocument/2006/relationships/printerSettings" Target="../printerSettings/printerSettings16.bin"/><Relationship Id="rId4"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4.xml"/><Relationship Id="rId1" Type="http://schemas.openxmlformats.org/officeDocument/2006/relationships/printerSettings" Target="../printerSettings/printerSettings17.bin"/><Relationship Id="rId4" Type="http://schemas.openxmlformats.org/officeDocument/2006/relationships/comments" Target="../comments13.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5.xml"/><Relationship Id="rId1" Type="http://schemas.openxmlformats.org/officeDocument/2006/relationships/printerSettings" Target="../printerSettings/printerSettings18.bin"/><Relationship Id="rId4" Type="http://schemas.openxmlformats.org/officeDocument/2006/relationships/comments" Target="../comments14.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6.xml"/><Relationship Id="rId1" Type="http://schemas.openxmlformats.org/officeDocument/2006/relationships/printerSettings" Target="../printerSettings/printerSettings19.bin"/><Relationship Id="rId4" Type="http://schemas.openxmlformats.org/officeDocument/2006/relationships/comments" Target="../comments1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CCC00"/>
  </sheetPr>
  <dimension ref="A1:L38"/>
  <sheetViews>
    <sheetView view="pageBreakPreview" zoomScale="70" zoomScaleNormal="100" zoomScaleSheetLayoutView="70" workbookViewId="0">
      <selection activeCell="D11" sqref="D11:E11"/>
    </sheetView>
  </sheetViews>
  <sheetFormatPr defaultRowHeight="13.5"/>
  <cols>
    <col min="1" max="1" width="5.875" style="930" bestFit="1" customWidth="1"/>
    <col min="2" max="2" width="16.25" style="927" customWidth="1"/>
    <col min="3" max="3" width="12.5" style="927" customWidth="1"/>
    <col min="4" max="4" width="4.875" style="927" customWidth="1"/>
    <col min="5" max="5" width="10" style="927" customWidth="1"/>
    <col min="6" max="6" width="12.5" style="927" customWidth="1"/>
    <col min="7" max="7" width="4.75" style="927" customWidth="1"/>
    <col min="8" max="8" width="1.875" style="927" customWidth="1"/>
    <col min="9" max="9" width="8.125" style="927" customWidth="1"/>
    <col min="10" max="11" width="12.5" style="927" customWidth="1"/>
    <col min="12" max="16384" width="9" style="927"/>
  </cols>
  <sheetData>
    <row r="1" spans="1:12">
      <c r="A1" s="926"/>
      <c r="B1" s="1878"/>
      <c r="C1" s="1878"/>
      <c r="D1" s="1878"/>
      <c r="E1" s="1878"/>
      <c r="F1" s="1878"/>
      <c r="G1" s="1878"/>
      <c r="H1" s="1878"/>
      <c r="I1" s="1878"/>
      <c r="J1" s="1878"/>
      <c r="K1" s="1878"/>
      <c r="L1" s="17"/>
    </row>
    <row r="2" spans="1:12" ht="21">
      <c r="A2" s="1855">
        <v>0</v>
      </c>
      <c r="B2" s="1855"/>
      <c r="C2" s="385"/>
      <c r="D2" s="385"/>
      <c r="F2" s="385"/>
      <c r="G2" s="1881" t="s">
        <v>237</v>
      </c>
      <c r="H2" s="1881"/>
      <c r="I2" s="1881"/>
      <c r="J2" s="1882">
        <f ca="1">TODAY()</f>
        <v>43486</v>
      </c>
      <c r="K2" s="1882"/>
      <c r="L2" s="17"/>
    </row>
    <row r="3" spans="1:12" ht="21">
      <c r="A3" s="1880" t="s">
        <v>236</v>
      </c>
      <c r="B3" s="1880"/>
      <c r="C3" s="1880"/>
      <c r="D3" s="1880"/>
      <c r="F3" s="385"/>
      <c r="G3" s="1881" t="s">
        <v>238</v>
      </c>
      <c r="H3" s="1881"/>
      <c r="I3" s="1881"/>
      <c r="J3" s="386" t="s">
        <v>240</v>
      </c>
      <c r="K3" s="386"/>
      <c r="L3" s="17"/>
    </row>
    <row r="4" spans="1:12" ht="21">
      <c r="A4" s="1880"/>
      <c r="B4" s="1880"/>
      <c r="C4" s="1880"/>
      <c r="D4" s="1880"/>
      <c r="F4" s="385"/>
      <c r="G4" s="1881" t="s">
        <v>239</v>
      </c>
      <c r="H4" s="1881"/>
      <c r="I4" s="1881"/>
      <c r="J4" s="386" t="str">
        <f>'事業計画書（現行）'!G5</f>
        <v>矢部　浩亮</v>
      </c>
      <c r="K4" s="386"/>
      <c r="L4" s="17"/>
    </row>
    <row r="5" spans="1:12">
      <c r="A5" s="926"/>
      <c r="B5" s="17"/>
      <c r="C5" s="17"/>
      <c r="D5" s="17"/>
      <c r="E5" s="17"/>
      <c r="F5" s="17"/>
      <c r="G5" s="17"/>
      <c r="H5" s="17"/>
      <c r="I5" s="17"/>
      <c r="J5" s="1879"/>
      <c r="K5" s="1879"/>
      <c r="L5" s="17"/>
    </row>
    <row r="6" spans="1:12" ht="32.25" customHeight="1">
      <c r="A6" s="1854" t="s">
        <v>837</v>
      </c>
      <c r="B6" s="1854"/>
      <c r="C6" s="1885" t="s">
        <v>526</v>
      </c>
      <c r="D6" s="1886"/>
      <c r="E6" s="1886"/>
      <c r="F6" s="1886"/>
      <c r="G6" s="1886"/>
      <c r="H6" s="1886"/>
      <c r="I6" s="1886"/>
      <c r="J6" s="1886"/>
      <c r="K6" s="1887"/>
      <c r="L6" s="1046" t="s">
        <v>688</v>
      </c>
    </row>
    <row r="7" spans="1:12" ht="30" customHeight="1">
      <c r="A7" s="1854" t="s">
        <v>531</v>
      </c>
      <c r="B7" s="1854"/>
      <c r="C7" s="1433" t="str">
        <f>基本情報!C4</f>
        <v>MAMIYAビル</v>
      </c>
      <c r="D7" s="1434"/>
      <c r="E7" s="1434"/>
      <c r="F7" s="1434"/>
      <c r="G7" s="1434"/>
      <c r="H7" s="1434"/>
      <c r="I7" s="1434"/>
      <c r="J7" s="1434"/>
      <c r="K7" s="1435"/>
      <c r="L7" s="1046" t="s">
        <v>685</v>
      </c>
    </row>
    <row r="8" spans="1:12" ht="56.25" customHeight="1">
      <c r="A8" s="1436"/>
      <c r="B8" s="1883" t="s">
        <v>834</v>
      </c>
      <c r="C8" s="1884"/>
      <c r="D8" s="1884"/>
      <c r="E8" s="1884"/>
      <c r="F8" s="1884"/>
      <c r="G8" s="1884"/>
      <c r="H8" s="1884"/>
      <c r="I8" s="1884"/>
      <c r="J8" s="1884"/>
      <c r="K8" s="1884"/>
      <c r="L8" s="1049" t="s">
        <v>840</v>
      </c>
    </row>
    <row r="9" spans="1:12" ht="25.5" customHeight="1">
      <c r="A9" s="1856">
        <v>1</v>
      </c>
      <c r="B9" s="1860" t="s">
        <v>530</v>
      </c>
      <c r="C9" s="1437" t="s">
        <v>18</v>
      </c>
      <c r="D9" s="1865" t="str">
        <f>基本情報!C7</f>
        <v>東京都千代田区神田錦町18番4、6、7</v>
      </c>
      <c r="E9" s="1866"/>
      <c r="F9" s="1866"/>
      <c r="G9" s="1866"/>
      <c r="H9" s="1866"/>
      <c r="I9" s="1866"/>
      <c r="J9" s="1866"/>
      <c r="K9" s="1867"/>
    </row>
    <row r="10" spans="1:12" ht="25.5" customHeight="1">
      <c r="A10" s="1856"/>
      <c r="B10" s="1861"/>
      <c r="C10" s="1438" t="s">
        <v>19</v>
      </c>
      <c r="D10" s="1865" t="str">
        <f>基本情報!C6</f>
        <v>東京都千代田区神田錦町3-18</v>
      </c>
      <c r="E10" s="1866"/>
      <c r="F10" s="1866"/>
      <c r="G10" s="1866"/>
      <c r="H10" s="1866"/>
      <c r="I10" s="1866"/>
      <c r="J10" s="1866"/>
      <c r="K10" s="1867"/>
      <c r="L10" s="1045" t="s">
        <v>641</v>
      </c>
    </row>
    <row r="11" spans="1:12" ht="25.5" customHeight="1">
      <c r="A11" s="1424">
        <v>2</v>
      </c>
      <c r="B11" s="1453" t="s">
        <v>835</v>
      </c>
      <c r="C11" s="1439" t="s">
        <v>831</v>
      </c>
      <c r="D11" s="1868" t="s">
        <v>970</v>
      </c>
      <c r="E11" s="1869"/>
      <c r="F11" s="1440">
        <f>基本情報!C20</f>
        <v>354.52</v>
      </c>
      <c r="G11" s="1441" t="s">
        <v>532</v>
      </c>
      <c r="H11" s="1442" t="s">
        <v>23</v>
      </c>
      <c r="I11" s="1443">
        <f>基本情報!E20</f>
        <v>107.24</v>
      </c>
      <c r="J11" s="1866" t="s">
        <v>533</v>
      </c>
      <c r="K11" s="1867"/>
      <c r="L11" s="1050" t="s">
        <v>686</v>
      </c>
    </row>
    <row r="12" spans="1:12" ht="25.5" customHeight="1">
      <c r="A12" s="1856">
        <v>3</v>
      </c>
      <c r="B12" s="1860" t="s">
        <v>836</v>
      </c>
      <c r="C12" s="1444" t="s">
        <v>832</v>
      </c>
      <c r="D12" s="1865" t="str">
        <f>基本情報!C28</f>
        <v>鉄骨鉄筋コンクリート造陸屋根7階建</v>
      </c>
      <c r="E12" s="1866"/>
      <c r="F12" s="1866"/>
      <c r="G12" s="1866"/>
      <c r="H12" s="1866"/>
      <c r="I12" s="1866"/>
      <c r="J12" s="1866"/>
      <c r="K12" s="1867"/>
      <c r="L12" s="1050" t="s">
        <v>687</v>
      </c>
    </row>
    <row r="13" spans="1:12" ht="25.5" customHeight="1">
      <c r="A13" s="1856"/>
      <c r="B13" s="1900"/>
      <c r="C13" s="1445" t="s">
        <v>833</v>
      </c>
      <c r="D13" s="1891" t="str">
        <f>基本情報!C29</f>
        <v>事務所・車庫</v>
      </c>
      <c r="E13" s="1892"/>
      <c r="F13" s="1892"/>
      <c r="G13" s="1892"/>
      <c r="H13" s="1892"/>
      <c r="I13" s="1892"/>
      <c r="J13" s="1892"/>
      <c r="K13" s="1893"/>
      <c r="L13" s="1045" t="s">
        <v>638</v>
      </c>
    </row>
    <row r="14" spans="1:12" ht="25.5" customHeight="1">
      <c r="A14" s="1856"/>
      <c r="B14" s="1900"/>
      <c r="C14" s="1446" t="s">
        <v>20</v>
      </c>
      <c r="D14" s="1868" t="s">
        <v>970</v>
      </c>
      <c r="E14" s="1869"/>
      <c r="F14" s="1440">
        <f>基本情報!C30</f>
        <v>2132.0300000000002</v>
      </c>
      <c r="G14" s="1441" t="s">
        <v>532</v>
      </c>
      <c r="H14" s="1442" t="s">
        <v>23</v>
      </c>
      <c r="I14" s="1443">
        <f>基本情報!E30</f>
        <v>644.92999999999995</v>
      </c>
      <c r="J14" s="1441" t="s">
        <v>534</v>
      </c>
      <c r="K14" s="1447"/>
      <c r="L14" s="1045" t="s">
        <v>639</v>
      </c>
    </row>
    <row r="15" spans="1:12" ht="25.5" customHeight="1">
      <c r="A15" s="1856">
        <v>4</v>
      </c>
      <c r="B15" s="1860" t="s">
        <v>242</v>
      </c>
      <c r="C15" s="1888" t="str">
        <f>基本情報!C67</f>
        <v>サンフロンティア不動産株式会社</v>
      </c>
      <c r="D15" s="1889"/>
      <c r="E15" s="1889"/>
      <c r="F15" s="1889"/>
      <c r="G15" s="1889"/>
      <c r="H15" s="1889"/>
      <c r="I15" s="1889"/>
      <c r="J15" s="1889"/>
      <c r="K15" s="1890"/>
      <c r="L15" s="1045" t="s">
        <v>640</v>
      </c>
    </row>
    <row r="16" spans="1:12" ht="25.5" customHeight="1">
      <c r="A16" s="1856"/>
      <c r="B16" s="1861"/>
      <c r="C16" s="1891"/>
      <c r="D16" s="1892"/>
      <c r="E16" s="1892"/>
      <c r="F16" s="1892"/>
      <c r="G16" s="1892"/>
      <c r="H16" s="1892"/>
      <c r="I16" s="1892"/>
      <c r="J16" s="1892"/>
      <c r="K16" s="1893"/>
    </row>
    <row r="17" spans="1:12" ht="25.5" customHeight="1">
      <c r="A17" s="1856">
        <v>5</v>
      </c>
      <c r="B17" s="1860" t="s">
        <v>243</v>
      </c>
      <c r="C17" s="1865" t="str">
        <f>基本情報!C54</f>
        <v>マミヤ・オーピー株式会社</v>
      </c>
      <c r="D17" s="1866"/>
      <c r="E17" s="1866"/>
      <c r="F17" s="1866"/>
      <c r="G17" s="1866"/>
      <c r="H17" s="1866"/>
      <c r="I17" s="1866"/>
      <c r="J17" s="1866"/>
      <c r="K17" s="1867"/>
    </row>
    <row r="18" spans="1:12" ht="25.5" customHeight="1">
      <c r="A18" s="1856"/>
      <c r="B18" s="1861"/>
      <c r="C18" s="1437" t="s">
        <v>830</v>
      </c>
      <c r="D18" s="1865" t="str">
        <f>基本情報!$C$55</f>
        <v>東京都千代田区神田錦町3-18</v>
      </c>
      <c r="E18" s="1866"/>
      <c r="F18" s="1866"/>
      <c r="G18" s="1866"/>
      <c r="H18" s="1866"/>
      <c r="I18" s="1866"/>
      <c r="J18" s="1866"/>
      <c r="K18" s="1867"/>
    </row>
    <row r="19" spans="1:12" ht="25.5" customHeight="1">
      <c r="A19" s="1856">
        <v>6</v>
      </c>
      <c r="B19" s="1860" t="s">
        <v>244</v>
      </c>
      <c r="C19" s="1888" t="str">
        <f>基本情報!C56</f>
        <v>CBRE株式会社</v>
      </c>
      <c r="D19" s="1889"/>
      <c r="E19" s="1889"/>
      <c r="F19" s="1889"/>
      <c r="G19" s="1889"/>
      <c r="H19" s="1889"/>
      <c r="I19" s="1889"/>
      <c r="J19" s="1889"/>
      <c r="K19" s="1890"/>
    </row>
    <row r="20" spans="1:12" ht="25.5" customHeight="1">
      <c r="A20" s="1856"/>
      <c r="B20" s="1861"/>
      <c r="C20" s="1891"/>
      <c r="D20" s="1892"/>
      <c r="E20" s="1892"/>
      <c r="F20" s="1892"/>
      <c r="G20" s="1892"/>
      <c r="H20" s="1892"/>
      <c r="I20" s="1892"/>
      <c r="J20" s="1892"/>
      <c r="K20" s="1893"/>
    </row>
    <row r="21" spans="1:12" ht="25.5" customHeight="1">
      <c r="A21" s="1862">
        <v>7</v>
      </c>
      <c r="B21" s="1454" t="s">
        <v>527</v>
      </c>
      <c r="C21" s="1894">
        <f>'事業計画書（事業決定時）'!D8</f>
        <v>614560426</v>
      </c>
      <c r="D21" s="1895"/>
      <c r="E21" s="1895"/>
      <c r="F21" s="1896" t="s">
        <v>528</v>
      </c>
      <c r="G21" s="1857"/>
      <c r="H21" s="1897">
        <f>'事業計画書（事業決定時）'!F9</f>
        <v>20439574</v>
      </c>
      <c r="I21" s="1897"/>
      <c r="J21" s="1897"/>
      <c r="K21" s="1898"/>
      <c r="L21" s="17"/>
    </row>
    <row r="22" spans="1:12" ht="25.5" customHeight="1">
      <c r="A22" s="1863"/>
      <c r="B22" s="1455" t="s">
        <v>245</v>
      </c>
      <c r="C22" s="1894">
        <f>'事業計画書（事業決定時）'!M20</f>
        <v>219536982</v>
      </c>
      <c r="D22" s="1895"/>
      <c r="E22" s="1899"/>
      <c r="F22" s="1902" t="s">
        <v>247</v>
      </c>
      <c r="G22" s="1903"/>
      <c r="H22" s="1907">
        <f>'事業計画書（事業決定時）'!M21</f>
        <v>0.2823</v>
      </c>
      <c r="I22" s="1908"/>
      <c r="J22" s="1908"/>
      <c r="K22" s="1909"/>
      <c r="L22" s="17"/>
    </row>
    <row r="23" spans="1:12" ht="25.5" customHeight="1">
      <c r="A23" s="1864"/>
      <c r="B23" s="1455" t="s">
        <v>246</v>
      </c>
      <c r="C23" s="1894">
        <f>'事業計画書（事業決定時）'!D62</f>
        <v>777623018</v>
      </c>
      <c r="D23" s="1895"/>
      <c r="E23" s="1895"/>
      <c r="F23" s="1910" t="s">
        <v>887</v>
      </c>
      <c r="G23" s="1910"/>
      <c r="H23" s="1910"/>
      <c r="I23" s="1910"/>
      <c r="J23" s="1910"/>
      <c r="K23" s="1911"/>
      <c r="L23" s="17"/>
    </row>
    <row r="24" spans="1:12" ht="25.5" customHeight="1">
      <c r="A24" s="1424">
        <v>8</v>
      </c>
      <c r="B24" s="1455" t="s">
        <v>248</v>
      </c>
      <c r="C24" s="1904" t="s">
        <v>529</v>
      </c>
      <c r="D24" s="1905"/>
      <c r="E24" s="1448">
        <f>'事業計画書（事業決定時）'!M28</f>
        <v>5.8000000000000003E-2</v>
      </c>
      <c r="F24" s="1449" t="s">
        <v>535</v>
      </c>
      <c r="G24" s="1906">
        <f>'事業計画書（事業決定時）'!M29</f>
        <v>4.8500000000000001E-2</v>
      </c>
      <c r="H24" s="1906"/>
      <c r="I24" s="1906"/>
      <c r="J24" s="1450"/>
      <c r="K24" s="1451"/>
      <c r="L24" s="17"/>
    </row>
    <row r="25" spans="1:12" ht="25.5" customHeight="1">
      <c r="A25" s="1424">
        <v>9</v>
      </c>
      <c r="B25" s="1455" t="s">
        <v>249</v>
      </c>
      <c r="C25" s="1452">
        <f>'事業計画書（事業決定時）'!M58</f>
        <v>272</v>
      </c>
      <c r="D25" s="1450"/>
      <c r="E25" s="1450"/>
      <c r="F25" s="1450"/>
      <c r="G25" s="1450"/>
      <c r="H25" s="1450"/>
      <c r="I25" s="1450"/>
      <c r="J25" s="1450"/>
      <c r="K25" s="1451"/>
      <c r="L25" s="17"/>
    </row>
    <row r="26" spans="1:12" ht="25.5" customHeight="1">
      <c r="A26" s="1424">
        <v>10</v>
      </c>
      <c r="B26" s="1455" t="s">
        <v>250</v>
      </c>
      <c r="C26" s="1858">
        <f>'事業計画書（事業決定時）'!M54</f>
        <v>43188</v>
      </c>
      <c r="D26" s="1859"/>
      <c r="E26" s="1859"/>
      <c r="F26" s="1859"/>
      <c r="G26" s="1450"/>
      <c r="H26" s="1450"/>
      <c r="I26" s="1450"/>
      <c r="J26" s="1450"/>
      <c r="K26" s="1451"/>
      <c r="L26" s="17"/>
    </row>
    <row r="27" spans="1:12" ht="25.5" customHeight="1">
      <c r="A27" s="1424">
        <v>11</v>
      </c>
      <c r="B27" s="1455" t="s">
        <v>251</v>
      </c>
      <c r="C27" s="1858">
        <f>'事業計画書（事業決定時）'!M55</f>
        <v>43259</v>
      </c>
      <c r="D27" s="1859"/>
      <c r="E27" s="1859"/>
      <c r="F27" s="1859"/>
      <c r="G27" s="1450"/>
      <c r="H27" s="1450"/>
      <c r="I27" s="1450"/>
      <c r="J27" s="1450"/>
      <c r="K27" s="1451"/>
      <c r="L27" s="17"/>
    </row>
    <row r="28" spans="1:12" ht="25.5" customHeight="1">
      <c r="A28" s="1856">
        <v>12</v>
      </c>
      <c r="B28" s="1857" t="s">
        <v>252</v>
      </c>
      <c r="C28" s="1427" t="str">
        <f>基本情報!C60</f>
        <v>現況有姿、公簿売買、瑕疵担保免責</v>
      </c>
      <c r="D28" s="1425"/>
      <c r="E28" s="1425"/>
      <c r="F28" s="1425"/>
      <c r="G28" s="1425"/>
      <c r="H28" s="1425"/>
      <c r="I28" s="1425"/>
      <c r="J28" s="1425"/>
      <c r="K28" s="1426"/>
      <c r="L28" s="17"/>
    </row>
    <row r="29" spans="1:12" ht="25.5" customHeight="1">
      <c r="A29" s="1856"/>
      <c r="B29" s="1857"/>
      <c r="C29" s="1428" t="str">
        <f>基本情報!C61</f>
        <v>境界明示（官民・民民）</v>
      </c>
      <c r="D29" s="1429"/>
      <c r="E29" s="1429"/>
      <c r="F29" s="1429"/>
      <c r="G29" s="1429"/>
      <c r="H29" s="1429"/>
      <c r="I29" s="1429"/>
      <c r="J29" s="1429"/>
      <c r="K29" s="1430"/>
      <c r="L29" s="17"/>
    </row>
    <row r="30" spans="1:12" ht="18.75" customHeight="1">
      <c r="A30" s="1431"/>
      <c r="B30" s="1900" t="s">
        <v>253</v>
      </c>
      <c r="C30" s="1871" t="s">
        <v>838</v>
      </c>
      <c r="D30" s="1872"/>
      <c r="E30" s="1872"/>
      <c r="F30" s="1872"/>
      <c r="G30" s="1872"/>
      <c r="H30" s="1872"/>
      <c r="I30" s="1872"/>
      <c r="J30" s="1872"/>
      <c r="K30" s="1873"/>
      <c r="L30" s="928"/>
    </row>
    <row r="31" spans="1:12" ht="18.75" customHeight="1">
      <c r="A31" s="1431"/>
      <c r="B31" s="1900"/>
      <c r="C31" s="1874"/>
      <c r="D31" s="1872"/>
      <c r="E31" s="1872"/>
      <c r="F31" s="1872"/>
      <c r="G31" s="1872"/>
      <c r="H31" s="1872"/>
      <c r="I31" s="1872"/>
      <c r="J31" s="1872"/>
      <c r="K31" s="1873"/>
      <c r="L31" s="17"/>
    </row>
    <row r="32" spans="1:12" ht="18.75" customHeight="1">
      <c r="A32" s="1431"/>
      <c r="B32" s="1900"/>
      <c r="C32" s="1874"/>
      <c r="D32" s="1872"/>
      <c r="E32" s="1872"/>
      <c r="F32" s="1872"/>
      <c r="G32" s="1872"/>
      <c r="H32" s="1872"/>
      <c r="I32" s="1872"/>
      <c r="J32" s="1872"/>
      <c r="K32" s="1873"/>
      <c r="L32" s="17"/>
    </row>
    <row r="33" spans="1:12" ht="18.75" customHeight="1">
      <c r="A33" s="1432"/>
      <c r="B33" s="1861"/>
      <c r="C33" s="1875"/>
      <c r="D33" s="1876"/>
      <c r="E33" s="1876"/>
      <c r="F33" s="1876"/>
      <c r="G33" s="1876"/>
      <c r="H33" s="1876"/>
      <c r="I33" s="1876"/>
      <c r="J33" s="1876"/>
      <c r="K33" s="1877"/>
      <c r="L33" s="928"/>
    </row>
    <row r="34" spans="1:12" ht="14.25">
      <c r="A34" s="926"/>
      <c r="B34" s="1456"/>
      <c r="C34" s="17"/>
      <c r="D34" s="17"/>
      <c r="E34" s="17"/>
      <c r="F34" s="17"/>
      <c r="G34" s="17"/>
      <c r="H34" s="17"/>
      <c r="I34" s="384" t="s">
        <v>536</v>
      </c>
      <c r="J34" s="1901"/>
      <c r="K34" s="1901"/>
      <c r="L34" s="17"/>
    </row>
    <row r="35" spans="1:12">
      <c r="A35" s="926"/>
      <c r="B35" s="17"/>
      <c r="C35" s="17"/>
      <c r="D35" s="17"/>
      <c r="E35" s="17"/>
      <c r="F35" s="17"/>
      <c r="G35" s="1870" t="s">
        <v>536</v>
      </c>
      <c r="H35" s="1870"/>
      <c r="I35" s="1870"/>
      <c r="J35" s="1870"/>
      <c r="K35" s="1870"/>
      <c r="L35" s="17"/>
    </row>
    <row r="36" spans="1:12">
      <c r="A36" s="926"/>
      <c r="B36" s="17"/>
      <c r="C36" s="17"/>
      <c r="D36" s="17"/>
      <c r="E36" s="17"/>
      <c r="F36" s="17"/>
      <c r="G36" s="1870" t="s">
        <v>536</v>
      </c>
      <c r="H36" s="1870"/>
      <c r="I36" s="1870"/>
      <c r="J36" s="1870"/>
      <c r="K36" s="1870"/>
      <c r="L36" s="929"/>
    </row>
    <row r="37" spans="1:12">
      <c r="A37" s="926"/>
      <c r="B37" s="17"/>
      <c r="C37" s="17"/>
      <c r="D37" s="17"/>
      <c r="E37" s="17"/>
      <c r="F37" s="17"/>
      <c r="G37" s="1870" t="s">
        <v>536</v>
      </c>
      <c r="H37" s="1870"/>
      <c r="I37" s="1870"/>
      <c r="J37" s="1870"/>
      <c r="K37" s="1870"/>
      <c r="L37" s="17"/>
    </row>
    <row r="38" spans="1:12">
      <c r="A38" s="926"/>
      <c r="B38" s="17"/>
      <c r="C38" s="17"/>
      <c r="D38" s="17"/>
      <c r="E38" s="17"/>
      <c r="F38" s="17"/>
      <c r="G38" s="18" t="s">
        <v>536</v>
      </c>
      <c r="H38" s="18"/>
      <c r="I38" s="18" t="s">
        <v>536</v>
      </c>
      <c r="J38" s="1870" t="s">
        <v>536</v>
      </c>
      <c r="K38" s="1870"/>
      <c r="L38" s="17"/>
    </row>
  </sheetData>
  <mergeCells count="55">
    <mergeCell ref="J11:K11"/>
    <mergeCell ref="B30:B33"/>
    <mergeCell ref="J34:K34"/>
    <mergeCell ref="B15:B16"/>
    <mergeCell ref="C15:K16"/>
    <mergeCell ref="B12:B14"/>
    <mergeCell ref="D13:K13"/>
    <mergeCell ref="D12:K12"/>
    <mergeCell ref="D14:E14"/>
    <mergeCell ref="F22:G22"/>
    <mergeCell ref="B19:B20"/>
    <mergeCell ref="C24:D24"/>
    <mergeCell ref="G24:I24"/>
    <mergeCell ref="C23:E23"/>
    <mergeCell ref="H22:K22"/>
    <mergeCell ref="F23:K23"/>
    <mergeCell ref="C19:K20"/>
    <mergeCell ref="G35:K35"/>
    <mergeCell ref="G36:K36"/>
    <mergeCell ref="C21:E21"/>
    <mergeCell ref="F21:G21"/>
    <mergeCell ref="H21:K21"/>
    <mergeCell ref="C22:E22"/>
    <mergeCell ref="G37:K37"/>
    <mergeCell ref="J38:K38"/>
    <mergeCell ref="C30:K33"/>
    <mergeCell ref="B1:K1"/>
    <mergeCell ref="J5:K5"/>
    <mergeCell ref="B9:B10"/>
    <mergeCell ref="D9:K9"/>
    <mergeCell ref="D10:K10"/>
    <mergeCell ref="A3:D4"/>
    <mergeCell ref="G2:I2"/>
    <mergeCell ref="J2:K2"/>
    <mergeCell ref="B8:K8"/>
    <mergeCell ref="A6:B6"/>
    <mergeCell ref="G3:I3"/>
    <mergeCell ref="G4:I4"/>
    <mergeCell ref="C6:K6"/>
    <mergeCell ref="A7:B7"/>
    <mergeCell ref="A2:B2"/>
    <mergeCell ref="A28:A29"/>
    <mergeCell ref="B28:B29"/>
    <mergeCell ref="C26:F26"/>
    <mergeCell ref="C27:F27"/>
    <mergeCell ref="A9:A10"/>
    <mergeCell ref="B17:B18"/>
    <mergeCell ref="A12:A14"/>
    <mergeCell ref="A15:A16"/>
    <mergeCell ref="A17:A18"/>
    <mergeCell ref="A19:A20"/>
    <mergeCell ref="A21:A23"/>
    <mergeCell ref="D18:K18"/>
    <mergeCell ref="C17:K17"/>
    <mergeCell ref="D11:E11"/>
  </mergeCells>
  <phoneticPr fontId="133"/>
  <printOptions horizontalCentered="1"/>
  <pageMargins left="0.39370078740157483" right="0.39370078740157483" top="0.74803149606299213" bottom="0.74803149606299213" header="0.31496062992125984" footer="0.31496062992125984"/>
  <pageSetup paperSize="9" scale="95" orientation="portrait" r:id="rId1"/>
  <colBreaks count="1" manualBreakCount="1">
    <brk id="11" max="44" man="1"/>
  </colBreaks>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5"/>
  </sheetPr>
  <dimension ref="A1:AG125"/>
  <sheetViews>
    <sheetView view="pageBreakPreview" zoomScaleNormal="55" zoomScaleSheetLayoutView="100" workbookViewId="0">
      <selection activeCell="F8" sqref="F8"/>
    </sheetView>
  </sheetViews>
  <sheetFormatPr defaultRowHeight="13.5"/>
  <cols>
    <col min="1" max="2" width="1.875" style="1299" customWidth="1"/>
    <col min="3" max="3" width="10.25" style="1055" customWidth="1"/>
    <col min="4" max="4" width="10.625" style="1055" customWidth="1"/>
    <col min="5" max="5" width="8.75" style="1055" customWidth="1"/>
    <col min="6" max="30" width="7.5" style="1055" customWidth="1"/>
    <col min="31" max="32" width="9" style="1055"/>
    <col min="33" max="33" width="10.25" style="1055" bestFit="1" customWidth="1"/>
    <col min="34" max="16384" width="9" style="1055"/>
  </cols>
  <sheetData>
    <row r="1" spans="1:33" ht="19.5" customHeight="1">
      <c r="A1" s="2427" t="str">
        <f>基本情報!C5</f>
        <v>MAMIYAビル</v>
      </c>
      <c r="B1" s="2427"/>
      <c r="C1" s="2427"/>
      <c r="D1" s="2427"/>
      <c r="E1" s="1056" t="s">
        <v>696</v>
      </c>
      <c r="F1" s="1056" t="s">
        <v>697</v>
      </c>
      <c r="G1" s="1339">
        <v>0.95</v>
      </c>
      <c r="H1" s="1057" t="s">
        <v>698</v>
      </c>
      <c r="I1" s="1058"/>
      <c r="K1" s="1059"/>
      <c r="L1" s="1058"/>
      <c r="N1" s="1060"/>
      <c r="P1" s="1058"/>
      <c r="R1" s="1058"/>
      <c r="V1" s="1058"/>
      <c r="Y1" s="1061"/>
    </row>
    <row r="2" spans="1:33" ht="9.75" customHeight="1">
      <c r="A2" s="1052"/>
      <c r="B2" s="1053"/>
      <c r="C2" s="1054"/>
      <c r="E2" s="1056"/>
      <c r="F2" s="1062">
        <v>1</v>
      </c>
      <c r="G2" s="1062">
        <v>1</v>
      </c>
      <c r="H2" s="1062">
        <v>1</v>
      </c>
      <c r="I2" s="1062">
        <v>1</v>
      </c>
      <c r="J2" s="1336">
        <v>0.98</v>
      </c>
      <c r="K2" s="1062">
        <v>1</v>
      </c>
      <c r="L2" s="1062">
        <v>1</v>
      </c>
      <c r="M2" s="1062">
        <v>1</v>
      </c>
      <c r="N2" s="1062">
        <v>1</v>
      </c>
      <c r="O2" s="1336">
        <v>0.98</v>
      </c>
      <c r="P2" s="1062">
        <v>1</v>
      </c>
      <c r="Q2" s="1062">
        <v>1</v>
      </c>
      <c r="R2" s="1062">
        <v>1</v>
      </c>
      <c r="S2" s="1062">
        <v>1</v>
      </c>
      <c r="T2" s="1336">
        <v>0.98</v>
      </c>
      <c r="U2" s="1062">
        <v>1</v>
      </c>
      <c r="V2" s="1062">
        <v>1</v>
      </c>
      <c r="W2" s="1062">
        <v>1</v>
      </c>
      <c r="X2" s="1062">
        <v>1</v>
      </c>
      <c r="Y2" s="1336">
        <v>0.98</v>
      </c>
      <c r="Z2" s="1062">
        <v>1</v>
      </c>
      <c r="AA2" s="1062">
        <v>1</v>
      </c>
      <c r="AB2" s="1062">
        <v>1</v>
      </c>
      <c r="AC2" s="1062">
        <v>1</v>
      </c>
      <c r="AD2" s="1335">
        <v>0.98</v>
      </c>
    </row>
    <row r="3" spans="1:33" s="1065" customFormat="1" ht="14.25" customHeight="1">
      <c r="A3" s="1063"/>
      <c r="B3" s="1064"/>
      <c r="D3" s="1066"/>
      <c r="E3" s="1066"/>
      <c r="F3" s="1067" t="s">
        <v>699</v>
      </c>
      <c r="G3" s="1067" t="s">
        <v>700</v>
      </c>
      <c r="H3" s="1067" t="s">
        <v>701</v>
      </c>
      <c r="I3" s="1067" t="s">
        <v>702</v>
      </c>
      <c r="J3" s="1067" t="s">
        <v>703</v>
      </c>
      <c r="K3" s="1068" t="s">
        <v>704</v>
      </c>
      <c r="L3" s="1067" t="s">
        <v>705</v>
      </c>
      <c r="M3" s="1068" t="s">
        <v>706</v>
      </c>
      <c r="N3" s="1068" t="s">
        <v>707</v>
      </c>
      <c r="O3" s="1067" t="s">
        <v>708</v>
      </c>
      <c r="P3" s="1067" t="s">
        <v>709</v>
      </c>
      <c r="Q3" s="1067" t="s">
        <v>710</v>
      </c>
      <c r="R3" s="1067" t="s">
        <v>711</v>
      </c>
      <c r="S3" s="1068" t="s">
        <v>712</v>
      </c>
      <c r="T3" s="1067" t="s">
        <v>713</v>
      </c>
      <c r="U3" s="1067" t="s">
        <v>714</v>
      </c>
      <c r="V3" s="1067" t="s">
        <v>715</v>
      </c>
      <c r="W3" s="1068" t="s">
        <v>716</v>
      </c>
      <c r="X3" s="1068" t="s">
        <v>717</v>
      </c>
      <c r="Y3" s="1068" t="s">
        <v>718</v>
      </c>
      <c r="Z3" s="1068" t="s">
        <v>719</v>
      </c>
      <c r="AA3" s="1068" t="s">
        <v>720</v>
      </c>
      <c r="AB3" s="1068" t="s">
        <v>721</v>
      </c>
      <c r="AC3" s="1068" t="s">
        <v>722</v>
      </c>
      <c r="AD3" s="1067" t="s">
        <v>723</v>
      </c>
      <c r="AG3" s="1357">
        <f>'事業計画書（事業決定時）'!M55</f>
        <v>43259</v>
      </c>
    </row>
    <row r="4" spans="1:33" s="1075" customFormat="1" ht="14.25" customHeight="1">
      <c r="A4" s="1069"/>
      <c r="B4" s="1070"/>
      <c r="C4" s="1070"/>
      <c r="D4" s="1071"/>
      <c r="E4" s="1072" t="s">
        <v>724</v>
      </c>
      <c r="F4" s="1338">
        <f ca="1">YEAR(基本情報!C1)</f>
        <v>2019</v>
      </c>
      <c r="G4" s="1073">
        <f t="shared" ref="G4:AD4" ca="1" si="0">F4+1</f>
        <v>2020</v>
      </c>
      <c r="H4" s="1073">
        <f t="shared" ca="1" si="0"/>
        <v>2021</v>
      </c>
      <c r="I4" s="1073">
        <f t="shared" ca="1" si="0"/>
        <v>2022</v>
      </c>
      <c r="J4" s="1073">
        <f t="shared" ca="1" si="0"/>
        <v>2023</v>
      </c>
      <c r="K4" s="1073">
        <f t="shared" ca="1" si="0"/>
        <v>2024</v>
      </c>
      <c r="L4" s="1073">
        <f t="shared" ca="1" si="0"/>
        <v>2025</v>
      </c>
      <c r="M4" s="1073">
        <f t="shared" ca="1" si="0"/>
        <v>2026</v>
      </c>
      <c r="N4" s="1073">
        <f t="shared" ca="1" si="0"/>
        <v>2027</v>
      </c>
      <c r="O4" s="1073">
        <f t="shared" ca="1" si="0"/>
        <v>2028</v>
      </c>
      <c r="P4" s="1073">
        <f t="shared" ca="1" si="0"/>
        <v>2029</v>
      </c>
      <c r="Q4" s="1073">
        <f t="shared" ca="1" si="0"/>
        <v>2030</v>
      </c>
      <c r="R4" s="1073">
        <f t="shared" ca="1" si="0"/>
        <v>2031</v>
      </c>
      <c r="S4" s="1073">
        <f t="shared" ca="1" si="0"/>
        <v>2032</v>
      </c>
      <c r="T4" s="1073">
        <f t="shared" ca="1" si="0"/>
        <v>2033</v>
      </c>
      <c r="U4" s="1073">
        <f t="shared" ca="1" si="0"/>
        <v>2034</v>
      </c>
      <c r="V4" s="1073">
        <f t="shared" ca="1" si="0"/>
        <v>2035</v>
      </c>
      <c r="W4" s="1073">
        <f t="shared" ca="1" si="0"/>
        <v>2036</v>
      </c>
      <c r="X4" s="1073">
        <f t="shared" ca="1" si="0"/>
        <v>2037</v>
      </c>
      <c r="Y4" s="1073">
        <f t="shared" ca="1" si="0"/>
        <v>2038</v>
      </c>
      <c r="Z4" s="1073">
        <f t="shared" ca="1" si="0"/>
        <v>2039</v>
      </c>
      <c r="AA4" s="1073">
        <f t="shared" ca="1" si="0"/>
        <v>2040</v>
      </c>
      <c r="AB4" s="1073">
        <f t="shared" ca="1" si="0"/>
        <v>2041</v>
      </c>
      <c r="AC4" s="1073">
        <f t="shared" ca="1" si="0"/>
        <v>2042</v>
      </c>
      <c r="AD4" s="1074">
        <f t="shared" ca="1" si="0"/>
        <v>2043</v>
      </c>
      <c r="AG4" s="1357">
        <f>基本情報!C2</f>
        <v>43465</v>
      </c>
    </row>
    <row r="5" spans="1:33" s="1075" customFormat="1" ht="14.25" customHeight="1">
      <c r="A5" s="2453" t="s">
        <v>725</v>
      </c>
      <c r="B5" s="2456" t="s">
        <v>726</v>
      </c>
      <c r="C5" s="1076"/>
      <c r="D5" s="1077"/>
      <c r="E5" s="1078"/>
      <c r="F5" s="1079"/>
      <c r="G5" s="1080"/>
      <c r="H5" s="1080"/>
      <c r="I5" s="1081"/>
      <c r="J5" s="1081"/>
      <c r="K5" s="1081"/>
      <c r="L5" s="1081"/>
      <c r="M5" s="1081"/>
      <c r="N5" s="1081"/>
      <c r="O5" s="1081"/>
      <c r="P5" s="1081"/>
      <c r="Q5" s="1081"/>
      <c r="R5" s="1081"/>
      <c r="S5" s="1081"/>
      <c r="T5" s="1081"/>
      <c r="U5" s="1081"/>
      <c r="V5" s="1081"/>
      <c r="W5" s="1081"/>
      <c r="X5" s="1081"/>
      <c r="Y5" s="1082"/>
      <c r="Z5" s="1082"/>
      <c r="AA5" s="1082"/>
      <c r="AB5" s="1082"/>
      <c r="AC5" s="1082"/>
      <c r="AD5" s="1083"/>
      <c r="AE5" s="1084">
        <f>SUM(F5:AD5)</f>
        <v>0</v>
      </c>
      <c r="AG5" s="1356">
        <f>AG4-AG3</f>
        <v>206</v>
      </c>
    </row>
    <row r="6" spans="1:33" s="1075" customFormat="1" ht="14.25" customHeight="1">
      <c r="A6" s="2454"/>
      <c r="B6" s="2457"/>
      <c r="C6" s="1085"/>
      <c r="D6" s="1086" t="s">
        <v>727</v>
      </c>
      <c r="E6" s="1087"/>
      <c r="F6" s="1088">
        <f>('収支計算表（見込）計画1'!C43/1000+'収支計算表（見込）計画1'!C44/1000*G1)*AG5/365</f>
        <v>95889.624986301365</v>
      </c>
      <c r="G6" s="1089">
        <f>'収支計算表（見込）計画1'!C43/1000+'収支計算表（見込）計画1'!C44/1000*G1*G2</f>
        <v>169901.52</v>
      </c>
      <c r="H6" s="1089">
        <f t="shared" ref="H6:AD6" si="1">G6*H2</f>
        <v>169901.52</v>
      </c>
      <c r="I6" s="1089">
        <f t="shared" si="1"/>
        <v>169901.52</v>
      </c>
      <c r="J6" s="1337">
        <f t="shared" si="1"/>
        <v>166503.4896</v>
      </c>
      <c r="K6" s="1089">
        <f t="shared" si="1"/>
        <v>166503.4896</v>
      </c>
      <c r="L6" s="1089">
        <f t="shared" si="1"/>
        <v>166503.4896</v>
      </c>
      <c r="M6" s="1089">
        <f t="shared" si="1"/>
        <v>166503.4896</v>
      </c>
      <c r="N6" s="1089">
        <f t="shared" si="1"/>
        <v>166503.4896</v>
      </c>
      <c r="O6" s="1337">
        <f t="shared" si="1"/>
        <v>163173.41980800001</v>
      </c>
      <c r="P6" s="1089">
        <f t="shared" si="1"/>
        <v>163173.41980800001</v>
      </c>
      <c r="Q6" s="1089">
        <f t="shared" si="1"/>
        <v>163173.41980800001</v>
      </c>
      <c r="R6" s="1089">
        <f t="shared" si="1"/>
        <v>163173.41980800001</v>
      </c>
      <c r="S6" s="1089">
        <f t="shared" si="1"/>
        <v>163173.41980800001</v>
      </c>
      <c r="T6" s="1337">
        <f t="shared" si="1"/>
        <v>159909.95141184001</v>
      </c>
      <c r="U6" s="1089">
        <f t="shared" si="1"/>
        <v>159909.95141184001</v>
      </c>
      <c r="V6" s="1089">
        <f t="shared" si="1"/>
        <v>159909.95141184001</v>
      </c>
      <c r="W6" s="1089">
        <f t="shared" si="1"/>
        <v>159909.95141184001</v>
      </c>
      <c r="X6" s="1089">
        <f t="shared" si="1"/>
        <v>159909.95141184001</v>
      </c>
      <c r="Y6" s="1337">
        <f t="shared" si="1"/>
        <v>156711.75238360322</v>
      </c>
      <c r="Z6" s="1089">
        <f t="shared" si="1"/>
        <v>156711.75238360322</v>
      </c>
      <c r="AA6" s="1089">
        <f t="shared" si="1"/>
        <v>156711.75238360322</v>
      </c>
      <c r="AB6" s="1089">
        <f t="shared" si="1"/>
        <v>156711.75238360322</v>
      </c>
      <c r="AC6" s="1089">
        <f t="shared" si="1"/>
        <v>156711.75238360322</v>
      </c>
      <c r="AD6" s="1355">
        <f t="shared" si="1"/>
        <v>153577.51733593116</v>
      </c>
      <c r="AE6" s="1084"/>
    </row>
    <row r="7" spans="1:33" s="1075" customFormat="1" ht="14.25" customHeight="1">
      <c r="A7" s="2454"/>
      <c r="B7" s="2457"/>
      <c r="C7" s="1085"/>
      <c r="D7" s="1086" t="s">
        <v>728</v>
      </c>
      <c r="E7" s="1087"/>
      <c r="F7" s="1088">
        <f>('収支計算表（見込）計画1'!C45/1000*0.75)*AG5/365</f>
        <v>507.94520547945206</v>
      </c>
      <c r="G7" s="1090">
        <f>'収支計算表（見込）計画1'!C45/1000*0.75</f>
        <v>900</v>
      </c>
      <c r="H7" s="1090">
        <f>G7</f>
        <v>900</v>
      </c>
      <c r="I7" s="1090">
        <f t="shared" ref="G7:AD9" si="2">H7</f>
        <v>900</v>
      </c>
      <c r="J7" s="1090">
        <f t="shared" si="2"/>
        <v>900</v>
      </c>
      <c r="K7" s="1090">
        <f t="shared" si="2"/>
        <v>900</v>
      </c>
      <c r="L7" s="1090">
        <f t="shared" si="2"/>
        <v>900</v>
      </c>
      <c r="M7" s="1090">
        <f t="shared" si="2"/>
        <v>900</v>
      </c>
      <c r="N7" s="1090">
        <f t="shared" si="2"/>
        <v>900</v>
      </c>
      <c r="O7" s="1090">
        <f t="shared" si="2"/>
        <v>900</v>
      </c>
      <c r="P7" s="1090">
        <f t="shared" si="2"/>
        <v>900</v>
      </c>
      <c r="Q7" s="1090">
        <f t="shared" si="2"/>
        <v>900</v>
      </c>
      <c r="R7" s="1090">
        <f t="shared" si="2"/>
        <v>900</v>
      </c>
      <c r="S7" s="1090">
        <f t="shared" si="2"/>
        <v>900</v>
      </c>
      <c r="T7" s="1090">
        <f t="shared" si="2"/>
        <v>900</v>
      </c>
      <c r="U7" s="1090">
        <f t="shared" si="2"/>
        <v>900</v>
      </c>
      <c r="V7" s="1090">
        <f t="shared" si="2"/>
        <v>900</v>
      </c>
      <c r="W7" s="1090">
        <f t="shared" si="2"/>
        <v>900</v>
      </c>
      <c r="X7" s="1090">
        <f t="shared" si="2"/>
        <v>900</v>
      </c>
      <c r="Y7" s="1090">
        <f t="shared" si="2"/>
        <v>900</v>
      </c>
      <c r="Z7" s="1090">
        <f t="shared" si="2"/>
        <v>900</v>
      </c>
      <c r="AA7" s="1090">
        <f t="shared" si="2"/>
        <v>900</v>
      </c>
      <c r="AB7" s="1090">
        <f t="shared" si="2"/>
        <v>900</v>
      </c>
      <c r="AC7" s="1090">
        <f t="shared" si="2"/>
        <v>900</v>
      </c>
      <c r="AD7" s="1091">
        <f t="shared" si="2"/>
        <v>900</v>
      </c>
      <c r="AE7" s="1084"/>
    </row>
    <row r="8" spans="1:33" s="1075" customFormat="1" ht="14.25" customHeight="1">
      <c r="A8" s="2454"/>
      <c r="B8" s="2457"/>
      <c r="C8" s="1092"/>
      <c r="D8" s="1093" t="s">
        <v>729</v>
      </c>
      <c r="E8" s="1094"/>
      <c r="F8" s="1095">
        <f>('収支計算表（見込）計画1'!C49/1000-'CF（SFF保有時）'!F6-'CF（SFF保有時）'!F7)*AG5/365</f>
        <v>42364.859343816846</v>
      </c>
      <c r="G8" s="1096">
        <f>'収支計算表（見込）計画1'!C49/1000-'CF（SFF保有時）'!F6-'CF（SFF保有時）'!F7</f>
        <v>75063.949808219171</v>
      </c>
      <c r="H8" s="1096">
        <f t="shared" si="2"/>
        <v>75063.949808219171</v>
      </c>
      <c r="I8" s="1096">
        <f t="shared" si="2"/>
        <v>75063.949808219171</v>
      </c>
      <c r="J8" s="1096">
        <f t="shared" si="2"/>
        <v>75063.949808219171</v>
      </c>
      <c r="K8" s="1096">
        <f t="shared" si="2"/>
        <v>75063.949808219171</v>
      </c>
      <c r="L8" s="1096">
        <f t="shared" si="2"/>
        <v>75063.949808219171</v>
      </c>
      <c r="M8" s="1096">
        <f t="shared" si="2"/>
        <v>75063.949808219171</v>
      </c>
      <c r="N8" s="1096">
        <f t="shared" si="2"/>
        <v>75063.949808219171</v>
      </c>
      <c r="O8" s="1096">
        <f t="shared" si="2"/>
        <v>75063.949808219171</v>
      </c>
      <c r="P8" s="1096">
        <f t="shared" si="2"/>
        <v>75063.949808219171</v>
      </c>
      <c r="Q8" s="1096">
        <f t="shared" si="2"/>
        <v>75063.949808219171</v>
      </c>
      <c r="R8" s="1096">
        <f t="shared" si="2"/>
        <v>75063.949808219171</v>
      </c>
      <c r="S8" s="1096">
        <f t="shared" si="2"/>
        <v>75063.949808219171</v>
      </c>
      <c r="T8" s="1096">
        <f t="shared" si="2"/>
        <v>75063.949808219171</v>
      </c>
      <c r="U8" s="1096">
        <f t="shared" si="2"/>
        <v>75063.949808219171</v>
      </c>
      <c r="V8" s="1096">
        <f t="shared" si="2"/>
        <v>75063.949808219171</v>
      </c>
      <c r="W8" s="1096">
        <f t="shared" si="2"/>
        <v>75063.949808219171</v>
      </c>
      <c r="X8" s="1096">
        <f t="shared" si="2"/>
        <v>75063.949808219171</v>
      </c>
      <c r="Y8" s="1096">
        <f t="shared" si="2"/>
        <v>75063.949808219171</v>
      </c>
      <c r="Z8" s="1096">
        <f t="shared" si="2"/>
        <v>75063.949808219171</v>
      </c>
      <c r="AA8" s="1096">
        <f t="shared" si="2"/>
        <v>75063.949808219171</v>
      </c>
      <c r="AB8" s="1096">
        <f t="shared" si="2"/>
        <v>75063.949808219171</v>
      </c>
      <c r="AC8" s="1096">
        <f t="shared" si="2"/>
        <v>75063.949808219171</v>
      </c>
      <c r="AD8" s="1097">
        <f t="shared" si="2"/>
        <v>75063.949808219171</v>
      </c>
      <c r="AE8" s="1084">
        <f>SUM(F8:AD8)</f>
        <v>1843899.6547410777</v>
      </c>
    </row>
    <row r="9" spans="1:33" s="1075" customFormat="1" ht="14.25" customHeight="1">
      <c r="A9" s="2454"/>
      <c r="B9" s="2457"/>
      <c r="C9" s="1093"/>
      <c r="D9" s="1098" t="s">
        <v>730</v>
      </c>
      <c r="E9" s="1094"/>
      <c r="F9" s="1099">
        <v>0</v>
      </c>
      <c r="G9" s="1090">
        <f t="shared" si="2"/>
        <v>0</v>
      </c>
      <c r="H9" s="1090">
        <f t="shared" si="2"/>
        <v>0</v>
      </c>
      <c r="I9" s="1090">
        <f t="shared" si="2"/>
        <v>0</v>
      </c>
      <c r="J9" s="1090">
        <f t="shared" si="2"/>
        <v>0</v>
      </c>
      <c r="K9" s="1090">
        <f t="shared" si="2"/>
        <v>0</v>
      </c>
      <c r="L9" s="1090">
        <f t="shared" si="2"/>
        <v>0</v>
      </c>
      <c r="M9" s="1090">
        <f t="shared" si="2"/>
        <v>0</v>
      </c>
      <c r="N9" s="1090">
        <f t="shared" si="2"/>
        <v>0</v>
      </c>
      <c r="O9" s="1090">
        <f t="shared" si="2"/>
        <v>0</v>
      </c>
      <c r="P9" s="1090">
        <f t="shared" si="2"/>
        <v>0</v>
      </c>
      <c r="Q9" s="1090">
        <f t="shared" si="2"/>
        <v>0</v>
      </c>
      <c r="R9" s="1090">
        <f t="shared" si="2"/>
        <v>0</v>
      </c>
      <c r="S9" s="1090">
        <f t="shared" si="2"/>
        <v>0</v>
      </c>
      <c r="T9" s="1090">
        <f t="shared" si="2"/>
        <v>0</v>
      </c>
      <c r="U9" s="1090">
        <f t="shared" si="2"/>
        <v>0</v>
      </c>
      <c r="V9" s="1090">
        <f t="shared" si="2"/>
        <v>0</v>
      </c>
      <c r="W9" s="1090">
        <f t="shared" si="2"/>
        <v>0</v>
      </c>
      <c r="X9" s="1090">
        <f t="shared" si="2"/>
        <v>0</v>
      </c>
      <c r="Y9" s="1090">
        <f t="shared" si="2"/>
        <v>0</v>
      </c>
      <c r="Z9" s="1090">
        <f t="shared" si="2"/>
        <v>0</v>
      </c>
      <c r="AA9" s="1090">
        <f t="shared" si="2"/>
        <v>0</v>
      </c>
      <c r="AB9" s="1090">
        <f t="shared" si="2"/>
        <v>0</v>
      </c>
      <c r="AC9" s="1090">
        <f t="shared" si="2"/>
        <v>0</v>
      </c>
      <c r="AD9" s="1091">
        <f t="shared" si="2"/>
        <v>0</v>
      </c>
      <c r="AE9" s="1084"/>
    </row>
    <row r="10" spans="1:33" s="1075" customFormat="1" ht="14.25" customHeight="1">
      <c r="A10" s="2454"/>
      <c r="B10" s="2458"/>
      <c r="C10" s="1100" t="s">
        <v>39</v>
      </c>
      <c r="D10" s="1101"/>
      <c r="E10" s="1102" t="s">
        <v>731</v>
      </c>
      <c r="F10" s="1103">
        <f t="shared" ref="F10:AD10" si="3">SUM(F5:F9)</f>
        <v>138762.42953559768</v>
      </c>
      <c r="G10" s="1104">
        <f t="shared" si="3"/>
        <v>245865.46980821918</v>
      </c>
      <c r="H10" s="1104">
        <f t="shared" si="3"/>
        <v>245865.46980821918</v>
      </c>
      <c r="I10" s="1104">
        <f t="shared" si="3"/>
        <v>245865.46980821918</v>
      </c>
      <c r="J10" s="1104">
        <f t="shared" si="3"/>
        <v>242467.43940821919</v>
      </c>
      <c r="K10" s="1104">
        <f t="shared" si="3"/>
        <v>242467.43940821919</v>
      </c>
      <c r="L10" s="1104">
        <f t="shared" si="3"/>
        <v>242467.43940821919</v>
      </c>
      <c r="M10" s="1104">
        <f t="shared" si="3"/>
        <v>242467.43940821919</v>
      </c>
      <c r="N10" s="1104">
        <f t="shared" si="3"/>
        <v>242467.43940821919</v>
      </c>
      <c r="O10" s="1104">
        <f t="shared" si="3"/>
        <v>239137.36961621919</v>
      </c>
      <c r="P10" s="1104">
        <f t="shared" si="3"/>
        <v>239137.36961621919</v>
      </c>
      <c r="Q10" s="1104">
        <f t="shared" si="3"/>
        <v>239137.36961621919</v>
      </c>
      <c r="R10" s="1104">
        <f t="shared" si="3"/>
        <v>239137.36961621919</v>
      </c>
      <c r="S10" s="1104">
        <f t="shared" si="3"/>
        <v>239137.36961621919</v>
      </c>
      <c r="T10" s="1104">
        <f t="shared" si="3"/>
        <v>235873.9012200592</v>
      </c>
      <c r="U10" s="1104">
        <f t="shared" si="3"/>
        <v>235873.9012200592</v>
      </c>
      <c r="V10" s="1104">
        <f t="shared" si="3"/>
        <v>235873.9012200592</v>
      </c>
      <c r="W10" s="1104">
        <f t="shared" si="3"/>
        <v>235873.9012200592</v>
      </c>
      <c r="X10" s="1104">
        <f t="shared" si="3"/>
        <v>235873.9012200592</v>
      </c>
      <c r="Y10" s="1104">
        <f t="shared" si="3"/>
        <v>232675.70219182241</v>
      </c>
      <c r="Z10" s="1104">
        <f t="shared" si="3"/>
        <v>232675.70219182241</v>
      </c>
      <c r="AA10" s="1104">
        <f t="shared" si="3"/>
        <v>232675.70219182241</v>
      </c>
      <c r="AB10" s="1104">
        <f t="shared" si="3"/>
        <v>232675.70219182241</v>
      </c>
      <c r="AC10" s="1104">
        <f t="shared" si="3"/>
        <v>232675.70219182241</v>
      </c>
      <c r="AD10" s="1105">
        <f t="shared" si="3"/>
        <v>229541.46714415035</v>
      </c>
      <c r="AE10" s="1084">
        <f t="shared" ref="AE10:AE16" si="4">SUM(F10:AD10)</f>
        <v>5856672.3682860043</v>
      </c>
    </row>
    <row r="11" spans="1:33" s="1075" customFormat="1" ht="14.25" customHeight="1">
      <c r="A11" s="2454"/>
      <c r="B11" s="2459" t="s">
        <v>732</v>
      </c>
      <c r="C11" s="2462" t="s">
        <v>733</v>
      </c>
      <c r="D11" s="1106" t="s">
        <v>734</v>
      </c>
      <c r="E11" s="1107"/>
      <c r="F11" s="1108">
        <v>0</v>
      </c>
      <c r="G11" s="1109">
        <f t="shared" ref="G11:AD13" si="5">F11</f>
        <v>0</v>
      </c>
      <c r="H11" s="1109">
        <f t="shared" si="5"/>
        <v>0</v>
      </c>
      <c r="I11" s="1109">
        <f t="shared" si="5"/>
        <v>0</v>
      </c>
      <c r="J11" s="1109">
        <f t="shared" si="5"/>
        <v>0</v>
      </c>
      <c r="K11" s="1109">
        <f t="shared" si="5"/>
        <v>0</v>
      </c>
      <c r="L11" s="1109">
        <f t="shared" si="5"/>
        <v>0</v>
      </c>
      <c r="M11" s="1109">
        <f t="shared" si="5"/>
        <v>0</v>
      </c>
      <c r="N11" s="1109">
        <f t="shared" si="5"/>
        <v>0</v>
      </c>
      <c r="O11" s="1109">
        <f t="shared" si="5"/>
        <v>0</v>
      </c>
      <c r="P11" s="1109">
        <f t="shared" si="5"/>
        <v>0</v>
      </c>
      <c r="Q11" s="1109">
        <f t="shared" si="5"/>
        <v>0</v>
      </c>
      <c r="R11" s="1109">
        <f t="shared" si="5"/>
        <v>0</v>
      </c>
      <c r="S11" s="1109">
        <f t="shared" si="5"/>
        <v>0</v>
      </c>
      <c r="T11" s="1109">
        <f t="shared" si="5"/>
        <v>0</v>
      </c>
      <c r="U11" s="1109">
        <f t="shared" si="5"/>
        <v>0</v>
      </c>
      <c r="V11" s="1109">
        <f t="shared" si="5"/>
        <v>0</v>
      </c>
      <c r="W11" s="1109">
        <f t="shared" si="5"/>
        <v>0</v>
      </c>
      <c r="X11" s="1109">
        <f t="shared" si="5"/>
        <v>0</v>
      </c>
      <c r="Y11" s="1109">
        <f t="shared" si="5"/>
        <v>0</v>
      </c>
      <c r="Z11" s="1109">
        <f t="shared" si="5"/>
        <v>0</v>
      </c>
      <c r="AA11" s="1109">
        <f t="shared" si="5"/>
        <v>0</v>
      </c>
      <c r="AB11" s="1109">
        <f t="shared" si="5"/>
        <v>0</v>
      </c>
      <c r="AC11" s="1109">
        <f t="shared" si="5"/>
        <v>0</v>
      </c>
      <c r="AD11" s="1110">
        <f t="shared" si="5"/>
        <v>0</v>
      </c>
      <c r="AE11" s="1084">
        <f t="shared" si="4"/>
        <v>0</v>
      </c>
    </row>
    <row r="12" spans="1:33" s="1075" customFormat="1" ht="14.25" customHeight="1">
      <c r="A12" s="2454"/>
      <c r="B12" s="2460"/>
      <c r="C12" s="2463"/>
      <c r="D12" s="1093" t="s">
        <v>735</v>
      </c>
      <c r="E12" s="1094"/>
      <c r="F12" s="1099">
        <f>'収支計算表（見込）計画1'!G46/1000</f>
        <v>300</v>
      </c>
      <c r="G12" s="1090">
        <f t="shared" si="5"/>
        <v>300</v>
      </c>
      <c r="H12" s="1090">
        <f t="shared" si="5"/>
        <v>300</v>
      </c>
      <c r="I12" s="1090">
        <f t="shared" si="5"/>
        <v>300</v>
      </c>
      <c r="J12" s="1090">
        <f t="shared" si="5"/>
        <v>300</v>
      </c>
      <c r="K12" s="1090">
        <f t="shared" si="5"/>
        <v>300</v>
      </c>
      <c r="L12" s="1090">
        <f t="shared" si="5"/>
        <v>300</v>
      </c>
      <c r="M12" s="1090">
        <f t="shared" si="5"/>
        <v>300</v>
      </c>
      <c r="N12" s="1090">
        <f t="shared" si="5"/>
        <v>300</v>
      </c>
      <c r="O12" s="1090">
        <f t="shared" si="5"/>
        <v>300</v>
      </c>
      <c r="P12" s="1090">
        <f t="shared" si="5"/>
        <v>300</v>
      </c>
      <c r="Q12" s="1090">
        <f t="shared" si="5"/>
        <v>300</v>
      </c>
      <c r="R12" s="1090">
        <f t="shared" si="5"/>
        <v>300</v>
      </c>
      <c r="S12" s="1090">
        <f t="shared" si="5"/>
        <v>300</v>
      </c>
      <c r="T12" s="1090">
        <f t="shared" si="5"/>
        <v>300</v>
      </c>
      <c r="U12" s="1090">
        <f t="shared" si="5"/>
        <v>300</v>
      </c>
      <c r="V12" s="1090">
        <f t="shared" si="5"/>
        <v>300</v>
      </c>
      <c r="W12" s="1090">
        <f t="shared" si="5"/>
        <v>300</v>
      </c>
      <c r="X12" s="1090">
        <f t="shared" si="5"/>
        <v>300</v>
      </c>
      <c r="Y12" s="1111">
        <f t="shared" si="5"/>
        <v>300</v>
      </c>
      <c r="Z12" s="1111">
        <f t="shared" si="5"/>
        <v>300</v>
      </c>
      <c r="AA12" s="1111">
        <f t="shared" si="5"/>
        <v>300</v>
      </c>
      <c r="AB12" s="1111">
        <f t="shared" si="5"/>
        <v>300</v>
      </c>
      <c r="AC12" s="1111">
        <f t="shared" si="5"/>
        <v>300</v>
      </c>
      <c r="AD12" s="1091">
        <f t="shared" si="5"/>
        <v>300</v>
      </c>
      <c r="AE12" s="1084">
        <f t="shared" si="4"/>
        <v>7500</v>
      </c>
    </row>
    <row r="13" spans="1:33" s="1075" customFormat="1" ht="14.25" customHeight="1">
      <c r="A13" s="2454"/>
      <c r="B13" s="2460"/>
      <c r="C13" s="2463"/>
      <c r="D13" s="1093" t="s">
        <v>736</v>
      </c>
      <c r="E13" s="1094"/>
      <c r="F13" s="1099">
        <f>'収支計算表（見込）計画1'!G45/1000</f>
        <v>10202.9</v>
      </c>
      <c r="G13" s="1090">
        <f t="shared" si="5"/>
        <v>10202.9</v>
      </c>
      <c r="H13" s="1090">
        <f t="shared" si="5"/>
        <v>10202.9</v>
      </c>
      <c r="I13" s="1090">
        <f t="shared" si="5"/>
        <v>10202.9</v>
      </c>
      <c r="J13" s="1090">
        <f t="shared" si="5"/>
        <v>10202.9</v>
      </c>
      <c r="K13" s="1090">
        <f t="shared" si="5"/>
        <v>10202.9</v>
      </c>
      <c r="L13" s="1090">
        <f t="shared" si="5"/>
        <v>10202.9</v>
      </c>
      <c r="M13" s="1090">
        <f t="shared" si="5"/>
        <v>10202.9</v>
      </c>
      <c r="N13" s="1090">
        <f t="shared" si="5"/>
        <v>10202.9</v>
      </c>
      <c r="O13" s="1090">
        <f t="shared" si="5"/>
        <v>10202.9</v>
      </c>
      <c r="P13" s="1090">
        <f t="shared" si="5"/>
        <v>10202.9</v>
      </c>
      <c r="Q13" s="1090">
        <f t="shared" si="5"/>
        <v>10202.9</v>
      </c>
      <c r="R13" s="1090">
        <f t="shared" si="5"/>
        <v>10202.9</v>
      </c>
      <c r="S13" s="1090">
        <f t="shared" si="5"/>
        <v>10202.9</v>
      </c>
      <c r="T13" s="1090">
        <f t="shared" si="5"/>
        <v>10202.9</v>
      </c>
      <c r="U13" s="1090">
        <f t="shared" si="5"/>
        <v>10202.9</v>
      </c>
      <c r="V13" s="1090">
        <f t="shared" si="5"/>
        <v>10202.9</v>
      </c>
      <c r="W13" s="1090">
        <f t="shared" si="5"/>
        <v>10202.9</v>
      </c>
      <c r="X13" s="1090">
        <f t="shared" si="5"/>
        <v>10202.9</v>
      </c>
      <c r="Y13" s="1111">
        <f t="shared" si="5"/>
        <v>10202.9</v>
      </c>
      <c r="Z13" s="1111">
        <f t="shared" si="5"/>
        <v>10202.9</v>
      </c>
      <c r="AA13" s="1111">
        <f t="shared" si="5"/>
        <v>10202.9</v>
      </c>
      <c r="AB13" s="1111">
        <f t="shared" si="5"/>
        <v>10202.9</v>
      </c>
      <c r="AC13" s="1111">
        <f t="shared" si="5"/>
        <v>10202.9</v>
      </c>
      <c r="AD13" s="1091">
        <f t="shared" si="5"/>
        <v>10202.9</v>
      </c>
      <c r="AE13" s="1084">
        <f t="shared" si="4"/>
        <v>255072.49999999991</v>
      </c>
    </row>
    <row r="14" spans="1:33" s="1075" customFormat="1" ht="14.25" customHeight="1">
      <c r="A14" s="2454"/>
      <c r="B14" s="2460"/>
      <c r="C14" s="2463"/>
      <c r="D14" s="1093" t="s">
        <v>737</v>
      </c>
      <c r="E14" s="1094"/>
      <c r="F14" s="1099"/>
      <c r="G14" s="1090"/>
      <c r="H14" s="1090"/>
      <c r="I14" s="1090"/>
      <c r="J14" s="1090"/>
      <c r="K14" s="1112"/>
      <c r="L14" s="1090"/>
      <c r="M14" s="1090"/>
      <c r="N14" s="1090"/>
      <c r="O14" s="1090"/>
      <c r="P14" s="1090"/>
      <c r="Q14" s="1090"/>
      <c r="R14" s="1090"/>
      <c r="S14" s="1090"/>
      <c r="T14" s="1090"/>
      <c r="U14" s="1090"/>
      <c r="V14" s="1090"/>
      <c r="W14" s="1090"/>
      <c r="X14" s="1090"/>
      <c r="Y14" s="1111"/>
      <c r="Z14" s="1111"/>
      <c r="AA14" s="1111"/>
      <c r="AB14" s="1111"/>
      <c r="AC14" s="1111"/>
      <c r="AD14" s="1091"/>
      <c r="AE14" s="1084">
        <f t="shared" si="4"/>
        <v>0</v>
      </c>
    </row>
    <row r="15" spans="1:33" s="1075" customFormat="1" ht="14.25" customHeight="1">
      <c r="A15" s="2454"/>
      <c r="B15" s="2460"/>
      <c r="C15" s="2463"/>
      <c r="D15" s="1093" t="s">
        <v>738</v>
      </c>
      <c r="E15" s="1094"/>
      <c r="F15" s="1099"/>
      <c r="G15" s="1090"/>
      <c r="H15" s="1090"/>
      <c r="I15" s="1090"/>
      <c r="J15" s="1090"/>
      <c r="K15" s="1090"/>
      <c r="L15" s="1090"/>
      <c r="M15" s="1090"/>
      <c r="N15" s="1090"/>
      <c r="O15" s="1090"/>
      <c r="P15" s="1090"/>
      <c r="Q15" s="1090"/>
      <c r="R15" s="1090"/>
      <c r="S15" s="1090"/>
      <c r="T15" s="1090"/>
      <c r="U15" s="1090"/>
      <c r="V15" s="1090"/>
      <c r="W15" s="1090"/>
      <c r="X15" s="1090"/>
      <c r="Y15" s="1111"/>
      <c r="Z15" s="1111"/>
      <c r="AA15" s="1111"/>
      <c r="AB15" s="1111"/>
      <c r="AC15" s="1111"/>
      <c r="AD15" s="1091"/>
      <c r="AE15" s="1084">
        <f t="shared" si="4"/>
        <v>0</v>
      </c>
    </row>
    <row r="16" spans="1:33" s="1075" customFormat="1" ht="14.25" customHeight="1">
      <c r="A16" s="2454"/>
      <c r="B16" s="2460"/>
      <c r="C16" s="2463"/>
      <c r="D16" s="1093" t="s">
        <v>739</v>
      </c>
      <c r="E16" s="1094"/>
      <c r="F16" s="1099"/>
      <c r="G16" s="1090"/>
      <c r="H16" s="1090"/>
      <c r="I16" s="1090"/>
      <c r="J16" s="1090"/>
      <c r="K16" s="1090"/>
      <c r="L16" s="1090"/>
      <c r="M16" s="1090"/>
      <c r="N16" s="1090"/>
      <c r="O16" s="1090"/>
      <c r="P16" s="1090"/>
      <c r="Q16" s="1090"/>
      <c r="R16" s="1090"/>
      <c r="S16" s="1090"/>
      <c r="T16" s="1090"/>
      <c r="U16" s="1090"/>
      <c r="V16" s="1090"/>
      <c r="W16" s="1090"/>
      <c r="X16" s="1090"/>
      <c r="Y16" s="1111"/>
      <c r="Z16" s="1111"/>
      <c r="AA16" s="1111"/>
      <c r="AB16" s="1111"/>
      <c r="AC16" s="1111"/>
      <c r="AD16" s="1091"/>
      <c r="AE16" s="1084">
        <f t="shared" si="4"/>
        <v>0</v>
      </c>
    </row>
    <row r="17" spans="1:31" s="1075" customFormat="1" ht="14.25" customHeight="1">
      <c r="A17" s="2454"/>
      <c r="B17" s="2460"/>
      <c r="C17" s="2463"/>
      <c r="D17" s="1093" t="s">
        <v>740</v>
      </c>
      <c r="E17" s="1094"/>
      <c r="F17" s="1099">
        <v>0</v>
      </c>
      <c r="G17" s="1090">
        <f t="shared" ref="G17:AD22" si="6">F17</f>
        <v>0</v>
      </c>
      <c r="H17" s="1090">
        <f t="shared" si="6"/>
        <v>0</v>
      </c>
      <c r="I17" s="1090">
        <f t="shared" si="6"/>
        <v>0</v>
      </c>
      <c r="J17" s="1090">
        <f t="shared" si="6"/>
        <v>0</v>
      </c>
      <c r="K17" s="1090">
        <f t="shared" si="6"/>
        <v>0</v>
      </c>
      <c r="L17" s="1090">
        <f t="shared" si="6"/>
        <v>0</v>
      </c>
      <c r="M17" s="1090">
        <f t="shared" si="6"/>
        <v>0</v>
      </c>
      <c r="N17" s="1090">
        <f t="shared" si="6"/>
        <v>0</v>
      </c>
      <c r="O17" s="1090">
        <f t="shared" si="6"/>
        <v>0</v>
      </c>
      <c r="P17" s="1090">
        <f t="shared" si="6"/>
        <v>0</v>
      </c>
      <c r="Q17" s="1090">
        <f t="shared" si="6"/>
        <v>0</v>
      </c>
      <c r="R17" s="1090">
        <f t="shared" si="6"/>
        <v>0</v>
      </c>
      <c r="S17" s="1090">
        <f t="shared" si="6"/>
        <v>0</v>
      </c>
      <c r="T17" s="1090">
        <f t="shared" si="6"/>
        <v>0</v>
      </c>
      <c r="U17" s="1090">
        <f t="shared" si="6"/>
        <v>0</v>
      </c>
      <c r="V17" s="1090">
        <f t="shared" si="6"/>
        <v>0</v>
      </c>
      <c r="W17" s="1090">
        <f t="shared" si="6"/>
        <v>0</v>
      </c>
      <c r="X17" s="1090">
        <f t="shared" si="6"/>
        <v>0</v>
      </c>
      <c r="Y17" s="1090">
        <f t="shared" si="6"/>
        <v>0</v>
      </c>
      <c r="Z17" s="1090">
        <f t="shared" si="6"/>
        <v>0</v>
      </c>
      <c r="AA17" s="1090">
        <f t="shared" si="6"/>
        <v>0</v>
      </c>
      <c r="AB17" s="1090">
        <f t="shared" si="6"/>
        <v>0</v>
      </c>
      <c r="AC17" s="1090">
        <f t="shared" si="6"/>
        <v>0</v>
      </c>
      <c r="AD17" s="1091">
        <f t="shared" si="6"/>
        <v>0</v>
      </c>
      <c r="AE17" s="1084"/>
    </row>
    <row r="18" spans="1:31" s="1075" customFormat="1" ht="14.25" customHeight="1">
      <c r="A18" s="2454"/>
      <c r="B18" s="2460"/>
      <c r="C18" s="2463"/>
      <c r="D18" s="1113" t="s">
        <v>741</v>
      </c>
      <c r="E18" s="1114"/>
      <c r="F18" s="1115">
        <f>'収支計算表（見込）計画1'!G43/1000</f>
        <v>4200</v>
      </c>
      <c r="G18" s="1116">
        <f t="shared" si="6"/>
        <v>4200</v>
      </c>
      <c r="H18" s="1116">
        <f t="shared" si="6"/>
        <v>4200</v>
      </c>
      <c r="I18" s="1116">
        <f t="shared" si="6"/>
        <v>4200</v>
      </c>
      <c r="J18" s="1116">
        <f t="shared" si="6"/>
        <v>4200</v>
      </c>
      <c r="K18" s="1116">
        <f t="shared" si="6"/>
        <v>4200</v>
      </c>
      <c r="L18" s="1116">
        <f t="shared" si="6"/>
        <v>4200</v>
      </c>
      <c r="M18" s="1116">
        <f t="shared" si="6"/>
        <v>4200</v>
      </c>
      <c r="N18" s="1116">
        <f t="shared" si="6"/>
        <v>4200</v>
      </c>
      <c r="O18" s="1116">
        <f t="shared" si="6"/>
        <v>4200</v>
      </c>
      <c r="P18" s="1116">
        <f t="shared" si="6"/>
        <v>4200</v>
      </c>
      <c r="Q18" s="1116">
        <f t="shared" si="6"/>
        <v>4200</v>
      </c>
      <c r="R18" s="1116">
        <f t="shared" si="6"/>
        <v>4200</v>
      </c>
      <c r="S18" s="1116">
        <f t="shared" si="6"/>
        <v>4200</v>
      </c>
      <c r="T18" s="1116">
        <f t="shared" si="6"/>
        <v>4200</v>
      </c>
      <c r="U18" s="1116">
        <f t="shared" si="6"/>
        <v>4200</v>
      </c>
      <c r="V18" s="1116">
        <f t="shared" si="6"/>
        <v>4200</v>
      </c>
      <c r="W18" s="1116">
        <f t="shared" si="6"/>
        <v>4200</v>
      </c>
      <c r="X18" s="1116">
        <f t="shared" si="6"/>
        <v>4200</v>
      </c>
      <c r="Y18" s="1117">
        <f t="shared" si="6"/>
        <v>4200</v>
      </c>
      <c r="Z18" s="1117">
        <f t="shared" si="6"/>
        <v>4200</v>
      </c>
      <c r="AA18" s="1117">
        <f t="shared" si="6"/>
        <v>4200</v>
      </c>
      <c r="AB18" s="1117">
        <f t="shared" si="6"/>
        <v>4200</v>
      </c>
      <c r="AC18" s="1117">
        <f t="shared" si="6"/>
        <v>4200</v>
      </c>
      <c r="AD18" s="1118">
        <f t="shared" si="6"/>
        <v>4200</v>
      </c>
      <c r="AE18" s="1084">
        <f>SUM(F18:AD18)</f>
        <v>105000</v>
      </c>
    </row>
    <row r="19" spans="1:31" s="1075" customFormat="1" ht="14.25" customHeight="1">
      <c r="A19" s="2454"/>
      <c r="B19" s="2460"/>
      <c r="C19" s="2463"/>
      <c r="D19" s="1119" t="s">
        <v>742</v>
      </c>
      <c r="E19" s="1120"/>
      <c r="F19" s="1121">
        <v>0</v>
      </c>
      <c r="G19" s="1122">
        <f t="shared" si="6"/>
        <v>0</v>
      </c>
      <c r="H19" s="1122">
        <f t="shared" si="6"/>
        <v>0</v>
      </c>
      <c r="I19" s="1122">
        <f t="shared" si="6"/>
        <v>0</v>
      </c>
      <c r="J19" s="1122">
        <f t="shared" si="6"/>
        <v>0</v>
      </c>
      <c r="K19" s="1122">
        <f t="shared" si="6"/>
        <v>0</v>
      </c>
      <c r="L19" s="1122">
        <f t="shared" si="6"/>
        <v>0</v>
      </c>
      <c r="M19" s="1122">
        <f t="shared" si="6"/>
        <v>0</v>
      </c>
      <c r="N19" s="1122">
        <f t="shared" si="6"/>
        <v>0</v>
      </c>
      <c r="O19" s="1122">
        <f t="shared" si="6"/>
        <v>0</v>
      </c>
      <c r="P19" s="1122">
        <f t="shared" si="6"/>
        <v>0</v>
      </c>
      <c r="Q19" s="1122">
        <f t="shared" si="6"/>
        <v>0</v>
      </c>
      <c r="R19" s="1122">
        <f t="shared" si="6"/>
        <v>0</v>
      </c>
      <c r="S19" s="1122">
        <f t="shared" si="6"/>
        <v>0</v>
      </c>
      <c r="T19" s="1122">
        <f t="shared" si="6"/>
        <v>0</v>
      </c>
      <c r="U19" s="1122">
        <f t="shared" si="6"/>
        <v>0</v>
      </c>
      <c r="V19" s="1122">
        <f t="shared" si="6"/>
        <v>0</v>
      </c>
      <c r="W19" s="1122">
        <f t="shared" si="6"/>
        <v>0</v>
      </c>
      <c r="X19" s="1122">
        <f t="shared" si="6"/>
        <v>0</v>
      </c>
      <c r="Y19" s="1123">
        <f t="shared" si="6"/>
        <v>0</v>
      </c>
      <c r="Z19" s="1123">
        <f t="shared" si="6"/>
        <v>0</v>
      </c>
      <c r="AA19" s="1123">
        <f t="shared" si="6"/>
        <v>0</v>
      </c>
      <c r="AB19" s="1123">
        <f t="shared" si="6"/>
        <v>0</v>
      </c>
      <c r="AC19" s="1123">
        <f t="shared" si="6"/>
        <v>0</v>
      </c>
      <c r="AD19" s="1124">
        <f t="shared" si="6"/>
        <v>0</v>
      </c>
      <c r="AE19" s="1084">
        <f>SUM(F19:AD19)</f>
        <v>0</v>
      </c>
    </row>
    <row r="20" spans="1:31" s="1075" customFormat="1" ht="14.25" customHeight="1">
      <c r="A20" s="2454"/>
      <c r="B20" s="2460"/>
      <c r="C20" s="2463"/>
      <c r="D20" s="1093" t="s">
        <v>743</v>
      </c>
      <c r="E20" s="1094"/>
      <c r="F20" s="1358">
        <v>200</v>
      </c>
      <c r="G20" s="1090">
        <f t="shared" si="6"/>
        <v>200</v>
      </c>
      <c r="H20" s="1090">
        <f t="shared" si="6"/>
        <v>200</v>
      </c>
      <c r="I20" s="1090">
        <f t="shared" si="6"/>
        <v>200</v>
      </c>
      <c r="J20" s="1090">
        <f t="shared" si="6"/>
        <v>200</v>
      </c>
      <c r="K20" s="1090">
        <f t="shared" si="6"/>
        <v>200</v>
      </c>
      <c r="L20" s="1090">
        <f t="shared" si="6"/>
        <v>200</v>
      </c>
      <c r="M20" s="1090">
        <f t="shared" si="6"/>
        <v>200</v>
      </c>
      <c r="N20" s="1090">
        <f t="shared" si="6"/>
        <v>200</v>
      </c>
      <c r="O20" s="1090">
        <f t="shared" si="6"/>
        <v>200</v>
      </c>
      <c r="P20" s="1090">
        <f t="shared" si="6"/>
        <v>200</v>
      </c>
      <c r="Q20" s="1090">
        <f t="shared" si="6"/>
        <v>200</v>
      </c>
      <c r="R20" s="1090">
        <f t="shared" si="6"/>
        <v>200</v>
      </c>
      <c r="S20" s="1090">
        <f t="shared" si="6"/>
        <v>200</v>
      </c>
      <c r="T20" s="1090">
        <f t="shared" si="6"/>
        <v>200</v>
      </c>
      <c r="U20" s="1090">
        <f t="shared" si="6"/>
        <v>200</v>
      </c>
      <c r="V20" s="1090">
        <f t="shared" si="6"/>
        <v>200</v>
      </c>
      <c r="W20" s="1090">
        <f t="shared" si="6"/>
        <v>200</v>
      </c>
      <c r="X20" s="1090">
        <f t="shared" si="6"/>
        <v>200</v>
      </c>
      <c r="Y20" s="1111">
        <f t="shared" si="6"/>
        <v>200</v>
      </c>
      <c r="Z20" s="1111">
        <f t="shared" si="6"/>
        <v>200</v>
      </c>
      <c r="AA20" s="1111">
        <f t="shared" si="6"/>
        <v>200</v>
      </c>
      <c r="AB20" s="1111">
        <f t="shared" si="6"/>
        <v>200</v>
      </c>
      <c r="AC20" s="1111">
        <f t="shared" si="6"/>
        <v>200</v>
      </c>
      <c r="AD20" s="1091">
        <f t="shared" si="6"/>
        <v>200</v>
      </c>
      <c r="AE20" s="1084">
        <f>SUM(F20:AD20)</f>
        <v>5000</v>
      </c>
    </row>
    <row r="21" spans="1:31" s="1075" customFormat="1" ht="14.25" customHeight="1">
      <c r="A21" s="2454"/>
      <c r="B21" s="2460"/>
      <c r="C21" s="2463"/>
      <c r="D21" s="1125" t="s">
        <v>231</v>
      </c>
      <c r="E21" s="1126"/>
      <c r="F21" s="1127">
        <v>0</v>
      </c>
      <c r="G21" s="1128">
        <f t="shared" si="6"/>
        <v>0</v>
      </c>
      <c r="H21" s="1128">
        <f t="shared" si="6"/>
        <v>0</v>
      </c>
      <c r="I21" s="1128">
        <f t="shared" si="6"/>
        <v>0</v>
      </c>
      <c r="J21" s="1128">
        <f t="shared" si="6"/>
        <v>0</v>
      </c>
      <c r="K21" s="1128">
        <f t="shared" si="6"/>
        <v>0</v>
      </c>
      <c r="L21" s="1128">
        <f t="shared" si="6"/>
        <v>0</v>
      </c>
      <c r="M21" s="1128">
        <f t="shared" si="6"/>
        <v>0</v>
      </c>
      <c r="N21" s="1128">
        <f t="shared" si="6"/>
        <v>0</v>
      </c>
      <c r="O21" s="1128">
        <f t="shared" si="6"/>
        <v>0</v>
      </c>
      <c r="P21" s="1128">
        <f t="shared" si="6"/>
        <v>0</v>
      </c>
      <c r="Q21" s="1128">
        <f t="shared" si="6"/>
        <v>0</v>
      </c>
      <c r="R21" s="1128">
        <f t="shared" si="6"/>
        <v>0</v>
      </c>
      <c r="S21" s="1128">
        <f t="shared" si="6"/>
        <v>0</v>
      </c>
      <c r="T21" s="1128">
        <f t="shared" si="6"/>
        <v>0</v>
      </c>
      <c r="U21" s="1128">
        <f t="shared" si="6"/>
        <v>0</v>
      </c>
      <c r="V21" s="1128">
        <f t="shared" si="6"/>
        <v>0</v>
      </c>
      <c r="W21" s="1128">
        <f t="shared" si="6"/>
        <v>0</v>
      </c>
      <c r="X21" s="1128">
        <f t="shared" si="6"/>
        <v>0</v>
      </c>
      <c r="Y21" s="1128">
        <f t="shared" si="6"/>
        <v>0</v>
      </c>
      <c r="Z21" s="1128">
        <f t="shared" si="6"/>
        <v>0</v>
      </c>
      <c r="AA21" s="1128">
        <f t="shared" si="6"/>
        <v>0</v>
      </c>
      <c r="AB21" s="1128">
        <f t="shared" si="6"/>
        <v>0</v>
      </c>
      <c r="AC21" s="1128">
        <f t="shared" si="6"/>
        <v>0</v>
      </c>
      <c r="AD21" s="1129">
        <f t="shared" si="6"/>
        <v>0</v>
      </c>
      <c r="AE21" s="1084">
        <f>SUM(F21:AD21)</f>
        <v>0</v>
      </c>
    </row>
    <row r="22" spans="1:31" s="1075" customFormat="1" ht="14.25" customHeight="1">
      <c r="A22" s="2454"/>
      <c r="B22" s="2460"/>
      <c r="C22" s="2464"/>
      <c r="D22" s="1093" t="s">
        <v>744</v>
      </c>
      <c r="E22" s="1359">
        <f>1/9</f>
        <v>0.1111111111111111</v>
      </c>
      <c r="F22" s="1108">
        <f>E22*F6/12*2</f>
        <v>1775.7337960426178</v>
      </c>
      <c r="G22" s="1109">
        <f t="shared" si="6"/>
        <v>1775.7337960426178</v>
      </c>
      <c r="H22" s="1109">
        <f t="shared" si="6"/>
        <v>1775.7337960426178</v>
      </c>
      <c r="I22" s="1109">
        <f t="shared" si="6"/>
        <v>1775.7337960426178</v>
      </c>
      <c r="J22" s="1109">
        <f t="shared" si="6"/>
        <v>1775.7337960426178</v>
      </c>
      <c r="K22" s="1109">
        <f t="shared" si="6"/>
        <v>1775.7337960426178</v>
      </c>
      <c r="L22" s="1109">
        <f t="shared" si="6"/>
        <v>1775.7337960426178</v>
      </c>
      <c r="M22" s="1109">
        <f t="shared" si="6"/>
        <v>1775.7337960426178</v>
      </c>
      <c r="N22" s="1109">
        <f t="shared" si="6"/>
        <v>1775.7337960426178</v>
      </c>
      <c r="O22" s="1109">
        <f t="shared" si="6"/>
        <v>1775.7337960426178</v>
      </c>
      <c r="P22" s="1109">
        <f t="shared" si="6"/>
        <v>1775.7337960426178</v>
      </c>
      <c r="Q22" s="1109">
        <f t="shared" si="6"/>
        <v>1775.7337960426178</v>
      </c>
      <c r="R22" s="1109">
        <f t="shared" si="6"/>
        <v>1775.7337960426178</v>
      </c>
      <c r="S22" s="1109">
        <f t="shared" si="6"/>
        <v>1775.7337960426178</v>
      </c>
      <c r="T22" s="1109">
        <f t="shared" si="6"/>
        <v>1775.7337960426178</v>
      </c>
      <c r="U22" s="1109">
        <f t="shared" si="6"/>
        <v>1775.7337960426178</v>
      </c>
      <c r="V22" s="1109">
        <f t="shared" si="6"/>
        <v>1775.7337960426178</v>
      </c>
      <c r="W22" s="1109">
        <f t="shared" si="6"/>
        <v>1775.7337960426178</v>
      </c>
      <c r="X22" s="1109">
        <f t="shared" si="6"/>
        <v>1775.7337960426178</v>
      </c>
      <c r="Y22" s="1109">
        <f t="shared" si="6"/>
        <v>1775.7337960426178</v>
      </c>
      <c r="Z22" s="1109">
        <f t="shared" si="6"/>
        <v>1775.7337960426178</v>
      </c>
      <c r="AA22" s="1109">
        <f t="shared" si="6"/>
        <v>1775.7337960426178</v>
      </c>
      <c r="AB22" s="1109">
        <f t="shared" si="6"/>
        <v>1775.7337960426178</v>
      </c>
      <c r="AC22" s="1109">
        <f t="shared" si="6"/>
        <v>1775.7337960426178</v>
      </c>
      <c r="AD22" s="1110">
        <f t="shared" si="6"/>
        <v>1775.7337960426178</v>
      </c>
      <c r="AE22" s="1084"/>
    </row>
    <row r="23" spans="1:31" s="1075" customFormat="1" ht="14.25" customHeight="1">
      <c r="A23" s="2454"/>
      <c r="B23" s="2461"/>
      <c r="C23" s="1130" t="s">
        <v>745</v>
      </c>
      <c r="D23" s="1131"/>
      <c r="E23" s="1132">
        <v>0</v>
      </c>
      <c r="F23" s="1133">
        <f t="shared" ref="F23:AD23" si="7">SUM(F11:F22)</f>
        <v>16678.633796042617</v>
      </c>
      <c r="G23" s="1134">
        <f t="shared" si="7"/>
        <v>16678.633796042617</v>
      </c>
      <c r="H23" s="1134">
        <f t="shared" si="7"/>
        <v>16678.633796042617</v>
      </c>
      <c r="I23" s="1134">
        <f t="shared" si="7"/>
        <v>16678.633796042617</v>
      </c>
      <c r="J23" s="1134">
        <f t="shared" si="7"/>
        <v>16678.633796042617</v>
      </c>
      <c r="K23" s="1134">
        <f t="shared" si="7"/>
        <v>16678.633796042617</v>
      </c>
      <c r="L23" s="1134">
        <f t="shared" si="7"/>
        <v>16678.633796042617</v>
      </c>
      <c r="M23" s="1134">
        <f t="shared" si="7"/>
        <v>16678.633796042617</v>
      </c>
      <c r="N23" s="1134">
        <f t="shared" si="7"/>
        <v>16678.633796042617</v>
      </c>
      <c r="O23" s="1134">
        <f t="shared" si="7"/>
        <v>16678.633796042617</v>
      </c>
      <c r="P23" s="1134">
        <f t="shared" si="7"/>
        <v>16678.633796042617</v>
      </c>
      <c r="Q23" s="1134">
        <f t="shared" si="7"/>
        <v>16678.633796042617</v>
      </c>
      <c r="R23" s="1134">
        <f t="shared" si="7"/>
        <v>16678.633796042617</v>
      </c>
      <c r="S23" s="1134">
        <f t="shared" si="7"/>
        <v>16678.633796042617</v>
      </c>
      <c r="T23" s="1134">
        <f t="shared" si="7"/>
        <v>16678.633796042617</v>
      </c>
      <c r="U23" s="1134">
        <f t="shared" si="7"/>
        <v>16678.633796042617</v>
      </c>
      <c r="V23" s="1134">
        <f t="shared" si="7"/>
        <v>16678.633796042617</v>
      </c>
      <c r="W23" s="1134">
        <f t="shared" si="7"/>
        <v>16678.633796042617</v>
      </c>
      <c r="X23" s="1134">
        <f t="shared" si="7"/>
        <v>16678.633796042617</v>
      </c>
      <c r="Y23" s="1134">
        <f t="shared" si="7"/>
        <v>16678.633796042617</v>
      </c>
      <c r="Z23" s="1134">
        <f t="shared" si="7"/>
        <v>16678.633796042617</v>
      </c>
      <c r="AA23" s="1134">
        <f t="shared" si="7"/>
        <v>16678.633796042617</v>
      </c>
      <c r="AB23" s="1134">
        <f t="shared" si="7"/>
        <v>16678.633796042617</v>
      </c>
      <c r="AC23" s="1134">
        <f t="shared" si="7"/>
        <v>16678.633796042617</v>
      </c>
      <c r="AD23" s="1135">
        <f t="shared" si="7"/>
        <v>16678.633796042617</v>
      </c>
      <c r="AE23" s="1084">
        <f t="shared" ref="AE23:AE32" si="8">SUM(F23:AD23)</f>
        <v>416965.84490106569</v>
      </c>
    </row>
    <row r="24" spans="1:31" s="1075" customFormat="1" ht="14.25" customHeight="1">
      <c r="A24" s="2454"/>
      <c r="B24" s="2465" t="s">
        <v>746</v>
      </c>
      <c r="C24" s="1136" t="s">
        <v>747</v>
      </c>
      <c r="D24" s="1137"/>
      <c r="E24" s="1136">
        <v>0</v>
      </c>
      <c r="F24" s="1138">
        <f t="shared" ref="F24:AD24" si="9">F10-F23</f>
        <v>122083.79573955506</v>
      </c>
      <c r="G24" s="1139">
        <f t="shared" si="9"/>
        <v>229186.83601217656</v>
      </c>
      <c r="H24" s="1139">
        <f t="shared" si="9"/>
        <v>229186.83601217656</v>
      </c>
      <c r="I24" s="1139">
        <f t="shared" si="9"/>
        <v>229186.83601217656</v>
      </c>
      <c r="J24" s="1139">
        <f t="shared" si="9"/>
        <v>225788.80561217657</v>
      </c>
      <c r="K24" s="1139">
        <f t="shared" si="9"/>
        <v>225788.80561217657</v>
      </c>
      <c r="L24" s="1139">
        <f t="shared" si="9"/>
        <v>225788.80561217657</v>
      </c>
      <c r="M24" s="1139">
        <f t="shared" si="9"/>
        <v>225788.80561217657</v>
      </c>
      <c r="N24" s="1139">
        <f t="shared" si="9"/>
        <v>225788.80561217657</v>
      </c>
      <c r="O24" s="1139">
        <f t="shared" si="9"/>
        <v>222458.73582017657</v>
      </c>
      <c r="P24" s="1139">
        <f t="shared" si="9"/>
        <v>222458.73582017657</v>
      </c>
      <c r="Q24" s="1139">
        <f t="shared" si="9"/>
        <v>222458.73582017657</v>
      </c>
      <c r="R24" s="1139">
        <f t="shared" si="9"/>
        <v>222458.73582017657</v>
      </c>
      <c r="S24" s="1139">
        <f t="shared" si="9"/>
        <v>222458.73582017657</v>
      </c>
      <c r="T24" s="1139">
        <f t="shared" si="9"/>
        <v>219195.26742401658</v>
      </c>
      <c r="U24" s="1139">
        <f t="shared" si="9"/>
        <v>219195.26742401658</v>
      </c>
      <c r="V24" s="1139">
        <f t="shared" si="9"/>
        <v>219195.26742401658</v>
      </c>
      <c r="W24" s="1139">
        <f t="shared" si="9"/>
        <v>219195.26742401658</v>
      </c>
      <c r="X24" s="1139">
        <f t="shared" si="9"/>
        <v>219195.26742401658</v>
      </c>
      <c r="Y24" s="1139">
        <f t="shared" si="9"/>
        <v>215997.06839577979</v>
      </c>
      <c r="Z24" s="1139">
        <f t="shared" si="9"/>
        <v>215997.06839577979</v>
      </c>
      <c r="AA24" s="1139">
        <f t="shared" si="9"/>
        <v>215997.06839577979</v>
      </c>
      <c r="AB24" s="1139">
        <f t="shared" si="9"/>
        <v>215997.06839577979</v>
      </c>
      <c r="AC24" s="1139">
        <f t="shared" si="9"/>
        <v>215997.06839577979</v>
      </c>
      <c r="AD24" s="1140">
        <f t="shared" si="9"/>
        <v>212862.83334810773</v>
      </c>
      <c r="AE24" s="1084">
        <f t="shared" si="8"/>
        <v>5439706.5233849399</v>
      </c>
    </row>
    <row r="25" spans="1:31" s="1145" customFormat="1" ht="14.25" customHeight="1">
      <c r="A25" s="2454"/>
      <c r="B25" s="2466"/>
      <c r="C25" s="2462" t="s">
        <v>748</v>
      </c>
      <c r="D25" s="1106" t="s">
        <v>749</v>
      </c>
      <c r="E25" s="1141" t="s">
        <v>750</v>
      </c>
      <c r="F25" s="1108">
        <f ca="1">D79</f>
        <v>13239.269522727274</v>
      </c>
      <c r="G25" s="1142">
        <f t="shared" ref="G25:V25" ca="1" si="10">F25</f>
        <v>13239.269522727274</v>
      </c>
      <c r="H25" s="1142">
        <f t="shared" ca="1" si="10"/>
        <v>13239.269522727274</v>
      </c>
      <c r="I25" s="1142">
        <f t="shared" ca="1" si="10"/>
        <v>13239.269522727274</v>
      </c>
      <c r="J25" s="1142">
        <f t="shared" ca="1" si="10"/>
        <v>13239.269522727274</v>
      </c>
      <c r="K25" s="1142">
        <f t="shared" ca="1" si="10"/>
        <v>13239.269522727274</v>
      </c>
      <c r="L25" s="1142">
        <f t="shared" ca="1" si="10"/>
        <v>13239.269522727274</v>
      </c>
      <c r="M25" s="1142">
        <f t="shared" ca="1" si="10"/>
        <v>13239.269522727274</v>
      </c>
      <c r="N25" s="1142">
        <f t="shared" ca="1" si="10"/>
        <v>13239.269522727274</v>
      </c>
      <c r="O25" s="1142">
        <f t="shared" ca="1" si="10"/>
        <v>13239.269522727274</v>
      </c>
      <c r="P25" s="1142">
        <f t="shared" ca="1" si="10"/>
        <v>13239.269522727274</v>
      </c>
      <c r="Q25" s="1142">
        <f t="shared" ca="1" si="10"/>
        <v>13239.269522727274</v>
      </c>
      <c r="R25" s="1142">
        <f t="shared" ca="1" si="10"/>
        <v>13239.269522727274</v>
      </c>
      <c r="S25" s="1142">
        <f t="shared" ca="1" si="10"/>
        <v>13239.269522727274</v>
      </c>
      <c r="T25" s="1142">
        <f t="shared" ca="1" si="10"/>
        <v>13239.269522727274</v>
      </c>
      <c r="U25" s="1142">
        <f t="shared" ca="1" si="10"/>
        <v>13239.269522727274</v>
      </c>
      <c r="V25" s="1142">
        <f t="shared" ca="1" si="10"/>
        <v>13239.269522727274</v>
      </c>
      <c r="W25" s="1142">
        <v>0</v>
      </c>
      <c r="X25" s="1142">
        <f t="shared" ref="X25:AD25" si="11">W25</f>
        <v>0</v>
      </c>
      <c r="Y25" s="1142">
        <f t="shared" si="11"/>
        <v>0</v>
      </c>
      <c r="Z25" s="1142">
        <f t="shared" si="11"/>
        <v>0</v>
      </c>
      <c r="AA25" s="1142">
        <f t="shared" si="11"/>
        <v>0</v>
      </c>
      <c r="AB25" s="1142">
        <f t="shared" si="11"/>
        <v>0</v>
      </c>
      <c r="AC25" s="1142">
        <f t="shared" si="11"/>
        <v>0</v>
      </c>
      <c r="AD25" s="1143">
        <f t="shared" si="11"/>
        <v>0</v>
      </c>
      <c r="AE25" s="1144">
        <f t="shared" ca="1" si="8"/>
        <v>225067.58188636359</v>
      </c>
    </row>
    <row r="26" spans="1:31" s="1145" customFormat="1" ht="14.25" customHeight="1">
      <c r="A26" s="2454"/>
      <c r="B26" s="2466"/>
      <c r="C26" s="2463"/>
      <c r="D26" s="1106" t="s">
        <v>751</v>
      </c>
      <c r="E26" s="1141"/>
      <c r="F26" s="1108">
        <f>(E37+F43)/15</f>
        <v>6670</v>
      </c>
      <c r="G26" s="1142">
        <f>F26+G43/15</f>
        <v>6820</v>
      </c>
      <c r="H26" s="1142">
        <f t="shared" ref="H26:T26" si="12">G26+H43/15</f>
        <v>6970</v>
      </c>
      <c r="I26" s="1142">
        <f t="shared" si="12"/>
        <v>7120</v>
      </c>
      <c r="J26" s="1142">
        <f t="shared" si="12"/>
        <v>7270</v>
      </c>
      <c r="K26" s="1142">
        <f t="shared" si="12"/>
        <v>7420</v>
      </c>
      <c r="L26" s="1142">
        <f t="shared" si="12"/>
        <v>7570</v>
      </c>
      <c r="M26" s="1142">
        <f t="shared" si="12"/>
        <v>7720</v>
      </c>
      <c r="N26" s="1142">
        <f t="shared" si="12"/>
        <v>7870</v>
      </c>
      <c r="O26" s="1142">
        <f t="shared" si="12"/>
        <v>8020</v>
      </c>
      <c r="P26" s="1142">
        <f t="shared" si="12"/>
        <v>8170</v>
      </c>
      <c r="Q26" s="1142">
        <f t="shared" si="12"/>
        <v>8320</v>
      </c>
      <c r="R26" s="1142">
        <f t="shared" si="12"/>
        <v>8470</v>
      </c>
      <c r="S26" s="1142">
        <f t="shared" si="12"/>
        <v>8620</v>
      </c>
      <c r="T26" s="1142">
        <f t="shared" si="12"/>
        <v>8770</v>
      </c>
      <c r="U26" s="1142">
        <f>T26+U43/15-F26</f>
        <v>2250</v>
      </c>
      <c r="V26" s="1142">
        <f t="shared" ref="V26:AD26" si="13">U26+V43/15-(G26-F26)</f>
        <v>2250</v>
      </c>
      <c r="W26" s="1142">
        <f t="shared" si="13"/>
        <v>2250</v>
      </c>
      <c r="X26" s="1142">
        <f t="shared" si="13"/>
        <v>2250</v>
      </c>
      <c r="Y26" s="1142">
        <f t="shared" si="13"/>
        <v>2250</v>
      </c>
      <c r="Z26" s="1142">
        <f t="shared" si="13"/>
        <v>2250</v>
      </c>
      <c r="AA26" s="1142">
        <f t="shared" si="13"/>
        <v>2250</v>
      </c>
      <c r="AB26" s="1142">
        <f t="shared" si="13"/>
        <v>2250</v>
      </c>
      <c r="AC26" s="1142">
        <f t="shared" si="13"/>
        <v>2250</v>
      </c>
      <c r="AD26" s="1143">
        <f t="shared" si="13"/>
        <v>2250</v>
      </c>
      <c r="AE26" s="1144">
        <f t="shared" si="8"/>
        <v>138300</v>
      </c>
    </row>
    <row r="27" spans="1:31" s="1075" customFormat="1" ht="14.25" customHeight="1">
      <c r="A27" s="2454"/>
      <c r="B27" s="2466"/>
      <c r="C27" s="2464"/>
      <c r="D27" s="1093" t="s">
        <v>752</v>
      </c>
      <c r="E27" s="1094"/>
      <c r="F27" s="1099">
        <f ca="1">('事業計画書（事業決定時）'!D10+'事業計画書（事業決定時）'!D12+'事業計画書（事業決定時）'!D15+'事業計画書（事業決定時）'!D17)/1000/D75</f>
        <v>845.3096363636364</v>
      </c>
      <c r="G27" s="1090">
        <f t="shared" ref="G27:V27" ca="1" si="14">F27</f>
        <v>845.3096363636364</v>
      </c>
      <c r="H27" s="1090">
        <f t="shared" ca="1" si="14"/>
        <v>845.3096363636364</v>
      </c>
      <c r="I27" s="1090">
        <f t="shared" ca="1" si="14"/>
        <v>845.3096363636364</v>
      </c>
      <c r="J27" s="1090">
        <f t="shared" ca="1" si="14"/>
        <v>845.3096363636364</v>
      </c>
      <c r="K27" s="1090">
        <f t="shared" ca="1" si="14"/>
        <v>845.3096363636364</v>
      </c>
      <c r="L27" s="1090">
        <f t="shared" ca="1" si="14"/>
        <v>845.3096363636364</v>
      </c>
      <c r="M27" s="1090">
        <f t="shared" ca="1" si="14"/>
        <v>845.3096363636364</v>
      </c>
      <c r="N27" s="1090">
        <f t="shared" ca="1" si="14"/>
        <v>845.3096363636364</v>
      </c>
      <c r="O27" s="1090">
        <f t="shared" ca="1" si="14"/>
        <v>845.3096363636364</v>
      </c>
      <c r="P27" s="1090">
        <f t="shared" ca="1" si="14"/>
        <v>845.3096363636364</v>
      </c>
      <c r="Q27" s="1090">
        <f t="shared" ca="1" si="14"/>
        <v>845.3096363636364</v>
      </c>
      <c r="R27" s="1090">
        <f t="shared" ca="1" si="14"/>
        <v>845.3096363636364</v>
      </c>
      <c r="S27" s="1090">
        <f t="shared" ca="1" si="14"/>
        <v>845.3096363636364</v>
      </c>
      <c r="T27" s="1090">
        <f t="shared" ca="1" si="14"/>
        <v>845.3096363636364</v>
      </c>
      <c r="U27" s="1090">
        <f t="shared" ca="1" si="14"/>
        <v>845.3096363636364</v>
      </c>
      <c r="V27" s="1090">
        <f t="shared" ca="1" si="14"/>
        <v>845.3096363636364</v>
      </c>
      <c r="W27" s="1090">
        <v>0</v>
      </c>
      <c r="X27" s="1090">
        <f t="shared" ref="X27:AD27" si="15">W27</f>
        <v>0</v>
      </c>
      <c r="Y27" s="1090">
        <f t="shared" si="15"/>
        <v>0</v>
      </c>
      <c r="Z27" s="1090">
        <f t="shared" si="15"/>
        <v>0</v>
      </c>
      <c r="AA27" s="1090">
        <f t="shared" si="15"/>
        <v>0</v>
      </c>
      <c r="AB27" s="1090">
        <f t="shared" si="15"/>
        <v>0</v>
      </c>
      <c r="AC27" s="1090">
        <f t="shared" si="15"/>
        <v>0</v>
      </c>
      <c r="AD27" s="1091">
        <f t="shared" si="15"/>
        <v>0</v>
      </c>
      <c r="AE27" s="1084">
        <f t="shared" ca="1" si="8"/>
        <v>14370.263818181813</v>
      </c>
    </row>
    <row r="28" spans="1:31" s="1075" customFormat="1" ht="14.25" customHeight="1">
      <c r="A28" s="2454"/>
      <c r="B28" s="2466"/>
      <c r="C28" s="1136" t="s">
        <v>753</v>
      </c>
      <c r="D28" s="1137"/>
      <c r="E28" s="1136">
        <v>0</v>
      </c>
      <c r="F28" s="1138">
        <f t="shared" ref="F28:AD28" ca="1" si="16">F24-F25-F26-F27</f>
        <v>101329.21658046414</v>
      </c>
      <c r="G28" s="1139">
        <f t="shared" ca="1" si="16"/>
        <v>208282.25685308565</v>
      </c>
      <c r="H28" s="1139">
        <f t="shared" ca="1" si="16"/>
        <v>208132.25685308565</v>
      </c>
      <c r="I28" s="1139">
        <f t="shared" ca="1" si="16"/>
        <v>207982.25685308565</v>
      </c>
      <c r="J28" s="1139">
        <f t="shared" ca="1" si="16"/>
        <v>204434.22645308566</v>
      </c>
      <c r="K28" s="1139">
        <f t="shared" ca="1" si="16"/>
        <v>204284.22645308566</v>
      </c>
      <c r="L28" s="1139">
        <f t="shared" ca="1" si="16"/>
        <v>204134.22645308566</v>
      </c>
      <c r="M28" s="1139">
        <f t="shared" ca="1" si="16"/>
        <v>203984.22645308566</v>
      </c>
      <c r="N28" s="1139">
        <f t="shared" ca="1" si="16"/>
        <v>203834.22645308566</v>
      </c>
      <c r="O28" s="1139">
        <f t="shared" ca="1" si="16"/>
        <v>200354.15666108567</v>
      </c>
      <c r="P28" s="1139">
        <f t="shared" ca="1" si="16"/>
        <v>200204.15666108567</v>
      </c>
      <c r="Q28" s="1139">
        <f t="shared" ca="1" si="16"/>
        <v>200054.15666108567</v>
      </c>
      <c r="R28" s="1139">
        <f t="shared" ca="1" si="16"/>
        <v>199904.15666108567</v>
      </c>
      <c r="S28" s="1139">
        <f t="shared" ca="1" si="16"/>
        <v>199754.15666108567</v>
      </c>
      <c r="T28" s="1139">
        <f t="shared" ca="1" si="16"/>
        <v>196340.68826492567</v>
      </c>
      <c r="U28" s="1139">
        <f t="shared" ca="1" si="16"/>
        <v>202860.68826492567</v>
      </c>
      <c r="V28" s="1139">
        <f t="shared" ca="1" si="16"/>
        <v>202860.68826492567</v>
      </c>
      <c r="W28" s="1139">
        <f t="shared" si="16"/>
        <v>216945.26742401658</v>
      </c>
      <c r="X28" s="1139">
        <f t="shared" si="16"/>
        <v>216945.26742401658</v>
      </c>
      <c r="Y28" s="1139">
        <f t="shared" si="16"/>
        <v>213747.06839577979</v>
      </c>
      <c r="Z28" s="1139">
        <f t="shared" si="16"/>
        <v>213747.06839577979</v>
      </c>
      <c r="AA28" s="1139">
        <f t="shared" si="16"/>
        <v>213747.06839577979</v>
      </c>
      <c r="AB28" s="1139">
        <f t="shared" si="16"/>
        <v>213747.06839577979</v>
      </c>
      <c r="AC28" s="1139">
        <f t="shared" si="16"/>
        <v>213747.06839577979</v>
      </c>
      <c r="AD28" s="1140">
        <f t="shared" si="16"/>
        <v>210612.83334810773</v>
      </c>
      <c r="AE28" s="1084">
        <f t="shared" ca="1" si="8"/>
        <v>5061968.6776803937</v>
      </c>
    </row>
    <row r="29" spans="1:31" s="1075" customFormat="1" ht="14.25" customHeight="1">
      <c r="A29" s="2454"/>
      <c r="B29" s="2466"/>
      <c r="C29" s="1146"/>
      <c r="D29" s="1106" t="s">
        <v>754</v>
      </c>
      <c r="E29" s="1340">
        <f>'事業計画書（事業決定時）'!F50</f>
        <v>8.9999999999999993E-3</v>
      </c>
      <c r="F29" s="1108">
        <f t="shared" ref="F29:AD29" si="17">(F50+(E50-F50)/2)*$E$29</f>
        <v>3071.2499999999995</v>
      </c>
      <c r="G29" s="1090">
        <f t="shared" si="17"/>
        <v>2913.75</v>
      </c>
      <c r="H29" s="1090">
        <f t="shared" si="17"/>
        <v>2756.25</v>
      </c>
      <c r="I29" s="1090">
        <f t="shared" si="17"/>
        <v>2598.75</v>
      </c>
      <c r="J29" s="1090">
        <f t="shared" si="17"/>
        <v>2441.25</v>
      </c>
      <c r="K29" s="1090">
        <f t="shared" si="17"/>
        <v>2283.75</v>
      </c>
      <c r="L29" s="1090">
        <f t="shared" si="17"/>
        <v>2126.25</v>
      </c>
      <c r="M29" s="1090">
        <f t="shared" si="17"/>
        <v>1968.7499999999998</v>
      </c>
      <c r="N29" s="1090">
        <f t="shared" si="17"/>
        <v>1811.2499999999998</v>
      </c>
      <c r="O29" s="1090">
        <f t="shared" si="17"/>
        <v>1653.7499999999998</v>
      </c>
      <c r="P29" s="1090">
        <f t="shared" si="17"/>
        <v>1496.25</v>
      </c>
      <c r="Q29" s="1090">
        <f t="shared" si="17"/>
        <v>1338.75</v>
      </c>
      <c r="R29" s="1090">
        <f t="shared" si="17"/>
        <v>1181.25</v>
      </c>
      <c r="S29" s="1090">
        <f t="shared" si="17"/>
        <v>1023.7499999999999</v>
      </c>
      <c r="T29" s="1090">
        <f t="shared" si="17"/>
        <v>866.24999999999989</v>
      </c>
      <c r="U29" s="1090">
        <f t="shared" si="17"/>
        <v>708.75</v>
      </c>
      <c r="V29" s="1090">
        <f t="shared" si="17"/>
        <v>551.25</v>
      </c>
      <c r="W29" s="1090">
        <f t="shared" si="17"/>
        <v>393.74999999999994</v>
      </c>
      <c r="X29" s="1090">
        <f t="shared" si="17"/>
        <v>236.24999999999997</v>
      </c>
      <c r="Y29" s="1090">
        <f t="shared" si="17"/>
        <v>78.75</v>
      </c>
      <c r="Z29" s="1090">
        <f t="shared" si="17"/>
        <v>0</v>
      </c>
      <c r="AA29" s="1090">
        <f t="shared" si="17"/>
        <v>0</v>
      </c>
      <c r="AB29" s="1090">
        <f t="shared" si="17"/>
        <v>0</v>
      </c>
      <c r="AC29" s="1090">
        <f t="shared" si="17"/>
        <v>0</v>
      </c>
      <c r="AD29" s="1091">
        <f t="shared" si="17"/>
        <v>0</v>
      </c>
      <c r="AE29" s="1084">
        <f t="shared" si="8"/>
        <v>31500</v>
      </c>
    </row>
    <row r="30" spans="1:31" s="1075" customFormat="1" ht="14.25" customHeight="1">
      <c r="A30" s="2454"/>
      <c r="B30" s="2466"/>
      <c r="C30" s="1136" t="s">
        <v>755</v>
      </c>
      <c r="D30" s="1137"/>
      <c r="E30" s="1136">
        <v>0</v>
      </c>
      <c r="F30" s="1138">
        <f t="shared" ref="F30:AD30" ca="1" si="18">F28-F29</f>
        <v>98257.966580464141</v>
      </c>
      <c r="G30" s="1139">
        <f t="shared" ca="1" si="18"/>
        <v>205368.50685308565</v>
      </c>
      <c r="H30" s="1139">
        <f t="shared" ca="1" si="18"/>
        <v>205376.00685308565</v>
      </c>
      <c r="I30" s="1139">
        <f t="shared" ca="1" si="18"/>
        <v>205383.50685308565</v>
      </c>
      <c r="J30" s="1139">
        <f t="shared" ca="1" si="18"/>
        <v>201992.97645308566</v>
      </c>
      <c r="K30" s="1139">
        <f t="shared" ca="1" si="18"/>
        <v>202000.47645308566</v>
      </c>
      <c r="L30" s="1139">
        <f t="shared" ca="1" si="18"/>
        <v>202007.97645308566</v>
      </c>
      <c r="M30" s="1139">
        <f t="shared" ca="1" si="18"/>
        <v>202015.47645308566</v>
      </c>
      <c r="N30" s="1139">
        <f t="shared" ca="1" si="18"/>
        <v>202022.97645308566</v>
      </c>
      <c r="O30" s="1139">
        <f t="shared" ca="1" si="18"/>
        <v>198700.40666108567</v>
      </c>
      <c r="P30" s="1139">
        <f t="shared" ca="1" si="18"/>
        <v>198707.90666108567</v>
      </c>
      <c r="Q30" s="1139">
        <f t="shared" ca="1" si="18"/>
        <v>198715.40666108567</v>
      </c>
      <c r="R30" s="1139">
        <f t="shared" ca="1" si="18"/>
        <v>198722.90666108567</v>
      </c>
      <c r="S30" s="1139">
        <f t="shared" ca="1" si="18"/>
        <v>198730.40666108567</v>
      </c>
      <c r="T30" s="1139">
        <f t="shared" ca="1" si="18"/>
        <v>195474.43826492567</v>
      </c>
      <c r="U30" s="1139">
        <f t="shared" ca="1" si="18"/>
        <v>202151.93826492567</v>
      </c>
      <c r="V30" s="1139">
        <f t="shared" ca="1" si="18"/>
        <v>202309.43826492567</v>
      </c>
      <c r="W30" s="1139">
        <f t="shared" si="18"/>
        <v>216551.51742401658</v>
      </c>
      <c r="X30" s="1139">
        <f t="shared" si="18"/>
        <v>216709.01742401658</v>
      </c>
      <c r="Y30" s="1139">
        <f t="shared" si="18"/>
        <v>213668.31839577979</v>
      </c>
      <c r="Z30" s="1139">
        <f t="shared" si="18"/>
        <v>213747.06839577979</v>
      </c>
      <c r="AA30" s="1139">
        <f t="shared" si="18"/>
        <v>213747.06839577979</v>
      </c>
      <c r="AB30" s="1139">
        <f t="shared" si="18"/>
        <v>213747.06839577979</v>
      </c>
      <c r="AC30" s="1139">
        <f t="shared" si="18"/>
        <v>213747.06839577979</v>
      </c>
      <c r="AD30" s="1140">
        <f t="shared" si="18"/>
        <v>210612.83334810773</v>
      </c>
      <c r="AE30" s="1084">
        <f t="shared" ca="1" si="8"/>
        <v>5030468.6776803946</v>
      </c>
    </row>
    <row r="31" spans="1:31" s="1075" customFormat="1" ht="14.25" customHeight="1">
      <c r="A31" s="2454"/>
      <c r="B31" s="2466"/>
      <c r="C31" s="1094" t="s">
        <v>756</v>
      </c>
      <c r="D31" s="1148">
        <f>E31</f>
        <v>0.30620000000000003</v>
      </c>
      <c r="E31" s="1360">
        <v>0.30620000000000003</v>
      </c>
      <c r="F31" s="1090">
        <f t="shared" ref="F31:M31" ca="1" si="19">F30*$E$31</f>
        <v>30086.589366938122</v>
      </c>
      <c r="G31" s="1090">
        <f t="shared" ca="1" si="19"/>
        <v>62883.836798414835</v>
      </c>
      <c r="H31" s="1090">
        <f t="shared" ca="1" si="19"/>
        <v>62886.133298414832</v>
      </c>
      <c r="I31" s="1090">
        <f t="shared" ca="1" si="19"/>
        <v>62888.429798414829</v>
      </c>
      <c r="J31" s="1090">
        <f t="shared" ca="1" si="19"/>
        <v>61850.249389934834</v>
      </c>
      <c r="K31" s="1090">
        <f t="shared" ca="1" si="19"/>
        <v>61852.545889934838</v>
      </c>
      <c r="L31" s="1090">
        <f t="shared" ca="1" si="19"/>
        <v>61854.842389934835</v>
      </c>
      <c r="M31" s="1090">
        <f t="shared" ca="1" si="19"/>
        <v>61857.138889934839</v>
      </c>
      <c r="N31" s="1090">
        <f t="shared" ref="N31:AD31" ca="1" si="20">N30*$E$31</f>
        <v>61859.435389934835</v>
      </c>
      <c r="O31" s="1090">
        <f t="shared" ca="1" si="20"/>
        <v>60842.064519624437</v>
      </c>
      <c r="P31" s="1090">
        <f t="shared" ca="1" si="20"/>
        <v>60844.361019624434</v>
      </c>
      <c r="Q31" s="1090">
        <f t="shared" ca="1" si="20"/>
        <v>60846.657519624438</v>
      </c>
      <c r="R31" s="1090">
        <f t="shared" ca="1" si="20"/>
        <v>60848.954019624434</v>
      </c>
      <c r="S31" s="1090">
        <f t="shared" ca="1" si="20"/>
        <v>60851.250519624438</v>
      </c>
      <c r="T31" s="1090">
        <f t="shared" ca="1" si="20"/>
        <v>59854.272996720247</v>
      </c>
      <c r="U31" s="1090">
        <f t="shared" ca="1" si="20"/>
        <v>61898.92349672025</v>
      </c>
      <c r="V31" s="1090">
        <f t="shared" ca="1" si="20"/>
        <v>61947.149996720247</v>
      </c>
      <c r="W31" s="1090">
        <f t="shared" si="20"/>
        <v>66308.074635233876</v>
      </c>
      <c r="X31" s="1090">
        <f t="shared" si="20"/>
        <v>66356.30113523388</v>
      </c>
      <c r="Y31" s="1090">
        <f t="shared" si="20"/>
        <v>65425.239092787779</v>
      </c>
      <c r="Z31" s="1090">
        <f t="shared" si="20"/>
        <v>65449.352342787774</v>
      </c>
      <c r="AA31" s="1090">
        <f t="shared" si="20"/>
        <v>65449.352342787774</v>
      </c>
      <c r="AB31" s="1090">
        <f t="shared" si="20"/>
        <v>65449.352342787774</v>
      </c>
      <c r="AC31" s="1090">
        <f t="shared" si="20"/>
        <v>65449.352342787774</v>
      </c>
      <c r="AD31" s="1091">
        <f t="shared" si="20"/>
        <v>64489.649571190595</v>
      </c>
      <c r="AE31" s="1084">
        <f t="shared" ca="1" si="8"/>
        <v>1540329.5091057364</v>
      </c>
    </row>
    <row r="32" spans="1:31" s="1075" customFormat="1" ht="14.25" customHeight="1">
      <c r="A32" s="2455"/>
      <c r="B32" s="2467"/>
      <c r="C32" s="1149" t="s">
        <v>757</v>
      </c>
      <c r="D32" s="1150"/>
      <c r="E32" s="1149">
        <v>0</v>
      </c>
      <c r="F32" s="1151">
        <f t="shared" ref="F32:AD32" ca="1" si="21">F30-F31</f>
        <v>68171.377213526022</v>
      </c>
      <c r="G32" s="1152">
        <f t="shared" ca="1" si="21"/>
        <v>142484.67005467083</v>
      </c>
      <c r="H32" s="1152">
        <f t="shared" ca="1" si="21"/>
        <v>142489.87355467083</v>
      </c>
      <c r="I32" s="1152">
        <f t="shared" ca="1" si="21"/>
        <v>142495.07705467084</v>
      </c>
      <c r="J32" s="1152">
        <f t="shared" ca="1" si="21"/>
        <v>140142.72706315084</v>
      </c>
      <c r="K32" s="1152">
        <f t="shared" ca="1" si="21"/>
        <v>140147.93056315082</v>
      </c>
      <c r="L32" s="1152">
        <f t="shared" ca="1" si="21"/>
        <v>140153.13406315082</v>
      </c>
      <c r="M32" s="1152">
        <f t="shared" ca="1" si="21"/>
        <v>140158.33756315082</v>
      </c>
      <c r="N32" s="1152">
        <f t="shared" ca="1" si="21"/>
        <v>140163.54106315083</v>
      </c>
      <c r="O32" s="1152">
        <f t="shared" ca="1" si="21"/>
        <v>137858.34214146124</v>
      </c>
      <c r="P32" s="1152">
        <f t="shared" ca="1" si="21"/>
        <v>137863.54564146124</v>
      </c>
      <c r="Q32" s="1152">
        <f t="shared" ca="1" si="21"/>
        <v>137868.74914146122</v>
      </c>
      <c r="R32" s="1152">
        <f t="shared" ca="1" si="21"/>
        <v>137873.95264146122</v>
      </c>
      <c r="S32" s="1152">
        <f t="shared" ca="1" si="21"/>
        <v>137879.15614146122</v>
      </c>
      <c r="T32" s="1152">
        <f t="shared" ca="1" si="21"/>
        <v>135620.16526820543</v>
      </c>
      <c r="U32" s="1152">
        <f t="shared" ca="1" si="21"/>
        <v>140253.01476820541</v>
      </c>
      <c r="V32" s="1152">
        <f t="shared" ca="1" si="21"/>
        <v>140362.28826820542</v>
      </c>
      <c r="W32" s="1152">
        <f t="shared" si="21"/>
        <v>150243.4427887827</v>
      </c>
      <c r="X32" s="1152">
        <f t="shared" si="21"/>
        <v>150352.71628878271</v>
      </c>
      <c r="Y32" s="1152">
        <f t="shared" si="21"/>
        <v>148243.079302992</v>
      </c>
      <c r="Z32" s="1152">
        <f t="shared" si="21"/>
        <v>148297.71605299201</v>
      </c>
      <c r="AA32" s="1152">
        <f t="shared" si="21"/>
        <v>148297.71605299201</v>
      </c>
      <c r="AB32" s="1152">
        <f t="shared" si="21"/>
        <v>148297.71605299201</v>
      </c>
      <c r="AC32" s="1152">
        <f t="shared" si="21"/>
        <v>148297.71605299201</v>
      </c>
      <c r="AD32" s="1153">
        <f t="shared" si="21"/>
        <v>146123.18377691714</v>
      </c>
      <c r="AE32" s="1084">
        <f t="shared" ca="1" si="8"/>
        <v>3490139.1685746564</v>
      </c>
    </row>
    <row r="33" spans="1:31" s="1075" customFormat="1" ht="14.25" customHeight="1">
      <c r="A33" s="2428" t="s">
        <v>758</v>
      </c>
      <c r="B33" s="2439" t="s">
        <v>759</v>
      </c>
      <c r="C33" s="2443" t="s">
        <v>689</v>
      </c>
      <c r="D33" s="2444"/>
      <c r="E33" s="1154">
        <f>'事業計画書（事業決定時）'!D8/1000</f>
        <v>614560.42599999998</v>
      </c>
      <c r="F33" s="1351">
        <f>E33+E36+E37</f>
        <v>742652.33799999999</v>
      </c>
      <c r="G33" s="1156"/>
      <c r="H33" s="1156"/>
      <c r="I33" s="1156"/>
      <c r="J33" s="1157"/>
      <c r="K33" s="1156"/>
      <c r="L33" s="1156"/>
      <c r="M33" s="1156"/>
      <c r="N33" s="1156"/>
      <c r="O33" s="1157"/>
      <c r="P33" s="1156"/>
      <c r="Q33" s="1156"/>
      <c r="R33" s="1156"/>
      <c r="S33" s="1156"/>
      <c r="T33" s="1157"/>
      <c r="U33" s="1156"/>
      <c r="V33" s="1158"/>
      <c r="W33" s="1158"/>
      <c r="X33" s="1158"/>
      <c r="Y33" s="1158"/>
      <c r="Z33" s="1158"/>
      <c r="AA33" s="1158"/>
      <c r="AB33" s="1158"/>
      <c r="AC33" s="1158"/>
      <c r="AD33" s="1159"/>
      <c r="AE33" s="1160"/>
    </row>
    <row r="34" spans="1:31" s="1075" customFormat="1" ht="14.25" customHeight="1">
      <c r="A34" s="2429"/>
      <c r="B34" s="2440"/>
      <c r="C34" s="2445" t="s">
        <v>760</v>
      </c>
      <c r="D34" s="2446"/>
      <c r="E34" s="1161">
        <f>'事業計画書（事業決定時）'!F19/1000</f>
        <v>255494.67499999999</v>
      </c>
      <c r="F34" s="1162"/>
      <c r="G34" s="1341" t="s">
        <v>761</v>
      </c>
      <c r="H34" s="1342">
        <f>'事業計画書（事業決定時）'!F14</f>
        <v>0.55118110236220474</v>
      </c>
      <c r="I34" s="1164">
        <v>30</v>
      </c>
      <c r="J34" s="1165" t="s">
        <v>762</v>
      </c>
      <c r="K34" s="1166">
        <f ca="1">'収支計算表（見込）計画1'!F13</f>
        <v>34.895890410958906</v>
      </c>
      <c r="L34" s="1165"/>
      <c r="M34" s="1167"/>
      <c r="N34" s="1167"/>
      <c r="O34" s="1167"/>
      <c r="P34" s="1167"/>
      <c r="Q34" s="1165"/>
      <c r="R34" s="1165"/>
      <c r="S34" s="1165"/>
      <c r="T34" s="1168"/>
      <c r="U34" s="1169"/>
      <c r="V34" s="1170"/>
      <c r="W34" s="1170"/>
      <c r="X34" s="1170"/>
      <c r="Y34" s="1170"/>
      <c r="Z34" s="1170"/>
      <c r="AA34" s="1170"/>
      <c r="AB34" s="1170"/>
      <c r="AC34" s="1170"/>
      <c r="AD34" s="1171"/>
      <c r="AE34" s="1160"/>
    </row>
    <row r="35" spans="1:31" s="1075" customFormat="1" ht="14.25" customHeight="1">
      <c r="A35" s="2429"/>
      <c r="B35" s="2440"/>
      <c r="C35" s="2445" t="s">
        <v>763</v>
      </c>
      <c r="D35" s="2446"/>
      <c r="E35" s="1161">
        <f>E33-E34</f>
        <v>359065.75099999999</v>
      </c>
      <c r="F35" s="1162"/>
      <c r="G35" s="1163" t="s">
        <v>764</v>
      </c>
      <c r="H35" s="1362">
        <v>20</v>
      </c>
      <c r="I35" s="1164">
        <f ca="1">K35-K34</f>
        <v>15.104109589041094</v>
      </c>
      <c r="J35" s="1168" t="s">
        <v>765</v>
      </c>
      <c r="K35" s="1361">
        <v>50</v>
      </c>
      <c r="L35" s="1167" t="s">
        <v>822</v>
      </c>
      <c r="M35" s="1165"/>
      <c r="N35" s="1165"/>
      <c r="O35" s="1168"/>
      <c r="P35" s="1165"/>
      <c r="Q35" s="1165"/>
      <c r="R35" s="1165"/>
      <c r="S35" s="1165"/>
      <c r="T35" s="1168"/>
      <c r="U35" s="1169"/>
      <c r="V35" s="1170"/>
      <c r="W35" s="1170"/>
      <c r="X35" s="1170"/>
      <c r="Y35" s="1170"/>
      <c r="Z35" s="1170"/>
      <c r="AA35" s="1170"/>
      <c r="AB35" s="1170"/>
      <c r="AC35" s="1170"/>
      <c r="AD35" s="1171"/>
      <c r="AE35" s="1160"/>
    </row>
    <row r="36" spans="1:31" s="1075" customFormat="1" ht="14.25" customHeight="1">
      <c r="A36" s="2429"/>
      <c r="B36" s="2440"/>
      <c r="C36" s="2447" t="s">
        <v>766</v>
      </c>
      <c r="D36" s="2448"/>
      <c r="E36" s="1173">
        <f>('事業計画書（事業決定時）'!D18-'事業計画書（事業決定時）'!D8)/1000</f>
        <v>30291.912</v>
      </c>
      <c r="F36" s="1162"/>
      <c r="G36" s="1165" t="s">
        <v>767</v>
      </c>
      <c r="H36" s="1174">
        <f>H35*12</f>
        <v>240</v>
      </c>
      <c r="I36" s="1175">
        <f>E39/E45</f>
        <v>17500</v>
      </c>
      <c r="J36" s="1175"/>
      <c r="K36" s="1172"/>
      <c r="L36" s="1167"/>
      <c r="M36" s="1165"/>
      <c r="N36" s="1165"/>
      <c r="O36" s="1168"/>
      <c r="P36" s="1165"/>
      <c r="Q36" s="1165"/>
      <c r="R36" s="1165"/>
      <c r="S36" s="1165"/>
      <c r="T36" s="1168"/>
      <c r="U36" s="1169"/>
      <c r="V36" s="1170"/>
      <c r="W36" s="1170"/>
      <c r="X36" s="1170"/>
      <c r="Y36" s="1170"/>
      <c r="Z36" s="1170"/>
      <c r="AA36" s="1170"/>
      <c r="AB36" s="1170"/>
      <c r="AC36" s="1170"/>
      <c r="AD36" s="1171"/>
      <c r="AE36" s="1160"/>
    </row>
    <row r="37" spans="1:31" s="1075" customFormat="1" ht="14.25" customHeight="1">
      <c r="A37" s="2429"/>
      <c r="B37" s="2440"/>
      <c r="C37" s="2449" t="s">
        <v>768</v>
      </c>
      <c r="D37" s="2450"/>
      <c r="E37" s="1176">
        <f>'事業計画書（事業決定時）'!D42/1000</f>
        <v>97800</v>
      </c>
      <c r="F37" s="1155"/>
      <c r="G37" s="1177" t="s">
        <v>769</v>
      </c>
      <c r="H37" s="1177"/>
      <c r="I37" s="1178"/>
      <c r="J37" s="1178">
        <f>E33+E37-E39-E38</f>
        <v>362360.42599999998</v>
      </c>
      <c r="K37" s="1165"/>
      <c r="L37" s="1165"/>
      <c r="M37" s="1165"/>
      <c r="N37" s="1165"/>
      <c r="O37" s="1168"/>
      <c r="P37" s="1165"/>
      <c r="Q37" s="1165"/>
      <c r="R37" s="1165"/>
      <c r="S37" s="1165"/>
      <c r="T37" s="1168"/>
      <c r="U37" s="1169"/>
      <c r="V37" s="1170"/>
      <c r="W37" s="1170"/>
      <c r="X37" s="1170"/>
      <c r="Y37" s="1170"/>
      <c r="Z37" s="1170"/>
      <c r="AA37" s="1170"/>
      <c r="AB37" s="1170"/>
      <c r="AC37" s="1170"/>
      <c r="AD37" s="1171"/>
      <c r="AE37" s="1160"/>
    </row>
    <row r="38" spans="1:31" s="1075" customFormat="1" ht="14.25" customHeight="1">
      <c r="A38" s="2429"/>
      <c r="B38" s="2441"/>
      <c r="C38" s="1179" t="s">
        <v>770</v>
      </c>
      <c r="D38" s="1179"/>
      <c r="E38" s="1180">
        <f>'収支計算表（リスク値・購入時)計画3'!C55/1000</f>
        <v>0</v>
      </c>
      <c r="F38" s="1099"/>
      <c r="G38" s="1090"/>
      <c r="H38" s="1090"/>
      <c r="I38" s="1155"/>
      <c r="J38" s="1181"/>
      <c r="K38" s="1090"/>
      <c r="L38" s="1090"/>
      <c r="M38" s="1090"/>
      <c r="N38" s="1090"/>
      <c r="O38" s="1181"/>
      <c r="P38" s="1090"/>
      <c r="Q38" s="1090"/>
      <c r="R38" s="1090"/>
      <c r="S38" s="1090"/>
      <c r="T38" s="1181"/>
      <c r="U38" s="1090"/>
      <c r="V38" s="1111"/>
      <c r="W38" s="1111"/>
      <c r="X38" s="1111"/>
      <c r="Y38" s="1111"/>
      <c r="Z38" s="1111"/>
      <c r="AA38" s="1111"/>
      <c r="AB38" s="1111"/>
      <c r="AC38" s="1111"/>
      <c r="AD38" s="1091"/>
      <c r="AE38" s="1084"/>
    </row>
    <row r="39" spans="1:31" s="1075" customFormat="1" ht="14.25" customHeight="1">
      <c r="A39" s="2429"/>
      <c r="B39" s="2441"/>
      <c r="C39" s="1147" t="s">
        <v>771</v>
      </c>
      <c r="D39" s="1147"/>
      <c r="E39" s="1182">
        <f>'事業計画書（事業決定時）'!F13/1000</f>
        <v>350000</v>
      </c>
      <c r="F39" s="1099"/>
      <c r="G39" s="1090"/>
      <c r="H39" s="1090"/>
      <c r="I39" s="1183"/>
      <c r="J39" s="1181"/>
      <c r="K39" s="1090"/>
      <c r="L39" s="1090"/>
      <c r="M39" s="1090"/>
      <c r="N39" s="1090"/>
      <c r="O39" s="1181"/>
      <c r="P39" s="1090"/>
      <c r="Q39" s="1090"/>
      <c r="R39" s="1090"/>
      <c r="S39" s="1090"/>
      <c r="T39" s="1181"/>
      <c r="U39" s="1090"/>
      <c r="V39" s="1111"/>
      <c r="W39" s="1111"/>
      <c r="X39" s="1111"/>
      <c r="Y39" s="1111"/>
      <c r="Z39" s="1111"/>
      <c r="AA39" s="1111"/>
      <c r="AB39" s="1111"/>
      <c r="AC39" s="1111"/>
      <c r="AD39" s="1091"/>
      <c r="AE39" s="1084"/>
    </row>
    <row r="40" spans="1:31" s="1075" customFormat="1" ht="14.25" customHeight="1">
      <c r="A40" s="2429"/>
      <c r="B40" s="2441"/>
      <c r="C40" s="1093" t="s">
        <v>757</v>
      </c>
      <c r="D40" s="1093"/>
      <c r="E40" s="1094">
        <v>0</v>
      </c>
      <c r="F40" s="1099">
        <f t="shared" ref="F40:AD40" ca="1" si="22">F32</f>
        <v>68171.377213526022</v>
      </c>
      <c r="G40" s="1090">
        <f t="shared" ca="1" si="22"/>
        <v>142484.67005467083</v>
      </c>
      <c r="H40" s="1090">
        <f t="shared" ca="1" si="22"/>
        <v>142489.87355467083</v>
      </c>
      <c r="I40" s="1090">
        <f t="shared" ca="1" si="22"/>
        <v>142495.07705467084</v>
      </c>
      <c r="J40" s="1090">
        <f t="shared" ca="1" si="22"/>
        <v>140142.72706315084</v>
      </c>
      <c r="K40" s="1090">
        <f t="shared" ca="1" si="22"/>
        <v>140147.93056315082</v>
      </c>
      <c r="L40" s="1090">
        <f t="shared" ca="1" si="22"/>
        <v>140153.13406315082</v>
      </c>
      <c r="M40" s="1090">
        <f t="shared" ca="1" si="22"/>
        <v>140158.33756315082</v>
      </c>
      <c r="N40" s="1090">
        <f t="shared" ca="1" si="22"/>
        <v>140163.54106315083</v>
      </c>
      <c r="O40" s="1090">
        <f t="shared" ca="1" si="22"/>
        <v>137858.34214146124</v>
      </c>
      <c r="P40" s="1090">
        <f t="shared" ca="1" si="22"/>
        <v>137863.54564146124</v>
      </c>
      <c r="Q40" s="1090">
        <f t="shared" ca="1" si="22"/>
        <v>137868.74914146122</v>
      </c>
      <c r="R40" s="1090">
        <f t="shared" ca="1" si="22"/>
        <v>137873.95264146122</v>
      </c>
      <c r="S40" s="1090">
        <f t="shared" ca="1" si="22"/>
        <v>137879.15614146122</v>
      </c>
      <c r="T40" s="1090">
        <f t="shared" ca="1" si="22"/>
        <v>135620.16526820543</v>
      </c>
      <c r="U40" s="1090">
        <f t="shared" ca="1" si="22"/>
        <v>140253.01476820541</v>
      </c>
      <c r="V40" s="1090">
        <f t="shared" ca="1" si="22"/>
        <v>140362.28826820542</v>
      </c>
      <c r="W40" s="1090">
        <f t="shared" si="22"/>
        <v>150243.4427887827</v>
      </c>
      <c r="X40" s="1090">
        <f t="shared" si="22"/>
        <v>150352.71628878271</v>
      </c>
      <c r="Y40" s="1090">
        <f t="shared" si="22"/>
        <v>148243.079302992</v>
      </c>
      <c r="Z40" s="1090">
        <f t="shared" si="22"/>
        <v>148297.71605299201</v>
      </c>
      <c r="AA40" s="1090">
        <f t="shared" si="22"/>
        <v>148297.71605299201</v>
      </c>
      <c r="AB40" s="1090">
        <f t="shared" si="22"/>
        <v>148297.71605299201</v>
      </c>
      <c r="AC40" s="1090">
        <f t="shared" si="22"/>
        <v>148297.71605299201</v>
      </c>
      <c r="AD40" s="1091">
        <f t="shared" si="22"/>
        <v>146123.18377691714</v>
      </c>
      <c r="AE40" s="1084">
        <f t="shared" ref="AE40:AE47" ca="1" si="23">SUM(F40:AD40)</f>
        <v>3490139.1685746564</v>
      </c>
    </row>
    <row r="41" spans="1:31" s="1075" customFormat="1" ht="14.25" customHeight="1">
      <c r="A41" s="2429"/>
      <c r="B41" s="2442"/>
      <c r="C41" s="1093" t="s">
        <v>772</v>
      </c>
      <c r="D41" s="1093"/>
      <c r="E41" s="1094"/>
      <c r="F41" s="1099">
        <f t="shared" ref="F41:AD41" ca="1" si="24">F40+F25+F26+F27</f>
        <v>88925.956372616944</v>
      </c>
      <c r="G41" s="1090">
        <f t="shared" ca="1" si="24"/>
        <v>163389.24921376174</v>
      </c>
      <c r="H41" s="1090">
        <f t="shared" ca="1" si="24"/>
        <v>163544.45271376174</v>
      </c>
      <c r="I41" s="1090">
        <f t="shared" ca="1" si="24"/>
        <v>163699.65621376174</v>
      </c>
      <c r="J41" s="1090">
        <f t="shared" ca="1" si="24"/>
        <v>161497.30622224175</v>
      </c>
      <c r="K41" s="1090">
        <f t="shared" ca="1" si="24"/>
        <v>161652.50972224172</v>
      </c>
      <c r="L41" s="1090">
        <f t="shared" ca="1" si="24"/>
        <v>161807.71322224173</v>
      </c>
      <c r="M41" s="1090">
        <f t="shared" ca="1" si="24"/>
        <v>161962.91672224173</v>
      </c>
      <c r="N41" s="1090">
        <f t="shared" ca="1" si="24"/>
        <v>162118.12022224173</v>
      </c>
      <c r="O41" s="1090">
        <f t="shared" ca="1" si="24"/>
        <v>159962.92130055215</v>
      </c>
      <c r="P41" s="1090">
        <f t="shared" ca="1" si="24"/>
        <v>160118.12480055215</v>
      </c>
      <c r="Q41" s="1090">
        <f t="shared" ca="1" si="24"/>
        <v>160273.32830055212</v>
      </c>
      <c r="R41" s="1090">
        <f t="shared" ca="1" si="24"/>
        <v>160428.53180055213</v>
      </c>
      <c r="S41" s="1090">
        <f t="shared" ca="1" si="24"/>
        <v>160583.73530055213</v>
      </c>
      <c r="T41" s="1090">
        <f t="shared" ca="1" si="24"/>
        <v>158474.74442729633</v>
      </c>
      <c r="U41" s="1090">
        <f t="shared" ca="1" si="24"/>
        <v>156587.59392729632</v>
      </c>
      <c r="V41" s="1090">
        <f t="shared" ca="1" si="24"/>
        <v>156696.86742729633</v>
      </c>
      <c r="W41" s="1090">
        <f t="shared" si="24"/>
        <v>152493.4427887827</v>
      </c>
      <c r="X41" s="1090">
        <f t="shared" si="24"/>
        <v>152602.71628878271</v>
      </c>
      <c r="Y41" s="1090">
        <f t="shared" si="24"/>
        <v>150493.079302992</v>
      </c>
      <c r="Z41" s="1090">
        <f t="shared" si="24"/>
        <v>150547.71605299201</v>
      </c>
      <c r="AA41" s="1090">
        <f t="shared" si="24"/>
        <v>150547.71605299201</v>
      </c>
      <c r="AB41" s="1090">
        <f t="shared" si="24"/>
        <v>150547.71605299201</v>
      </c>
      <c r="AC41" s="1090">
        <f t="shared" si="24"/>
        <v>150547.71605299201</v>
      </c>
      <c r="AD41" s="1091">
        <f t="shared" si="24"/>
        <v>148373.18377691714</v>
      </c>
      <c r="AE41" s="1084">
        <f t="shared" ca="1" si="23"/>
        <v>3867877.0142792026</v>
      </c>
    </row>
    <row r="42" spans="1:31" s="1075" customFormat="1" ht="14.25" customHeight="1">
      <c r="A42" s="2429"/>
      <c r="B42" s="2451" t="s">
        <v>773</v>
      </c>
      <c r="C42" s="1093" t="s">
        <v>774</v>
      </c>
      <c r="D42" s="1093"/>
      <c r="E42" s="1094"/>
      <c r="F42" s="1099">
        <v>0</v>
      </c>
      <c r="G42" s="1090">
        <v>0</v>
      </c>
      <c r="H42" s="1090">
        <v>0</v>
      </c>
      <c r="I42" s="1090">
        <v>0</v>
      </c>
      <c r="J42" s="1090">
        <v>0</v>
      </c>
      <c r="K42" s="1090">
        <v>0</v>
      </c>
      <c r="L42" s="1090">
        <v>0</v>
      </c>
      <c r="M42" s="1090">
        <v>0</v>
      </c>
      <c r="N42" s="1090">
        <v>0</v>
      </c>
      <c r="O42" s="1090">
        <v>0</v>
      </c>
      <c r="P42" s="1090">
        <v>0</v>
      </c>
      <c r="Q42" s="1090">
        <v>0</v>
      </c>
      <c r="R42" s="1090">
        <v>0</v>
      </c>
      <c r="S42" s="1090">
        <v>0</v>
      </c>
      <c r="T42" s="1090">
        <v>0</v>
      </c>
      <c r="U42" s="1090">
        <v>0</v>
      </c>
      <c r="V42" s="1111">
        <v>0</v>
      </c>
      <c r="W42" s="1111">
        <v>0</v>
      </c>
      <c r="X42" s="1111">
        <v>0</v>
      </c>
      <c r="Y42" s="1111">
        <v>0</v>
      </c>
      <c r="Z42" s="1111">
        <v>0</v>
      </c>
      <c r="AA42" s="1111">
        <v>0</v>
      </c>
      <c r="AB42" s="1111">
        <v>0</v>
      </c>
      <c r="AC42" s="1111">
        <v>0</v>
      </c>
      <c r="AD42" s="1091">
        <v>0</v>
      </c>
      <c r="AE42" s="1084">
        <f t="shared" si="23"/>
        <v>0</v>
      </c>
    </row>
    <row r="43" spans="1:31" s="1075" customFormat="1" ht="14.25" customHeight="1">
      <c r="A43" s="2429"/>
      <c r="B43" s="2441"/>
      <c r="C43" s="1184" t="s">
        <v>775</v>
      </c>
      <c r="D43" s="1185"/>
      <c r="E43" s="1186"/>
      <c r="F43" s="1187">
        <f>G43</f>
        <v>2250</v>
      </c>
      <c r="G43" s="1352">
        <f>45000/20</f>
        <v>2250</v>
      </c>
      <c r="H43" s="1188">
        <f>G43</f>
        <v>2250</v>
      </c>
      <c r="I43" s="1188">
        <f t="shared" ref="I43:AD43" si="25">H43</f>
        <v>2250</v>
      </c>
      <c r="J43" s="1188">
        <f t="shared" si="25"/>
        <v>2250</v>
      </c>
      <c r="K43" s="1188">
        <f t="shared" si="25"/>
        <v>2250</v>
      </c>
      <c r="L43" s="1188">
        <f t="shared" si="25"/>
        <v>2250</v>
      </c>
      <c r="M43" s="1188">
        <f t="shared" si="25"/>
        <v>2250</v>
      </c>
      <c r="N43" s="1188">
        <f t="shared" si="25"/>
        <v>2250</v>
      </c>
      <c r="O43" s="1188">
        <f t="shared" si="25"/>
        <v>2250</v>
      </c>
      <c r="P43" s="1188">
        <f t="shared" si="25"/>
        <v>2250</v>
      </c>
      <c r="Q43" s="1188">
        <f t="shared" si="25"/>
        <v>2250</v>
      </c>
      <c r="R43" s="1188">
        <f t="shared" si="25"/>
        <v>2250</v>
      </c>
      <c r="S43" s="1188">
        <f t="shared" si="25"/>
        <v>2250</v>
      </c>
      <c r="T43" s="1188">
        <f t="shared" si="25"/>
        <v>2250</v>
      </c>
      <c r="U43" s="1188">
        <f t="shared" si="25"/>
        <v>2250</v>
      </c>
      <c r="V43" s="1188">
        <f t="shared" si="25"/>
        <v>2250</v>
      </c>
      <c r="W43" s="1188">
        <f t="shared" si="25"/>
        <v>2250</v>
      </c>
      <c r="X43" s="1188">
        <f t="shared" si="25"/>
        <v>2250</v>
      </c>
      <c r="Y43" s="1188">
        <f t="shared" si="25"/>
        <v>2250</v>
      </c>
      <c r="Z43" s="1188">
        <f t="shared" si="25"/>
        <v>2250</v>
      </c>
      <c r="AA43" s="1188">
        <f t="shared" si="25"/>
        <v>2250</v>
      </c>
      <c r="AB43" s="1188">
        <f t="shared" si="25"/>
        <v>2250</v>
      </c>
      <c r="AC43" s="1188">
        <f t="shared" si="25"/>
        <v>2250</v>
      </c>
      <c r="AD43" s="1189">
        <f t="shared" si="25"/>
        <v>2250</v>
      </c>
      <c r="AE43" s="1084">
        <f>SUM(F43:AD43)</f>
        <v>56250</v>
      </c>
    </row>
    <row r="44" spans="1:31" s="1075" customFormat="1" ht="14.25" customHeight="1">
      <c r="A44" s="2429"/>
      <c r="B44" s="2441"/>
      <c r="C44" s="1094" t="s">
        <v>776</v>
      </c>
      <c r="D44" s="1190"/>
      <c r="E44" s="1094"/>
      <c r="F44" s="1099"/>
      <c r="G44" s="1090"/>
      <c r="H44" s="1090"/>
      <c r="I44" s="1090"/>
      <c r="J44" s="1181"/>
      <c r="K44" s="1090"/>
      <c r="L44" s="1090"/>
      <c r="M44" s="1090"/>
      <c r="N44" s="1090"/>
      <c r="O44" s="1181"/>
      <c r="P44" s="1090"/>
      <c r="Q44" s="1090"/>
      <c r="R44" s="1090"/>
      <c r="S44" s="1090"/>
      <c r="T44" s="1181"/>
      <c r="U44" s="1090"/>
      <c r="V44" s="1111"/>
      <c r="W44" s="1111"/>
      <c r="X44" s="1111"/>
      <c r="Y44" s="1111"/>
      <c r="Z44" s="1111"/>
      <c r="AA44" s="1111"/>
      <c r="AB44" s="1111"/>
      <c r="AC44" s="1111"/>
      <c r="AD44" s="1091"/>
      <c r="AE44" s="1084">
        <f t="shared" si="23"/>
        <v>0</v>
      </c>
    </row>
    <row r="45" spans="1:31" s="1197" customFormat="1" ht="14.25" customHeight="1">
      <c r="A45" s="2429"/>
      <c r="B45" s="2441"/>
      <c r="C45" s="1191" t="s">
        <v>777</v>
      </c>
      <c r="D45" s="1192" t="s">
        <v>778</v>
      </c>
      <c r="E45" s="1193">
        <f>H35</f>
        <v>20</v>
      </c>
      <c r="F45" s="1194">
        <f>IF(E50&gt;0,I36,J36)</f>
        <v>17500</v>
      </c>
      <c r="G45" s="1195">
        <f t="shared" ref="G45:T45" si="26">IF(F50&gt;0,$I$36,$J$36)</f>
        <v>17500</v>
      </c>
      <c r="H45" s="1195">
        <f t="shared" si="26"/>
        <v>17500</v>
      </c>
      <c r="I45" s="1195">
        <f t="shared" si="26"/>
        <v>17500</v>
      </c>
      <c r="J45" s="1195">
        <f t="shared" si="26"/>
        <v>17500</v>
      </c>
      <c r="K45" s="1195">
        <f t="shared" si="26"/>
        <v>17500</v>
      </c>
      <c r="L45" s="1195">
        <f t="shared" si="26"/>
        <v>17500</v>
      </c>
      <c r="M45" s="1195">
        <f t="shared" si="26"/>
        <v>17500</v>
      </c>
      <c r="N45" s="1195">
        <f t="shared" si="26"/>
        <v>17500</v>
      </c>
      <c r="O45" s="1195">
        <f t="shared" si="26"/>
        <v>17500</v>
      </c>
      <c r="P45" s="1196">
        <f t="shared" si="26"/>
        <v>17500</v>
      </c>
      <c r="Q45" s="1196">
        <f t="shared" si="26"/>
        <v>17500</v>
      </c>
      <c r="R45" s="1196">
        <f t="shared" si="26"/>
        <v>17500</v>
      </c>
      <c r="S45" s="1196">
        <f t="shared" si="26"/>
        <v>17500</v>
      </c>
      <c r="T45" s="1196">
        <f t="shared" si="26"/>
        <v>17500</v>
      </c>
      <c r="U45" s="1196">
        <f>IF(T50&gt;0,$I$36,$J$36)</f>
        <v>17500</v>
      </c>
      <c r="V45" s="1196">
        <f>IF(U50&gt;0,$I$36,$J$36)</f>
        <v>17500</v>
      </c>
      <c r="W45" s="1196">
        <f>IF(V50&gt;0,$I$36,$J$36)</f>
        <v>17500</v>
      </c>
      <c r="X45" s="1196">
        <f>IF(W50&gt;0,$I$36,$J$36)</f>
        <v>17500</v>
      </c>
      <c r="Y45" s="1196">
        <f>IF(X50&gt;0,$I$36,$J$36)</f>
        <v>17500</v>
      </c>
      <c r="Z45" s="1142">
        <v>0</v>
      </c>
      <c r="AA45" s="1142">
        <v>0</v>
      </c>
      <c r="AB45" s="1142">
        <v>0</v>
      </c>
      <c r="AC45" s="1142">
        <v>0</v>
      </c>
      <c r="AD45" s="1143">
        <v>0</v>
      </c>
      <c r="AE45" s="1155">
        <f>SUM(F45:AD45)</f>
        <v>350000</v>
      </c>
    </row>
    <row r="46" spans="1:31" s="1075" customFormat="1" ht="14.25" customHeight="1">
      <c r="A46" s="2429"/>
      <c r="B46" s="2442"/>
      <c r="C46" s="1093" t="s">
        <v>779</v>
      </c>
      <c r="D46" s="1093"/>
      <c r="E46" s="1094"/>
      <c r="F46" s="1099">
        <f t="shared" ref="F46:AD46" si="27">SUM(F42:F45)</f>
        <v>19750</v>
      </c>
      <c r="G46" s="1090">
        <f t="shared" si="27"/>
        <v>19750</v>
      </c>
      <c r="H46" s="1090">
        <f t="shared" si="27"/>
        <v>19750</v>
      </c>
      <c r="I46" s="1090">
        <f t="shared" si="27"/>
        <v>19750</v>
      </c>
      <c r="J46" s="1090">
        <f t="shared" si="27"/>
        <v>19750</v>
      </c>
      <c r="K46" s="1090">
        <f t="shared" si="27"/>
        <v>19750</v>
      </c>
      <c r="L46" s="1090">
        <f t="shared" si="27"/>
        <v>19750</v>
      </c>
      <c r="M46" s="1090">
        <f t="shared" si="27"/>
        <v>19750</v>
      </c>
      <c r="N46" s="1090">
        <f t="shared" si="27"/>
        <v>19750</v>
      </c>
      <c r="O46" s="1090">
        <f t="shared" si="27"/>
        <v>19750</v>
      </c>
      <c r="P46" s="1090">
        <f t="shared" si="27"/>
        <v>19750</v>
      </c>
      <c r="Q46" s="1090">
        <f t="shared" si="27"/>
        <v>19750</v>
      </c>
      <c r="R46" s="1090">
        <f t="shared" si="27"/>
        <v>19750</v>
      </c>
      <c r="S46" s="1090">
        <f t="shared" si="27"/>
        <v>19750</v>
      </c>
      <c r="T46" s="1090">
        <f t="shared" si="27"/>
        <v>19750</v>
      </c>
      <c r="U46" s="1090">
        <f t="shared" si="27"/>
        <v>19750</v>
      </c>
      <c r="V46" s="1111">
        <f t="shared" si="27"/>
        <v>19750</v>
      </c>
      <c r="W46" s="1111">
        <f t="shared" si="27"/>
        <v>19750</v>
      </c>
      <c r="X46" s="1111">
        <f t="shared" si="27"/>
        <v>19750</v>
      </c>
      <c r="Y46" s="1111">
        <f t="shared" si="27"/>
        <v>19750</v>
      </c>
      <c r="Z46" s="1111">
        <f t="shared" si="27"/>
        <v>2250</v>
      </c>
      <c r="AA46" s="1111">
        <f t="shared" si="27"/>
        <v>2250</v>
      </c>
      <c r="AB46" s="1111">
        <f t="shared" si="27"/>
        <v>2250</v>
      </c>
      <c r="AC46" s="1111">
        <f t="shared" si="27"/>
        <v>2250</v>
      </c>
      <c r="AD46" s="1091">
        <f t="shared" si="27"/>
        <v>2250</v>
      </c>
      <c r="AE46" s="1084">
        <f t="shared" si="23"/>
        <v>406250</v>
      </c>
    </row>
    <row r="47" spans="1:31" s="1075" customFormat="1" ht="14.25" customHeight="1">
      <c r="A47" s="2429"/>
      <c r="B47" s="2451" t="s">
        <v>780</v>
      </c>
      <c r="C47" s="1198" t="s">
        <v>781</v>
      </c>
      <c r="D47" s="1199"/>
      <c r="E47" s="1198">
        <v>0</v>
      </c>
      <c r="F47" s="1200">
        <f ca="1">F38+F41-F46</f>
        <v>69175.956372616944</v>
      </c>
      <c r="G47" s="1201">
        <f t="shared" ref="G47:AD47" ca="1" si="28">G38+G41-G46</f>
        <v>143639.24921376174</v>
      </c>
      <c r="H47" s="1201">
        <f t="shared" ca="1" si="28"/>
        <v>143794.45271376174</v>
      </c>
      <c r="I47" s="1201">
        <f t="shared" ca="1" si="28"/>
        <v>143949.65621376174</v>
      </c>
      <c r="J47" s="1201">
        <f t="shared" ca="1" si="28"/>
        <v>141747.30622224175</v>
      </c>
      <c r="K47" s="1201">
        <f t="shared" ca="1" si="28"/>
        <v>141902.50972224172</v>
      </c>
      <c r="L47" s="1201">
        <f t="shared" ca="1" si="28"/>
        <v>142057.71322224173</v>
      </c>
      <c r="M47" s="1201">
        <f t="shared" ca="1" si="28"/>
        <v>142212.91672224173</v>
      </c>
      <c r="N47" s="1201">
        <f t="shared" ca="1" si="28"/>
        <v>142368.12022224173</v>
      </c>
      <c r="O47" s="1201">
        <f t="shared" ca="1" si="28"/>
        <v>140212.92130055215</v>
      </c>
      <c r="P47" s="1201">
        <f t="shared" ca="1" si="28"/>
        <v>140368.12480055215</v>
      </c>
      <c r="Q47" s="1201">
        <f t="shared" ca="1" si="28"/>
        <v>140523.32830055212</v>
      </c>
      <c r="R47" s="1201">
        <f t="shared" ca="1" si="28"/>
        <v>140678.53180055213</v>
      </c>
      <c r="S47" s="1201">
        <f ca="1">S38+S41-S46</f>
        <v>140833.73530055213</v>
      </c>
      <c r="T47" s="1201">
        <f t="shared" ca="1" si="28"/>
        <v>138724.74442729633</v>
      </c>
      <c r="U47" s="1201">
        <f t="shared" ca="1" si="28"/>
        <v>136837.59392729632</v>
      </c>
      <c r="V47" s="1201">
        <f t="shared" ca="1" si="28"/>
        <v>136946.86742729633</v>
      </c>
      <c r="W47" s="1201">
        <f t="shared" si="28"/>
        <v>132743.4427887827</v>
      </c>
      <c r="X47" s="1201">
        <f t="shared" si="28"/>
        <v>132852.71628878271</v>
      </c>
      <c r="Y47" s="1201">
        <f t="shared" si="28"/>
        <v>130743.079302992</v>
      </c>
      <c r="Z47" s="1201">
        <f t="shared" si="28"/>
        <v>148297.71605299201</v>
      </c>
      <c r="AA47" s="1201">
        <f t="shared" si="28"/>
        <v>148297.71605299201</v>
      </c>
      <c r="AB47" s="1201">
        <f t="shared" si="28"/>
        <v>148297.71605299201</v>
      </c>
      <c r="AC47" s="1201">
        <f t="shared" si="28"/>
        <v>148297.71605299201</v>
      </c>
      <c r="AD47" s="1202">
        <f t="shared" si="28"/>
        <v>146123.18377691714</v>
      </c>
      <c r="AE47" s="1084">
        <f t="shared" ca="1" si="23"/>
        <v>3461627.0142792021</v>
      </c>
    </row>
    <row r="48" spans="1:31" s="1075" customFormat="1" ht="14.25" customHeight="1">
      <c r="A48" s="2430"/>
      <c r="B48" s="2452"/>
      <c r="C48" s="1203" t="s">
        <v>782</v>
      </c>
      <c r="D48" s="1204"/>
      <c r="E48" s="1203">
        <v>0</v>
      </c>
      <c r="F48" s="1205">
        <f ca="1">F47</f>
        <v>69175.956372616944</v>
      </c>
      <c r="G48" s="1206">
        <f t="shared" ref="G48:AD48" ca="1" si="29">F48+G47</f>
        <v>212815.2055863787</v>
      </c>
      <c r="H48" s="1206">
        <f t="shared" ca="1" si="29"/>
        <v>356609.65830014041</v>
      </c>
      <c r="I48" s="1206">
        <f t="shared" ca="1" si="29"/>
        <v>500559.31451390218</v>
      </c>
      <c r="J48" s="1206">
        <f t="shared" ca="1" si="29"/>
        <v>642306.6207361439</v>
      </c>
      <c r="K48" s="1206">
        <f t="shared" ca="1" si="29"/>
        <v>784209.13045838568</v>
      </c>
      <c r="L48" s="1206">
        <f t="shared" ca="1" si="29"/>
        <v>926266.84368062741</v>
      </c>
      <c r="M48" s="1206">
        <f t="shared" ca="1" si="29"/>
        <v>1068479.7604028692</v>
      </c>
      <c r="N48" s="1206">
        <f t="shared" ca="1" si="29"/>
        <v>1210847.8806251111</v>
      </c>
      <c r="O48" s="1206">
        <f t="shared" ca="1" si="29"/>
        <v>1351060.8019256631</v>
      </c>
      <c r="P48" s="1206">
        <f t="shared" ca="1" si="29"/>
        <v>1491428.9267262153</v>
      </c>
      <c r="Q48" s="1206">
        <f t="shared" ca="1" si="29"/>
        <v>1631952.2550267675</v>
      </c>
      <c r="R48" s="1206">
        <f t="shared" ca="1" si="29"/>
        <v>1772630.7868273195</v>
      </c>
      <c r="S48" s="1206">
        <f t="shared" ca="1" si="29"/>
        <v>1913464.5221278716</v>
      </c>
      <c r="T48" s="1206">
        <f t="shared" ca="1" si="29"/>
        <v>2052189.266555168</v>
      </c>
      <c r="U48" s="1206">
        <f t="shared" ca="1" si="29"/>
        <v>2189026.8604824641</v>
      </c>
      <c r="V48" s="1207">
        <f t="shared" ca="1" si="29"/>
        <v>2325973.7279097605</v>
      </c>
      <c r="W48" s="1207">
        <f t="shared" ca="1" si="29"/>
        <v>2458717.1706985431</v>
      </c>
      <c r="X48" s="1207">
        <f t="shared" ca="1" si="29"/>
        <v>2591569.8869873257</v>
      </c>
      <c r="Y48" s="1207">
        <f t="shared" ca="1" si="29"/>
        <v>2722312.9662903179</v>
      </c>
      <c r="Z48" s="1207">
        <f t="shared" ca="1" si="29"/>
        <v>2870610.6823433097</v>
      </c>
      <c r="AA48" s="1207">
        <f t="shared" ca="1" si="29"/>
        <v>3018908.3983963015</v>
      </c>
      <c r="AB48" s="1207">
        <f t="shared" ca="1" si="29"/>
        <v>3167206.1144492934</v>
      </c>
      <c r="AC48" s="1207">
        <f t="shared" ca="1" si="29"/>
        <v>3315503.8305022852</v>
      </c>
      <c r="AD48" s="1208">
        <f t="shared" ca="1" si="29"/>
        <v>3461627.0142792021</v>
      </c>
      <c r="AE48" s="1084"/>
    </row>
    <row r="49" spans="1:31" s="1075" customFormat="1" ht="14.25" customHeight="1">
      <c r="A49" s="2428" t="s">
        <v>783</v>
      </c>
      <c r="B49" s="1158" t="s">
        <v>784</v>
      </c>
      <c r="C49" s="1209"/>
      <c r="D49" s="1210"/>
      <c r="E49" s="1211"/>
      <c r="F49" s="1212">
        <f>E38+F38</f>
        <v>0</v>
      </c>
      <c r="G49" s="1213">
        <f>F49+G38</f>
        <v>0</v>
      </c>
      <c r="H49" s="1213">
        <f>G49+H38</f>
        <v>0</v>
      </c>
      <c r="I49" s="1213">
        <f>H49+J36</f>
        <v>0</v>
      </c>
      <c r="J49" s="1213">
        <f t="shared" ref="J49:AD49" si="30">I49+J38</f>
        <v>0</v>
      </c>
      <c r="K49" s="1213">
        <f t="shared" si="30"/>
        <v>0</v>
      </c>
      <c r="L49" s="1213">
        <f t="shared" si="30"/>
        <v>0</v>
      </c>
      <c r="M49" s="1213">
        <f t="shared" si="30"/>
        <v>0</v>
      </c>
      <c r="N49" s="1213">
        <f t="shared" si="30"/>
        <v>0</v>
      </c>
      <c r="O49" s="1213">
        <f t="shared" si="30"/>
        <v>0</v>
      </c>
      <c r="P49" s="1213">
        <f t="shared" si="30"/>
        <v>0</v>
      </c>
      <c r="Q49" s="1213">
        <f t="shared" si="30"/>
        <v>0</v>
      </c>
      <c r="R49" s="1213">
        <f t="shared" si="30"/>
        <v>0</v>
      </c>
      <c r="S49" s="1213">
        <f>R49+S38</f>
        <v>0</v>
      </c>
      <c r="T49" s="1213">
        <f t="shared" si="30"/>
        <v>0</v>
      </c>
      <c r="U49" s="1213">
        <f t="shared" si="30"/>
        <v>0</v>
      </c>
      <c r="V49" s="1213">
        <f t="shared" si="30"/>
        <v>0</v>
      </c>
      <c r="W49" s="1213">
        <f t="shared" si="30"/>
        <v>0</v>
      </c>
      <c r="X49" s="1213">
        <f t="shared" si="30"/>
        <v>0</v>
      </c>
      <c r="Y49" s="1213">
        <f t="shared" si="30"/>
        <v>0</v>
      </c>
      <c r="Z49" s="1213">
        <f t="shared" si="30"/>
        <v>0</v>
      </c>
      <c r="AA49" s="1213">
        <f t="shared" si="30"/>
        <v>0</v>
      </c>
      <c r="AB49" s="1213">
        <f t="shared" si="30"/>
        <v>0</v>
      </c>
      <c r="AC49" s="1213">
        <f t="shared" si="30"/>
        <v>0</v>
      </c>
      <c r="AD49" s="1214">
        <f t="shared" si="30"/>
        <v>0</v>
      </c>
      <c r="AE49" s="1084"/>
    </row>
    <row r="50" spans="1:31" s="1075" customFormat="1" ht="14.25" customHeight="1">
      <c r="A50" s="2429"/>
      <c r="B50" s="1094" t="s">
        <v>785</v>
      </c>
      <c r="C50" s="1215"/>
      <c r="D50" s="1190"/>
      <c r="E50" s="1216">
        <f>E39</f>
        <v>350000</v>
      </c>
      <c r="F50" s="1217">
        <f t="shared" ref="F50:AD50" si="31">E50-F45</f>
        <v>332500</v>
      </c>
      <c r="G50" s="1218">
        <f t="shared" si="31"/>
        <v>315000</v>
      </c>
      <c r="H50" s="1218">
        <f t="shared" si="31"/>
        <v>297500</v>
      </c>
      <c r="I50" s="1218">
        <f t="shared" si="31"/>
        <v>280000</v>
      </c>
      <c r="J50" s="1218">
        <f t="shared" si="31"/>
        <v>262500</v>
      </c>
      <c r="K50" s="1218">
        <f t="shared" si="31"/>
        <v>245000</v>
      </c>
      <c r="L50" s="1218">
        <f t="shared" si="31"/>
        <v>227500</v>
      </c>
      <c r="M50" s="1218">
        <f t="shared" si="31"/>
        <v>210000</v>
      </c>
      <c r="N50" s="1218">
        <f t="shared" si="31"/>
        <v>192500</v>
      </c>
      <c r="O50" s="1218">
        <f t="shared" si="31"/>
        <v>175000</v>
      </c>
      <c r="P50" s="1218">
        <f t="shared" si="31"/>
        <v>157500</v>
      </c>
      <c r="Q50" s="1218">
        <f t="shared" si="31"/>
        <v>140000</v>
      </c>
      <c r="R50" s="1218">
        <f t="shared" si="31"/>
        <v>122500</v>
      </c>
      <c r="S50" s="1218">
        <f t="shared" si="31"/>
        <v>105000</v>
      </c>
      <c r="T50" s="1218">
        <f t="shared" si="31"/>
        <v>87500</v>
      </c>
      <c r="U50" s="1218">
        <f t="shared" si="31"/>
        <v>70000</v>
      </c>
      <c r="V50" s="1218">
        <f t="shared" si="31"/>
        <v>52500</v>
      </c>
      <c r="W50" s="1218">
        <f t="shared" si="31"/>
        <v>35000</v>
      </c>
      <c r="X50" s="1218">
        <f t="shared" si="31"/>
        <v>17500</v>
      </c>
      <c r="Y50" s="1219">
        <f t="shared" si="31"/>
        <v>0</v>
      </c>
      <c r="Z50" s="1219">
        <f t="shared" si="31"/>
        <v>0</v>
      </c>
      <c r="AA50" s="1219">
        <f t="shared" si="31"/>
        <v>0</v>
      </c>
      <c r="AB50" s="1219">
        <f t="shared" si="31"/>
        <v>0</v>
      </c>
      <c r="AC50" s="1219">
        <f t="shared" si="31"/>
        <v>0</v>
      </c>
      <c r="AD50" s="1220">
        <f t="shared" si="31"/>
        <v>0</v>
      </c>
      <c r="AE50" s="1084"/>
    </row>
    <row r="51" spans="1:31" s="1075" customFormat="1" ht="14.25" customHeight="1">
      <c r="A51" s="2430"/>
      <c r="B51" s="1221" t="s">
        <v>786</v>
      </c>
      <c r="C51" s="1222"/>
      <c r="D51" s="1223"/>
      <c r="E51" s="1224">
        <f t="shared" ref="E51:AD51" si="32">SUM(E49:E50)</f>
        <v>350000</v>
      </c>
      <c r="F51" s="1225">
        <f t="shared" si="32"/>
        <v>332500</v>
      </c>
      <c r="G51" s="1226">
        <f t="shared" si="32"/>
        <v>315000</v>
      </c>
      <c r="H51" s="1226">
        <f t="shared" si="32"/>
        <v>297500</v>
      </c>
      <c r="I51" s="1226">
        <f t="shared" si="32"/>
        <v>280000</v>
      </c>
      <c r="J51" s="1226">
        <f t="shared" si="32"/>
        <v>262500</v>
      </c>
      <c r="K51" s="1226">
        <f t="shared" si="32"/>
        <v>245000</v>
      </c>
      <c r="L51" s="1226">
        <f t="shared" si="32"/>
        <v>227500</v>
      </c>
      <c r="M51" s="1226">
        <f t="shared" si="32"/>
        <v>210000</v>
      </c>
      <c r="N51" s="1226">
        <f t="shared" si="32"/>
        <v>192500</v>
      </c>
      <c r="O51" s="1226">
        <f t="shared" si="32"/>
        <v>175000</v>
      </c>
      <c r="P51" s="1226">
        <f t="shared" si="32"/>
        <v>157500</v>
      </c>
      <c r="Q51" s="1226">
        <f t="shared" si="32"/>
        <v>140000</v>
      </c>
      <c r="R51" s="1226">
        <f t="shared" si="32"/>
        <v>122500</v>
      </c>
      <c r="S51" s="1226">
        <f t="shared" si="32"/>
        <v>105000</v>
      </c>
      <c r="T51" s="1226">
        <f t="shared" si="32"/>
        <v>87500</v>
      </c>
      <c r="U51" s="1226">
        <f t="shared" si="32"/>
        <v>70000</v>
      </c>
      <c r="V51" s="1227">
        <f t="shared" si="32"/>
        <v>52500</v>
      </c>
      <c r="W51" s="1227">
        <f t="shared" si="32"/>
        <v>35000</v>
      </c>
      <c r="X51" s="1227">
        <f t="shared" si="32"/>
        <v>17500</v>
      </c>
      <c r="Y51" s="1227">
        <f t="shared" si="32"/>
        <v>0</v>
      </c>
      <c r="Z51" s="1227">
        <f t="shared" si="32"/>
        <v>0</v>
      </c>
      <c r="AA51" s="1227">
        <f t="shared" si="32"/>
        <v>0</v>
      </c>
      <c r="AB51" s="1227">
        <f t="shared" si="32"/>
        <v>0</v>
      </c>
      <c r="AC51" s="1227">
        <f t="shared" si="32"/>
        <v>0</v>
      </c>
      <c r="AD51" s="1228">
        <f t="shared" si="32"/>
        <v>0</v>
      </c>
      <c r="AE51" s="1084"/>
    </row>
    <row r="52" spans="1:31" s="1075" customFormat="1" ht="11.25" customHeight="1">
      <c r="A52" s="1229"/>
      <c r="B52" s="1229"/>
      <c r="E52" s="1230" t="s">
        <v>787</v>
      </c>
      <c r="F52" s="1231">
        <f ca="1">K34</f>
        <v>34.895890410958906</v>
      </c>
      <c r="G52" s="1232">
        <f t="shared" ref="G52:AD52" ca="1" si="33">F52+1</f>
        <v>35.895890410958906</v>
      </c>
      <c r="H52" s="1232">
        <f t="shared" ca="1" si="33"/>
        <v>36.895890410958906</v>
      </c>
      <c r="I52" s="1232">
        <f t="shared" ca="1" si="33"/>
        <v>37.895890410958906</v>
      </c>
      <c r="J52" s="1232">
        <f t="shared" ca="1" si="33"/>
        <v>38.895890410958906</v>
      </c>
      <c r="K52" s="1232">
        <f t="shared" ca="1" si="33"/>
        <v>39.895890410958906</v>
      </c>
      <c r="L52" s="1232">
        <f t="shared" ca="1" si="33"/>
        <v>40.895890410958906</v>
      </c>
      <c r="M52" s="1232">
        <f t="shared" ca="1" si="33"/>
        <v>41.895890410958906</v>
      </c>
      <c r="N52" s="1232">
        <f t="shared" ca="1" si="33"/>
        <v>42.895890410958906</v>
      </c>
      <c r="O52" s="1232">
        <f t="shared" ca="1" si="33"/>
        <v>43.895890410958906</v>
      </c>
      <c r="P52" s="1232">
        <f t="shared" ca="1" si="33"/>
        <v>44.895890410958906</v>
      </c>
      <c r="Q52" s="1232">
        <f t="shared" ca="1" si="33"/>
        <v>45.895890410958906</v>
      </c>
      <c r="R52" s="1232">
        <f t="shared" ca="1" si="33"/>
        <v>46.895890410958906</v>
      </c>
      <c r="S52" s="1232">
        <f t="shared" ca="1" si="33"/>
        <v>47.895890410958906</v>
      </c>
      <c r="T52" s="1232">
        <f t="shared" ca="1" si="33"/>
        <v>48.895890410958906</v>
      </c>
      <c r="U52" s="1232">
        <f t="shared" ca="1" si="33"/>
        <v>49.895890410958906</v>
      </c>
      <c r="V52" s="1232">
        <f t="shared" ca="1" si="33"/>
        <v>50.895890410958906</v>
      </c>
      <c r="W52" s="1232">
        <f t="shared" ca="1" si="33"/>
        <v>51.895890410958906</v>
      </c>
      <c r="X52" s="1232">
        <f t="shared" ca="1" si="33"/>
        <v>52.895890410958906</v>
      </c>
      <c r="Y52" s="1232">
        <f t="shared" ca="1" si="33"/>
        <v>53.895890410958906</v>
      </c>
      <c r="Z52" s="1232">
        <f t="shared" ca="1" si="33"/>
        <v>54.895890410958906</v>
      </c>
      <c r="AA52" s="1232">
        <f t="shared" ca="1" si="33"/>
        <v>55.895890410958906</v>
      </c>
      <c r="AB52" s="1232">
        <f t="shared" ca="1" si="33"/>
        <v>56.895890410958906</v>
      </c>
      <c r="AC52" s="1232">
        <f t="shared" ca="1" si="33"/>
        <v>57.895890410958906</v>
      </c>
      <c r="AD52" s="1232">
        <f t="shared" ca="1" si="33"/>
        <v>58.895890410958906</v>
      </c>
      <c r="AE52" s="1145"/>
    </row>
    <row r="53" spans="1:31" s="1075" customFormat="1" ht="11.25" customHeight="1">
      <c r="A53" s="1229"/>
      <c r="B53" s="1229"/>
      <c r="C53" s="1075" t="s">
        <v>788</v>
      </c>
      <c r="E53" s="1230"/>
      <c r="F53" s="1231"/>
      <c r="G53" s="1232"/>
      <c r="H53" s="1232"/>
      <c r="I53" s="1232"/>
      <c r="J53" s="1232"/>
      <c r="K53" s="1232"/>
      <c r="L53" s="1232"/>
      <c r="M53" s="1232"/>
      <c r="N53" s="1232"/>
      <c r="O53" s="1232"/>
      <c r="P53" s="1232"/>
      <c r="Q53" s="1232"/>
      <c r="R53" s="1232"/>
      <c r="S53" s="1232"/>
      <c r="T53" s="1232"/>
      <c r="U53" s="1232"/>
      <c r="V53" s="1232"/>
      <c r="W53" s="1232"/>
      <c r="X53" s="1232"/>
      <c r="Y53" s="1232"/>
      <c r="Z53" s="1232"/>
      <c r="AA53" s="1232"/>
      <c r="AB53" s="1232"/>
      <c r="AC53" s="1232"/>
      <c r="AD53" s="1232"/>
      <c r="AE53" s="1145"/>
    </row>
    <row r="54" spans="1:31" s="1075" customFormat="1" ht="11.25" customHeight="1">
      <c r="A54" s="1229"/>
      <c r="B54" s="1229"/>
      <c r="C54" s="1233"/>
      <c r="D54" s="1233"/>
      <c r="E54" s="1234" t="s">
        <v>789</v>
      </c>
      <c r="F54" s="1235">
        <f ca="1">$J$37-F47-F45</f>
        <v>275684.46962738305</v>
      </c>
      <c r="G54" s="1235">
        <f t="shared" ref="G54:AD54" ca="1" si="34">F54-G47-G45</f>
        <v>114545.22041362131</v>
      </c>
      <c r="H54" s="1235">
        <f t="shared" ca="1" si="34"/>
        <v>-46749.232300140429</v>
      </c>
      <c r="I54" s="1235">
        <f t="shared" ca="1" si="34"/>
        <v>-208198.88851390217</v>
      </c>
      <c r="J54" s="1235">
        <f t="shared" ca="1" si="34"/>
        <v>-367446.19473614392</v>
      </c>
      <c r="K54" s="1235">
        <f t="shared" ca="1" si="34"/>
        <v>-526848.70445838571</v>
      </c>
      <c r="L54" s="1235">
        <f t="shared" ca="1" si="34"/>
        <v>-686406.41768062743</v>
      </c>
      <c r="M54" s="1235">
        <f t="shared" ca="1" si="34"/>
        <v>-846119.33440286922</v>
      </c>
      <c r="N54" s="1112">
        <f t="shared" ca="1" si="34"/>
        <v>-1005987.454625111</v>
      </c>
      <c r="O54" s="1112">
        <f t="shared" ca="1" si="34"/>
        <v>-1163700.3759256632</v>
      </c>
      <c r="P54" s="1112">
        <f t="shared" ca="1" si="34"/>
        <v>-1321568.5007262153</v>
      </c>
      <c r="Q54" s="1112">
        <f t="shared" ca="1" si="34"/>
        <v>-1479591.8290267675</v>
      </c>
      <c r="R54" s="1112">
        <f t="shared" ca="1" si="34"/>
        <v>-1637770.3608273196</v>
      </c>
      <c r="S54" s="1112">
        <f t="shared" ca="1" si="34"/>
        <v>-1796104.0961278717</v>
      </c>
      <c r="T54" s="1112">
        <f t="shared" ca="1" si="34"/>
        <v>-1952328.840555168</v>
      </c>
      <c r="U54" s="1112">
        <f t="shared" ca="1" si="34"/>
        <v>-2106666.4344824646</v>
      </c>
      <c r="V54" s="1112">
        <f t="shared" ca="1" si="34"/>
        <v>-2261113.301909761</v>
      </c>
      <c r="W54" s="1112">
        <f t="shared" ca="1" si="34"/>
        <v>-2411356.7446985436</v>
      </c>
      <c r="X54" s="1112">
        <f t="shared" ca="1" si="34"/>
        <v>-2561709.4609873262</v>
      </c>
      <c r="Y54" s="1112">
        <f t="shared" ca="1" si="34"/>
        <v>-2709952.5402903184</v>
      </c>
      <c r="Z54" s="1112">
        <f t="shared" ca="1" si="34"/>
        <v>-2858250.2563433102</v>
      </c>
      <c r="AA54" s="1112">
        <f t="shared" ca="1" si="34"/>
        <v>-3006547.972396302</v>
      </c>
      <c r="AB54" s="1112">
        <f t="shared" ca="1" si="34"/>
        <v>-3154845.6884492938</v>
      </c>
      <c r="AC54" s="1112">
        <f t="shared" ca="1" si="34"/>
        <v>-3303143.4045022856</v>
      </c>
      <c r="AD54" s="1112">
        <f t="shared" ca="1" si="34"/>
        <v>-3449266.5882792026</v>
      </c>
      <c r="AE54" s="1145"/>
    </row>
    <row r="55" spans="1:31" s="1075" customFormat="1" ht="11.25" customHeight="1">
      <c r="A55" s="1229"/>
      <c r="B55" s="1229"/>
      <c r="C55" s="1233"/>
      <c r="D55" s="1233"/>
      <c r="E55" s="1234" t="s">
        <v>790</v>
      </c>
      <c r="F55" s="1235">
        <f ca="1">J37-F47</f>
        <v>293184.46962738305</v>
      </c>
      <c r="G55" s="1235">
        <f t="shared" ref="G55:AD55" ca="1" si="35">F55-G47</f>
        <v>149545.22041362131</v>
      </c>
      <c r="H55" s="1235">
        <f t="shared" ca="1" si="35"/>
        <v>5750.7676998595707</v>
      </c>
      <c r="I55" s="1235">
        <f t="shared" ca="1" si="35"/>
        <v>-138198.88851390217</v>
      </c>
      <c r="J55" s="1235">
        <f t="shared" ca="1" si="35"/>
        <v>-279946.19473614392</v>
      </c>
      <c r="K55" s="1235">
        <f t="shared" ca="1" si="35"/>
        <v>-421848.70445838565</v>
      </c>
      <c r="L55" s="1235">
        <f t="shared" ca="1" si="35"/>
        <v>-563906.41768062743</v>
      </c>
      <c r="M55" s="1235">
        <f t="shared" ca="1" si="35"/>
        <v>-706119.33440286922</v>
      </c>
      <c r="N55" s="1235">
        <f t="shared" ca="1" si="35"/>
        <v>-848487.45462511096</v>
      </c>
      <c r="O55" s="1235">
        <f t="shared" ca="1" si="35"/>
        <v>-988700.37592566316</v>
      </c>
      <c r="P55" s="1235">
        <f t="shared" ca="1" si="35"/>
        <v>-1129068.5007262153</v>
      </c>
      <c r="Q55" s="1235">
        <f t="shared" ca="1" si="35"/>
        <v>-1269591.8290267675</v>
      </c>
      <c r="R55" s="1235">
        <f t="shared" ca="1" si="35"/>
        <v>-1410270.3608273196</v>
      </c>
      <c r="S55" s="1235">
        <f t="shared" ca="1" si="35"/>
        <v>-1551104.0961278717</v>
      </c>
      <c r="T55" s="1235">
        <f t="shared" ca="1" si="35"/>
        <v>-1689828.840555168</v>
      </c>
      <c r="U55" s="1235">
        <f t="shared" ca="1" si="35"/>
        <v>-1826666.4344824643</v>
      </c>
      <c r="V55" s="1235">
        <f t="shared" ca="1" si="35"/>
        <v>-1963613.3019097606</v>
      </c>
      <c r="W55" s="1235">
        <f t="shared" ca="1" si="35"/>
        <v>-2096356.7446985433</v>
      </c>
      <c r="X55" s="1235">
        <f t="shared" ca="1" si="35"/>
        <v>-2229209.4609873262</v>
      </c>
      <c r="Y55" s="1235">
        <f t="shared" ca="1" si="35"/>
        <v>-2359952.5402903184</v>
      </c>
      <c r="Z55" s="1235">
        <f t="shared" ca="1" si="35"/>
        <v>-2508250.2563433102</v>
      </c>
      <c r="AA55" s="1235">
        <f t="shared" ca="1" si="35"/>
        <v>-2656547.972396302</v>
      </c>
      <c r="AB55" s="1235">
        <f t="shared" ca="1" si="35"/>
        <v>-2804845.6884492938</v>
      </c>
      <c r="AC55" s="1235">
        <f t="shared" ca="1" si="35"/>
        <v>-2953143.4045022856</v>
      </c>
      <c r="AD55" s="1235">
        <f t="shared" ca="1" si="35"/>
        <v>-3099266.5882792026</v>
      </c>
      <c r="AE55" s="1145"/>
    </row>
    <row r="56" spans="1:31" s="1075" customFormat="1" ht="11.25" customHeight="1">
      <c r="A56" s="1229"/>
      <c r="B56" s="1229"/>
      <c r="C56" s="1233"/>
      <c r="D56" s="1233"/>
      <c r="E56" s="1234" t="s">
        <v>791</v>
      </c>
      <c r="F56" s="1235">
        <f ca="1">F33-F47-F45</f>
        <v>655976.38162738306</v>
      </c>
      <c r="G56" s="1235">
        <f t="shared" ref="G56:AD56" ca="1" si="36">F56-G47-G45</f>
        <v>494837.13241362129</v>
      </c>
      <c r="H56" s="1235">
        <f t="shared" ca="1" si="36"/>
        <v>333542.67969985958</v>
      </c>
      <c r="I56" s="1235">
        <f t="shared" ca="1" si="36"/>
        <v>172093.02348609784</v>
      </c>
      <c r="J56" s="1235">
        <f t="shared" ca="1" si="36"/>
        <v>12845.717263856088</v>
      </c>
      <c r="K56" s="1235">
        <f t="shared" ca="1" si="36"/>
        <v>-146556.79245838564</v>
      </c>
      <c r="L56" s="1235">
        <f t="shared" ca="1" si="36"/>
        <v>-306114.50568062736</v>
      </c>
      <c r="M56" s="1235">
        <f t="shared" ca="1" si="36"/>
        <v>-465827.4224028691</v>
      </c>
      <c r="N56" s="1235">
        <f t="shared" ca="1" si="36"/>
        <v>-625695.54262511083</v>
      </c>
      <c r="O56" s="1235">
        <f t="shared" ca="1" si="36"/>
        <v>-783408.46392566292</v>
      </c>
      <c r="P56" s="1235">
        <f t="shared" ca="1" si="36"/>
        <v>-941276.58872621506</v>
      </c>
      <c r="Q56" s="1235">
        <f t="shared" ca="1" si="36"/>
        <v>-1099299.9170267673</v>
      </c>
      <c r="R56" s="1235">
        <f t="shared" ca="1" si="36"/>
        <v>-1257478.4488273193</v>
      </c>
      <c r="S56" s="1235">
        <f t="shared" ca="1" si="36"/>
        <v>-1415812.1841278714</v>
      </c>
      <c r="T56" s="1235">
        <f t="shared" ca="1" si="36"/>
        <v>-1572036.9285551677</v>
      </c>
      <c r="U56" s="1235">
        <f t="shared" ca="1" si="36"/>
        <v>-1726374.5224824641</v>
      </c>
      <c r="V56" s="1235">
        <f t="shared" ca="1" si="36"/>
        <v>-1880821.3899097603</v>
      </c>
      <c r="W56" s="1235">
        <f t="shared" ca="1" si="36"/>
        <v>-2031064.8326985431</v>
      </c>
      <c r="X56" s="1235">
        <f t="shared" ca="1" si="36"/>
        <v>-2181417.5489873257</v>
      </c>
      <c r="Y56" s="1235">
        <f t="shared" ca="1" si="36"/>
        <v>-2329660.628290318</v>
      </c>
      <c r="Z56" s="1235">
        <f t="shared" ca="1" si="36"/>
        <v>-2477958.3443433098</v>
      </c>
      <c r="AA56" s="1235">
        <f t="shared" ca="1" si="36"/>
        <v>-2626256.0603963016</v>
      </c>
      <c r="AB56" s="1235">
        <f t="shared" ca="1" si="36"/>
        <v>-2774553.7764492934</v>
      </c>
      <c r="AC56" s="1235">
        <f t="shared" ca="1" si="36"/>
        <v>-2922851.4925022852</v>
      </c>
      <c r="AD56" s="1235">
        <f t="shared" ca="1" si="36"/>
        <v>-3068974.6762792021</v>
      </c>
      <c r="AE56" s="1145"/>
    </row>
    <row r="57" spans="1:31" s="1075" customFormat="1" ht="11.25" customHeight="1">
      <c r="A57" s="1229"/>
      <c r="B57" s="1229"/>
      <c r="C57" s="1233"/>
      <c r="D57" s="1233"/>
      <c r="E57" s="1234" t="s">
        <v>792</v>
      </c>
      <c r="F57" s="1112">
        <f t="shared" ref="F57:AD57" ca="1" si="37">F56-F63</f>
        <v>-5038137.1035780972</v>
      </c>
      <c r="G57" s="1112">
        <f t="shared" ca="1" si="37"/>
        <v>-5199276.3527918588</v>
      </c>
      <c r="H57" s="1112">
        <f t="shared" ca="1" si="37"/>
        <v>-5360570.8055056203</v>
      </c>
      <c r="I57" s="1112">
        <f t="shared" ca="1" si="37"/>
        <v>-5522020.4617193816</v>
      </c>
      <c r="J57" s="1112">
        <f t="shared" ca="1" si="37"/>
        <v>-5567385.4982375139</v>
      </c>
      <c r="K57" s="1112">
        <f t="shared" ca="1" si="37"/>
        <v>-5726788.0079597551</v>
      </c>
      <c r="L57" s="1112">
        <f t="shared" ca="1" si="37"/>
        <v>-5886345.7211819971</v>
      </c>
      <c r="M57" s="1112">
        <f t="shared" ca="1" si="37"/>
        <v>-6046058.6379042389</v>
      </c>
      <c r="N57" s="1112">
        <f t="shared" ca="1" si="37"/>
        <v>-6205926.7581264805</v>
      </c>
      <c r="O57" s="1112">
        <f t="shared" ca="1" si="37"/>
        <v>-5930351.1379881036</v>
      </c>
      <c r="P57" s="1112">
        <f t="shared" ca="1" si="37"/>
        <v>-6088219.2627886552</v>
      </c>
      <c r="Q57" s="1112">
        <f t="shared" ca="1" si="37"/>
        <v>-6246242.5910892077</v>
      </c>
      <c r="R57" s="1112">
        <f t="shared" ca="1" si="37"/>
        <v>-6404421.122889759</v>
      </c>
      <c r="S57" s="1112">
        <f t="shared" ca="1" si="37"/>
        <v>-6562754.8581903111</v>
      </c>
      <c r="T57" s="1112">
        <f t="shared" ca="1" si="37"/>
        <v>-6335818.3146596253</v>
      </c>
      <c r="U57" s="1112">
        <f t="shared" ca="1" si="37"/>
        <v>-6490155.9085869221</v>
      </c>
      <c r="V57" s="1112">
        <f t="shared" ca="1" si="37"/>
        <v>-6644602.7760142181</v>
      </c>
      <c r="W57" s="1112">
        <f t="shared" ca="1" si="37"/>
        <v>-6794846.2188030016</v>
      </c>
      <c r="X57" s="1112">
        <f t="shared" ca="1" si="37"/>
        <v>-6945198.9350917842</v>
      </c>
      <c r="Y57" s="1112">
        <f t="shared" ca="1" si="37"/>
        <v>-6752455.557284141</v>
      </c>
      <c r="Z57" s="1112">
        <f t="shared" ca="1" si="37"/>
        <v>-6900753.2733371332</v>
      </c>
      <c r="AA57" s="1112">
        <f t="shared" ca="1" si="37"/>
        <v>-7049050.9893901246</v>
      </c>
      <c r="AB57" s="1112">
        <f t="shared" ca="1" si="37"/>
        <v>-7197348.7054431159</v>
      </c>
      <c r="AC57" s="1112">
        <f t="shared" ca="1" si="37"/>
        <v>-7345646.4214961082</v>
      </c>
      <c r="AD57" s="1112">
        <f t="shared" ca="1" si="37"/>
        <v>-7186596.7551724501</v>
      </c>
      <c r="AE57" s="1145"/>
    </row>
    <row r="58" spans="1:31" s="1075" customFormat="1" ht="11.25" customHeight="1">
      <c r="A58" s="1229"/>
      <c r="B58" s="1229"/>
      <c r="E58" s="1236"/>
      <c r="F58" s="1237"/>
      <c r="G58" s="1237"/>
      <c r="H58" s="1237"/>
      <c r="I58" s="1237"/>
      <c r="J58" s="1237"/>
      <c r="K58" s="1237"/>
      <c r="L58" s="1237"/>
      <c r="M58" s="1237"/>
      <c r="N58" s="1237"/>
      <c r="O58" s="1237"/>
      <c r="P58" s="1238"/>
      <c r="Q58" s="1238"/>
      <c r="R58" s="1238"/>
      <c r="S58" s="1238"/>
      <c r="T58" s="1237"/>
      <c r="U58" s="1238"/>
      <c r="V58" s="1238"/>
      <c r="W58" s="1238"/>
      <c r="X58" s="1238"/>
      <c r="Y58" s="1237"/>
      <c r="Z58" s="1238"/>
      <c r="AA58" s="1238"/>
      <c r="AB58" s="1238"/>
      <c r="AC58" s="1238"/>
      <c r="AD58" s="1237"/>
      <c r="AE58" s="1239" t="s">
        <v>793</v>
      </c>
    </row>
    <row r="59" spans="1:31" s="1075" customFormat="1" ht="11.25" customHeight="1">
      <c r="A59" s="1229"/>
      <c r="B59" s="1229"/>
      <c r="E59" s="1240" t="s">
        <v>794</v>
      </c>
      <c r="F59" s="1155">
        <f>G24+G22+G20-G6*0.02</f>
        <v>227764.53940821919</v>
      </c>
      <c r="G59" s="1112">
        <f>F59</f>
        <v>227764.53940821919</v>
      </c>
      <c r="H59" s="1112">
        <f>G59</f>
        <v>227764.53940821919</v>
      </c>
      <c r="I59" s="1112">
        <f>H59</f>
        <v>227764.53940821919</v>
      </c>
      <c r="J59" s="1112">
        <f>I59*J2</f>
        <v>223209.2486200548</v>
      </c>
      <c r="K59" s="1112">
        <f>J59</f>
        <v>223209.2486200548</v>
      </c>
      <c r="L59" s="1112">
        <f>K59</f>
        <v>223209.2486200548</v>
      </c>
      <c r="M59" s="1112">
        <f>L59</f>
        <v>223209.2486200548</v>
      </c>
      <c r="N59" s="1112">
        <f>M59</f>
        <v>223209.2486200548</v>
      </c>
      <c r="O59" s="1112">
        <f>N59*O2</f>
        <v>218745.0636476537</v>
      </c>
      <c r="P59" s="1112">
        <f>O59</f>
        <v>218745.0636476537</v>
      </c>
      <c r="Q59" s="1112">
        <f>P59</f>
        <v>218745.0636476537</v>
      </c>
      <c r="R59" s="1112">
        <f>Q59</f>
        <v>218745.0636476537</v>
      </c>
      <c r="S59" s="1112">
        <f>R59</f>
        <v>218745.0636476537</v>
      </c>
      <c r="T59" s="1112">
        <f>S59*T2</f>
        <v>214370.16237470062</v>
      </c>
      <c r="U59" s="1112">
        <f>T59</f>
        <v>214370.16237470062</v>
      </c>
      <c r="V59" s="1112">
        <f>U59</f>
        <v>214370.16237470062</v>
      </c>
      <c r="W59" s="1112">
        <f>V59</f>
        <v>214370.16237470062</v>
      </c>
      <c r="X59" s="1112">
        <f>W59</f>
        <v>214370.16237470062</v>
      </c>
      <c r="Y59" s="1112">
        <f>X59*Y2</f>
        <v>210082.75912720661</v>
      </c>
      <c r="Z59" s="1112">
        <f>Y59</f>
        <v>210082.75912720661</v>
      </c>
      <c r="AA59" s="1112">
        <f>Z59</f>
        <v>210082.75912720661</v>
      </c>
      <c r="AB59" s="1112">
        <f>AA59</f>
        <v>210082.75912720661</v>
      </c>
      <c r="AC59" s="1112">
        <f>AB59</f>
        <v>210082.75912720661</v>
      </c>
      <c r="AD59" s="1112">
        <f>AC59*AD2</f>
        <v>205881.10394466246</v>
      </c>
      <c r="AE59" s="1112">
        <f>AVERAGE(F59:AD59)</f>
        <v>217959.01721702461</v>
      </c>
    </row>
    <row r="60" spans="1:31" s="1075" customFormat="1" ht="14.25" customHeight="1">
      <c r="A60" s="1229"/>
      <c r="B60" s="1229"/>
      <c r="E60" s="1230"/>
      <c r="F60" s="1231"/>
      <c r="G60" s="1231"/>
      <c r="H60" s="1231"/>
      <c r="I60" s="1231"/>
      <c r="J60" s="1231"/>
      <c r="K60" s="1231"/>
      <c r="L60" s="1231"/>
      <c r="M60" s="1231"/>
      <c r="N60" s="1231"/>
      <c r="O60" s="1231"/>
      <c r="P60" s="1231"/>
      <c r="Q60" s="1231"/>
      <c r="R60" s="1231"/>
      <c r="S60" s="1231"/>
      <c r="T60" s="1231"/>
      <c r="U60" s="1231"/>
      <c r="V60" s="1231"/>
      <c r="W60" s="1231"/>
      <c r="X60" s="1231"/>
      <c r="Y60" s="1231"/>
      <c r="Z60" s="1231"/>
      <c r="AA60" s="1231"/>
      <c r="AB60" s="1231"/>
      <c r="AC60" s="1231"/>
      <c r="AD60" s="1231"/>
      <c r="AE60" s="1145"/>
    </row>
    <row r="61" spans="1:31" s="1075" customFormat="1" ht="14.25" customHeight="1">
      <c r="A61" s="1241"/>
      <c r="B61" s="1241"/>
      <c r="C61" s="1242"/>
      <c r="D61" s="1242"/>
      <c r="E61" s="1243"/>
      <c r="F61" s="1244"/>
      <c r="G61" s="1244"/>
      <c r="H61" s="1244"/>
      <c r="I61" s="1244"/>
      <c r="J61" s="1244"/>
      <c r="K61" s="1244"/>
      <c r="L61" s="1244"/>
      <c r="M61" s="1244"/>
      <c r="N61" s="1244"/>
      <c r="O61" s="1245">
        <v>2.5000000000000001E-3</v>
      </c>
      <c r="P61" s="1244"/>
      <c r="Q61" s="1244"/>
      <c r="R61" s="1244"/>
      <c r="S61" s="1244"/>
      <c r="T61" s="1245">
        <v>2.5000000000000001E-3</v>
      </c>
      <c r="U61" s="1244"/>
      <c r="V61" s="1244"/>
      <c r="W61" s="1244"/>
      <c r="X61" s="1244"/>
      <c r="Y61" s="1245">
        <v>2.5000000000000001E-3</v>
      </c>
      <c r="Z61" s="1244"/>
      <c r="AA61" s="1244"/>
      <c r="AB61" s="1244"/>
      <c r="AC61" s="1244"/>
      <c r="AD61" s="1245">
        <v>2.5000000000000001E-3</v>
      </c>
      <c r="AE61" s="1246"/>
    </row>
    <row r="62" spans="1:31" s="1075" customFormat="1" ht="14.25" customHeight="1">
      <c r="A62" s="2431" t="s">
        <v>795</v>
      </c>
      <c r="B62" s="2432"/>
      <c r="C62" s="1247"/>
      <c r="D62" s="1248"/>
      <c r="E62" s="1249" t="s">
        <v>796</v>
      </c>
      <c r="F62" s="1354">
        <v>0.04</v>
      </c>
      <c r="G62" s="1250">
        <f t="shared" ref="G62:N62" si="38">F62</f>
        <v>0.04</v>
      </c>
      <c r="H62" s="1250">
        <f t="shared" si="38"/>
        <v>0.04</v>
      </c>
      <c r="I62" s="1250">
        <f t="shared" si="38"/>
        <v>0.04</v>
      </c>
      <c r="J62" s="1250">
        <f t="shared" si="38"/>
        <v>0.04</v>
      </c>
      <c r="K62" s="1250">
        <f t="shared" si="38"/>
        <v>0.04</v>
      </c>
      <c r="L62" s="1250">
        <f t="shared" si="38"/>
        <v>0.04</v>
      </c>
      <c r="M62" s="1250">
        <f t="shared" si="38"/>
        <v>0.04</v>
      </c>
      <c r="N62" s="1250">
        <f t="shared" si="38"/>
        <v>0.04</v>
      </c>
      <c r="O62" s="1250">
        <f>N62+O61</f>
        <v>4.2500000000000003E-2</v>
      </c>
      <c r="P62" s="1250">
        <f>O62</f>
        <v>4.2500000000000003E-2</v>
      </c>
      <c r="Q62" s="1250">
        <f>P62</f>
        <v>4.2500000000000003E-2</v>
      </c>
      <c r="R62" s="1250">
        <f>Q62</f>
        <v>4.2500000000000003E-2</v>
      </c>
      <c r="S62" s="1250">
        <f>R62</f>
        <v>4.2500000000000003E-2</v>
      </c>
      <c r="T62" s="1250">
        <f>S62+T61</f>
        <v>4.5000000000000005E-2</v>
      </c>
      <c r="U62" s="1250">
        <f>T62</f>
        <v>4.5000000000000005E-2</v>
      </c>
      <c r="V62" s="1250">
        <f>U62</f>
        <v>4.5000000000000005E-2</v>
      </c>
      <c r="W62" s="1250">
        <f>V62</f>
        <v>4.5000000000000005E-2</v>
      </c>
      <c r="X62" s="1250">
        <f>W62</f>
        <v>4.5000000000000005E-2</v>
      </c>
      <c r="Y62" s="1250">
        <f>X62+Y61</f>
        <v>4.7500000000000007E-2</v>
      </c>
      <c r="Z62" s="1250">
        <f>Y62</f>
        <v>4.7500000000000007E-2</v>
      </c>
      <c r="AA62" s="1250">
        <f>Z62</f>
        <v>4.7500000000000007E-2</v>
      </c>
      <c r="AB62" s="1250">
        <f>AA62</f>
        <v>4.7500000000000007E-2</v>
      </c>
      <c r="AC62" s="1250">
        <f>AB62</f>
        <v>4.7500000000000007E-2</v>
      </c>
      <c r="AD62" s="1251">
        <f>AC62+AD61</f>
        <v>5.000000000000001E-2</v>
      </c>
      <c r="AE62" s="1145"/>
    </row>
    <row r="63" spans="1:31" s="1075" customFormat="1" ht="14.25" customHeight="1">
      <c r="A63" s="2433"/>
      <c r="B63" s="2434"/>
      <c r="C63" s="1252"/>
      <c r="D63" s="1253"/>
      <c r="E63" s="1254" t="s">
        <v>797</v>
      </c>
      <c r="F63" s="1255">
        <f t="shared" ref="F63:AD63" si="39">F59/F62</f>
        <v>5694113.4852054799</v>
      </c>
      <c r="G63" s="1256">
        <f t="shared" si="39"/>
        <v>5694113.4852054799</v>
      </c>
      <c r="H63" s="1256">
        <f t="shared" si="39"/>
        <v>5694113.4852054799</v>
      </c>
      <c r="I63" s="1256">
        <f t="shared" si="39"/>
        <v>5694113.4852054799</v>
      </c>
      <c r="J63" s="1256">
        <f t="shared" si="39"/>
        <v>5580231.2155013699</v>
      </c>
      <c r="K63" s="1256">
        <f t="shared" si="39"/>
        <v>5580231.2155013699</v>
      </c>
      <c r="L63" s="1256">
        <f t="shared" si="39"/>
        <v>5580231.2155013699</v>
      </c>
      <c r="M63" s="1256">
        <f t="shared" si="39"/>
        <v>5580231.2155013699</v>
      </c>
      <c r="N63" s="1256">
        <f t="shared" si="39"/>
        <v>5580231.2155013699</v>
      </c>
      <c r="O63" s="1256">
        <f t="shared" si="39"/>
        <v>5146942.6740624402</v>
      </c>
      <c r="P63" s="1256">
        <f t="shared" si="39"/>
        <v>5146942.6740624402</v>
      </c>
      <c r="Q63" s="1256">
        <f t="shared" si="39"/>
        <v>5146942.6740624402</v>
      </c>
      <c r="R63" s="1256">
        <f t="shared" si="39"/>
        <v>5146942.6740624402</v>
      </c>
      <c r="S63" s="1256">
        <f t="shared" si="39"/>
        <v>5146942.6740624402</v>
      </c>
      <c r="T63" s="1256">
        <f t="shared" si="39"/>
        <v>4763781.386104458</v>
      </c>
      <c r="U63" s="1256">
        <f t="shared" si="39"/>
        <v>4763781.386104458</v>
      </c>
      <c r="V63" s="1256">
        <f t="shared" si="39"/>
        <v>4763781.386104458</v>
      </c>
      <c r="W63" s="1256">
        <f t="shared" si="39"/>
        <v>4763781.386104458</v>
      </c>
      <c r="X63" s="1256">
        <f t="shared" si="39"/>
        <v>4763781.386104458</v>
      </c>
      <c r="Y63" s="1256">
        <f t="shared" si="39"/>
        <v>4422794.928993823</v>
      </c>
      <c r="Z63" s="1256">
        <f t="shared" si="39"/>
        <v>4422794.928993823</v>
      </c>
      <c r="AA63" s="1256">
        <f t="shared" si="39"/>
        <v>4422794.928993823</v>
      </c>
      <c r="AB63" s="1256">
        <f t="shared" si="39"/>
        <v>4422794.928993823</v>
      </c>
      <c r="AC63" s="1256">
        <f t="shared" si="39"/>
        <v>4422794.928993823</v>
      </c>
      <c r="AD63" s="1257">
        <f t="shared" si="39"/>
        <v>4117622.0788932485</v>
      </c>
      <c r="AE63" s="1145"/>
    </row>
    <row r="64" spans="1:31" s="1075" customFormat="1" ht="14.25" customHeight="1">
      <c r="A64" s="2433"/>
      <c r="B64" s="2434"/>
      <c r="C64" s="1247"/>
      <c r="D64" s="1248"/>
      <c r="E64" s="1249" t="s">
        <v>798</v>
      </c>
      <c r="F64" s="1258">
        <f ca="1">$F$33+F43-F25</f>
        <v>731663.06847727275</v>
      </c>
      <c r="G64" s="1259">
        <f ca="1">F64+G43-G25</f>
        <v>720673.79895454552</v>
      </c>
      <c r="H64" s="1259">
        <f t="shared" ref="H64:AD64" ca="1" si="40">G64+H43-H25</f>
        <v>709684.52943181829</v>
      </c>
      <c r="I64" s="1259">
        <f t="shared" ca="1" si="40"/>
        <v>698695.25990909105</v>
      </c>
      <c r="J64" s="1259">
        <f t="shared" ca="1" si="40"/>
        <v>687705.99038636382</v>
      </c>
      <c r="K64" s="1259">
        <f t="shared" ca="1" si="40"/>
        <v>676716.72086363658</v>
      </c>
      <c r="L64" s="1259">
        <f t="shared" ca="1" si="40"/>
        <v>665727.45134090935</v>
      </c>
      <c r="M64" s="1259">
        <f t="shared" ca="1" si="40"/>
        <v>654738.18181818211</v>
      </c>
      <c r="N64" s="1259">
        <f t="shared" ca="1" si="40"/>
        <v>643748.91229545488</v>
      </c>
      <c r="O64" s="1259">
        <f t="shared" ca="1" si="40"/>
        <v>632759.64277272765</v>
      </c>
      <c r="P64" s="1259">
        <f t="shared" ca="1" si="40"/>
        <v>621770.37325000041</v>
      </c>
      <c r="Q64" s="1259">
        <f t="shared" ca="1" si="40"/>
        <v>610781.10372727318</v>
      </c>
      <c r="R64" s="1259">
        <f t="shared" ca="1" si="40"/>
        <v>599791.83420454594</v>
      </c>
      <c r="S64" s="1259">
        <f t="shared" ca="1" si="40"/>
        <v>588802.56468181871</v>
      </c>
      <c r="T64" s="1259">
        <f t="shared" ca="1" si="40"/>
        <v>577813.29515909147</v>
      </c>
      <c r="U64" s="1259">
        <f t="shared" ca="1" si="40"/>
        <v>566824.02563636424</v>
      </c>
      <c r="V64" s="1259">
        <f t="shared" ca="1" si="40"/>
        <v>555834.75611363701</v>
      </c>
      <c r="W64" s="1259">
        <f t="shared" ca="1" si="40"/>
        <v>558084.75611363701</v>
      </c>
      <c r="X64" s="1259">
        <f t="shared" ca="1" si="40"/>
        <v>560334.75611363701</v>
      </c>
      <c r="Y64" s="1259">
        <f t="shared" ca="1" si="40"/>
        <v>562584.75611363701</v>
      </c>
      <c r="Z64" s="1259">
        <f t="shared" ca="1" si="40"/>
        <v>564834.75611363701</v>
      </c>
      <c r="AA64" s="1259">
        <f t="shared" ca="1" si="40"/>
        <v>567084.75611363701</v>
      </c>
      <c r="AB64" s="1259">
        <f t="shared" ca="1" si="40"/>
        <v>569334.75611363701</v>
      </c>
      <c r="AC64" s="1259">
        <f t="shared" ca="1" si="40"/>
        <v>571584.75611363701</v>
      </c>
      <c r="AD64" s="1260">
        <f t="shared" ca="1" si="40"/>
        <v>573834.75611363701</v>
      </c>
      <c r="AE64" s="1145"/>
    </row>
    <row r="65" spans="1:31" s="1075" customFormat="1" ht="14.25" customHeight="1">
      <c r="A65" s="2433"/>
      <c r="B65" s="2434"/>
      <c r="C65" s="1247"/>
      <c r="D65" s="1248"/>
      <c r="E65" s="1249" t="s">
        <v>799</v>
      </c>
      <c r="F65" s="1261">
        <f ca="1">F63-F64-F63*3%</f>
        <v>4791627.0121720424</v>
      </c>
      <c r="G65" s="1262">
        <f ca="1">G63-G64-G63*3%</f>
        <v>4802616.2816947699</v>
      </c>
      <c r="H65" s="1262">
        <f t="shared" ref="H65:AD65" ca="1" si="41">H63-H64-H63*3%</f>
        <v>4813605.5512174973</v>
      </c>
      <c r="I65" s="1262">
        <f t="shared" ca="1" si="41"/>
        <v>4824594.8207402248</v>
      </c>
      <c r="J65" s="1262">
        <f t="shared" ca="1" si="41"/>
        <v>4725118.2886499651</v>
      </c>
      <c r="K65" s="1262">
        <f t="shared" ca="1" si="41"/>
        <v>4736107.5581726925</v>
      </c>
      <c r="L65" s="1262">
        <f t="shared" ca="1" si="41"/>
        <v>4747096.82769542</v>
      </c>
      <c r="M65" s="1262">
        <f t="shared" ca="1" si="41"/>
        <v>4758086.0972181475</v>
      </c>
      <c r="N65" s="1262">
        <f t="shared" ca="1" si="41"/>
        <v>4769075.366740874</v>
      </c>
      <c r="O65" s="1262">
        <f t="shared" ca="1" si="41"/>
        <v>4359774.7510678396</v>
      </c>
      <c r="P65" s="1262">
        <f t="shared" ca="1" si="41"/>
        <v>4370764.020590567</v>
      </c>
      <c r="Q65" s="1262">
        <f t="shared" ca="1" si="41"/>
        <v>4381753.2901132936</v>
      </c>
      <c r="R65" s="1262">
        <f t="shared" ca="1" si="41"/>
        <v>4392742.559636021</v>
      </c>
      <c r="S65" s="1262">
        <f t="shared" ca="1" si="41"/>
        <v>4403731.8291587485</v>
      </c>
      <c r="T65" s="1262">
        <f t="shared" ca="1" si="41"/>
        <v>4043054.649362233</v>
      </c>
      <c r="U65" s="1262">
        <f t="shared" ca="1" si="41"/>
        <v>4054043.9188849595</v>
      </c>
      <c r="V65" s="1262">
        <f t="shared" ca="1" si="41"/>
        <v>4065033.188407687</v>
      </c>
      <c r="W65" s="1262">
        <f t="shared" ca="1" si="41"/>
        <v>4062783.188407687</v>
      </c>
      <c r="X65" s="1262">
        <f t="shared" ca="1" si="41"/>
        <v>4060533.188407687</v>
      </c>
      <c r="Y65" s="1262">
        <f t="shared" ca="1" si="41"/>
        <v>3727526.3250103709</v>
      </c>
      <c r="Z65" s="1262">
        <f t="shared" ca="1" si="41"/>
        <v>3725276.3250103709</v>
      </c>
      <c r="AA65" s="1262">
        <f t="shared" ca="1" si="41"/>
        <v>3723026.3250103709</v>
      </c>
      <c r="AB65" s="1262">
        <f t="shared" ca="1" si="41"/>
        <v>3720776.3250103709</v>
      </c>
      <c r="AC65" s="1262">
        <f t="shared" ca="1" si="41"/>
        <v>3718526.3250103709</v>
      </c>
      <c r="AD65" s="1263">
        <f t="shared" ca="1" si="41"/>
        <v>3420258.6604128145</v>
      </c>
      <c r="AE65" s="1145"/>
    </row>
    <row r="66" spans="1:31" s="1075" customFormat="1" ht="14.25" customHeight="1">
      <c r="A66" s="2433"/>
      <c r="B66" s="2434"/>
      <c r="C66" s="1247"/>
      <c r="D66" s="1248"/>
      <c r="E66" s="1249" t="s">
        <v>800</v>
      </c>
      <c r="F66" s="1258">
        <f>F45</f>
        <v>17500</v>
      </c>
      <c r="G66" s="1259">
        <f t="shared" ref="G66:T66" si="42">F66+G45</f>
        <v>35000</v>
      </c>
      <c r="H66" s="1259">
        <f t="shared" si="42"/>
        <v>52500</v>
      </c>
      <c r="I66" s="1259">
        <f t="shared" si="42"/>
        <v>70000</v>
      </c>
      <c r="J66" s="1259">
        <f t="shared" si="42"/>
        <v>87500</v>
      </c>
      <c r="K66" s="1259">
        <f t="shared" si="42"/>
        <v>105000</v>
      </c>
      <c r="L66" s="1259">
        <f t="shared" si="42"/>
        <v>122500</v>
      </c>
      <c r="M66" s="1259">
        <f t="shared" si="42"/>
        <v>140000</v>
      </c>
      <c r="N66" s="1259">
        <f t="shared" si="42"/>
        <v>157500</v>
      </c>
      <c r="O66" s="1259">
        <f t="shared" si="42"/>
        <v>175000</v>
      </c>
      <c r="P66" s="1259">
        <f t="shared" si="42"/>
        <v>192500</v>
      </c>
      <c r="Q66" s="1259">
        <f t="shared" si="42"/>
        <v>210000</v>
      </c>
      <c r="R66" s="1259">
        <f t="shared" si="42"/>
        <v>227500</v>
      </c>
      <c r="S66" s="1259">
        <f t="shared" si="42"/>
        <v>245000</v>
      </c>
      <c r="T66" s="1259">
        <f t="shared" si="42"/>
        <v>262500</v>
      </c>
      <c r="U66" s="1259">
        <f t="shared" ref="U66:AD66" si="43">T66</f>
        <v>262500</v>
      </c>
      <c r="V66" s="1264">
        <f t="shared" si="43"/>
        <v>262500</v>
      </c>
      <c r="W66" s="1264">
        <f t="shared" si="43"/>
        <v>262500</v>
      </c>
      <c r="X66" s="1264">
        <f t="shared" si="43"/>
        <v>262500</v>
      </c>
      <c r="Y66" s="1264">
        <f t="shared" si="43"/>
        <v>262500</v>
      </c>
      <c r="Z66" s="1264">
        <f t="shared" si="43"/>
        <v>262500</v>
      </c>
      <c r="AA66" s="1264">
        <f t="shared" si="43"/>
        <v>262500</v>
      </c>
      <c r="AB66" s="1264">
        <f t="shared" si="43"/>
        <v>262500</v>
      </c>
      <c r="AC66" s="1264">
        <f t="shared" si="43"/>
        <v>262500</v>
      </c>
      <c r="AD66" s="1265">
        <f t="shared" si="43"/>
        <v>262500</v>
      </c>
      <c r="AE66" s="1145"/>
    </row>
    <row r="67" spans="1:31" s="1075" customFormat="1" ht="14.25" customHeight="1">
      <c r="A67" s="2435"/>
      <c r="B67" s="2436"/>
      <c r="C67" s="1266"/>
      <c r="D67" s="1267"/>
      <c r="E67" s="1268" t="s">
        <v>801</v>
      </c>
      <c r="F67" s="1269">
        <f ca="1">F63-F64+F66+F48</f>
        <v>5049126.3731008237</v>
      </c>
      <c r="G67" s="1270">
        <f ca="1">G63-G64+G66+G48</f>
        <v>5221254.8918373128</v>
      </c>
      <c r="H67" s="1270">
        <f t="shared" ref="H67:AD67" ca="1" si="44">H63-H64+H66+H48</f>
        <v>5393538.6140738018</v>
      </c>
      <c r="I67" s="1270">
        <f t="shared" ca="1" si="44"/>
        <v>5565977.5398102915</v>
      </c>
      <c r="J67" s="1270">
        <f t="shared" ca="1" si="44"/>
        <v>5622331.8458511494</v>
      </c>
      <c r="K67" s="1270">
        <f t="shared" ca="1" si="44"/>
        <v>5792723.625096119</v>
      </c>
      <c r="L67" s="1270">
        <f t="shared" ca="1" si="44"/>
        <v>5963270.6078410884</v>
      </c>
      <c r="M67" s="1270">
        <f t="shared" ca="1" si="44"/>
        <v>6133972.7940860577</v>
      </c>
      <c r="N67" s="1270">
        <f t="shared" ca="1" si="44"/>
        <v>6304830.1838310258</v>
      </c>
      <c r="O67" s="1270">
        <f t="shared" ca="1" si="44"/>
        <v>6040243.8332153754</v>
      </c>
      <c r="P67" s="1270">
        <f t="shared" ca="1" si="44"/>
        <v>6209101.2275386555</v>
      </c>
      <c r="Q67" s="1270">
        <f t="shared" ca="1" si="44"/>
        <v>6378113.8253619336</v>
      </c>
      <c r="R67" s="1270">
        <f t="shared" ca="1" si="44"/>
        <v>6547281.6266852133</v>
      </c>
      <c r="S67" s="1270">
        <f t="shared" ca="1" si="44"/>
        <v>6716604.6315084929</v>
      </c>
      <c r="T67" s="1270">
        <f t="shared" ca="1" si="44"/>
        <v>6500657.3575005345</v>
      </c>
      <c r="U67" s="1270">
        <f t="shared" ca="1" si="44"/>
        <v>6648484.2209505569</v>
      </c>
      <c r="V67" s="1270">
        <f t="shared" ca="1" si="44"/>
        <v>6796420.3579005813</v>
      </c>
      <c r="W67" s="1270">
        <f t="shared" ca="1" si="44"/>
        <v>6926913.8006893639</v>
      </c>
      <c r="X67" s="1270">
        <f t="shared" ca="1" si="44"/>
        <v>7057516.5169781465</v>
      </c>
      <c r="Y67" s="1270">
        <f t="shared" ca="1" si="44"/>
        <v>6845023.1391705032</v>
      </c>
      <c r="Z67" s="1270">
        <f t="shared" ca="1" si="44"/>
        <v>6991070.8552234955</v>
      </c>
      <c r="AA67" s="1270">
        <f t="shared" ca="1" si="44"/>
        <v>7137118.5712764878</v>
      </c>
      <c r="AB67" s="1270">
        <f t="shared" ca="1" si="44"/>
        <v>7283166.2873294791</v>
      </c>
      <c r="AC67" s="1270">
        <f t="shared" ca="1" si="44"/>
        <v>7429214.0033824705</v>
      </c>
      <c r="AD67" s="1271">
        <f t="shared" ca="1" si="44"/>
        <v>7267914.3370588142</v>
      </c>
      <c r="AE67" s="1145"/>
    </row>
    <row r="68" spans="1:31" s="1145" customFormat="1" ht="14.25" customHeight="1">
      <c r="A68" s="1272"/>
      <c r="B68" s="1272"/>
      <c r="C68" s="1273"/>
      <c r="D68" s="1273"/>
      <c r="E68" s="1274" t="s">
        <v>802</v>
      </c>
      <c r="F68" s="1275">
        <f ca="1">F67-$J$37</f>
        <v>4686765.9471008237</v>
      </c>
      <c r="G68" s="1275">
        <f t="shared" ref="G68:AD68" ca="1" si="45">G67-$J$37</f>
        <v>4858894.4658373129</v>
      </c>
      <c r="H68" s="1275">
        <f t="shared" ca="1" si="45"/>
        <v>5031178.1880738018</v>
      </c>
      <c r="I68" s="1275">
        <f t="shared" ca="1" si="45"/>
        <v>5203617.1138102915</v>
      </c>
      <c r="J68" s="1275">
        <f t="shared" ca="1" si="45"/>
        <v>5259971.4198511494</v>
      </c>
      <c r="K68" s="1275">
        <f t="shared" ca="1" si="45"/>
        <v>5430363.199096119</v>
      </c>
      <c r="L68" s="1275">
        <f t="shared" ca="1" si="45"/>
        <v>5600910.1818410885</v>
      </c>
      <c r="M68" s="1275">
        <f t="shared" ca="1" si="45"/>
        <v>5771612.3680860577</v>
      </c>
      <c r="N68" s="1275">
        <f t="shared" ca="1" si="45"/>
        <v>5942469.7578310259</v>
      </c>
      <c r="O68" s="1275">
        <f t="shared" ca="1" si="45"/>
        <v>5677883.4072153755</v>
      </c>
      <c r="P68" s="1275">
        <f t="shared" ca="1" si="45"/>
        <v>5846740.8015386555</v>
      </c>
      <c r="Q68" s="1275">
        <f t="shared" ca="1" si="45"/>
        <v>6015753.3993619336</v>
      </c>
      <c r="R68" s="1275">
        <f t="shared" ca="1" si="45"/>
        <v>6184921.2006852133</v>
      </c>
      <c r="S68" s="1275">
        <f t="shared" ca="1" si="45"/>
        <v>6354244.2055084929</v>
      </c>
      <c r="T68" s="1275">
        <f t="shared" ca="1" si="45"/>
        <v>6138296.9315005345</v>
      </c>
      <c r="U68" s="1275">
        <f t="shared" ca="1" si="45"/>
        <v>6286123.7949505569</v>
      </c>
      <c r="V68" s="1275">
        <f t="shared" ca="1" si="45"/>
        <v>6434059.9319005813</v>
      </c>
      <c r="W68" s="1275">
        <f t="shared" ca="1" si="45"/>
        <v>6564553.3746893639</v>
      </c>
      <c r="X68" s="1275">
        <f t="shared" ca="1" si="45"/>
        <v>6695156.0909781465</v>
      </c>
      <c r="Y68" s="1275">
        <f t="shared" ca="1" si="45"/>
        <v>6482662.7131705033</v>
      </c>
      <c r="Z68" s="1275">
        <f t="shared" ca="1" si="45"/>
        <v>6628710.4292234955</v>
      </c>
      <c r="AA68" s="1275">
        <f t="shared" ca="1" si="45"/>
        <v>6774758.1452764878</v>
      </c>
      <c r="AB68" s="1275">
        <f t="shared" ca="1" si="45"/>
        <v>6920805.8613294791</v>
      </c>
      <c r="AC68" s="1275">
        <f t="shared" ca="1" si="45"/>
        <v>7066853.5773824705</v>
      </c>
      <c r="AD68" s="1275">
        <f t="shared" ca="1" si="45"/>
        <v>6905553.9110588143</v>
      </c>
      <c r="AE68" s="1239" t="s">
        <v>803</v>
      </c>
    </row>
    <row r="69" spans="1:31" s="1278" customFormat="1" ht="14.25" customHeight="1">
      <c r="A69" s="1276"/>
      <c r="B69" s="1276"/>
      <c r="C69" s="1277"/>
      <c r="E69" s="1279" t="s">
        <v>804</v>
      </c>
      <c r="F69" s="1280">
        <f ca="1">IRR(E87:G87)</f>
        <v>2.9495095274810601</v>
      </c>
      <c r="G69" s="1280">
        <f ca="1">IRR(E88:H88)</f>
        <v>1.5806923280975482</v>
      </c>
      <c r="H69" s="1280">
        <f ca="1">IRR(E89:I89)</f>
        <v>1.0951308930399861</v>
      </c>
      <c r="I69" s="1280">
        <f ca="1">IRR(E90:J90)</f>
        <v>0.84673045708253847</v>
      </c>
      <c r="J69" s="1280">
        <f ca="1">IRR(E91:K91)</f>
        <v>0.70570453236672925</v>
      </c>
      <c r="K69" s="1280">
        <f ca="1">IRR(E92:L92)</f>
        <v>0.61366175884099405</v>
      </c>
      <c r="L69" s="1280">
        <f ca="1">IRR(E93:M93)</f>
        <v>0.54957151307562069</v>
      </c>
      <c r="M69" s="1280">
        <f ca="1">IRR(E94:N94)</f>
        <v>0.50292856493723836</v>
      </c>
      <c r="N69" s="1280">
        <f ca="1">IRR(E95:O95)</f>
        <v>0.46071389179579048</v>
      </c>
      <c r="O69" s="1280">
        <f ca="1">IRR(E96:P96)</f>
        <v>0.43515336044928654</v>
      </c>
      <c r="P69" s="1280">
        <f ca="1">IRR(E97:Q97)</f>
        <v>0.4152665146321568</v>
      </c>
      <c r="Q69" s="1280">
        <f ca="1">IRR(E98:R98)</f>
        <v>0.39964403762939749</v>
      </c>
      <c r="R69" s="1280">
        <f ca="1">IRR(E99:S99)</f>
        <v>0.38730208487156892</v>
      </c>
      <c r="S69" s="1280">
        <f ca="1">IRR(E100:T100)</f>
        <v>0.37517541413809408</v>
      </c>
      <c r="T69" s="1280">
        <f ca="1">IRR(E101:U101)</f>
        <v>0.36788454694164763</v>
      </c>
      <c r="U69" s="1280">
        <f ca="1">IRR(E102:V102)</f>
        <v>0.36212593421773986</v>
      </c>
      <c r="V69" s="1280">
        <f ca="1">IRR(E103:W103)</f>
        <v>0.35760100213513124</v>
      </c>
      <c r="W69" s="1280">
        <f ca="1">IRR(E104:X104)</f>
        <v>0.35404648076990819</v>
      </c>
      <c r="X69" s="1280">
        <f ca="1">IRR(E105:Y105)</f>
        <v>0.3506165883789909</v>
      </c>
      <c r="Y69" s="1280">
        <f ca="1">IRR(E106:Z106)</f>
        <v>0.34859068762229062</v>
      </c>
      <c r="Z69" s="1280">
        <f ca="1">IRR(E107:AA107)</f>
        <v>0.34706461757999207</v>
      </c>
      <c r="AA69" s="1280">
        <f ca="1">IRR(E108:AB108)</f>
        <v>0.34590044698332023</v>
      </c>
      <c r="AB69" s="1280">
        <f ca="1">IRR(E109:AC109)</f>
        <v>0.34501590899849699</v>
      </c>
      <c r="AC69" s="1280">
        <f ca="1">IRR(E110:AD110)</f>
        <v>0.34419014605567644</v>
      </c>
      <c r="AD69" s="1280">
        <f ca="1">IRR(E111:AE111)</f>
        <v>0.3437217888559243</v>
      </c>
      <c r="AE69" s="1281">
        <f ca="1">AVERAGE(F69:AD69)</f>
        <v>0.60735772107908526</v>
      </c>
    </row>
    <row r="70" spans="1:31" s="1075" customFormat="1" ht="14.25" customHeight="1">
      <c r="A70" s="1229"/>
      <c r="B70" s="1229"/>
      <c r="E70" s="1230"/>
      <c r="F70" s="1231"/>
      <c r="G70" s="1231"/>
      <c r="H70" s="1231"/>
      <c r="I70" s="1231"/>
      <c r="J70" s="1231"/>
      <c r="K70" s="1231"/>
      <c r="L70" s="1231"/>
      <c r="M70" s="1231"/>
      <c r="N70" s="1231"/>
      <c r="O70" s="1231"/>
      <c r="P70" s="1231"/>
      <c r="Q70" s="1231"/>
      <c r="R70" s="1231"/>
      <c r="S70" s="1231"/>
      <c r="T70" s="1231"/>
      <c r="U70" s="1231"/>
      <c r="V70" s="1231"/>
      <c r="W70" s="1231"/>
      <c r="X70" s="1231"/>
      <c r="Y70" s="1231"/>
      <c r="Z70" s="1231"/>
      <c r="AA70" s="1231"/>
      <c r="AB70" s="1231"/>
      <c r="AC70" s="1231"/>
      <c r="AD70" s="1231"/>
      <c r="AE70" s="1145"/>
    </row>
    <row r="71" spans="1:31" s="1075" customFormat="1" ht="14.25" customHeight="1">
      <c r="A71" s="1241"/>
      <c r="B71" s="1241"/>
      <c r="C71" s="1242"/>
      <c r="D71" s="1242"/>
      <c r="E71" s="1243"/>
      <c r="F71" s="1244"/>
      <c r="G71" s="1244"/>
      <c r="H71" s="1244"/>
      <c r="I71" s="1244"/>
      <c r="J71" s="1244"/>
      <c r="K71" s="1244"/>
      <c r="L71" s="1244"/>
      <c r="M71" s="1244"/>
      <c r="N71" s="1244"/>
      <c r="O71" s="1244"/>
      <c r="P71" s="1244"/>
      <c r="Q71" s="1244"/>
      <c r="R71" s="1244"/>
      <c r="S71" s="1244"/>
      <c r="T71" s="1244"/>
      <c r="U71" s="1244"/>
      <c r="V71" s="1244"/>
      <c r="W71" s="1244"/>
      <c r="X71" s="1244"/>
      <c r="Y71" s="1244"/>
      <c r="Z71" s="1244"/>
      <c r="AA71" s="1244"/>
      <c r="AB71" s="1244"/>
      <c r="AC71" s="1244"/>
      <c r="AD71" s="1244"/>
      <c r="AE71" s="1246"/>
    </row>
    <row r="72" spans="1:31" s="1075" customFormat="1" ht="14.25" customHeight="1">
      <c r="A72" s="1229"/>
      <c r="B72" s="1229"/>
      <c r="C72" s="1282" t="s">
        <v>805</v>
      </c>
      <c r="D72" s="1229"/>
      <c r="E72" s="1283"/>
      <c r="F72" s="1284"/>
      <c r="G72" s="1285"/>
      <c r="J72" s="1273"/>
      <c r="K72" s="1286"/>
      <c r="L72" s="1287"/>
      <c r="M72" s="1273"/>
      <c r="N72" s="1284"/>
      <c r="O72" s="1285"/>
      <c r="P72" s="1273"/>
      <c r="Q72" s="1273"/>
      <c r="R72" s="1273"/>
    </row>
    <row r="73" spans="1:31" s="1075" customFormat="1" ht="11.25" customHeight="1">
      <c r="A73" s="1229"/>
      <c r="B73" s="1229"/>
      <c r="C73" s="1288" t="s">
        <v>806</v>
      </c>
      <c r="D73" s="1289">
        <f>K35</f>
        <v>50</v>
      </c>
      <c r="E73" s="1167" t="str">
        <f>L35</f>
        <v>（法定耐用年数・・・SRC事務所：50年、S事務所：35年）</v>
      </c>
      <c r="F73" s="1290"/>
      <c r="G73" s="1291"/>
      <c r="H73" s="1292"/>
      <c r="I73" s="1283"/>
      <c r="J73" s="1293"/>
      <c r="K73" s="1294"/>
      <c r="L73" s="2437"/>
      <c r="M73" s="2437"/>
      <c r="N73" s="1290"/>
      <c r="O73" s="1295"/>
      <c r="P73" s="1292"/>
      <c r="Q73" s="1273"/>
      <c r="R73" s="1293"/>
    </row>
    <row r="74" spans="1:31" s="1075" customFormat="1" ht="11.25" customHeight="1">
      <c r="A74" s="1229"/>
      <c r="B74" s="1229"/>
      <c r="C74" s="1296" t="s">
        <v>807</v>
      </c>
      <c r="D74" s="1297">
        <f ca="1">K34</f>
        <v>34.895890410958906</v>
      </c>
      <c r="F74" s="1290"/>
      <c r="G74" s="1291"/>
      <c r="H74" s="1292"/>
      <c r="I74" s="1283"/>
      <c r="J74" s="1298"/>
      <c r="K74" s="1294"/>
      <c r="L74" s="2437"/>
      <c r="M74" s="2437"/>
      <c r="N74" s="1290"/>
      <c r="O74" s="1295"/>
      <c r="P74" s="1292"/>
      <c r="Q74" s="1273"/>
      <c r="R74" s="1298"/>
    </row>
    <row r="75" spans="1:31" ht="11.25" customHeight="1">
      <c r="C75" s="1296" t="s">
        <v>808</v>
      </c>
      <c r="D75" s="1300">
        <f ca="1">ROUNDDOWN((D73-D74)+D74*0.2,0)</f>
        <v>22</v>
      </c>
      <c r="E75" s="1075" t="s">
        <v>809</v>
      </c>
      <c r="F75" s="1290"/>
      <c r="G75" s="1291"/>
      <c r="H75" s="1301"/>
      <c r="I75" s="1283"/>
      <c r="J75" s="1293"/>
      <c r="K75" s="1294"/>
      <c r="L75" s="2437"/>
      <c r="M75" s="2437"/>
      <c r="N75" s="1290"/>
      <c r="O75" s="1295"/>
      <c r="P75" s="1292"/>
      <c r="Q75" s="1273"/>
      <c r="R75" s="1293"/>
    </row>
    <row r="76" spans="1:31" ht="11.25" customHeight="1">
      <c r="C76" s="1296" t="s">
        <v>810</v>
      </c>
      <c r="D76" s="1302">
        <f>E34/1000</f>
        <v>255.494675</v>
      </c>
      <c r="E76" s="1075"/>
      <c r="F76" s="1075"/>
      <c r="G76" s="1075"/>
      <c r="H76" s="1075"/>
      <c r="I76" s="1075"/>
      <c r="J76" s="1303"/>
      <c r="K76" s="1294"/>
      <c r="L76" s="2438"/>
      <c r="M76" s="2438"/>
      <c r="N76" s="1273"/>
      <c r="O76" s="1273"/>
      <c r="P76" s="1273"/>
      <c r="Q76" s="1273"/>
      <c r="R76" s="1303"/>
    </row>
    <row r="77" spans="1:31" ht="11.25" customHeight="1">
      <c r="C77" s="1304" t="s">
        <v>811</v>
      </c>
      <c r="D77" s="1305">
        <v>0.3</v>
      </c>
      <c r="E77" s="1075"/>
      <c r="F77" s="1075"/>
      <c r="G77" s="1075"/>
      <c r="H77" s="1075"/>
      <c r="I77" s="1075"/>
      <c r="J77" s="1306"/>
      <c r="K77" s="1294"/>
      <c r="L77" s="2424"/>
      <c r="M77" s="2424"/>
      <c r="N77" s="1273"/>
      <c r="O77" s="1273"/>
      <c r="P77" s="1273"/>
      <c r="Q77" s="1273"/>
      <c r="R77" s="1306"/>
    </row>
    <row r="78" spans="1:31" ht="11.25" customHeight="1">
      <c r="C78" s="1296" t="s">
        <v>812</v>
      </c>
      <c r="D78" s="1307">
        <v>15</v>
      </c>
      <c r="E78" s="1075"/>
      <c r="F78" s="1075"/>
      <c r="G78" s="1075"/>
      <c r="H78" s="1075"/>
      <c r="I78" s="1075"/>
      <c r="J78" s="1308"/>
      <c r="K78" s="1294"/>
      <c r="L78" s="2425"/>
      <c r="M78" s="2425"/>
      <c r="N78" s="1273"/>
      <c r="O78" s="1273"/>
      <c r="P78" s="1273"/>
      <c r="Q78" s="1273"/>
      <c r="R78" s="1308"/>
    </row>
    <row r="79" spans="1:31" ht="11.25" customHeight="1">
      <c r="C79" s="1309" t="s">
        <v>813</v>
      </c>
      <c r="D79" s="1310">
        <f ca="1">(D76*(1-D77))/D75*1000+(D76*D77)/D78*1000</f>
        <v>13239.269522727274</v>
      </c>
      <c r="E79" s="1311" t="s">
        <v>814</v>
      </c>
      <c r="F79" s="1312"/>
      <c r="G79" s="1312"/>
      <c r="H79" s="1312"/>
      <c r="I79" s="1075"/>
      <c r="J79" s="1313"/>
      <c r="K79" s="1294"/>
      <c r="L79" s="2426"/>
      <c r="M79" s="2426"/>
      <c r="N79" s="1314"/>
      <c r="O79" s="1315"/>
      <c r="P79" s="1315"/>
      <c r="Q79" s="1273"/>
      <c r="R79" s="1313"/>
    </row>
    <row r="80" spans="1:31" s="1075" customFormat="1" ht="14.25" customHeight="1">
      <c r="A80" s="1229"/>
      <c r="B80" s="1229"/>
      <c r="E80" s="1230"/>
      <c r="F80" s="1231"/>
      <c r="G80" s="1231"/>
      <c r="H80" s="1231"/>
      <c r="I80" s="1231"/>
      <c r="J80" s="1231"/>
      <c r="K80" s="1231"/>
      <c r="L80" s="1231"/>
      <c r="M80" s="1231"/>
      <c r="N80" s="1231"/>
      <c r="O80" s="1231"/>
      <c r="P80" s="1231"/>
      <c r="Q80" s="1231"/>
      <c r="R80" s="1231"/>
      <c r="S80" s="1231"/>
      <c r="T80" s="1231"/>
      <c r="U80" s="1231"/>
      <c r="V80" s="1231"/>
      <c r="W80" s="1231"/>
      <c r="X80" s="1231"/>
      <c r="Y80" s="1231"/>
      <c r="Z80" s="1231"/>
      <c r="AA80" s="1231"/>
      <c r="AB80" s="1231"/>
      <c r="AC80" s="1231"/>
      <c r="AD80" s="1231"/>
      <c r="AE80" s="1145"/>
    </row>
    <row r="81" spans="1:31" s="1075" customFormat="1" ht="15" customHeight="1">
      <c r="A81" s="1241"/>
      <c r="B81" s="1241"/>
      <c r="C81" s="1242"/>
      <c r="D81" s="1242"/>
      <c r="E81" s="1243"/>
      <c r="F81" s="1244"/>
      <c r="G81" s="1244"/>
      <c r="H81" s="1244"/>
      <c r="I81" s="1244"/>
      <c r="J81" s="1244"/>
      <c r="K81" s="1244"/>
      <c r="L81" s="1244"/>
      <c r="M81" s="1244"/>
      <c r="N81" s="1244"/>
      <c r="O81" s="1244"/>
      <c r="P81" s="1244"/>
      <c r="Q81" s="1244"/>
      <c r="R81" s="1244"/>
      <c r="S81" s="1244"/>
      <c r="T81" s="1244"/>
      <c r="U81" s="1244"/>
      <c r="V81" s="1244"/>
      <c r="W81" s="1244"/>
      <c r="X81" s="1244"/>
      <c r="Y81" s="1244"/>
      <c r="Z81" s="1244"/>
      <c r="AA81" s="1244"/>
      <c r="AB81" s="1244"/>
      <c r="AC81" s="1244"/>
      <c r="AD81" s="1244"/>
      <c r="AE81" s="1246"/>
    </row>
    <row r="82" spans="1:31" s="1075" customFormat="1" ht="11.25" customHeight="1">
      <c r="A82" s="1229"/>
      <c r="B82" s="1229"/>
      <c r="E82" s="1316" t="s">
        <v>815</v>
      </c>
      <c r="F82" s="1317">
        <f>-PMT($E$29,$H$34,$E$39)</f>
        <v>639429.52926888713</v>
      </c>
      <c r="G82" s="1317">
        <f t="shared" ref="G82:AD82" si="46">F82</f>
        <v>639429.52926888713</v>
      </c>
      <c r="H82" s="1317">
        <f t="shared" si="46"/>
        <v>639429.52926888713</v>
      </c>
      <c r="I82" s="1317">
        <f t="shared" si="46"/>
        <v>639429.52926888713</v>
      </c>
      <c r="J82" s="1317">
        <f t="shared" si="46"/>
        <v>639429.52926888713</v>
      </c>
      <c r="K82" s="1317">
        <f t="shared" si="46"/>
        <v>639429.52926888713</v>
      </c>
      <c r="L82" s="1317">
        <f t="shared" si="46"/>
        <v>639429.52926888713</v>
      </c>
      <c r="M82" s="1317">
        <f t="shared" si="46"/>
        <v>639429.52926888713</v>
      </c>
      <c r="N82" s="1317">
        <f t="shared" si="46"/>
        <v>639429.52926888713</v>
      </c>
      <c r="O82" s="1317">
        <f t="shared" si="46"/>
        <v>639429.52926888713</v>
      </c>
      <c r="P82" s="1317">
        <f t="shared" si="46"/>
        <v>639429.52926888713</v>
      </c>
      <c r="Q82" s="1317">
        <f t="shared" si="46"/>
        <v>639429.52926888713</v>
      </c>
      <c r="R82" s="1317">
        <f t="shared" si="46"/>
        <v>639429.52926888713</v>
      </c>
      <c r="S82" s="1317">
        <f t="shared" si="46"/>
        <v>639429.52926888713</v>
      </c>
      <c r="T82" s="1317">
        <f t="shared" si="46"/>
        <v>639429.52926888713</v>
      </c>
      <c r="U82" s="1317">
        <f t="shared" si="46"/>
        <v>639429.52926888713</v>
      </c>
      <c r="V82" s="1317">
        <f t="shared" si="46"/>
        <v>639429.52926888713</v>
      </c>
      <c r="W82" s="1317">
        <f t="shared" si="46"/>
        <v>639429.52926888713</v>
      </c>
      <c r="X82" s="1317">
        <f t="shared" si="46"/>
        <v>639429.52926888713</v>
      </c>
      <c r="Y82" s="1317">
        <f t="shared" si="46"/>
        <v>639429.52926888713</v>
      </c>
      <c r="Z82" s="1317">
        <f t="shared" si="46"/>
        <v>639429.52926888713</v>
      </c>
      <c r="AA82" s="1317">
        <f t="shared" si="46"/>
        <v>639429.52926888713</v>
      </c>
      <c r="AB82" s="1317">
        <f t="shared" si="46"/>
        <v>639429.52926888713</v>
      </c>
      <c r="AC82" s="1317">
        <f t="shared" si="46"/>
        <v>639429.52926888713</v>
      </c>
      <c r="AD82" s="1317">
        <f t="shared" si="46"/>
        <v>639429.52926888713</v>
      </c>
      <c r="AE82" s="1318"/>
    </row>
    <row r="83" spans="1:31" s="1075" customFormat="1" ht="10.5" customHeight="1">
      <c r="A83" s="1229"/>
      <c r="B83" s="1229"/>
      <c r="E83" s="1316">
        <v>0</v>
      </c>
      <c r="F83" s="1316">
        <v>1</v>
      </c>
      <c r="G83" s="1316">
        <v>2</v>
      </c>
      <c r="H83" s="1316">
        <v>3</v>
      </c>
      <c r="I83" s="1316">
        <v>4</v>
      </c>
      <c r="J83" s="1316">
        <v>5</v>
      </c>
      <c r="K83" s="1316">
        <v>6</v>
      </c>
      <c r="L83" s="1316">
        <v>7</v>
      </c>
      <c r="M83" s="1316">
        <v>8</v>
      </c>
      <c r="N83" s="1316">
        <v>9</v>
      </c>
      <c r="O83" s="1316">
        <v>10</v>
      </c>
      <c r="P83" s="1316">
        <v>11</v>
      </c>
      <c r="Q83" s="1316">
        <v>12</v>
      </c>
      <c r="R83" s="1316">
        <v>13</v>
      </c>
      <c r="S83" s="1316">
        <v>14</v>
      </c>
      <c r="T83" s="1316">
        <v>15</v>
      </c>
      <c r="U83" s="1316">
        <v>16</v>
      </c>
      <c r="V83" s="1316">
        <v>17</v>
      </c>
      <c r="W83" s="1316">
        <v>18</v>
      </c>
      <c r="X83" s="1316">
        <v>19</v>
      </c>
      <c r="Y83" s="1316">
        <v>20</v>
      </c>
      <c r="Z83" s="1316">
        <v>21</v>
      </c>
      <c r="AA83" s="1316">
        <v>22</v>
      </c>
      <c r="AB83" s="1316">
        <v>23</v>
      </c>
      <c r="AC83" s="1316">
        <v>24</v>
      </c>
      <c r="AD83" s="1316">
        <v>25</v>
      </c>
      <c r="AE83" s="1319" t="s">
        <v>816</v>
      </c>
    </row>
    <row r="84" spans="1:31" s="1278" customFormat="1" ht="10.5" customHeight="1">
      <c r="A84" s="1276"/>
      <c r="B84" s="1276"/>
      <c r="C84" s="1277"/>
      <c r="D84" s="1278" t="s">
        <v>817</v>
      </c>
      <c r="E84" s="1320">
        <f>E85</f>
        <v>-362360.42599999998</v>
      </c>
      <c r="F84" s="1320">
        <f t="shared" ref="F84:AD84" ca="1" si="47">F85-F31</f>
        <v>18518.117005678821</v>
      </c>
      <c r="G84" s="1320">
        <f t="shared" ca="1" si="47"/>
        <v>60341.662415346902</v>
      </c>
      <c r="H84" s="1321">
        <f t="shared" ca="1" si="47"/>
        <v>60652.069415346908</v>
      </c>
      <c r="I84" s="1320">
        <f t="shared" ca="1" si="47"/>
        <v>60962.476415346915</v>
      </c>
      <c r="J84" s="1322">
        <f t="shared" ca="1" si="47"/>
        <v>59955.806832306916</v>
      </c>
      <c r="K84" s="1320">
        <f t="shared" ca="1" si="47"/>
        <v>60266.213832306887</v>
      </c>
      <c r="L84" s="1320">
        <f t="shared" ca="1" si="47"/>
        <v>60576.620832306893</v>
      </c>
      <c r="M84" s="1320">
        <f t="shared" ca="1" si="47"/>
        <v>60887.027832306892</v>
      </c>
      <c r="N84" s="1320">
        <f t="shared" ca="1" si="47"/>
        <v>61197.434832306899</v>
      </c>
      <c r="O84" s="1323">
        <f t="shared" ca="1" si="47"/>
        <v>60217.106780927708</v>
      </c>
      <c r="P84" s="1320">
        <f t="shared" ca="1" si="47"/>
        <v>60527.513780927715</v>
      </c>
      <c r="Q84" s="1320">
        <f t="shared" ca="1" si="47"/>
        <v>60837.920780927685</v>
      </c>
      <c r="R84" s="1320">
        <f t="shared" ca="1" si="47"/>
        <v>61148.327780927691</v>
      </c>
      <c r="S84" s="1320">
        <f t="shared" ca="1" si="47"/>
        <v>61458.734780927691</v>
      </c>
      <c r="T84" s="1324">
        <f t="shared" ca="1" si="47"/>
        <v>60504.221430576086</v>
      </c>
      <c r="U84" s="1320">
        <f t="shared" ca="1" si="47"/>
        <v>56729.920430576065</v>
      </c>
      <c r="V84" s="1320">
        <f t="shared" ca="1" si="47"/>
        <v>56948.467430576078</v>
      </c>
      <c r="W84" s="1320">
        <f t="shared" si="47"/>
        <v>48541.618153548829</v>
      </c>
      <c r="X84" s="1320">
        <f t="shared" si="47"/>
        <v>48760.165153548834</v>
      </c>
      <c r="Y84" s="1320">
        <f t="shared" si="47"/>
        <v>47739.090210204224</v>
      </c>
      <c r="Z84" s="1320">
        <f t="shared" si="47"/>
        <v>82848.363710204227</v>
      </c>
      <c r="AA84" s="1320">
        <f t="shared" si="47"/>
        <v>82848.363710204227</v>
      </c>
      <c r="AB84" s="1320">
        <f t="shared" si="47"/>
        <v>82848.363710204227</v>
      </c>
      <c r="AC84" s="1320">
        <f t="shared" si="47"/>
        <v>82848.363710204227</v>
      </c>
      <c r="AD84" s="1320">
        <f t="shared" si="47"/>
        <v>81633.534205726552</v>
      </c>
      <c r="AE84" s="1320">
        <f ca="1">SUM(E84:AD84)</f>
        <v>1177437.0791734662</v>
      </c>
    </row>
    <row r="85" spans="1:31" s="1278" customFormat="1" ht="10.5" customHeight="1">
      <c r="A85" s="1276"/>
      <c r="B85" s="1276"/>
      <c r="C85" s="1277"/>
      <c r="D85" s="1278" t="s">
        <v>818</v>
      </c>
      <c r="E85" s="1320">
        <f>-J37</f>
        <v>-362360.42599999998</v>
      </c>
      <c r="F85" s="1325">
        <f t="shared" ref="F85:AD85" ca="1" si="48">F111-F29-F45</f>
        <v>48604.706372616944</v>
      </c>
      <c r="G85" s="1325">
        <f t="shared" ca="1" si="48"/>
        <v>123225.49921376174</v>
      </c>
      <c r="H85" s="1326">
        <f t="shared" ca="1" si="48"/>
        <v>123538.20271376174</v>
      </c>
      <c r="I85" s="1325">
        <f t="shared" ca="1" si="48"/>
        <v>123850.90621376174</v>
      </c>
      <c r="J85" s="1327">
        <f t="shared" ca="1" si="48"/>
        <v>121806.05622224175</v>
      </c>
      <c r="K85" s="1325">
        <f t="shared" ca="1" si="48"/>
        <v>122118.75972224172</v>
      </c>
      <c r="L85" s="1325">
        <f t="shared" ca="1" si="48"/>
        <v>122431.46322224173</v>
      </c>
      <c r="M85" s="1325">
        <f t="shared" ca="1" si="48"/>
        <v>122744.16672224173</v>
      </c>
      <c r="N85" s="1325">
        <f t="shared" ca="1" si="48"/>
        <v>123056.87022224173</v>
      </c>
      <c r="O85" s="1328">
        <f t="shared" ca="1" si="48"/>
        <v>121059.17130055215</v>
      </c>
      <c r="P85" s="1325">
        <f t="shared" ca="1" si="48"/>
        <v>121371.87480055215</v>
      </c>
      <c r="Q85" s="1325">
        <f t="shared" ca="1" si="48"/>
        <v>121684.57830055212</v>
      </c>
      <c r="R85" s="1325">
        <f t="shared" ca="1" si="48"/>
        <v>121997.28180055213</v>
      </c>
      <c r="S85" s="1325">
        <f t="shared" ca="1" si="48"/>
        <v>122309.98530055213</v>
      </c>
      <c r="T85" s="1329">
        <f t="shared" ca="1" si="48"/>
        <v>120358.49442729633</v>
      </c>
      <c r="U85" s="1325">
        <f t="shared" ca="1" si="48"/>
        <v>118628.84392729632</v>
      </c>
      <c r="V85" s="1325">
        <f t="shared" ca="1" si="48"/>
        <v>118895.61742729633</v>
      </c>
      <c r="W85" s="1325">
        <f t="shared" si="48"/>
        <v>114849.6927887827</v>
      </c>
      <c r="X85" s="1325">
        <f t="shared" si="48"/>
        <v>115116.46628878271</v>
      </c>
      <c r="Y85" s="1325">
        <f t="shared" si="48"/>
        <v>113164.329302992</v>
      </c>
      <c r="Z85" s="1325">
        <f t="shared" si="48"/>
        <v>148297.71605299201</v>
      </c>
      <c r="AA85" s="1325">
        <f t="shared" si="48"/>
        <v>148297.71605299201</v>
      </c>
      <c r="AB85" s="1325">
        <f t="shared" si="48"/>
        <v>148297.71605299201</v>
      </c>
      <c r="AC85" s="1325">
        <f t="shared" si="48"/>
        <v>148297.71605299201</v>
      </c>
      <c r="AD85" s="1325">
        <f t="shared" si="48"/>
        <v>146123.18377691714</v>
      </c>
      <c r="AE85" s="1330">
        <f ca="1">SUM(E85:AD85)</f>
        <v>2717766.5882792021</v>
      </c>
    </row>
    <row r="86" spans="1:31" s="1278" customFormat="1" ht="10.5" customHeight="1">
      <c r="A86" s="1276"/>
      <c r="B86" s="1331">
        <v>1</v>
      </c>
      <c r="C86" s="1277"/>
      <c r="D86" s="1230" t="s">
        <v>820</v>
      </c>
      <c r="E86" s="1320">
        <f t="shared" ref="E86:E111" si="49">E85</f>
        <v>-362360.42599999998</v>
      </c>
      <c r="F86" s="1320">
        <f>F63-F50</f>
        <v>5361613.4852054799</v>
      </c>
    </row>
    <row r="87" spans="1:31" s="1278" customFormat="1" ht="10.5" customHeight="1">
      <c r="A87" s="1276"/>
      <c r="B87" s="1331">
        <v>2</v>
      </c>
      <c r="C87" s="1277"/>
      <c r="D87" s="1230" t="s">
        <v>820</v>
      </c>
      <c r="E87" s="1320">
        <f t="shared" si="49"/>
        <v>-362360.42599999998</v>
      </c>
      <c r="F87" s="1320">
        <f t="shared" ref="F87:U108" ca="1" si="50">F88</f>
        <v>69175.956372616944</v>
      </c>
      <c r="G87" s="1320">
        <f>G63-G50</f>
        <v>5379113.4852054799</v>
      </c>
    </row>
    <row r="88" spans="1:31" s="1278" customFormat="1" ht="10.5" customHeight="1">
      <c r="A88" s="1276"/>
      <c r="B88" s="1331">
        <v>3</v>
      </c>
      <c r="C88" s="1277"/>
      <c r="D88" s="1230" t="s">
        <v>820</v>
      </c>
      <c r="E88" s="1320">
        <f t="shared" si="49"/>
        <v>-362360.42599999998</v>
      </c>
      <c r="F88" s="1320">
        <f t="shared" ca="1" si="50"/>
        <v>69175.956372616944</v>
      </c>
      <c r="G88" s="1320">
        <f t="shared" ca="1" si="50"/>
        <v>143639.24921376174</v>
      </c>
      <c r="H88" s="1320">
        <f>H63-H50</f>
        <v>5396613.4852054799</v>
      </c>
    </row>
    <row r="89" spans="1:31" s="1278" customFormat="1" ht="10.5" customHeight="1">
      <c r="A89" s="1276"/>
      <c r="B89" s="1331">
        <v>4</v>
      </c>
      <c r="C89" s="1277"/>
      <c r="D89" s="1230" t="s">
        <v>820</v>
      </c>
      <c r="E89" s="1320">
        <f t="shared" si="49"/>
        <v>-362360.42599999998</v>
      </c>
      <c r="F89" s="1320">
        <f t="shared" ca="1" si="50"/>
        <v>69175.956372616944</v>
      </c>
      <c r="G89" s="1320">
        <f t="shared" ca="1" si="50"/>
        <v>143639.24921376174</v>
      </c>
      <c r="H89" s="1321">
        <f t="shared" ca="1" si="50"/>
        <v>143794.45271376174</v>
      </c>
      <c r="I89" s="1320">
        <f>I63-I50</f>
        <v>5414113.4852054799</v>
      </c>
    </row>
    <row r="90" spans="1:31" s="1278" customFormat="1" ht="10.5" customHeight="1">
      <c r="A90" s="1276"/>
      <c r="B90" s="1331">
        <v>5</v>
      </c>
      <c r="C90" s="1277"/>
      <c r="D90" s="1230" t="s">
        <v>820</v>
      </c>
      <c r="E90" s="1320">
        <f t="shared" si="49"/>
        <v>-362360.42599999998</v>
      </c>
      <c r="F90" s="1320">
        <f t="shared" ca="1" si="50"/>
        <v>69175.956372616944</v>
      </c>
      <c r="G90" s="1320">
        <f t="shared" ca="1" si="50"/>
        <v>143639.24921376174</v>
      </c>
      <c r="H90" s="1321">
        <f t="shared" ca="1" si="50"/>
        <v>143794.45271376174</v>
      </c>
      <c r="I90" s="1320">
        <f t="shared" ca="1" si="50"/>
        <v>143949.65621376174</v>
      </c>
      <c r="J90" s="1320">
        <f>J63-J50</f>
        <v>5317731.2155013699</v>
      </c>
    </row>
    <row r="91" spans="1:31" s="1278" customFormat="1" ht="10.5" customHeight="1">
      <c r="A91" s="1276"/>
      <c r="B91" s="1331">
        <v>6</v>
      </c>
      <c r="C91" s="1277"/>
      <c r="D91" s="1230" t="s">
        <v>820</v>
      </c>
      <c r="E91" s="1320">
        <f t="shared" si="49"/>
        <v>-362360.42599999998</v>
      </c>
      <c r="F91" s="1320">
        <f t="shared" ca="1" si="50"/>
        <v>69175.956372616944</v>
      </c>
      <c r="G91" s="1320">
        <f t="shared" ca="1" si="50"/>
        <v>143639.24921376174</v>
      </c>
      <c r="H91" s="1321">
        <f t="shared" ca="1" si="50"/>
        <v>143794.45271376174</v>
      </c>
      <c r="I91" s="1320">
        <f t="shared" ca="1" si="50"/>
        <v>143949.65621376174</v>
      </c>
      <c r="J91" s="1322">
        <f t="shared" ca="1" si="50"/>
        <v>141747.30622224175</v>
      </c>
      <c r="K91" s="1320">
        <f>K63-K50</f>
        <v>5335231.2155013699</v>
      </c>
    </row>
    <row r="92" spans="1:31" s="1278" customFormat="1" ht="10.5" customHeight="1">
      <c r="A92" s="1276"/>
      <c r="B92" s="1331">
        <v>7</v>
      </c>
      <c r="C92" s="1277"/>
      <c r="D92" s="1230" t="s">
        <v>820</v>
      </c>
      <c r="E92" s="1320">
        <f t="shared" si="49"/>
        <v>-362360.42599999998</v>
      </c>
      <c r="F92" s="1320">
        <f t="shared" ca="1" si="50"/>
        <v>69175.956372616944</v>
      </c>
      <c r="G92" s="1320">
        <f t="shared" ca="1" si="50"/>
        <v>143639.24921376174</v>
      </c>
      <c r="H92" s="1321">
        <f t="shared" ca="1" si="50"/>
        <v>143794.45271376174</v>
      </c>
      <c r="I92" s="1320">
        <f t="shared" ca="1" si="50"/>
        <v>143949.65621376174</v>
      </c>
      <c r="J92" s="1322">
        <f t="shared" ca="1" si="50"/>
        <v>141747.30622224175</v>
      </c>
      <c r="K92" s="1320">
        <f t="shared" ca="1" si="50"/>
        <v>141902.50972224172</v>
      </c>
      <c r="L92" s="1320">
        <f>L63-L50</f>
        <v>5352731.2155013699</v>
      </c>
    </row>
    <row r="93" spans="1:31" s="1278" customFormat="1" ht="10.5" customHeight="1">
      <c r="A93" s="1276"/>
      <c r="B93" s="1331">
        <v>8</v>
      </c>
      <c r="C93" s="1277"/>
      <c r="D93" s="1230" t="s">
        <v>820</v>
      </c>
      <c r="E93" s="1320">
        <f t="shared" si="49"/>
        <v>-362360.42599999998</v>
      </c>
      <c r="F93" s="1320">
        <f t="shared" ca="1" si="50"/>
        <v>69175.956372616944</v>
      </c>
      <c r="G93" s="1320">
        <f t="shared" ca="1" si="50"/>
        <v>143639.24921376174</v>
      </c>
      <c r="H93" s="1321">
        <f t="shared" ca="1" si="50"/>
        <v>143794.45271376174</v>
      </c>
      <c r="I93" s="1320">
        <f t="shared" ca="1" si="50"/>
        <v>143949.65621376174</v>
      </c>
      <c r="J93" s="1322">
        <f t="shared" ca="1" si="50"/>
        <v>141747.30622224175</v>
      </c>
      <c r="K93" s="1320">
        <f t="shared" ca="1" si="50"/>
        <v>141902.50972224172</v>
      </c>
      <c r="L93" s="1320">
        <f t="shared" ca="1" si="50"/>
        <v>142057.71322224173</v>
      </c>
      <c r="M93" s="1320">
        <f>M63-M50</f>
        <v>5370231.2155013699</v>
      </c>
    </row>
    <row r="94" spans="1:31" s="1278" customFormat="1" ht="10.5" customHeight="1">
      <c r="A94" s="1276"/>
      <c r="B94" s="1331">
        <v>9</v>
      </c>
      <c r="C94" s="1277"/>
      <c r="D94" s="1230" t="s">
        <v>820</v>
      </c>
      <c r="E94" s="1320">
        <f t="shared" si="49"/>
        <v>-362360.42599999998</v>
      </c>
      <c r="F94" s="1320">
        <f t="shared" ca="1" si="50"/>
        <v>69175.956372616944</v>
      </c>
      <c r="G94" s="1320">
        <f t="shared" ca="1" si="50"/>
        <v>143639.24921376174</v>
      </c>
      <c r="H94" s="1321">
        <f t="shared" ca="1" si="50"/>
        <v>143794.45271376174</v>
      </c>
      <c r="I94" s="1320">
        <f t="shared" ca="1" si="50"/>
        <v>143949.65621376174</v>
      </c>
      <c r="J94" s="1322">
        <f t="shared" ca="1" si="50"/>
        <v>141747.30622224175</v>
      </c>
      <c r="K94" s="1320">
        <f t="shared" ca="1" si="50"/>
        <v>141902.50972224172</v>
      </c>
      <c r="L94" s="1320">
        <f t="shared" ca="1" si="50"/>
        <v>142057.71322224173</v>
      </c>
      <c r="M94" s="1320">
        <f t="shared" ca="1" si="50"/>
        <v>142212.91672224173</v>
      </c>
      <c r="N94" s="1320">
        <f>N63-N50</f>
        <v>5387731.2155013699</v>
      </c>
    </row>
    <row r="95" spans="1:31" s="1278" customFormat="1" ht="10.5" customHeight="1">
      <c r="A95" s="1276"/>
      <c r="B95" s="1331">
        <v>10</v>
      </c>
      <c r="C95" s="1277"/>
      <c r="D95" s="1230" t="s">
        <v>820</v>
      </c>
      <c r="E95" s="1320">
        <f t="shared" si="49"/>
        <v>-362360.42599999998</v>
      </c>
      <c r="F95" s="1320">
        <f t="shared" ca="1" si="50"/>
        <v>69175.956372616944</v>
      </c>
      <c r="G95" s="1320">
        <f t="shared" ca="1" si="50"/>
        <v>143639.24921376174</v>
      </c>
      <c r="H95" s="1321">
        <f t="shared" ca="1" si="50"/>
        <v>143794.45271376174</v>
      </c>
      <c r="I95" s="1320">
        <f t="shared" ca="1" si="50"/>
        <v>143949.65621376174</v>
      </c>
      <c r="J95" s="1322">
        <f t="shared" ca="1" si="50"/>
        <v>141747.30622224175</v>
      </c>
      <c r="K95" s="1320">
        <f t="shared" ca="1" si="50"/>
        <v>141902.50972224172</v>
      </c>
      <c r="L95" s="1320">
        <f t="shared" ca="1" si="50"/>
        <v>142057.71322224173</v>
      </c>
      <c r="M95" s="1320">
        <f t="shared" ca="1" si="50"/>
        <v>142212.91672224173</v>
      </c>
      <c r="N95" s="1320">
        <f t="shared" ca="1" si="50"/>
        <v>142368.12022224173</v>
      </c>
      <c r="O95" s="1320">
        <f>O63-O50</f>
        <v>4971942.6740624402</v>
      </c>
    </row>
    <row r="96" spans="1:31" s="1278" customFormat="1" ht="10.5" customHeight="1">
      <c r="A96" s="1276"/>
      <c r="B96" s="1331">
        <v>11</v>
      </c>
      <c r="C96" s="1277"/>
      <c r="D96" s="1230" t="s">
        <v>820</v>
      </c>
      <c r="E96" s="1320">
        <f t="shared" si="49"/>
        <v>-362360.42599999998</v>
      </c>
      <c r="F96" s="1320">
        <f t="shared" ca="1" si="50"/>
        <v>69175.956372616944</v>
      </c>
      <c r="G96" s="1320">
        <f t="shared" ca="1" si="50"/>
        <v>143639.24921376174</v>
      </c>
      <c r="H96" s="1321">
        <f t="shared" ca="1" si="50"/>
        <v>143794.45271376174</v>
      </c>
      <c r="I96" s="1320">
        <f t="shared" ca="1" si="50"/>
        <v>143949.65621376174</v>
      </c>
      <c r="J96" s="1322">
        <f t="shared" ca="1" si="50"/>
        <v>141747.30622224175</v>
      </c>
      <c r="K96" s="1320">
        <f t="shared" ca="1" si="50"/>
        <v>141902.50972224172</v>
      </c>
      <c r="L96" s="1320">
        <f t="shared" ca="1" si="50"/>
        <v>142057.71322224173</v>
      </c>
      <c r="M96" s="1320">
        <f t="shared" ca="1" si="50"/>
        <v>142212.91672224173</v>
      </c>
      <c r="N96" s="1320">
        <f t="shared" ca="1" si="50"/>
        <v>142368.12022224173</v>
      </c>
      <c r="O96" s="1323">
        <f t="shared" ca="1" si="50"/>
        <v>140212.92130055215</v>
      </c>
      <c r="P96" s="1320">
        <f>P63-P50</f>
        <v>4989442.6740624402</v>
      </c>
    </row>
    <row r="97" spans="1:31" s="1278" customFormat="1" ht="10.5" customHeight="1">
      <c r="A97" s="1276"/>
      <c r="B97" s="1331">
        <v>12</v>
      </c>
      <c r="C97" s="1277"/>
      <c r="D97" s="1230" t="s">
        <v>820</v>
      </c>
      <c r="E97" s="1320">
        <f t="shared" si="49"/>
        <v>-362360.42599999998</v>
      </c>
      <c r="F97" s="1320">
        <f t="shared" ca="1" si="50"/>
        <v>69175.956372616944</v>
      </c>
      <c r="G97" s="1320">
        <f t="shared" ca="1" si="50"/>
        <v>143639.24921376174</v>
      </c>
      <c r="H97" s="1321">
        <f t="shared" ca="1" si="50"/>
        <v>143794.45271376174</v>
      </c>
      <c r="I97" s="1320">
        <f t="shared" ca="1" si="50"/>
        <v>143949.65621376174</v>
      </c>
      <c r="J97" s="1322">
        <f t="shared" ca="1" si="50"/>
        <v>141747.30622224175</v>
      </c>
      <c r="K97" s="1320">
        <f t="shared" ca="1" si="50"/>
        <v>141902.50972224172</v>
      </c>
      <c r="L97" s="1320">
        <f t="shared" ca="1" si="50"/>
        <v>142057.71322224173</v>
      </c>
      <c r="M97" s="1320">
        <f t="shared" ca="1" si="50"/>
        <v>142212.91672224173</v>
      </c>
      <c r="N97" s="1320">
        <f t="shared" ca="1" si="50"/>
        <v>142368.12022224173</v>
      </c>
      <c r="O97" s="1323">
        <f t="shared" ca="1" si="50"/>
        <v>140212.92130055215</v>
      </c>
      <c r="P97" s="1320">
        <f t="shared" ca="1" si="50"/>
        <v>140368.12480055215</v>
      </c>
      <c r="Q97" s="1320">
        <f>Q63-Q50</f>
        <v>5006942.6740624402</v>
      </c>
    </row>
    <row r="98" spans="1:31" s="1278" customFormat="1" ht="10.5" customHeight="1">
      <c r="A98" s="1276"/>
      <c r="B98" s="1331">
        <v>13</v>
      </c>
      <c r="C98" s="1277"/>
      <c r="D98" s="1230" t="s">
        <v>820</v>
      </c>
      <c r="E98" s="1320">
        <f t="shared" si="49"/>
        <v>-362360.42599999998</v>
      </c>
      <c r="F98" s="1320">
        <f t="shared" ca="1" si="50"/>
        <v>69175.956372616944</v>
      </c>
      <c r="G98" s="1320">
        <f t="shared" ca="1" si="50"/>
        <v>143639.24921376174</v>
      </c>
      <c r="H98" s="1321">
        <f t="shared" ca="1" si="50"/>
        <v>143794.45271376174</v>
      </c>
      <c r="I98" s="1320">
        <f t="shared" ca="1" si="50"/>
        <v>143949.65621376174</v>
      </c>
      <c r="J98" s="1322">
        <f t="shared" ca="1" si="50"/>
        <v>141747.30622224175</v>
      </c>
      <c r="K98" s="1320">
        <f t="shared" ca="1" si="50"/>
        <v>141902.50972224172</v>
      </c>
      <c r="L98" s="1320">
        <f t="shared" ca="1" si="50"/>
        <v>142057.71322224173</v>
      </c>
      <c r="M98" s="1320">
        <f t="shared" ca="1" si="50"/>
        <v>142212.91672224173</v>
      </c>
      <c r="N98" s="1320">
        <f t="shared" ca="1" si="50"/>
        <v>142368.12022224173</v>
      </c>
      <c r="O98" s="1323">
        <f t="shared" ca="1" si="50"/>
        <v>140212.92130055215</v>
      </c>
      <c r="P98" s="1320">
        <f t="shared" ca="1" si="50"/>
        <v>140368.12480055215</v>
      </c>
      <c r="Q98" s="1320">
        <f t="shared" ca="1" si="50"/>
        <v>140523.32830055212</v>
      </c>
      <c r="R98" s="1320">
        <f>R63-R50</f>
        <v>5024442.6740624402</v>
      </c>
    </row>
    <row r="99" spans="1:31" s="1278" customFormat="1" ht="10.5" customHeight="1">
      <c r="A99" s="1276"/>
      <c r="B99" s="1331">
        <v>14</v>
      </c>
      <c r="C99" s="1277"/>
      <c r="D99" s="1230" t="s">
        <v>820</v>
      </c>
      <c r="E99" s="1320">
        <f t="shared" si="49"/>
        <v>-362360.42599999998</v>
      </c>
      <c r="F99" s="1320">
        <f t="shared" ca="1" si="50"/>
        <v>69175.956372616944</v>
      </c>
      <c r="G99" s="1320">
        <f t="shared" ca="1" si="50"/>
        <v>143639.24921376174</v>
      </c>
      <c r="H99" s="1321">
        <f t="shared" ca="1" si="50"/>
        <v>143794.45271376174</v>
      </c>
      <c r="I99" s="1320">
        <f t="shared" ca="1" si="50"/>
        <v>143949.65621376174</v>
      </c>
      <c r="J99" s="1322">
        <f t="shared" ca="1" si="50"/>
        <v>141747.30622224175</v>
      </c>
      <c r="K99" s="1320">
        <f t="shared" ca="1" si="50"/>
        <v>141902.50972224172</v>
      </c>
      <c r="L99" s="1320">
        <f t="shared" ca="1" si="50"/>
        <v>142057.71322224173</v>
      </c>
      <c r="M99" s="1320">
        <f t="shared" ca="1" si="50"/>
        <v>142212.91672224173</v>
      </c>
      <c r="N99" s="1320">
        <f t="shared" ca="1" si="50"/>
        <v>142368.12022224173</v>
      </c>
      <c r="O99" s="1323">
        <f t="shared" ca="1" si="50"/>
        <v>140212.92130055215</v>
      </c>
      <c r="P99" s="1320">
        <f t="shared" ca="1" si="50"/>
        <v>140368.12480055215</v>
      </c>
      <c r="Q99" s="1320">
        <f t="shared" ca="1" si="50"/>
        <v>140523.32830055212</v>
      </c>
      <c r="R99" s="1320">
        <f t="shared" ca="1" si="50"/>
        <v>140678.53180055213</v>
      </c>
      <c r="S99" s="1320">
        <f>S63-S50</f>
        <v>5041942.6740624402</v>
      </c>
    </row>
    <row r="100" spans="1:31" s="1278" customFormat="1" ht="10.5" customHeight="1">
      <c r="A100" s="1276"/>
      <c r="B100" s="1331">
        <v>15</v>
      </c>
      <c r="C100" s="1277"/>
      <c r="D100" s="1230" t="s">
        <v>820</v>
      </c>
      <c r="E100" s="1320">
        <f t="shared" si="49"/>
        <v>-362360.42599999998</v>
      </c>
      <c r="F100" s="1320">
        <f t="shared" ca="1" si="50"/>
        <v>69175.956372616944</v>
      </c>
      <c r="G100" s="1320">
        <f t="shared" ca="1" si="50"/>
        <v>143639.24921376174</v>
      </c>
      <c r="H100" s="1321">
        <f t="shared" ca="1" si="50"/>
        <v>143794.45271376174</v>
      </c>
      <c r="I100" s="1320">
        <f t="shared" ca="1" si="50"/>
        <v>143949.65621376174</v>
      </c>
      <c r="J100" s="1322">
        <f t="shared" ca="1" si="50"/>
        <v>141747.30622224175</v>
      </c>
      <c r="K100" s="1320">
        <f t="shared" ca="1" si="50"/>
        <v>141902.50972224172</v>
      </c>
      <c r="L100" s="1320">
        <f t="shared" ca="1" si="50"/>
        <v>142057.71322224173</v>
      </c>
      <c r="M100" s="1320">
        <f t="shared" ca="1" si="50"/>
        <v>142212.91672224173</v>
      </c>
      <c r="N100" s="1320">
        <f t="shared" ca="1" si="50"/>
        <v>142368.12022224173</v>
      </c>
      <c r="O100" s="1323">
        <f t="shared" ca="1" si="50"/>
        <v>140212.92130055215</v>
      </c>
      <c r="P100" s="1320">
        <f t="shared" ca="1" si="50"/>
        <v>140368.12480055215</v>
      </c>
      <c r="Q100" s="1320">
        <f t="shared" ca="1" si="50"/>
        <v>140523.32830055212</v>
      </c>
      <c r="R100" s="1320">
        <f t="shared" ca="1" si="50"/>
        <v>140678.53180055213</v>
      </c>
      <c r="S100" s="1320">
        <f t="shared" ca="1" si="50"/>
        <v>140833.73530055213</v>
      </c>
      <c r="T100" s="1320">
        <f>T63-T50</f>
        <v>4676281.386104458</v>
      </c>
    </row>
    <row r="101" spans="1:31" s="1278" customFormat="1" ht="10.5" customHeight="1">
      <c r="A101" s="1276"/>
      <c r="B101" s="1331">
        <v>16</v>
      </c>
      <c r="C101" s="1277"/>
      <c r="D101" s="1230" t="s">
        <v>820</v>
      </c>
      <c r="E101" s="1320">
        <f t="shared" si="49"/>
        <v>-362360.42599999998</v>
      </c>
      <c r="F101" s="1320">
        <f t="shared" ca="1" si="50"/>
        <v>69175.956372616944</v>
      </c>
      <c r="G101" s="1320">
        <f t="shared" ca="1" si="50"/>
        <v>143639.24921376174</v>
      </c>
      <c r="H101" s="1321">
        <f t="shared" ca="1" si="50"/>
        <v>143794.45271376174</v>
      </c>
      <c r="I101" s="1320">
        <f t="shared" ca="1" si="50"/>
        <v>143949.65621376174</v>
      </c>
      <c r="J101" s="1322">
        <f t="shared" ca="1" si="50"/>
        <v>141747.30622224175</v>
      </c>
      <c r="K101" s="1320">
        <f t="shared" ca="1" si="50"/>
        <v>141902.50972224172</v>
      </c>
      <c r="L101" s="1320">
        <f t="shared" ca="1" si="50"/>
        <v>142057.71322224173</v>
      </c>
      <c r="M101" s="1320">
        <f t="shared" ca="1" si="50"/>
        <v>142212.91672224173</v>
      </c>
      <c r="N101" s="1320">
        <f t="shared" ca="1" si="50"/>
        <v>142368.12022224173</v>
      </c>
      <c r="O101" s="1323">
        <f t="shared" ca="1" si="50"/>
        <v>140212.92130055215</v>
      </c>
      <c r="P101" s="1320">
        <f t="shared" ca="1" si="50"/>
        <v>140368.12480055215</v>
      </c>
      <c r="Q101" s="1320">
        <f t="shared" ca="1" si="50"/>
        <v>140523.32830055212</v>
      </c>
      <c r="R101" s="1320">
        <f t="shared" ca="1" si="50"/>
        <v>140678.53180055213</v>
      </c>
      <c r="S101" s="1320">
        <f t="shared" ca="1" si="50"/>
        <v>140833.73530055213</v>
      </c>
      <c r="T101" s="1324">
        <f t="shared" ca="1" si="50"/>
        <v>138724.74442729633</v>
      </c>
      <c r="U101" s="1320">
        <f>U63-U50</f>
        <v>4693781.386104458</v>
      </c>
    </row>
    <row r="102" spans="1:31" s="1278" customFormat="1" ht="10.5" customHeight="1">
      <c r="A102" s="1276"/>
      <c r="B102" s="1331">
        <v>17</v>
      </c>
      <c r="C102" s="1277"/>
      <c r="D102" s="1230" t="s">
        <v>820</v>
      </c>
      <c r="E102" s="1320">
        <f t="shared" si="49"/>
        <v>-362360.42599999998</v>
      </c>
      <c r="F102" s="1320">
        <f t="shared" ca="1" si="50"/>
        <v>69175.956372616944</v>
      </c>
      <c r="G102" s="1320">
        <f t="shared" ca="1" si="50"/>
        <v>143639.24921376174</v>
      </c>
      <c r="H102" s="1321">
        <f t="shared" ca="1" si="50"/>
        <v>143794.45271376174</v>
      </c>
      <c r="I102" s="1320">
        <f t="shared" ca="1" si="50"/>
        <v>143949.65621376174</v>
      </c>
      <c r="J102" s="1322">
        <f t="shared" ca="1" si="50"/>
        <v>141747.30622224175</v>
      </c>
      <c r="K102" s="1320">
        <f t="shared" ca="1" si="50"/>
        <v>141902.50972224172</v>
      </c>
      <c r="L102" s="1320">
        <f t="shared" ca="1" si="50"/>
        <v>142057.71322224173</v>
      </c>
      <c r="M102" s="1320">
        <f t="shared" ca="1" si="50"/>
        <v>142212.91672224173</v>
      </c>
      <c r="N102" s="1320">
        <f t="shared" ca="1" si="50"/>
        <v>142368.12022224173</v>
      </c>
      <c r="O102" s="1323">
        <f t="shared" ca="1" si="50"/>
        <v>140212.92130055215</v>
      </c>
      <c r="P102" s="1320">
        <f t="shared" ca="1" si="50"/>
        <v>140368.12480055215</v>
      </c>
      <c r="Q102" s="1320">
        <f t="shared" ca="1" si="50"/>
        <v>140523.32830055212</v>
      </c>
      <c r="R102" s="1320">
        <f t="shared" ca="1" si="50"/>
        <v>140678.53180055213</v>
      </c>
      <c r="S102" s="1320">
        <f t="shared" ca="1" si="50"/>
        <v>140833.73530055213</v>
      </c>
      <c r="T102" s="1324">
        <f t="shared" ca="1" si="50"/>
        <v>138724.74442729633</v>
      </c>
      <c r="U102" s="1320">
        <f t="shared" ca="1" si="50"/>
        <v>136837.59392729632</v>
      </c>
      <c r="V102" s="1320">
        <f>V63-V50</f>
        <v>4711281.386104458</v>
      </c>
    </row>
    <row r="103" spans="1:31" s="1278" customFormat="1" ht="10.5" customHeight="1">
      <c r="A103" s="1276"/>
      <c r="B103" s="1331">
        <v>18</v>
      </c>
      <c r="C103" s="1277"/>
      <c r="D103" s="1230" t="s">
        <v>820</v>
      </c>
      <c r="E103" s="1320">
        <f t="shared" si="49"/>
        <v>-362360.42599999998</v>
      </c>
      <c r="F103" s="1320">
        <f t="shared" ca="1" si="50"/>
        <v>69175.956372616944</v>
      </c>
      <c r="G103" s="1320">
        <f t="shared" ca="1" si="50"/>
        <v>143639.24921376174</v>
      </c>
      <c r="H103" s="1321">
        <f t="shared" ca="1" si="50"/>
        <v>143794.45271376174</v>
      </c>
      <c r="I103" s="1320">
        <f t="shared" ca="1" si="50"/>
        <v>143949.65621376174</v>
      </c>
      <c r="J103" s="1322">
        <f t="shared" ca="1" si="50"/>
        <v>141747.30622224175</v>
      </c>
      <c r="K103" s="1320">
        <f t="shared" ca="1" si="50"/>
        <v>141902.50972224172</v>
      </c>
      <c r="L103" s="1320">
        <f t="shared" ca="1" si="50"/>
        <v>142057.71322224173</v>
      </c>
      <c r="M103" s="1320">
        <f t="shared" ca="1" si="50"/>
        <v>142212.91672224173</v>
      </c>
      <c r="N103" s="1320">
        <f t="shared" ca="1" si="50"/>
        <v>142368.12022224173</v>
      </c>
      <c r="O103" s="1323">
        <f t="shared" ca="1" si="50"/>
        <v>140212.92130055215</v>
      </c>
      <c r="P103" s="1320">
        <f t="shared" ca="1" si="50"/>
        <v>140368.12480055215</v>
      </c>
      <c r="Q103" s="1320">
        <f t="shared" ca="1" si="50"/>
        <v>140523.32830055212</v>
      </c>
      <c r="R103" s="1320">
        <f t="shared" ca="1" si="50"/>
        <v>140678.53180055213</v>
      </c>
      <c r="S103" s="1320">
        <f t="shared" ca="1" si="50"/>
        <v>140833.73530055213</v>
      </c>
      <c r="T103" s="1324">
        <f t="shared" ca="1" si="50"/>
        <v>138724.74442729633</v>
      </c>
      <c r="U103" s="1320">
        <f t="shared" ca="1" si="50"/>
        <v>136837.59392729632</v>
      </c>
      <c r="V103" s="1320">
        <f t="shared" ref="V103:V108" ca="1" si="51">V104</f>
        <v>136946.86742729633</v>
      </c>
      <c r="W103" s="1320">
        <f>W63-W50</f>
        <v>4728781.386104458</v>
      </c>
    </row>
    <row r="104" spans="1:31" s="1278" customFormat="1" ht="10.5" customHeight="1">
      <c r="A104" s="1276"/>
      <c r="B104" s="1331">
        <v>19</v>
      </c>
      <c r="C104" s="1277"/>
      <c r="D104" s="1230" t="s">
        <v>821</v>
      </c>
      <c r="E104" s="1320">
        <f t="shared" si="49"/>
        <v>-362360.42599999998</v>
      </c>
      <c r="F104" s="1320">
        <f t="shared" ca="1" si="50"/>
        <v>69175.956372616944</v>
      </c>
      <c r="G104" s="1320">
        <f t="shared" ca="1" si="50"/>
        <v>143639.24921376174</v>
      </c>
      <c r="H104" s="1321">
        <f t="shared" ca="1" si="50"/>
        <v>143794.45271376174</v>
      </c>
      <c r="I104" s="1320">
        <f t="shared" ca="1" si="50"/>
        <v>143949.65621376174</v>
      </c>
      <c r="J104" s="1322">
        <f t="shared" ca="1" si="50"/>
        <v>141747.30622224175</v>
      </c>
      <c r="K104" s="1320">
        <f t="shared" ca="1" si="50"/>
        <v>141902.50972224172</v>
      </c>
      <c r="L104" s="1320">
        <f t="shared" ca="1" si="50"/>
        <v>142057.71322224173</v>
      </c>
      <c r="M104" s="1320">
        <f t="shared" ca="1" si="50"/>
        <v>142212.91672224173</v>
      </c>
      <c r="N104" s="1320">
        <f t="shared" ca="1" si="50"/>
        <v>142368.12022224173</v>
      </c>
      <c r="O104" s="1323">
        <f t="shared" ca="1" si="50"/>
        <v>140212.92130055215</v>
      </c>
      <c r="P104" s="1320">
        <f t="shared" ca="1" si="50"/>
        <v>140368.12480055215</v>
      </c>
      <c r="Q104" s="1320">
        <f t="shared" ca="1" si="50"/>
        <v>140523.32830055212</v>
      </c>
      <c r="R104" s="1320">
        <f t="shared" ca="1" si="50"/>
        <v>140678.53180055213</v>
      </c>
      <c r="S104" s="1320">
        <f t="shared" ca="1" si="50"/>
        <v>140833.73530055213</v>
      </c>
      <c r="T104" s="1324">
        <f t="shared" ca="1" si="50"/>
        <v>138724.74442729633</v>
      </c>
      <c r="U104" s="1320">
        <f t="shared" ca="1" si="50"/>
        <v>136837.59392729632</v>
      </c>
      <c r="V104" s="1320">
        <f t="shared" ca="1" si="51"/>
        <v>136946.86742729633</v>
      </c>
      <c r="W104" s="1320">
        <f>W105</f>
        <v>132743.4427887827</v>
      </c>
      <c r="X104" s="1320">
        <f>X63-X50</f>
        <v>4746281.386104458</v>
      </c>
    </row>
    <row r="105" spans="1:31" s="1278" customFormat="1" ht="10.5" customHeight="1">
      <c r="A105" s="1276"/>
      <c r="B105" s="1331">
        <v>20</v>
      </c>
      <c r="C105" s="1277"/>
      <c r="D105" s="1230" t="s">
        <v>821</v>
      </c>
      <c r="E105" s="1320">
        <f t="shared" si="49"/>
        <v>-362360.42599999998</v>
      </c>
      <c r="F105" s="1320">
        <f t="shared" ca="1" si="50"/>
        <v>69175.956372616944</v>
      </c>
      <c r="G105" s="1320">
        <f t="shared" ca="1" si="50"/>
        <v>143639.24921376174</v>
      </c>
      <c r="H105" s="1321">
        <f t="shared" ca="1" si="50"/>
        <v>143794.45271376174</v>
      </c>
      <c r="I105" s="1320">
        <f t="shared" ca="1" si="50"/>
        <v>143949.65621376174</v>
      </c>
      <c r="J105" s="1322">
        <f t="shared" ca="1" si="50"/>
        <v>141747.30622224175</v>
      </c>
      <c r="K105" s="1320">
        <f t="shared" ca="1" si="50"/>
        <v>141902.50972224172</v>
      </c>
      <c r="L105" s="1320">
        <f t="shared" ca="1" si="50"/>
        <v>142057.71322224173</v>
      </c>
      <c r="M105" s="1320">
        <f t="shared" ca="1" si="50"/>
        <v>142212.91672224173</v>
      </c>
      <c r="N105" s="1320">
        <f t="shared" ca="1" si="50"/>
        <v>142368.12022224173</v>
      </c>
      <c r="O105" s="1323">
        <f t="shared" ca="1" si="50"/>
        <v>140212.92130055215</v>
      </c>
      <c r="P105" s="1320">
        <f t="shared" ca="1" si="50"/>
        <v>140368.12480055215</v>
      </c>
      <c r="Q105" s="1320">
        <f t="shared" ca="1" si="50"/>
        <v>140523.32830055212</v>
      </c>
      <c r="R105" s="1320">
        <f t="shared" ca="1" si="50"/>
        <v>140678.53180055213</v>
      </c>
      <c r="S105" s="1320">
        <f t="shared" ca="1" si="50"/>
        <v>140833.73530055213</v>
      </c>
      <c r="T105" s="1324">
        <f t="shared" ca="1" si="50"/>
        <v>138724.74442729633</v>
      </c>
      <c r="U105" s="1320">
        <f t="shared" ca="1" si="50"/>
        <v>136837.59392729632</v>
      </c>
      <c r="V105" s="1320">
        <f t="shared" ca="1" si="51"/>
        <v>136946.86742729633</v>
      </c>
      <c r="W105" s="1320">
        <f>W106</f>
        <v>132743.4427887827</v>
      </c>
      <c r="X105" s="1322">
        <f>X106</f>
        <v>132852.71628878271</v>
      </c>
      <c r="Y105" s="1320">
        <f>Y63-Y50</f>
        <v>4422794.928993823</v>
      </c>
    </row>
    <row r="106" spans="1:31" s="1278" customFormat="1" ht="10.5" customHeight="1">
      <c r="A106" s="1276"/>
      <c r="B106" s="1331">
        <v>21</v>
      </c>
      <c r="C106" s="1277"/>
      <c r="D106" s="1230" t="s">
        <v>819</v>
      </c>
      <c r="E106" s="1320">
        <f t="shared" si="49"/>
        <v>-362360.42599999998</v>
      </c>
      <c r="F106" s="1320">
        <f t="shared" ca="1" si="50"/>
        <v>69175.956372616944</v>
      </c>
      <c r="G106" s="1320">
        <f t="shared" ca="1" si="50"/>
        <v>143639.24921376174</v>
      </c>
      <c r="H106" s="1321">
        <f t="shared" ca="1" si="50"/>
        <v>143794.45271376174</v>
      </c>
      <c r="I106" s="1320">
        <f t="shared" ca="1" si="50"/>
        <v>143949.65621376174</v>
      </c>
      <c r="J106" s="1322">
        <f t="shared" ca="1" si="50"/>
        <v>141747.30622224175</v>
      </c>
      <c r="K106" s="1320">
        <f t="shared" ca="1" si="50"/>
        <v>141902.50972224172</v>
      </c>
      <c r="L106" s="1320">
        <f t="shared" ca="1" si="50"/>
        <v>142057.71322224173</v>
      </c>
      <c r="M106" s="1320">
        <f t="shared" ca="1" si="50"/>
        <v>142212.91672224173</v>
      </c>
      <c r="N106" s="1320">
        <f t="shared" ca="1" si="50"/>
        <v>142368.12022224173</v>
      </c>
      <c r="O106" s="1323">
        <f t="shared" ca="1" si="50"/>
        <v>140212.92130055215</v>
      </c>
      <c r="P106" s="1320">
        <f t="shared" ca="1" si="50"/>
        <v>140368.12480055215</v>
      </c>
      <c r="Q106" s="1320">
        <f t="shared" ca="1" si="50"/>
        <v>140523.32830055212</v>
      </c>
      <c r="R106" s="1320">
        <f t="shared" ca="1" si="50"/>
        <v>140678.53180055213</v>
      </c>
      <c r="S106" s="1320">
        <f t="shared" ca="1" si="50"/>
        <v>140833.73530055213</v>
      </c>
      <c r="T106" s="1324">
        <f t="shared" ca="1" si="50"/>
        <v>138724.74442729633</v>
      </c>
      <c r="U106" s="1320">
        <f t="shared" ca="1" si="50"/>
        <v>136837.59392729632</v>
      </c>
      <c r="V106" s="1320">
        <f t="shared" ca="1" si="51"/>
        <v>136946.86742729633</v>
      </c>
      <c r="W106" s="1320">
        <f>W107</f>
        <v>132743.4427887827</v>
      </c>
      <c r="X106" s="1322">
        <f>X107</f>
        <v>132852.71628878271</v>
      </c>
      <c r="Y106" s="1320">
        <f>Y107</f>
        <v>130743.079302992</v>
      </c>
      <c r="Z106" s="1320">
        <f>Z63-Z50</f>
        <v>4422794.928993823</v>
      </c>
    </row>
    <row r="107" spans="1:31" s="1278" customFormat="1" ht="10.5" customHeight="1">
      <c r="A107" s="1276"/>
      <c r="B107" s="1331">
        <v>22</v>
      </c>
      <c r="C107" s="1277"/>
      <c r="D107" s="1230" t="s">
        <v>820</v>
      </c>
      <c r="E107" s="1320">
        <f t="shared" si="49"/>
        <v>-362360.42599999998</v>
      </c>
      <c r="F107" s="1320">
        <f t="shared" ca="1" si="50"/>
        <v>69175.956372616944</v>
      </c>
      <c r="G107" s="1320">
        <f t="shared" ca="1" si="50"/>
        <v>143639.24921376174</v>
      </c>
      <c r="H107" s="1321">
        <f t="shared" ca="1" si="50"/>
        <v>143794.45271376174</v>
      </c>
      <c r="I107" s="1320">
        <f t="shared" ca="1" si="50"/>
        <v>143949.65621376174</v>
      </c>
      <c r="J107" s="1322">
        <f t="shared" ca="1" si="50"/>
        <v>141747.30622224175</v>
      </c>
      <c r="K107" s="1320">
        <f t="shared" ca="1" si="50"/>
        <v>141902.50972224172</v>
      </c>
      <c r="L107" s="1320">
        <f t="shared" ca="1" si="50"/>
        <v>142057.71322224173</v>
      </c>
      <c r="M107" s="1320">
        <f t="shared" ca="1" si="50"/>
        <v>142212.91672224173</v>
      </c>
      <c r="N107" s="1320">
        <f t="shared" ca="1" si="50"/>
        <v>142368.12022224173</v>
      </c>
      <c r="O107" s="1323">
        <f t="shared" ca="1" si="50"/>
        <v>140212.92130055215</v>
      </c>
      <c r="P107" s="1320">
        <f t="shared" ca="1" si="50"/>
        <v>140368.12480055215</v>
      </c>
      <c r="Q107" s="1320">
        <f t="shared" ca="1" si="50"/>
        <v>140523.32830055212</v>
      </c>
      <c r="R107" s="1320">
        <f t="shared" ca="1" si="50"/>
        <v>140678.53180055213</v>
      </c>
      <c r="S107" s="1320">
        <f t="shared" ca="1" si="50"/>
        <v>140833.73530055213</v>
      </c>
      <c r="T107" s="1324">
        <f t="shared" ca="1" si="50"/>
        <v>138724.74442729633</v>
      </c>
      <c r="U107" s="1320">
        <f t="shared" ca="1" si="50"/>
        <v>136837.59392729632</v>
      </c>
      <c r="V107" s="1320">
        <f t="shared" ca="1" si="51"/>
        <v>136946.86742729633</v>
      </c>
      <c r="W107" s="1320">
        <f>W108</f>
        <v>132743.4427887827</v>
      </c>
      <c r="X107" s="1322">
        <f>X108</f>
        <v>132852.71628878271</v>
      </c>
      <c r="Y107" s="1320">
        <f>Y108</f>
        <v>130743.079302992</v>
      </c>
      <c r="Z107" s="1320">
        <f>Z108</f>
        <v>148297.71605299201</v>
      </c>
      <c r="AA107" s="1320">
        <f>AA63-AA50</f>
        <v>4422794.928993823</v>
      </c>
    </row>
    <row r="108" spans="1:31" s="1278" customFormat="1" ht="10.5" customHeight="1">
      <c r="A108" s="1276"/>
      <c r="B108" s="1331">
        <v>23</v>
      </c>
      <c r="C108" s="1277"/>
      <c r="D108" s="1230" t="s">
        <v>821</v>
      </c>
      <c r="E108" s="1320">
        <f t="shared" si="49"/>
        <v>-362360.42599999998</v>
      </c>
      <c r="F108" s="1320">
        <f t="shared" ca="1" si="50"/>
        <v>69175.956372616944</v>
      </c>
      <c r="G108" s="1320">
        <f t="shared" ca="1" si="50"/>
        <v>143639.24921376174</v>
      </c>
      <c r="H108" s="1321">
        <f t="shared" ca="1" si="50"/>
        <v>143794.45271376174</v>
      </c>
      <c r="I108" s="1320">
        <f t="shared" ca="1" si="50"/>
        <v>143949.65621376174</v>
      </c>
      <c r="J108" s="1322">
        <f t="shared" ca="1" si="50"/>
        <v>141747.30622224175</v>
      </c>
      <c r="K108" s="1320">
        <f t="shared" ca="1" si="50"/>
        <v>141902.50972224172</v>
      </c>
      <c r="L108" s="1320">
        <f t="shared" ca="1" si="50"/>
        <v>142057.71322224173</v>
      </c>
      <c r="M108" s="1320">
        <f t="shared" ca="1" si="50"/>
        <v>142212.91672224173</v>
      </c>
      <c r="N108" s="1320">
        <f t="shared" ca="1" si="50"/>
        <v>142368.12022224173</v>
      </c>
      <c r="O108" s="1323">
        <f t="shared" ca="1" si="50"/>
        <v>140212.92130055215</v>
      </c>
      <c r="P108" s="1320">
        <f t="shared" ca="1" si="50"/>
        <v>140368.12480055215</v>
      </c>
      <c r="Q108" s="1320">
        <f t="shared" ca="1" si="50"/>
        <v>140523.32830055212</v>
      </c>
      <c r="R108" s="1320">
        <f t="shared" ca="1" si="50"/>
        <v>140678.53180055213</v>
      </c>
      <c r="S108" s="1320">
        <f t="shared" ca="1" si="50"/>
        <v>140833.73530055213</v>
      </c>
      <c r="T108" s="1324">
        <f t="shared" ca="1" si="50"/>
        <v>138724.74442729633</v>
      </c>
      <c r="U108" s="1320">
        <f t="shared" ca="1" si="50"/>
        <v>136837.59392729632</v>
      </c>
      <c r="V108" s="1320">
        <f t="shared" ca="1" si="51"/>
        <v>136946.86742729633</v>
      </c>
      <c r="W108" s="1320">
        <f>W109</f>
        <v>132743.4427887827</v>
      </c>
      <c r="X108" s="1322">
        <f>X109</f>
        <v>132852.71628878271</v>
      </c>
      <c r="Y108" s="1320">
        <f>Y109</f>
        <v>130743.079302992</v>
      </c>
      <c r="Z108" s="1320">
        <f>Z109</f>
        <v>148297.71605299201</v>
      </c>
      <c r="AA108" s="1320">
        <f>AA109</f>
        <v>148297.71605299201</v>
      </c>
      <c r="AB108" s="1320">
        <f>AB63-AB50</f>
        <v>4422794.928993823</v>
      </c>
    </row>
    <row r="109" spans="1:31" s="1278" customFormat="1" ht="10.5" customHeight="1">
      <c r="A109" s="1276"/>
      <c r="B109" s="1331">
        <v>24</v>
      </c>
      <c r="C109" s="1277"/>
      <c r="D109" s="1230" t="s">
        <v>820</v>
      </c>
      <c r="E109" s="1320">
        <f t="shared" si="49"/>
        <v>-362360.42599999998</v>
      </c>
      <c r="F109" s="1320">
        <f t="shared" ref="F109:AB109" ca="1" si="52">F111</f>
        <v>69175.956372616944</v>
      </c>
      <c r="G109" s="1320">
        <f t="shared" ca="1" si="52"/>
        <v>143639.24921376174</v>
      </c>
      <c r="H109" s="1321">
        <f t="shared" ca="1" si="52"/>
        <v>143794.45271376174</v>
      </c>
      <c r="I109" s="1320">
        <f t="shared" ca="1" si="52"/>
        <v>143949.65621376174</v>
      </c>
      <c r="J109" s="1322">
        <f t="shared" ca="1" si="52"/>
        <v>141747.30622224175</v>
      </c>
      <c r="K109" s="1320">
        <f t="shared" ca="1" si="52"/>
        <v>141902.50972224172</v>
      </c>
      <c r="L109" s="1320">
        <f t="shared" ca="1" si="52"/>
        <v>142057.71322224173</v>
      </c>
      <c r="M109" s="1320">
        <f t="shared" ca="1" si="52"/>
        <v>142212.91672224173</v>
      </c>
      <c r="N109" s="1320">
        <f t="shared" ca="1" si="52"/>
        <v>142368.12022224173</v>
      </c>
      <c r="O109" s="1323">
        <f t="shared" ca="1" si="52"/>
        <v>140212.92130055215</v>
      </c>
      <c r="P109" s="1320">
        <f t="shared" ca="1" si="52"/>
        <v>140368.12480055215</v>
      </c>
      <c r="Q109" s="1320">
        <f t="shared" ca="1" si="52"/>
        <v>140523.32830055212</v>
      </c>
      <c r="R109" s="1320">
        <f t="shared" ca="1" si="52"/>
        <v>140678.53180055213</v>
      </c>
      <c r="S109" s="1320">
        <f t="shared" ca="1" si="52"/>
        <v>140833.73530055213</v>
      </c>
      <c r="T109" s="1324">
        <f t="shared" ca="1" si="52"/>
        <v>138724.74442729633</v>
      </c>
      <c r="U109" s="1320">
        <f t="shared" ca="1" si="52"/>
        <v>136837.59392729632</v>
      </c>
      <c r="V109" s="1320">
        <f t="shared" ca="1" si="52"/>
        <v>136946.86742729633</v>
      </c>
      <c r="W109" s="1320">
        <f t="shared" si="52"/>
        <v>132743.4427887827</v>
      </c>
      <c r="X109" s="1322">
        <f t="shared" si="52"/>
        <v>132852.71628878271</v>
      </c>
      <c r="Y109" s="1320">
        <f t="shared" si="52"/>
        <v>130743.079302992</v>
      </c>
      <c r="Z109" s="1320">
        <f t="shared" si="52"/>
        <v>148297.71605299201</v>
      </c>
      <c r="AA109" s="1320">
        <f t="shared" si="52"/>
        <v>148297.71605299201</v>
      </c>
      <c r="AB109" s="1320">
        <f t="shared" si="52"/>
        <v>148297.71605299201</v>
      </c>
      <c r="AC109" s="1320">
        <f>AC63-AC50</f>
        <v>4422794.928993823</v>
      </c>
    </row>
    <row r="110" spans="1:31" s="1278" customFormat="1" ht="10.5" customHeight="1">
      <c r="A110" s="1276"/>
      <c r="B110" s="1331">
        <v>25</v>
      </c>
      <c r="C110" s="1277"/>
      <c r="D110" s="1230" t="s">
        <v>819</v>
      </c>
      <c r="E110" s="1320">
        <f t="shared" si="49"/>
        <v>-362360.42599999998</v>
      </c>
      <c r="F110" s="1320">
        <f t="shared" ref="F110:AC110" ca="1" si="53">F111</f>
        <v>69175.956372616944</v>
      </c>
      <c r="G110" s="1320">
        <f t="shared" ca="1" si="53"/>
        <v>143639.24921376174</v>
      </c>
      <c r="H110" s="1321">
        <f t="shared" ca="1" si="53"/>
        <v>143794.45271376174</v>
      </c>
      <c r="I110" s="1320">
        <f t="shared" ca="1" si="53"/>
        <v>143949.65621376174</v>
      </c>
      <c r="J110" s="1322">
        <f t="shared" ca="1" si="53"/>
        <v>141747.30622224175</v>
      </c>
      <c r="K110" s="1320">
        <f t="shared" ca="1" si="53"/>
        <v>141902.50972224172</v>
      </c>
      <c r="L110" s="1320">
        <f t="shared" ca="1" si="53"/>
        <v>142057.71322224173</v>
      </c>
      <c r="M110" s="1320">
        <f t="shared" ca="1" si="53"/>
        <v>142212.91672224173</v>
      </c>
      <c r="N110" s="1320">
        <f t="shared" ca="1" si="53"/>
        <v>142368.12022224173</v>
      </c>
      <c r="O110" s="1323">
        <f t="shared" ca="1" si="53"/>
        <v>140212.92130055215</v>
      </c>
      <c r="P110" s="1320">
        <f t="shared" ca="1" si="53"/>
        <v>140368.12480055215</v>
      </c>
      <c r="Q110" s="1320">
        <f t="shared" ca="1" si="53"/>
        <v>140523.32830055212</v>
      </c>
      <c r="R110" s="1320">
        <f t="shared" ca="1" si="53"/>
        <v>140678.53180055213</v>
      </c>
      <c r="S110" s="1320">
        <f t="shared" ca="1" si="53"/>
        <v>140833.73530055213</v>
      </c>
      <c r="T110" s="1324">
        <f t="shared" ca="1" si="53"/>
        <v>138724.74442729633</v>
      </c>
      <c r="U110" s="1320">
        <f t="shared" ca="1" si="53"/>
        <v>136837.59392729632</v>
      </c>
      <c r="V110" s="1320">
        <f t="shared" ca="1" si="53"/>
        <v>136946.86742729633</v>
      </c>
      <c r="W110" s="1320">
        <f t="shared" si="53"/>
        <v>132743.4427887827</v>
      </c>
      <c r="X110" s="1322">
        <f t="shared" si="53"/>
        <v>132852.71628878271</v>
      </c>
      <c r="Y110" s="1320">
        <f t="shared" si="53"/>
        <v>130743.079302992</v>
      </c>
      <c r="Z110" s="1320">
        <f t="shared" si="53"/>
        <v>148297.71605299201</v>
      </c>
      <c r="AA110" s="1320">
        <f t="shared" si="53"/>
        <v>148297.71605299201</v>
      </c>
      <c r="AB110" s="1320">
        <f t="shared" si="53"/>
        <v>148297.71605299201</v>
      </c>
      <c r="AC110" s="1321">
        <f t="shared" si="53"/>
        <v>148297.71605299201</v>
      </c>
      <c r="AD110" s="1320">
        <f>AD63-AD50</f>
        <v>4117622.0788932485</v>
      </c>
    </row>
    <row r="111" spans="1:31" s="1075" customFormat="1" ht="10.5" customHeight="1">
      <c r="A111" s="1229"/>
      <c r="B111" s="1331">
        <v>26</v>
      </c>
      <c r="C111" s="1277"/>
      <c r="D111" s="1230" t="s">
        <v>821</v>
      </c>
      <c r="E111" s="1320">
        <f t="shared" si="49"/>
        <v>-362360.42599999998</v>
      </c>
      <c r="F111" s="1316">
        <f t="shared" ref="F111:AD111" ca="1" si="54">F47</f>
        <v>69175.956372616944</v>
      </c>
      <c r="G111" s="1316">
        <f t="shared" ca="1" si="54"/>
        <v>143639.24921376174</v>
      </c>
      <c r="H111" s="1316">
        <f t="shared" ca="1" si="54"/>
        <v>143794.45271376174</v>
      </c>
      <c r="I111" s="1316">
        <f t="shared" ca="1" si="54"/>
        <v>143949.65621376174</v>
      </c>
      <c r="J111" s="1316">
        <f t="shared" ca="1" si="54"/>
        <v>141747.30622224175</v>
      </c>
      <c r="K111" s="1316">
        <f t="shared" ca="1" si="54"/>
        <v>141902.50972224172</v>
      </c>
      <c r="L111" s="1316">
        <f t="shared" ca="1" si="54"/>
        <v>142057.71322224173</v>
      </c>
      <c r="M111" s="1316">
        <f t="shared" ca="1" si="54"/>
        <v>142212.91672224173</v>
      </c>
      <c r="N111" s="1316">
        <f t="shared" ca="1" si="54"/>
        <v>142368.12022224173</v>
      </c>
      <c r="O111" s="1316">
        <f t="shared" ca="1" si="54"/>
        <v>140212.92130055215</v>
      </c>
      <c r="P111" s="1316">
        <f t="shared" ca="1" si="54"/>
        <v>140368.12480055215</v>
      </c>
      <c r="Q111" s="1316">
        <f t="shared" ca="1" si="54"/>
        <v>140523.32830055212</v>
      </c>
      <c r="R111" s="1316">
        <f t="shared" ca="1" si="54"/>
        <v>140678.53180055213</v>
      </c>
      <c r="S111" s="1316">
        <f t="shared" ca="1" si="54"/>
        <v>140833.73530055213</v>
      </c>
      <c r="T111" s="1316">
        <f t="shared" ca="1" si="54"/>
        <v>138724.74442729633</v>
      </c>
      <c r="U111" s="1316">
        <f t="shared" ca="1" si="54"/>
        <v>136837.59392729632</v>
      </c>
      <c r="V111" s="1316">
        <f t="shared" ca="1" si="54"/>
        <v>136946.86742729633</v>
      </c>
      <c r="W111" s="1316">
        <f t="shared" si="54"/>
        <v>132743.4427887827</v>
      </c>
      <c r="X111" s="1316">
        <f t="shared" si="54"/>
        <v>132852.71628878271</v>
      </c>
      <c r="Y111" s="1316">
        <f t="shared" si="54"/>
        <v>130743.079302992</v>
      </c>
      <c r="Z111" s="1316">
        <f t="shared" si="54"/>
        <v>148297.71605299201</v>
      </c>
      <c r="AA111" s="1316">
        <f t="shared" si="54"/>
        <v>148297.71605299201</v>
      </c>
      <c r="AB111" s="1316">
        <f t="shared" si="54"/>
        <v>148297.71605299201</v>
      </c>
      <c r="AC111" s="1316">
        <f t="shared" si="54"/>
        <v>148297.71605299201</v>
      </c>
      <c r="AD111" s="1316">
        <f t="shared" si="54"/>
        <v>146123.18377691714</v>
      </c>
      <c r="AE111" s="1330">
        <f>AD63</f>
        <v>4117622.0788932485</v>
      </c>
    </row>
    <row r="112" spans="1:31" s="1145" customFormat="1" ht="14.25" customHeight="1">
      <c r="A112" s="1332"/>
      <c r="B112" s="1333"/>
      <c r="C112" s="1273"/>
      <c r="D112" s="1273"/>
      <c r="E112" s="1274"/>
      <c r="F112" s="1334"/>
      <c r="G112" s="1334"/>
      <c r="H112" s="1334"/>
      <c r="I112" s="1334"/>
      <c r="J112" s="1334"/>
      <c r="K112" s="1334"/>
      <c r="L112" s="1334"/>
      <c r="M112" s="1334"/>
      <c r="N112" s="1334"/>
      <c r="O112" s="1334"/>
      <c r="P112" s="1334"/>
      <c r="Q112" s="1334"/>
      <c r="R112" s="1334"/>
      <c r="S112" s="1334"/>
      <c r="T112" s="1334"/>
      <c r="U112" s="1334"/>
      <c r="V112" s="1334"/>
      <c r="W112" s="1334"/>
      <c r="X112" s="1334"/>
      <c r="Y112" s="1334"/>
      <c r="Z112" s="1334"/>
      <c r="AA112" s="1334"/>
      <c r="AB112" s="1334"/>
      <c r="AC112" s="1334"/>
      <c r="AD112" s="1334"/>
    </row>
    <row r="113" spans="1:14" s="1075" customFormat="1" ht="11.25" customHeight="1">
      <c r="A113" s="1229"/>
      <c r="B113" s="1229"/>
    </row>
    <row r="114" spans="1:14" s="1075" customFormat="1" ht="11.25" customHeight="1">
      <c r="A114" s="1229"/>
      <c r="B114" s="1229"/>
    </row>
    <row r="115" spans="1:14" s="1075" customFormat="1" ht="11.25" customHeight="1">
      <c r="A115" s="1229"/>
      <c r="B115" s="1229"/>
    </row>
    <row r="116" spans="1:14" ht="11.25" customHeight="1">
      <c r="J116" s="1075"/>
      <c r="K116" s="1075"/>
      <c r="L116" s="1075"/>
      <c r="M116" s="1075"/>
      <c r="N116" s="1075"/>
    </row>
    <row r="117" spans="1:14" ht="11.25" customHeight="1">
      <c r="J117" s="1075"/>
      <c r="K117" s="1075"/>
      <c r="L117" s="1075"/>
      <c r="M117" s="1075"/>
      <c r="N117" s="1075"/>
    </row>
    <row r="118" spans="1:14" ht="11.25" customHeight="1">
      <c r="J118" s="1075"/>
      <c r="K118" s="1075"/>
      <c r="L118" s="1075"/>
      <c r="M118" s="1075"/>
      <c r="N118" s="1075"/>
    </row>
    <row r="119" spans="1:14" ht="11.25" customHeight="1">
      <c r="J119" s="1075"/>
      <c r="K119" s="1075"/>
      <c r="L119" s="1075"/>
      <c r="M119" s="1075"/>
      <c r="N119" s="1075"/>
    </row>
    <row r="120" spans="1:14" ht="11.25" customHeight="1">
      <c r="J120" s="1075"/>
      <c r="K120" s="1075"/>
      <c r="L120" s="1075"/>
      <c r="M120" s="1075"/>
      <c r="N120" s="1075"/>
    </row>
    <row r="121" spans="1:14" ht="11.25" customHeight="1"/>
    <row r="122" spans="1:14" ht="11.25" customHeight="1"/>
    <row r="123" spans="1:14" ht="11.25" customHeight="1"/>
    <row r="124" spans="1:14" ht="11.25" customHeight="1"/>
    <row r="125" spans="1:14" ht="11.25" customHeight="1"/>
  </sheetData>
  <mergeCells count="25">
    <mergeCell ref="C37:D37"/>
    <mergeCell ref="B42:B46"/>
    <mergeCell ref="B47:B48"/>
    <mergeCell ref="A5:A32"/>
    <mergeCell ref="B5:B10"/>
    <mergeCell ref="B11:B23"/>
    <mergeCell ref="C11:C22"/>
    <mergeCell ref="B24:B32"/>
    <mergeCell ref="C25:C27"/>
    <mergeCell ref="L77:M77"/>
    <mergeCell ref="L78:M78"/>
    <mergeCell ref="L79:M79"/>
    <mergeCell ref="A1:D1"/>
    <mergeCell ref="A49:A51"/>
    <mergeCell ref="A62:B67"/>
    <mergeCell ref="L73:M73"/>
    <mergeCell ref="L74:M74"/>
    <mergeCell ref="L75:M75"/>
    <mergeCell ref="L76:M76"/>
    <mergeCell ref="A33:A48"/>
    <mergeCell ref="B33:B41"/>
    <mergeCell ref="C33:D33"/>
    <mergeCell ref="C34:D34"/>
    <mergeCell ref="C35:D35"/>
    <mergeCell ref="C36:D36"/>
  </mergeCells>
  <phoneticPr fontId="204"/>
  <printOptions horizontalCentered="1" verticalCentered="1"/>
  <pageMargins left="0.39370078740157483" right="0.39370078740157483" top="0.27559055118110237" bottom="0.19685039370078741" header="0.19685039370078741" footer="0.39370078740157483"/>
  <pageSetup paperSize="9" scale="62" orientation="landscape" cellComments="asDisplayed" horizontalDpi="300" verticalDpi="300" r:id="rId1"/>
  <headerFooter alignWithMargins="0">
    <oddHeader>&amp;C&amp;"ＭＳ ゴシック,太字"賃貸事業資金計画書&amp;R&amp;D</oddHeader>
  </headerFooter>
  <rowBreaks count="1" manualBreakCount="1">
    <brk id="70" max="30" man="1"/>
  </rowBreak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66FFFF"/>
  </sheetPr>
  <dimension ref="A1:P50"/>
  <sheetViews>
    <sheetView view="pageBreakPreview" zoomScale="85" zoomScaleNormal="100" workbookViewId="0">
      <selection activeCell="D20" sqref="D20:K20"/>
    </sheetView>
  </sheetViews>
  <sheetFormatPr defaultRowHeight="13.5"/>
  <cols>
    <col min="1" max="1" width="1.25" style="4" customWidth="1"/>
    <col min="2" max="3" width="14.375" style="4" customWidth="1"/>
    <col min="4" max="4" width="4.375" style="4" customWidth="1"/>
    <col min="5" max="5" width="10" style="4" customWidth="1"/>
    <col min="6" max="6" width="14.375" style="4" customWidth="1"/>
    <col min="7" max="7" width="4.5" style="4" customWidth="1"/>
    <col min="8" max="8" width="1.875" style="4" customWidth="1"/>
    <col min="9" max="9" width="8.125" style="4" customWidth="1"/>
    <col min="10" max="11" width="14.5" style="4" customWidth="1"/>
    <col min="12" max="12" width="9" style="980"/>
    <col min="13" max="13" width="12.125" style="4" bestFit="1" customWidth="1"/>
    <col min="14" max="14" width="10.5" style="4" bestFit="1" customWidth="1"/>
    <col min="15" max="15" width="12.125" style="4" customWidth="1"/>
    <col min="16" max="16" width="10.5" style="4" customWidth="1"/>
    <col min="17" max="16384" width="9" style="4"/>
  </cols>
  <sheetData>
    <row r="1" spans="1:12" ht="50.25" customHeight="1">
      <c r="L1" s="981" t="s">
        <v>22</v>
      </c>
    </row>
    <row r="2" spans="1:12" ht="22.5">
      <c r="A2" s="3"/>
      <c r="B2" s="2482" t="s">
        <v>582</v>
      </c>
      <c r="C2" s="2482"/>
      <c r="D2" s="2482"/>
      <c r="E2" s="2482"/>
      <c r="F2" s="2482"/>
      <c r="G2" s="2482"/>
      <c r="H2" s="2482"/>
      <c r="I2" s="2482"/>
      <c r="J2" s="2482"/>
      <c r="K2" s="2482"/>
      <c r="L2" s="978"/>
    </row>
    <row r="3" spans="1:12" ht="6" customHeight="1" thickBot="1">
      <c r="A3" s="3"/>
      <c r="B3" s="3"/>
      <c r="C3" s="3"/>
      <c r="D3" s="3"/>
      <c r="E3" s="3"/>
      <c r="F3" s="3"/>
      <c r="G3" s="3"/>
      <c r="H3" s="3"/>
      <c r="I3" s="3"/>
      <c r="J3" s="2483"/>
      <c r="K3" s="2483"/>
      <c r="L3" s="978"/>
    </row>
    <row r="4" spans="1:12" ht="33.75" customHeight="1">
      <c r="A4" s="3"/>
      <c r="B4" s="936" t="s">
        <v>547</v>
      </c>
      <c r="C4" s="937" t="str">
        <f>基本情報!C4</f>
        <v>MAMIYAビル</v>
      </c>
      <c r="D4" s="5"/>
      <c r="E4" s="5"/>
      <c r="F4" s="5"/>
      <c r="G4" s="5"/>
      <c r="H4" s="5"/>
      <c r="I4" s="5"/>
      <c r="J4" s="5"/>
      <c r="K4" s="6"/>
      <c r="L4" s="978"/>
    </row>
    <row r="5" spans="1:12" ht="18.75" customHeight="1">
      <c r="A5" s="3"/>
      <c r="B5" s="2470" t="s">
        <v>548</v>
      </c>
      <c r="C5" s="16" t="s">
        <v>549</v>
      </c>
      <c r="D5" s="2484" t="str">
        <f>基本情報!C7</f>
        <v>東京都千代田区神田錦町18番4、6、7</v>
      </c>
      <c r="E5" s="2485"/>
      <c r="F5" s="2485"/>
      <c r="G5" s="2485"/>
      <c r="H5" s="2485"/>
      <c r="I5" s="2485"/>
      <c r="J5" s="2485"/>
      <c r="K5" s="2486"/>
      <c r="L5" s="978"/>
    </row>
    <row r="6" spans="1:12" ht="18.75" customHeight="1">
      <c r="A6" s="3"/>
      <c r="B6" s="2472"/>
      <c r="C6" s="496" t="s">
        <v>550</v>
      </c>
      <c r="D6" s="2484" t="str">
        <f>基本情報!C6</f>
        <v>東京都千代田区神田錦町3-18</v>
      </c>
      <c r="E6" s="2485"/>
      <c r="F6" s="2485"/>
      <c r="G6" s="2485"/>
      <c r="H6" s="2485"/>
      <c r="I6" s="2485"/>
      <c r="J6" s="2485"/>
      <c r="K6" s="2486"/>
      <c r="L6" s="978"/>
    </row>
    <row r="7" spans="1:12" ht="18.75" customHeight="1">
      <c r="A7" s="3"/>
      <c r="B7" s="2470" t="s">
        <v>551</v>
      </c>
      <c r="C7" s="938" t="str">
        <f>基本情報!C10</f>
        <v>都営新宿線・都営三田線・東京メトロ半蔵門線</v>
      </c>
      <c r="D7" s="7"/>
      <c r="E7" s="7"/>
      <c r="F7" s="7"/>
      <c r="G7" s="7" t="str">
        <f>基本情報!D10</f>
        <v>『神保町 』駅</v>
      </c>
      <c r="H7" s="7"/>
      <c r="J7" s="7"/>
      <c r="K7" s="8" t="str">
        <f>基本情報!F10</f>
        <v>徒歩3分</v>
      </c>
      <c r="L7" s="978"/>
    </row>
    <row r="8" spans="1:12" ht="18.75" customHeight="1">
      <c r="A8" s="3"/>
      <c r="B8" s="2471"/>
      <c r="C8" s="939" t="str">
        <f>基本情報!C11</f>
        <v>都営新宿線</v>
      </c>
      <c r="D8" s="9"/>
      <c r="E8" s="9"/>
      <c r="F8" s="9"/>
      <c r="G8" s="9" t="str">
        <f>基本情報!D11</f>
        <v>『小川町』駅</v>
      </c>
      <c r="H8" s="9"/>
      <c r="J8" s="9"/>
      <c r="K8" s="10" t="str">
        <f>基本情報!F11</f>
        <v>徒歩5分</v>
      </c>
      <c r="L8" s="978"/>
    </row>
    <row r="9" spans="1:12" ht="18.75" customHeight="1">
      <c r="A9" s="3"/>
      <c r="B9" s="2471"/>
      <c r="C9" s="939" t="str">
        <f>基本情報!C12</f>
        <v>東京メトロ千代田線</v>
      </c>
      <c r="D9" s="9"/>
      <c r="E9" s="9"/>
      <c r="F9" s="9"/>
      <c r="G9" s="9" t="str">
        <f>基本情報!D12</f>
        <v>『新御茶ノ水』駅</v>
      </c>
      <c r="H9" s="9"/>
      <c r="J9" s="9"/>
      <c r="K9" s="10" t="str">
        <f>基本情報!F12</f>
        <v>徒歩5分</v>
      </c>
      <c r="L9" s="978"/>
    </row>
    <row r="10" spans="1:12" ht="18.75" customHeight="1">
      <c r="A10" s="3"/>
      <c r="B10" s="2471"/>
      <c r="C10" s="1711" t="str">
        <f>基本情報!C13</f>
        <v>東京メトロ丸ノ内線</v>
      </c>
      <c r="D10" s="1712"/>
      <c r="E10" s="1712"/>
      <c r="F10" s="1712"/>
      <c r="G10" s="9" t="str">
        <f>基本情報!D13</f>
        <v>『淡路町』駅</v>
      </c>
      <c r="H10" s="9"/>
      <c r="J10" s="9"/>
      <c r="K10" s="10" t="str">
        <f>基本情報!F13</f>
        <v>徒歩7分</v>
      </c>
      <c r="L10" s="978"/>
    </row>
    <row r="11" spans="1:12" ht="18.75" customHeight="1">
      <c r="A11" s="3"/>
      <c r="B11" s="2471"/>
      <c r="C11" s="939">
        <f>基本情報!C14</f>
        <v>0</v>
      </c>
      <c r="D11" s="9"/>
      <c r="E11" s="9"/>
      <c r="F11" s="9"/>
      <c r="G11" s="9">
        <f>基本情報!D14</f>
        <v>0</v>
      </c>
      <c r="H11" s="9"/>
      <c r="J11" s="9"/>
      <c r="K11" s="10">
        <f>基本情報!F14</f>
        <v>0</v>
      </c>
      <c r="L11" s="978"/>
    </row>
    <row r="12" spans="1:12" ht="18.75" customHeight="1">
      <c r="A12" s="3"/>
      <c r="B12" s="2472"/>
      <c r="C12" s="939">
        <f>基本情報!C15</f>
        <v>0</v>
      </c>
      <c r="D12" s="9"/>
      <c r="E12" s="9"/>
      <c r="F12" s="9"/>
      <c r="G12" s="9">
        <f>基本情報!D15</f>
        <v>0</v>
      </c>
      <c r="H12" s="9"/>
      <c r="J12" s="9"/>
      <c r="K12" s="10">
        <f>基本情報!F15</f>
        <v>0</v>
      </c>
      <c r="L12" s="978"/>
    </row>
    <row r="13" spans="1:12" ht="18.75" customHeight="1">
      <c r="A13" s="3"/>
      <c r="B13" s="2470" t="s">
        <v>552</v>
      </c>
      <c r="C13" s="16" t="s">
        <v>553</v>
      </c>
      <c r="D13" s="2477" t="str">
        <f>基本情報!C17</f>
        <v>宅地</v>
      </c>
      <c r="E13" s="2478"/>
      <c r="F13" s="2479"/>
      <c r="G13" s="2468" t="s">
        <v>554</v>
      </c>
      <c r="H13" s="2480"/>
      <c r="I13" s="2469"/>
      <c r="J13" s="2477" t="str">
        <f>基本情報!C18</f>
        <v>建物付</v>
      </c>
      <c r="K13" s="2481"/>
      <c r="L13" s="978"/>
    </row>
    <row r="14" spans="1:12" ht="18.75" customHeight="1">
      <c r="A14" s="3"/>
      <c r="B14" s="2471"/>
      <c r="C14" s="16" t="s">
        <v>555</v>
      </c>
      <c r="D14" s="2477" t="str">
        <f>基本情報!C19</f>
        <v>所有権</v>
      </c>
      <c r="E14" s="2478"/>
      <c r="F14" s="2478"/>
      <c r="G14" s="2494" t="s">
        <v>556</v>
      </c>
      <c r="H14" s="2494"/>
      <c r="I14" s="2494"/>
      <c r="J14" s="2495">
        <f>基本情報!C22</f>
        <v>0</v>
      </c>
      <c r="K14" s="2496"/>
      <c r="L14" s="978"/>
    </row>
    <row r="15" spans="1:12" ht="18.75" customHeight="1">
      <c r="A15" s="3"/>
      <c r="B15" s="2471"/>
      <c r="C15" s="2473" t="s">
        <v>557</v>
      </c>
      <c r="D15" s="2468" t="s">
        <v>558</v>
      </c>
      <c r="E15" s="2469"/>
      <c r="F15" s="20">
        <f>基本情報!C20</f>
        <v>354.52</v>
      </c>
      <c r="G15" s="497" t="s">
        <v>559</v>
      </c>
      <c r="H15" s="181" t="s">
        <v>23</v>
      </c>
      <c r="I15" s="21">
        <f>基本情報!E20</f>
        <v>107.24</v>
      </c>
      <c r="J15" s="2475" t="s">
        <v>583</v>
      </c>
      <c r="K15" s="2476"/>
      <c r="L15" s="978"/>
    </row>
    <row r="16" spans="1:12" ht="18.75" customHeight="1">
      <c r="A16" s="3"/>
      <c r="B16" s="2471"/>
      <c r="C16" s="2474"/>
      <c r="D16" s="2468" t="s">
        <v>560</v>
      </c>
      <c r="E16" s="2469"/>
      <c r="F16" s="20">
        <f>基本情報!C21</f>
        <v>0</v>
      </c>
      <c r="G16" s="497" t="s">
        <v>559</v>
      </c>
      <c r="H16" s="181" t="s">
        <v>23</v>
      </c>
      <c r="I16" s="21">
        <f>基本情報!E21</f>
        <v>0</v>
      </c>
      <c r="J16" s="497" t="s">
        <v>583</v>
      </c>
      <c r="K16" s="11"/>
      <c r="L16" s="978"/>
    </row>
    <row r="17" spans="1:12" ht="18.75" customHeight="1">
      <c r="A17" s="3"/>
      <c r="B17" s="2471"/>
      <c r="C17" s="2473" t="s">
        <v>561</v>
      </c>
      <c r="D17" s="941" t="str">
        <f>基本情報!C23</f>
        <v>西側　幅員約6m 公道</v>
      </c>
      <c r="E17" s="942"/>
      <c r="F17" s="12"/>
      <c r="G17" s="12"/>
      <c r="H17" s="13"/>
      <c r="I17" s="942">
        <f>基本情報!C24</f>
        <v>0</v>
      </c>
      <c r="J17" s="13"/>
      <c r="K17" s="14"/>
      <c r="L17" s="978"/>
    </row>
    <row r="18" spans="1:12" ht="18.75" customHeight="1">
      <c r="A18" s="3"/>
      <c r="B18" s="2472"/>
      <c r="C18" s="2474"/>
      <c r="D18" s="943">
        <f>基本情報!C25</f>
        <v>0</v>
      </c>
      <c r="E18" s="498"/>
      <c r="F18" s="933"/>
      <c r="G18" s="933"/>
      <c r="H18" s="934"/>
      <c r="I18" s="498"/>
      <c r="J18" s="934"/>
      <c r="K18" s="935"/>
      <c r="L18" s="978"/>
    </row>
    <row r="19" spans="1:12" ht="18.75" customHeight="1">
      <c r="A19" s="3"/>
      <c r="B19" s="2470" t="s">
        <v>562</v>
      </c>
      <c r="C19" s="940" t="s">
        <v>563</v>
      </c>
      <c r="D19" s="2497" t="str">
        <f>基本情報!C27</f>
        <v>18番4</v>
      </c>
      <c r="E19" s="2498"/>
      <c r="F19" s="2498"/>
      <c r="G19" s="2498"/>
      <c r="H19" s="2498"/>
      <c r="I19" s="2498"/>
      <c r="J19" s="2498"/>
      <c r="K19" s="2499"/>
      <c r="L19" s="978"/>
    </row>
    <row r="20" spans="1:12" ht="18.75" customHeight="1">
      <c r="A20" s="3"/>
      <c r="B20" s="2471"/>
      <c r="C20" s="944" t="s">
        <v>564</v>
      </c>
      <c r="D20" s="2484" t="str">
        <f>基本情報!C28</f>
        <v>鉄骨鉄筋コンクリート造陸屋根7階建</v>
      </c>
      <c r="E20" s="2485"/>
      <c r="F20" s="2485"/>
      <c r="G20" s="2485"/>
      <c r="H20" s="2485"/>
      <c r="I20" s="2485"/>
      <c r="J20" s="2485"/>
      <c r="K20" s="2486"/>
      <c r="L20" s="978"/>
    </row>
    <row r="21" spans="1:12" ht="18.75" customHeight="1">
      <c r="A21" s="3"/>
      <c r="B21" s="2471"/>
      <c r="C21" s="945" t="s">
        <v>565</v>
      </c>
      <c r="D21" s="2497" t="str">
        <f>基本情報!C29</f>
        <v>事務所・車庫</v>
      </c>
      <c r="E21" s="2498"/>
      <c r="F21" s="2498"/>
      <c r="G21" s="2498"/>
      <c r="H21" s="2498"/>
      <c r="I21" s="2498"/>
      <c r="J21" s="2498"/>
      <c r="K21" s="2499"/>
      <c r="L21" s="978"/>
    </row>
    <row r="22" spans="1:12" ht="18.75" customHeight="1">
      <c r="A22" s="3"/>
      <c r="B22" s="2471"/>
      <c r="C22" s="2500" t="s">
        <v>566</v>
      </c>
      <c r="D22" s="2468" t="s">
        <v>558</v>
      </c>
      <c r="E22" s="2469"/>
      <c r="F22" s="20">
        <f>基本情報!C30</f>
        <v>2132.0300000000002</v>
      </c>
      <c r="G22" s="497" t="s">
        <v>559</v>
      </c>
      <c r="H22" s="181" t="s">
        <v>23</v>
      </c>
      <c r="I22" s="21">
        <f>基本情報!E30</f>
        <v>644.92999999999995</v>
      </c>
      <c r="J22" s="497" t="s">
        <v>584</v>
      </c>
      <c r="K22" s="11"/>
      <c r="L22" s="978"/>
    </row>
    <row r="23" spans="1:12" ht="18.75" customHeight="1">
      <c r="A23" s="3"/>
      <c r="B23" s="2471"/>
      <c r="C23" s="2474"/>
      <c r="D23" s="2492" t="s">
        <v>21</v>
      </c>
      <c r="E23" s="2493"/>
      <c r="F23" s="20">
        <f>基本情報!C32</f>
        <v>1923.2312500000003</v>
      </c>
      <c r="G23" s="497" t="s">
        <v>559</v>
      </c>
      <c r="H23" s="181" t="s">
        <v>24</v>
      </c>
      <c r="I23" s="21">
        <f>基本情報!E32</f>
        <v>581.77</v>
      </c>
      <c r="J23" s="497" t="s">
        <v>584</v>
      </c>
      <c r="K23" s="15" t="s">
        <v>25</v>
      </c>
      <c r="L23" s="978"/>
    </row>
    <row r="24" spans="1:12" ht="18.75" customHeight="1">
      <c r="A24" s="3"/>
      <c r="B24" s="2471"/>
      <c r="C24" s="945" t="s">
        <v>567</v>
      </c>
      <c r="D24" s="2487">
        <f>基本情報!C33</f>
        <v>30749</v>
      </c>
      <c r="E24" s="2488"/>
      <c r="F24" s="2489"/>
      <c r="G24" s="2468" t="s">
        <v>568</v>
      </c>
      <c r="H24" s="2480"/>
      <c r="I24" s="2469"/>
      <c r="J24" s="2490" t="str">
        <f>基本情報!C34</f>
        <v>無</v>
      </c>
      <c r="K24" s="2491"/>
      <c r="L24" s="978"/>
    </row>
    <row r="25" spans="1:12" ht="18.75" customHeight="1">
      <c r="A25" s="3"/>
      <c r="B25" s="2470" t="s">
        <v>569</v>
      </c>
      <c r="C25" s="16" t="s">
        <v>570</v>
      </c>
      <c r="D25" s="2477" t="str">
        <f>基本情報!C36</f>
        <v>東京電力エナジーパートナー</v>
      </c>
      <c r="E25" s="2478"/>
      <c r="F25" s="2479"/>
      <c r="G25" s="2468" t="s">
        <v>571</v>
      </c>
      <c r="H25" s="2480"/>
      <c r="I25" s="2469"/>
      <c r="J25" s="2477" t="str">
        <f>基本情報!C38</f>
        <v>公営水道</v>
      </c>
      <c r="K25" s="2481"/>
      <c r="L25" s="978"/>
    </row>
    <row r="26" spans="1:12" ht="18.75" customHeight="1">
      <c r="A26" s="3"/>
      <c r="B26" s="2472"/>
      <c r="C26" s="496" t="s">
        <v>572</v>
      </c>
      <c r="D26" s="2477" t="str">
        <f>基本情報!C37</f>
        <v>都市ガス</v>
      </c>
      <c r="E26" s="2478"/>
      <c r="F26" s="2479"/>
      <c r="G26" s="2468" t="s">
        <v>573</v>
      </c>
      <c r="H26" s="2480"/>
      <c r="I26" s="2469"/>
      <c r="J26" s="2477" t="str">
        <f>基本情報!C38</f>
        <v>公営水道</v>
      </c>
      <c r="K26" s="2481"/>
      <c r="L26" s="978"/>
    </row>
    <row r="27" spans="1:12" ht="18.75" customHeight="1">
      <c r="A27" s="3"/>
      <c r="B27" s="2501" t="s">
        <v>842</v>
      </c>
      <c r="C27" s="940" t="s">
        <v>574</v>
      </c>
      <c r="D27" s="2484" t="str">
        <f>基本情報!C41</f>
        <v>商業地域</v>
      </c>
      <c r="E27" s="2485"/>
      <c r="F27" s="2485"/>
      <c r="G27" s="2485"/>
      <c r="H27" s="2485"/>
      <c r="I27" s="2485"/>
      <c r="J27" s="2485"/>
      <c r="K27" s="2486"/>
      <c r="L27" s="978"/>
    </row>
    <row r="28" spans="1:12" ht="18.75" customHeight="1">
      <c r="A28" s="3"/>
      <c r="B28" s="2471"/>
      <c r="C28" s="944" t="s">
        <v>575</v>
      </c>
      <c r="D28" s="2502">
        <f>基本情報!C42</f>
        <v>0.8</v>
      </c>
      <c r="E28" s="2503"/>
      <c r="F28" s="2504"/>
      <c r="G28" s="2468" t="s">
        <v>576</v>
      </c>
      <c r="H28" s="2480"/>
      <c r="I28" s="2469"/>
      <c r="J28" s="2502">
        <f>基本情報!C43</f>
        <v>6</v>
      </c>
      <c r="K28" s="2505"/>
      <c r="L28" s="978"/>
    </row>
    <row r="29" spans="1:12" ht="18.75" customHeight="1">
      <c r="A29" s="3"/>
      <c r="B29" s="2471"/>
      <c r="C29" s="944" t="s">
        <v>577</v>
      </c>
      <c r="D29" s="2477" t="str">
        <f>基本情報!C44</f>
        <v>防火地域</v>
      </c>
      <c r="E29" s="2478"/>
      <c r="F29" s="2479"/>
      <c r="G29" s="2468" t="s">
        <v>578</v>
      </c>
      <c r="H29" s="2480"/>
      <c r="I29" s="2469"/>
      <c r="J29" s="2490" t="str">
        <f>基本情報!C46</f>
        <v>-</v>
      </c>
      <c r="K29" s="2491"/>
      <c r="L29" s="978"/>
    </row>
    <row r="30" spans="1:12" ht="18.75" customHeight="1">
      <c r="A30" s="3"/>
      <c r="B30" s="2471"/>
      <c r="C30" s="495" t="s">
        <v>579</v>
      </c>
      <c r="D30" s="2506" t="str">
        <f>基本情報!C47</f>
        <v>駐車場整備地区・神田錦町北部周辺地区地区計画</v>
      </c>
      <c r="E30" s="2507"/>
      <c r="F30" s="2507"/>
      <c r="G30" s="2507"/>
      <c r="H30" s="2507"/>
      <c r="I30" s="2507"/>
      <c r="J30" s="2507"/>
      <c r="K30" s="2508"/>
      <c r="L30" s="978"/>
    </row>
    <row r="31" spans="1:12" ht="27" customHeight="1">
      <c r="A31" s="3"/>
      <c r="B31" s="946" t="s">
        <v>580</v>
      </c>
      <c r="C31" s="16"/>
      <c r="D31" s="2523">
        <f>'事業計画書（事業決定時）'!F8</f>
        <v>635000000</v>
      </c>
      <c r="E31" s="2524"/>
      <c r="F31" s="2524"/>
      <c r="G31" s="2524"/>
      <c r="H31" s="2524"/>
      <c r="I31" s="2524"/>
      <c r="J31" s="2524"/>
      <c r="K31" s="2525"/>
      <c r="L31" s="978"/>
    </row>
    <row r="32" spans="1:12" ht="21" customHeight="1">
      <c r="A32" s="3"/>
      <c r="B32" s="2470" t="s">
        <v>581</v>
      </c>
      <c r="C32" s="954" t="s">
        <v>596</v>
      </c>
      <c r="D32" s="7"/>
      <c r="E32" s="7"/>
      <c r="F32" s="955"/>
      <c r="G32" s="7"/>
      <c r="H32" s="7"/>
      <c r="I32" s="955"/>
      <c r="J32" s="7"/>
      <c r="K32" s="8"/>
      <c r="L32" s="977" t="s">
        <v>22</v>
      </c>
    </row>
    <row r="33" spans="1:16" ht="21" customHeight="1">
      <c r="A33" s="3"/>
      <c r="B33" s="2471"/>
      <c r="C33" s="956" t="s">
        <v>597</v>
      </c>
      <c r="D33" s="957"/>
      <c r="E33" s="957"/>
      <c r="F33" s="958"/>
      <c r="G33" s="957"/>
      <c r="H33" s="957"/>
      <c r="I33" s="958"/>
      <c r="J33" s="957"/>
      <c r="K33" s="10"/>
      <c r="L33" s="977" t="s">
        <v>22</v>
      </c>
    </row>
    <row r="34" spans="1:16" ht="21" customHeight="1">
      <c r="A34" s="3"/>
      <c r="B34" s="2471"/>
      <c r="C34" s="939" t="s">
        <v>598</v>
      </c>
      <c r="D34" s="957"/>
      <c r="E34" s="957"/>
      <c r="F34" s="958"/>
      <c r="G34" s="957"/>
      <c r="H34" s="957"/>
      <c r="I34" s="958"/>
      <c r="J34" s="957"/>
      <c r="K34" s="10"/>
      <c r="L34" s="977" t="s">
        <v>22</v>
      </c>
    </row>
    <row r="35" spans="1:16" ht="21" customHeight="1">
      <c r="A35" s="3"/>
      <c r="B35" s="2471"/>
      <c r="C35" s="959" t="s">
        <v>599</v>
      </c>
      <c r="D35" s="960"/>
      <c r="E35" s="961">
        <f>G35/12</f>
        <v>4566172</v>
      </c>
      <c r="F35" s="962" t="s">
        <v>600</v>
      </c>
      <c r="G35" s="2522">
        <f>'事業計画書（事業決定時）'!M16</f>
        <v>54794064</v>
      </c>
      <c r="H35" s="2522"/>
      <c r="I35" s="2522"/>
      <c r="J35" s="925"/>
      <c r="K35" s="964"/>
      <c r="L35" s="977"/>
    </row>
    <row r="36" spans="1:16" ht="21" customHeight="1">
      <c r="A36" s="3"/>
      <c r="B36" s="2471"/>
      <c r="C36" s="959" t="s">
        <v>601</v>
      </c>
      <c r="D36" s="965"/>
      <c r="E36" s="961">
        <f>G36/12</f>
        <v>3876446.59</v>
      </c>
      <c r="F36" s="962" t="s">
        <v>600</v>
      </c>
      <c r="G36" s="2522">
        <f>'事業計画書（事業決定時）'!M17</f>
        <v>46517359.079999998</v>
      </c>
      <c r="H36" s="2522"/>
      <c r="I36" s="2522"/>
      <c r="J36" s="925"/>
      <c r="K36" s="964"/>
      <c r="L36" s="977"/>
    </row>
    <row r="37" spans="1:16" ht="21" customHeight="1">
      <c r="A37" s="3"/>
      <c r="B37" s="2471"/>
      <c r="C37" s="959"/>
      <c r="D37" s="965"/>
      <c r="E37" s="961"/>
      <c r="F37" s="962"/>
      <c r="G37" s="963"/>
      <c r="H37" s="963"/>
      <c r="I37" s="963"/>
      <c r="J37" s="925"/>
      <c r="K37" s="964"/>
      <c r="L37" s="977"/>
    </row>
    <row r="38" spans="1:16" ht="21" customHeight="1">
      <c r="A38" s="3"/>
      <c r="B38" s="2471"/>
      <c r="C38" s="939" t="s">
        <v>602</v>
      </c>
      <c r="D38" s="9"/>
      <c r="E38" s="9"/>
      <c r="F38" s="2510">
        <f>'収支計算表（見込）計画1'!J43</f>
        <v>728981750</v>
      </c>
      <c r="G38" s="2510"/>
      <c r="H38" s="2510"/>
      <c r="I38" s="2510"/>
      <c r="J38" s="2511">
        <f>'収支計算表（見込）計画1'!K43</f>
        <v>196308100</v>
      </c>
      <c r="K38" s="2512"/>
      <c r="L38" s="978"/>
    </row>
    <row r="39" spans="1:16" ht="21" customHeight="1">
      <c r="A39" s="3"/>
      <c r="B39" s="2471"/>
      <c r="C39" s="939" t="s">
        <v>603</v>
      </c>
      <c r="D39" s="957"/>
      <c r="E39" s="957"/>
      <c r="F39" s="966">
        <f>'収支計算表（見込）計画1'!K53</f>
        <v>129000</v>
      </c>
      <c r="G39" s="958" t="s">
        <v>26</v>
      </c>
      <c r="H39" s="2513">
        <f>F15</f>
        <v>354.52</v>
      </c>
      <c r="I39" s="2513"/>
      <c r="J39" s="2514">
        <f>F39*H39</f>
        <v>45733080</v>
      </c>
      <c r="K39" s="2515"/>
      <c r="L39" s="978"/>
    </row>
    <row r="40" spans="1:16" ht="21" customHeight="1">
      <c r="A40" s="3"/>
      <c r="B40" s="2471"/>
      <c r="C40" s="2516"/>
      <c r="D40" s="2517"/>
      <c r="E40" s="968"/>
      <c r="F40" s="2518"/>
      <c r="G40" s="2518"/>
      <c r="H40" s="2518"/>
      <c r="I40" s="925"/>
      <c r="J40" s="969" t="s">
        <v>604</v>
      </c>
      <c r="K40" s="970">
        <f>J39/I15</f>
        <v>426455.42707944801</v>
      </c>
      <c r="L40" s="978"/>
    </row>
    <row r="41" spans="1:16" ht="21" customHeight="1">
      <c r="A41" s="3"/>
      <c r="B41" s="2471"/>
      <c r="C41" s="967" t="s">
        <v>605</v>
      </c>
      <c r="D41" s="957">
        <f>基本情報!C49</f>
        <v>0</v>
      </c>
      <c r="E41" s="957"/>
      <c r="F41" s="958"/>
      <c r="G41" s="958"/>
      <c r="H41" s="958"/>
      <c r="I41" s="958"/>
      <c r="J41" s="958"/>
      <c r="K41" s="971"/>
      <c r="L41" s="978"/>
    </row>
    <row r="42" spans="1:16" ht="21" customHeight="1">
      <c r="A42" s="3"/>
      <c r="B42" s="2471"/>
      <c r="C42" s="967" t="s">
        <v>606</v>
      </c>
      <c r="D42" s="968">
        <f>基本情報!C50</f>
        <v>0</v>
      </c>
      <c r="E42" s="968"/>
      <c r="F42" s="958"/>
      <c r="G42" s="958"/>
      <c r="H42" s="958"/>
      <c r="I42" s="958"/>
      <c r="J42" s="958"/>
      <c r="K42" s="971"/>
      <c r="L42" s="978"/>
    </row>
    <row r="43" spans="1:16" ht="21" customHeight="1" thickBot="1">
      <c r="A43" s="3"/>
      <c r="B43" s="2509"/>
      <c r="C43" s="2519" t="s">
        <v>595</v>
      </c>
      <c r="D43" s="2520"/>
      <c r="E43" s="2520"/>
      <c r="F43" s="2520"/>
      <c r="G43" s="2520"/>
      <c r="H43" s="2520"/>
      <c r="I43" s="2520"/>
      <c r="J43" s="2520"/>
      <c r="K43" s="2521"/>
      <c r="L43" s="977" t="s">
        <v>22</v>
      </c>
    </row>
    <row r="44" spans="1:16" s="976" customFormat="1" ht="9.75" customHeight="1">
      <c r="A44" s="975"/>
      <c r="B44" s="972"/>
      <c r="C44" s="973"/>
      <c r="D44" s="974"/>
      <c r="E44" s="974"/>
      <c r="F44" s="974"/>
      <c r="G44" s="974"/>
      <c r="H44" s="974"/>
      <c r="I44" s="974"/>
      <c r="J44" s="974"/>
      <c r="K44" s="974"/>
      <c r="L44" s="979"/>
    </row>
    <row r="45" spans="1:16" ht="15.75">
      <c r="A45" s="3"/>
      <c r="B45" s="17"/>
      <c r="C45" s="3"/>
      <c r="D45" s="3"/>
      <c r="E45" s="3"/>
      <c r="F45" s="3"/>
      <c r="G45" s="3"/>
      <c r="H45" s="3"/>
      <c r="I45" s="384" t="s">
        <v>27</v>
      </c>
      <c r="J45" s="2527"/>
      <c r="K45" s="2527"/>
      <c r="L45" s="978"/>
    </row>
    <row r="46" spans="1:16" ht="15">
      <c r="A46" s="3"/>
      <c r="B46" s="3"/>
      <c r="C46" s="3"/>
      <c r="D46" s="3"/>
      <c r="E46" s="3"/>
      <c r="F46" s="3"/>
      <c r="G46" s="1870" t="s">
        <v>27</v>
      </c>
      <c r="H46" s="2526"/>
      <c r="I46" s="2526"/>
      <c r="J46" s="2526"/>
      <c r="K46" s="2526"/>
      <c r="L46" s="978"/>
    </row>
    <row r="47" spans="1:16" ht="15">
      <c r="A47" s="3"/>
      <c r="B47" s="3"/>
      <c r="C47" s="3"/>
      <c r="D47" s="3"/>
      <c r="E47" s="3"/>
      <c r="F47" s="3"/>
      <c r="G47" s="1870" t="s">
        <v>27</v>
      </c>
      <c r="H47" s="2526"/>
      <c r="I47" s="2526"/>
      <c r="J47" s="2526"/>
      <c r="K47" s="2526"/>
      <c r="L47" s="978"/>
      <c r="M47" s="949"/>
      <c r="N47" s="953" t="s">
        <v>594</v>
      </c>
      <c r="P47" s="953" t="s">
        <v>593</v>
      </c>
    </row>
    <row r="48" spans="1:16" ht="15">
      <c r="A48" s="3"/>
      <c r="B48" s="3"/>
      <c r="C48" s="3"/>
      <c r="D48" s="3"/>
      <c r="E48" s="3"/>
      <c r="F48" s="3"/>
      <c r="G48" s="1870" t="s">
        <v>27</v>
      </c>
      <c r="H48" s="2526"/>
      <c r="I48" s="2526"/>
      <c r="J48" s="2526"/>
      <c r="K48" s="2526"/>
      <c r="L48" s="978"/>
      <c r="M48" s="950" t="s">
        <v>585</v>
      </c>
      <c r="N48" s="950" t="s">
        <v>587</v>
      </c>
      <c r="O48" s="950" t="s">
        <v>586</v>
      </c>
      <c r="P48" s="950" t="s">
        <v>232</v>
      </c>
    </row>
    <row r="49" spans="1:16" ht="15">
      <c r="A49" s="3"/>
      <c r="B49" s="3"/>
      <c r="C49" s="3"/>
      <c r="D49" s="3"/>
      <c r="E49" s="3"/>
      <c r="F49" s="3"/>
      <c r="G49" s="18" t="s">
        <v>27</v>
      </c>
      <c r="H49" s="19"/>
      <c r="I49" s="18" t="s">
        <v>27</v>
      </c>
      <c r="J49" s="1870" t="s">
        <v>27</v>
      </c>
      <c r="K49" s="2526"/>
      <c r="L49" s="978"/>
      <c r="M49" s="951" t="s">
        <v>589</v>
      </c>
      <c r="N49" s="950" t="str">
        <f>基本情報!C3</f>
        <v>矢部　浩亮</v>
      </c>
      <c r="O49" s="952" t="str">
        <f>基本情報!D3</f>
        <v>（080-9151-0877）</v>
      </c>
      <c r="P49" s="950"/>
    </row>
    <row r="50" spans="1:16" ht="9.75" customHeight="1">
      <c r="M50" s="949"/>
      <c r="N50" s="949"/>
      <c r="O50" s="949"/>
      <c r="P50" s="949"/>
    </row>
  </sheetData>
  <mergeCells count="60">
    <mergeCell ref="D31:K31"/>
    <mergeCell ref="J49:K49"/>
    <mergeCell ref="J45:K45"/>
    <mergeCell ref="G46:K46"/>
    <mergeCell ref="G47:K47"/>
    <mergeCell ref="G48:K48"/>
    <mergeCell ref="B32:B43"/>
    <mergeCell ref="F38:I38"/>
    <mergeCell ref="J38:K38"/>
    <mergeCell ref="H39:I39"/>
    <mergeCell ref="J39:K39"/>
    <mergeCell ref="C40:D40"/>
    <mergeCell ref="F40:H40"/>
    <mergeCell ref="C43:K43"/>
    <mergeCell ref="G36:I36"/>
    <mergeCell ref="G35:I35"/>
    <mergeCell ref="B27:B30"/>
    <mergeCell ref="D27:K27"/>
    <mergeCell ref="D28:F28"/>
    <mergeCell ref="G28:I28"/>
    <mergeCell ref="J28:K28"/>
    <mergeCell ref="D29:F29"/>
    <mergeCell ref="G29:I29"/>
    <mergeCell ref="J29:K29"/>
    <mergeCell ref="D30:K30"/>
    <mergeCell ref="C17:C18"/>
    <mergeCell ref="B13:B18"/>
    <mergeCell ref="G14:I14"/>
    <mergeCell ref="J14:K14"/>
    <mergeCell ref="B25:B26"/>
    <mergeCell ref="D25:F25"/>
    <mergeCell ref="G25:I25"/>
    <mergeCell ref="J25:K25"/>
    <mergeCell ref="D26:F26"/>
    <mergeCell ref="G26:I26"/>
    <mergeCell ref="J26:K26"/>
    <mergeCell ref="B19:B24"/>
    <mergeCell ref="D19:K19"/>
    <mergeCell ref="D20:K20"/>
    <mergeCell ref="D21:K21"/>
    <mergeCell ref="C22:C23"/>
    <mergeCell ref="D24:F24"/>
    <mergeCell ref="G24:I24"/>
    <mergeCell ref="J24:K24"/>
    <mergeCell ref="D23:E23"/>
    <mergeCell ref="D22:E22"/>
    <mergeCell ref="B2:K2"/>
    <mergeCell ref="J3:K3"/>
    <mergeCell ref="B5:B6"/>
    <mergeCell ref="D5:K5"/>
    <mergeCell ref="D6:K6"/>
    <mergeCell ref="D15:E15"/>
    <mergeCell ref="B7:B12"/>
    <mergeCell ref="C15:C16"/>
    <mergeCell ref="J15:K15"/>
    <mergeCell ref="D16:E16"/>
    <mergeCell ref="D13:F13"/>
    <mergeCell ref="G13:I13"/>
    <mergeCell ref="J13:K13"/>
    <mergeCell ref="D14:F14"/>
  </mergeCells>
  <phoneticPr fontId="3"/>
  <dataValidations count="1">
    <dataValidation type="list" allowBlank="1" showInputMessage="1" showErrorMessage="1" sqref="N48">
      <formula1>"当社購入,売主"</formula1>
    </dataValidation>
  </dataValidations>
  <printOptions horizontalCentered="1"/>
  <pageMargins left="0.23622047244094491" right="0.23622047244094491" top="0" bottom="0.15748031496062992" header="0.31496062992125984" footer="0.31496062992125984"/>
  <pageSetup paperSize="9" scale="93"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66FFFF"/>
  </sheetPr>
  <dimension ref="A1:P50"/>
  <sheetViews>
    <sheetView view="pageBreakPreview" zoomScale="85" zoomScaleNormal="100" workbookViewId="0">
      <selection activeCell="M24" sqref="M24"/>
    </sheetView>
  </sheetViews>
  <sheetFormatPr defaultRowHeight="13.5"/>
  <cols>
    <col min="1" max="1" width="1.25" style="4" customWidth="1"/>
    <col min="2" max="3" width="14.375" style="4" customWidth="1"/>
    <col min="4" max="4" width="4.375" style="4" customWidth="1"/>
    <col min="5" max="5" width="10" style="4" customWidth="1"/>
    <col min="6" max="6" width="14.375" style="4" customWidth="1"/>
    <col min="7" max="7" width="4.5" style="4" customWidth="1"/>
    <col min="8" max="8" width="1.875" style="4" customWidth="1"/>
    <col min="9" max="9" width="8.125" style="4" customWidth="1"/>
    <col min="10" max="11" width="14.5" style="4" customWidth="1"/>
    <col min="12" max="12" width="9" style="980"/>
    <col min="13" max="13" width="12.125" style="4" bestFit="1" customWidth="1"/>
    <col min="14" max="14" width="10.5" style="4" bestFit="1" customWidth="1"/>
    <col min="15" max="15" width="12.125" style="4" customWidth="1"/>
    <col min="16" max="16" width="10.5" style="4" customWidth="1"/>
    <col min="17" max="16384" width="9" style="4"/>
  </cols>
  <sheetData>
    <row r="1" spans="1:12" ht="50.25" customHeight="1">
      <c r="L1" s="981" t="s">
        <v>22</v>
      </c>
    </row>
    <row r="2" spans="1:12" ht="22.5">
      <c r="A2" s="3"/>
      <c r="B2" s="2482" t="s">
        <v>582</v>
      </c>
      <c r="C2" s="2482"/>
      <c r="D2" s="2482"/>
      <c r="E2" s="2482"/>
      <c r="F2" s="2482"/>
      <c r="G2" s="2482"/>
      <c r="H2" s="2482"/>
      <c r="I2" s="2482"/>
      <c r="J2" s="2482"/>
      <c r="K2" s="2482"/>
      <c r="L2" s="978"/>
    </row>
    <row r="3" spans="1:12" ht="6" customHeight="1" thickBot="1">
      <c r="A3" s="3"/>
      <c r="B3" s="3"/>
      <c r="C3" s="3"/>
      <c r="D3" s="3"/>
      <c r="E3" s="3"/>
      <c r="F3" s="3"/>
      <c r="G3" s="3"/>
      <c r="H3" s="3"/>
      <c r="I3" s="3"/>
      <c r="J3" s="2483"/>
      <c r="K3" s="2483"/>
      <c r="L3" s="978"/>
    </row>
    <row r="4" spans="1:12" ht="33.75" customHeight="1">
      <c r="A4" s="3"/>
      <c r="B4" s="936" t="s">
        <v>547</v>
      </c>
      <c r="C4" s="937" t="str">
        <f>基本情報!C5</f>
        <v>MAMIYAビル</v>
      </c>
      <c r="D4" s="5"/>
      <c r="E4" s="5"/>
      <c r="F4" s="5"/>
      <c r="G4" s="5"/>
      <c r="H4" s="5"/>
      <c r="I4" s="5"/>
      <c r="J4" s="5"/>
      <c r="K4" s="6"/>
      <c r="L4" s="978"/>
    </row>
    <row r="5" spans="1:12" ht="18.75" customHeight="1">
      <c r="A5" s="3"/>
      <c r="B5" s="2470" t="s">
        <v>548</v>
      </c>
      <c r="C5" s="16" t="s">
        <v>549</v>
      </c>
      <c r="D5" s="2484" t="str">
        <f>基本情報!C7</f>
        <v>東京都千代田区神田錦町18番4、6、7</v>
      </c>
      <c r="E5" s="2485"/>
      <c r="F5" s="2485"/>
      <c r="G5" s="2485"/>
      <c r="H5" s="2485"/>
      <c r="I5" s="2485"/>
      <c r="J5" s="2485"/>
      <c r="K5" s="2486"/>
      <c r="L5" s="978"/>
    </row>
    <row r="6" spans="1:12" ht="18.75" customHeight="1">
      <c r="A6" s="3"/>
      <c r="B6" s="2472"/>
      <c r="C6" s="496" t="s">
        <v>550</v>
      </c>
      <c r="D6" s="2484" t="str">
        <f>基本情報!C6</f>
        <v>東京都千代田区神田錦町3-18</v>
      </c>
      <c r="E6" s="2485"/>
      <c r="F6" s="2485"/>
      <c r="G6" s="2485"/>
      <c r="H6" s="2485"/>
      <c r="I6" s="2485"/>
      <c r="J6" s="2485"/>
      <c r="K6" s="2486"/>
      <c r="L6" s="978"/>
    </row>
    <row r="7" spans="1:12" ht="18.75" customHeight="1">
      <c r="A7" s="3"/>
      <c r="B7" s="2470" t="s">
        <v>551</v>
      </c>
      <c r="C7" s="938" t="str">
        <f>基本情報!C10</f>
        <v>都営新宿線・都営三田線・東京メトロ半蔵門線</v>
      </c>
      <c r="D7" s="7"/>
      <c r="E7" s="7"/>
      <c r="F7" s="7"/>
      <c r="G7" s="7" t="str">
        <f>基本情報!D10</f>
        <v>『神保町 』駅</v>
      </c>
      <c r="H7" s="7"/>
      <c r="J7" s="7"/>
      <c r="K7" s="8" t="str">
        <f>基本情報!F10</f>
        <v>徒歩3分</v>
      </c>
      <c r="L7" s="978"/>
    </row>
    <row r="8" spans="1:12" ht="18.75" customHeight="1">
      <c r="A8" s="3"/>
      <c r="B8" s="2471"/>
      <c r="C8" s="939" t="str">
        <f>基本情報!C11</f>
        <v>都営新宿線</v>
      </c>
      <c r="D8" s="9"/>
      <c r="E8" s="9"/>
      <c r="F8" s="9"/>
      <c r="G8" s="9" t="str">
        <f>基本情報!D11</f>
        <v>『小川町』駅</v>
      </c>
      <c r="H8" s="9"/>
      <c r="J8" s="9"/>
      <c r="K8" s="10" t="str">
        <f>基本情報!F11</f>
        <v>徒歩5分</v>
      </c>
      <c r="L8" s="978"/>
    </row>
    <row r="9" spans="1:12" ht="18.75" customHeight="1">
      <c r="A9" s="3"/>
      <c r="B9" s="2471"/>
      <c r="C9" s="939" t="str">
        <f>基本情報!C12</f>
        <v>東京メトロ千代田線</v>
      </c>
      <c r="D9" s="9"/>
      <c r="E9" s="9"/>
      <c r="F9" s="9"/>
      <c r="G9" s="9" t="str">
        <f>基本情報!D12</f>
        <v>『新御茶ノ水』駅</v>
      </c>
      <c r="H9" s="9"/>
      <c r="J9" s="9"/>
      <c r="K9" s="10" t="str">
        <f>基本情報!F12</f>
        <v>徒歩5分</v>
      </c>
      <c r="L9" s="978"/>
    </row>
    <row r="10" spans="1:12" ht="18.75" customHeight="1">
      <c r="A10" s="3"/>
      <c r="B10" s="2471"/>
      <c r="C10" s="939" t="str">
        <f>基本情報!C13</f>
        <v>東京メトロ丸ノ内線</v>
      </c>
      <c r="D10" s="9"/>
      <c r="E10" s="9"/>
      <c r="F10" s="9"/>
      <c r="G10" s="9" t="str">
        <f>基本情報!D13</f>
        <v>『淡路町』駅</v>
      </c>
      <c r="H10" s="9"/>
      <c r="J10" s="9"/>
      <c r="K10" s="10" t="str">
        <f>基本情報!F13</f>
        <v>徒歩7分</v>
      </c>
      <c r="L10" s="978"/>
    </row>
    <row r="11" spans="1:12" ht="18.75" customHeight="1">
      <c r="A11" s="3"/>
      <c r="B11" s="2471"/>
      <c r="C11" s="939">
        <f>基本情報!C14</f>
        <v>0</v>
      </c>
      <c r="D11" s="9"/>
      <c r="E11" s="9"/>
      <c r="F11" s="9"/>
      <c r="G11" s="9">
        <f>基本情報!D14</f>
        <v>0</v>
      </c>
      <c r="H11" s="9"/>
      <c r="J11" s="9"/>
      <c r="K11" s="10">
        <f>基本情報!F14</f>
        <v>0</v>
      </c>
      <c r="L11" s="978"/>
    </row>
    <row r="12" spans="1:12" ht="18.75" customHeight="1">
      <c r="A12" s="3"/>
      <c r="B12" s="2472"/>
      <c r="C12" s="939">
        <f>基本情報!C15</f>
        <v>0</v>
      </c>
      <c r="D12" s="9"/>
      <c r="E12" s="9"/>
      <c r="F12" s="9"/>
      <c r="G12" s="9">
        <f>基本情報!D15</f>
        <v>0</v>
      </c>
      <c r="H12" s="9"/>
      <c r="J12" s="9"/>
      <c r="K12" s="10">
        <f>基本情報!F15</f>
        <v>0</v>
      </c>
      <c r="L12" s="978"/>
    </row>
    <row r="13" spans="1:12" ht="18.75" customHeight="1">
      <c r="A13" s="3"/>
      <c r="B13" s="2470" t="s">
        <v>552</v>
      </c>
      <c r="C13" s="16" t="s">
        <v>553</v>
      </c>
      <c r="D13" s="2477" t="str">
        <f>基本情報!C17</f>
        <v>宅地</v>
      </c>
      <c r="E13" s="2478"/>
      <c r="F13" s="2479"/>
      <c r="G13" s="2468" t="s">
        <v>554</v>
      </c>
      <c r="H13" s="2480"/>
      <c r="I13" s="2469"/>
      <c r="J13" s="2477" t="str">
        <f>基本情報!C18</f>
        <v>建物付</v>
      </c>
      <c r="K13" s="2481"/>
      <c r="L13" s="978"/>
    </row>
    <row r="14" spans="1:12" ht="18.75" customHeight="1">
      <c r="A14" s="3"/>
      <c r="B14" s="2471"/>
      <c r="C14" s="16" t="s">
        <v>555</v>
      </c>
      <c r="D14" s="2477" t="str">
        <f>基本情報!C19</f>
        <v>所有権</v>
      </c>
      <c r="E14" s="2478"/>
      <c r="F14" s="2478"/>
      <c r="G14" s="2494" t="s">
        <v>556</v>
      </c>
      <c r="H14" s="2494"/>
      <c r="I14" s="2494"/>
      <c r="J14" s="2495">
        <f>基本情報!C22</f>
        <v>0</v>
      </c>
      <c r="K14" s="2496"/>
      <c r="L14" s="978"/>
    </row>
    <row r="15" spans="1:12" ht="18.75" customHeight="1">
      <c r="A15" s="3"/>
      <c r="B15" s="2471"/>
      <c r="C15" s="2473" t="s">
        <v>557</v>
      </c>
      <c r="D15" s="2468" t="s">
        <v>558</v>
      </c>
      <c r="E15" s="2469"/>
      <c r="F15" s="20">
        <f>基本情報!C20</f>
        <v>354.52</v>
      </c>
      <c r="G15" s="497" t="s">
        <v>559</v>
      </c>
      <c r="H15" s="181" t="s">
        <v>23</v>
      </c>
      <c r="I15" s="21">
        <f>基本情報!E20</f>
        <v>107.24</v>
      </c>
      <c r="J15" s="2475" t="s">
        <v>583</v>
      </c>
      <c r="K15" s="2476"/>
      <c r="L15" s="978"/>
    </row>
    <row r="16" spans="1:12" ht="18.75" customHeight="1">
      <c r="A16" s="3"/>
      <c r="B16" s="2471"/>
      <c r="C16" s="2474"/>
      <c r="D16" s="2468" t="s">
        <v>560</v>
      </c>
      <c r="E16" s="2469"/>
      <c r="F16" s="20">
        <f>基本情報!C21</f>
        <v>0</v>
      </c>
      <c r="G16" s="497" t="s">
        <v>559</v>
      </c>
      <c r="H16" s="181" t="s">
        <v>23</v>
      </c>
      <c r="I16" s="21">
        <f>基本情報!E21</f>
        <v>0</v>
      </c>
      <c r="J16" s="497" t="s">
        <v>583</v>
      </c>
      <c r="K16" s="11"/>
      <c r="L16" s="978"/>
    </row>
    <row r="17" spans="1:12" ht="18.75" customHeight="1">
      <c r="A17" s="3"/>
      <c r="B17" s="2471"/>
      <c r="C17" s="2473" t="s">
        <v>561</v>
      </c>
      <c r="D17" s="941" t="str">
        <f>基本情報!C23</f>
        <v>西側　幅員約6m 公道</v>
      </c>
      <c r="E17" s="942"/>
      <c r="F17" s="12"/>
      <c r="G17" s="12"/>
      <c r="H17" s="13"/>
      <c r="I17" s="942">
        <f>基本情報!C24</f>
        <v>0</v>
      </c>
      <c r="J17" s="13"/>
      <c r="K17" s="14"/>
      <c r="L17" s="978"/>
    </row>
    <row r="18" spans="1:12" ht="18.75" customHeight="1">
      <c r="A18" s="3"/>
      <c r="B18" s="2472"/>
      <c r="C18" s="2474"/>
      <c r="D18" s="943">
        <f>基本情報!C25</f>
        <v>0</v>
      </c>
      <c r="E18" s="498"/>
      <c r="F18" s="933"/>
      <c r="G18" s="933"/>
      <c r="H18" s="934"/>
      <c r="I18" s="498"/>
      <c r="J18" s="934"/>
      <c r="K18" s="935"/>
      <c r="L18" s="978"/>
    </row>
    <row r="19" spans="1:12" ht="18.75" customHeight="1">
      <c r="A19" s="3"/>
      <c r="B19" s="2470" t="s">
        <v>562</v>
      </c>
      <c r="C19" s="940" t="s">
        <v>563</v>
      </c>
      <c r="D19" s="2497" t="str">
        <f>基本情報!C27</f>
        <v>18番4</v>
      </c>
      <c r="E19" s="2498"/>
      <c r="F19" s="2498"/>
      <c r="G19" s="2498"/>
      <c r="H19" s="2498"/>
      <c r="I19" s="2498"/>
      <c r="J19" s="2498"/>
      <c r="K19" s="2499"/>
      <c r="L19" s="978"/>
    </row>
    <row r="20" spans="1:12" ht="18.75" customHeight="1">
      <c r="A20" s="3"/>
      <c r="B20" s="2471"/>
      <c r="C20" s="944" t="s">
        <v>564</v>
      </c>
      <c r="D20" s="2484" t="str">
        <f>基本情報!C28</f>
        <v>鉄骨鉄筋コンクリート造陸屋根7階建</v>
      </c>
      <c r="E20" s="2485"/>
      <c r="F20" s="2485"/>
      <c r="G20" s="2485"/>
      <c r="H20" s="2485"/>
      <c r="I20" s="2485"/>
      <c r="J20" s="2485"/>
      <c r="K20" s="2486"/>
      <c r="L20" s="978"/>
    </row>
    <row r="21" spans="1:12" ht="18.75" customHeight="1">
      <c r="A21" s="3"/>
      <c r="B21" s="2471"/>
      <c r="C21" s="945" t="s">
        <v>565</v>
      </c>
      <c r="D21" s="2497" t="str">
        <f>基本情報!C29</f>
        <v>事務所・車庫</v>
      </c>
      <c r="E21" s="2498"/>
      <c r="F21" s="2498"/>
      <c r="G21" s="2498"/>
      <c r="H21" s="2498"/>
      <c r="I21" s="2498"/>
      <c r="J21" s="2498"/>
      <c r="K21" s="2499"/>
      <c r="L21" s="978"/>
    </row>
    <row r="22" spans="1:12" ht="18.75" customHeight="1">
      <c r="A22" s="3"/>
      <c r="B22" s="2471"/>
      <c r="C22" s="2500" t="s">
        <v>566</v>
      </c>
      <c r="D22" s="2468" t="s">
        <v>558</v>
      </c>
      <c r="E22" s="2469"/>
      <c r="F22" s="20">
        <f>基本情報!C30</f>
        <v>2132.0300000000002</v>
      </c>
      <c r="G22" s="497" t="s">
        <v>559</v>
      </c>
      <c r="H22" s="181" t="s">
        <v>23</v>
      </c>
      <c r="I22" s="21">
        <f>基本情報!E30</f>
        <v>644.92999999999995</v>
      </c>
      <c r="J22" s="497" t="s">
        <v>584</v>
      </c>
      <c r="K22" s="11"/>
      <c r="L22" s="978"/>
    </row>
    <row r="23" spans="1:12" ht="18.75" customHeight="1">
      <c r="A23" s="3"/>
      <c r="B23" s="2471"/>
      <c r="C23" s="2474"/>
      <c r="D23" s="2492" t="s">
        <v>21</v>
      </c>
      <c r="E23" s="2493"/>
      <c r="F23" s="20">
        <f>基本情報!C32</f>
        <v>1923.2312500000003</v>
      </c>
      <c r="G23" s="497" t="s">
        <v>559</v>
      </c>
      <c r="H23" s="181" t="s">
        <v>23</v>
      </c>
      <c r="I23" s="21">
        <f>基本情報!E32</f>
        <v>581.77</v>
      </c>
      <c r="J23" s="497" t="s">
        <v>584</v>
      </c>
      <c r="K23" s="15" t="s">
        <v>25</v>
      </c>
      <c r="L23" s="978"/>
    </row>
    <row r="24" spans="1:12" ht="18.75" customHeight="1">
      <c r="A24" s="3"/>
      <c r="B24" s="2471"/>
      <c r="C24" s="945" t="s">
        <v>567</v>
      </c>
      <c r="D24" s="2487">
        <f>基本情報!C33</f>
        <v>30749</v>
      </c>
      <c r="E24" s="2488"/>
      <c r="F24" s="2489"/>
      <c r="G24" s="2468" t="s">
        <v>568</v>
      </c>
      <c r="H24" s="2480"/>
      <c r="I24" s="2469"/>
      <c r="J24" s="2490" t="str">
        <f>基本情報!C34</f>
        <v>無</v>
      </c>
      <c r="K24" s="2491"/>
      <c r="L24" s="978"/>
    </row>
    <row r="25" spans="1:12" ht="18.75" customHeight="1">
      <c r="A25" s="3"/>
      <c r="B25" s="2470" t="s">
        <v>569</v>
      </c>
      <c r="C25" s="16" t="s">
        <v>570</v>
      </c>
      <c r="D25" s="2477" t="str">
        <f>基本情報!C36</f>
        <v>東京電力エナジーパートナー</v>
      </c>
      <c r="E25" s="2478"/>
      <c r="F25" s="2479"/>
      <c r="G25" s="2468" t="s">
        <v>571</v>
      </c>
      <c r="H25" s="2480"/>
      <c r="I25" s="2469"/>
      <c r="J25" s="2477" t="str">
        <f>基本情報!C38</f>
        <v>公営水道</v>
      </c>
      <c r="K25" s="2481"/>
      <c r="L25" s="978"/>
    </row>
    <row r="26" spans="1:12" ht="18.75" customHeight="1">
      <c r="A26" s="3"/>
      <c r="B26" s="2472"/>
      <c r="C26" s="496" t="s">
        <v>572</v>
      </c>
      <c r="D26" s="2477" t="str">
        <f>基本情報!C37</f>
        <v>都市ガス</v>
      </c>
      <c r="E26" s="2478"/>
      <c r="F26" s="2479"/>
      <c r="G26" s="2468" t="s">
        <v>573</v>
      </c>
      <c r="H26" s="2480"/>
      <c r="I26" s="2469"/>
      <c r="J26" s="2477" t="str">
        <f>基本情報!C38</f>
        <v>公営水道</v>
      </c>
      <c r="K26" s="2481"/>
      <c r="L26" s="978"/>
    </row>
    <row r="27" spans="1:12" ht="18.75" customHeight="1">
      <c r="A27" s="3"/>
      <c r="B27" s="2501" t="s">
        <v>842</v>
      </c>
      <c r="C27" s="940" t="s">
        <v>574</v>
      </c>
      <c r="D27" s="2484" t="str">
        <f>基本情報!C41</f>
        <v>商業地域</v>
      </c>
      <c r="E27" s="2485"/>
      <c r="F27" s="2485"/>
      <c r="G27" s="2485"/>
      <c r="H27" s="2485"/>
      <c r="I27" s="2485"/>
      <c r="J27" s="2485"/>
      <c r="K27" s="2486"/>
      <c r="L27" s="978"/>
    </row>
    <row r="28" spans="1:12" ht="18.75" customHeight="1">
      <c r="A28" s="3"/>
      <c r="B28" s="2471"/>
      <c r="C28" s="944" t="s">
        <v>575</v>
      </c>
      <c r="D28" s="2502">
        <f>基本情報!C42</f>
        <v>0.8</v>
      </c>
      <c r="E28" s="2503"/>
      <c r="F28" s="2504"/>
      <c r="G28" s="2468" t="s">
        <v>576</v>
      </c>
      <c r="H28" s="2480"/>
      <c r="I28" s="2469"/>
      <c r="J28" s="2502">
        <f>基本情報!C43</f>
        <v>6</v>
      </c>
      <c r="K28" s="2505"/>
      <c r="L28" s="978"/>
    </row>
    <row r="29" spans="1:12" ht="18.75" customHeight="1">
      <c r="A29" s="3"/>
      <c r="B29" s="2471"/>
      <c r="C29" s="944" t="s">
        <v>577</v>
      </c>
      <c r="D29" s="2477" t="str">
        <f>基本情報!C44</f>
        <v>防火地域</v>
      </c>
      <c r="E29" s="2478"/>
      <c r="F29" s="2479"/>
      <c r="G29" s="2468" t="s">
        <v>578</v>
      </c>
      <c r="H29" s="2480"/>
      <c r="I29" s="2469"/>
      <c r="J29" s="2490" t="str">
        <f>基本情報!C46</f>
        <v>-</v>
      </c>
      <c r="K29" s="2491"/>
      <c r="L29" s="978"/>
    </row>
    <row r="30" spans="1:12" ht="18.75" customHeight="1">
      <c r="A30" s="3"/>
      <c r="B30" s="2471"/>
      <c r="C30" s="495" t="s">
        <v>579</v>
      </c>
      <c r="D30" s="2506" t="str">
        <f>基本情報!C47</f>
        <v>駐車場整備地区・神田錦町北部周辺地区地区計画</v>
      </c>
      <c r="E30" s="2507"/>
      <c r="F30" s="2507"/>
      <c r="G30" s="2507"/>
      <c r="H30" s="2507"/>
      <c r="I30" s="2507"/>
      <c r="J30" s="2507"/>
      <c r="K30" s="2508"/>
      <c r="L30" s="978"/>
    </row>
    <row r="31" spans="1:12" ht="27" customHeight="1">
      <c r="A31" s="3"/>
      <c r="B31" s="946" t="s">
        <v>580</v>
      </c>
      <c r="C31" s="16"/>
      <c r="D31" s="2523">
        <f>'事業計画書（現行）'!O13</f>
        <v>3833987001.4352798</v>
      </c>
      <c r="E31" s="2524"/>
      <c r="F31" s="2524"/>
      <c r="G31" s="2524"/>
      <c r="H31" s="2524"/>
      <c r="I31" s="2524"/>
      <c r="J31" s="2524"/>
      <c r="K31" s="2525"/>
      <c r="L31" s="978"/>
    </row>
    <row r="32" spans="1:12" ht="21" customHeight="1">
      <c r="A32" s="3"/>
      <c r="B32" s="2470" t="s">
        <v>581</v>
      </c>
      <c r="C32" s="954" t="s">
        <v>596</v>
      </c>
      <c r="D32" s="7"/>
      <c r="E32" s="7"/>
      <c r="F32" s="955"/>
      <c r="G32" s="7"/>
      <c r="H32" s="7"/>
      <c r="I32" s="955"/>
      <c r="J32" s="7"/>
      <c r="K32" s="8"/>
      <c r="L32" s="977" t="s">
        <v>22</v>
      </c>
    </row>
    <row r="33" spans="1:16" ht="21" customHeight="1">
      <c r="A33" s="3"/>
      <c r="B33" s="2471"/>
      <c r="C33" s="956" t="s">
        <v>597</v>
      </c>
      <c r="D33" s="957"/>
      <c r="E33" s="957"/>
      <c r="F33" s="958"/>
      <c r="G33" s="957"/>
      <c r="H33" s="957"/>
      <c r="I33" s="958"/>
      <c r="J33" s="957"/>
      <c r="K33" s="10"/>
      <c r="L33" s="977" t="s">
        <v>22</v>
      </c>
    </row>
    <row r="34" spans="1:16" ht="21" customHeight="1">
      <c r="A34" s="3"/>
      <c r="B34" s="2471"/>
      <c r="C34" s="939" t="s">
        <v>598</v>
      </c>
      <c r="D34" s="957"/>
      <c r="E34" s="957"/>
      <c r="F34" s="958"/>
      <c r="G34" s="957"/>
      <c r="H34" s="957"/>
      <c r="I34" s="958"/>
      <c r="J34" s="957"/>
      <c r="K34" s="10"/>
      <c r="L34" s="977" t="s">
        <v>22</v>
      </c>
    </row>
    <row r="35" spans="1:16" ht="21" customHeight="1">
      <c r="A35" s="3"/>
      <c r="B35" s="2471"/>
      <c r="C35" s="959" t="s">
        <v>599</v>
      </c>
      <c r="D35" s="960"/>
      <c r="E35" s="961">
        <f>G35/12</f>
        <v>14288460</v>
      </c>
      <c r="F35" s="962" t="s">
        <v>600</v>
      </c>
      <c r="G35" s="2522">
        <f>'事業計画書（現行）'!M16</f>
        <v>171461520</v>
      </c>
      <c r="H35" s="2522"/>
      <c r="I35" s="2522"/>
      <c r="J35" s="925"/>
      <c r="K35" s="964"/>
      <c r="L35" s="977"/>
    </row>
    <row r="36" spans="1:16" ht="21" customHeight="1">
      <c r="A36" s="3"/>
      <c r="B36" s="2471"/>
      <c r="C36" s="959" t="s">
        <v>601</v>
      </c>
      <c r="D36" s="965"/>
      <c r="E36" s="961">
        <f>G36/12</f>
        <v>12777449.133333333</v>
      </c>
      <c r="F36" s="962" t="s">
        <v>600</v>
      </c>
      <c r="G36" s="2522">
        <f>'事業計画書（現行）'!M17</f>
        <v>153329389.59999999</v>
      </c>
      <c r="H36" s="2522"/>
      <c r="I36" s="2522"/>
      <c r="J36" s="925"/>
      <c r="K36" s="964"/>
      <c r="L36" s="977"/>
    </row>
    <row r="37" spans="1:16" ht="21" customHeight="1">
      <c r="A37" s="3"/>
      <c r="B37" s="2471"/>
      <c r="C37" s="959"/>
      <c r="D37" s="965"/>
      <c r="E37" s="961"/>
      <c r="F37" s="962"/>
      <c r="G37" s="963"/>
      <c r="H37" s="963"/>
      <c r="I37" s="963"/>
      <c r="J37" s="925"/>
      <c r="K37" s="964"/>
      <c r="L37" s="977"/>
    </row>
    <row r="38" spans="1:16" ht="21" customHeight="1">
      <c r="A38" s="3"/>
      <c r="B38" s="2471"/>
      <c r="C38" s="939" t="s">
        <v>602</v>
      </c>
      <c r="D38" s="9"/>
      <c r="E38" s="9"/>
      <c r="F38" s="2510">
        <f>'収支計算表（見込）計画1'!J43</f>
        <v>728981750</v>
      </c>
      <c r="G38" s="2510"/>
      <c r="H38" s="2510"/>
      <c r="I38" s="2510"/>
      <c r="J38" s="2511">
        <f>'収支計算表（見込）計画1'!K43</f>
        <v>196308100</v>
      </c>
      <c r="K38" s="2512"/>
      <c r="L38" s="978"/>
    </row>
    <row r="39" spans="1:16" ht="21" customHeight="1">
      <c r="A39" s="3"/>
      <c r="B39" s="2471"/>
      <c r="C39" s="939" t="s">
        <v>603</v>
      </c>
      <c r="D39" s="957"/>
      <c r="E39" s="957"/>
      <c r="F39" s="966">
        <f>'収支計算表（見込）計画1'!K53</f>
        <v>129000</v>
      </c>
      <c r="G39" s="958" t="s">
        <v>26</v>
      </c>
      <c r="H39" s="2513">
        <f>F15</f>
        <v>354.52</v>
      </c>
      <c r="I39" s="2513"/>
      <c r="J39" s="2514">
        <f>F39*H39</f>
        <v>45733080</v>
      </c>
      <c r="K39" s="2515"/>
      <c r="L39" s="978"/>
    </row>
    <row r="40" spans="1:16" ht="21" customHeight="1">
      <c r="A40" s="3"/>
      <c r="B40" s="2471"/>
      <c r="C40" s="2516"/>
      <c r="D40" s="2517"/>
      <c r="E40" s="968"/>
      <c r="F40" s="2518"/>
      <c r="G40" s="2518"/>
      <c r="H40" s="2518"/>
      <c r="I40" s="925"/>
      <c r="J40" s="969" t="s">
        <v>604</v>
      </c>
      <c r="K40" s="970">
        <f>J39/I15</f>
        <v>426455.42707944801</v>
      </c>
      <c r="L40" s="978"/>
    </row>
    <row r="41" spans="1:16" ht="21" customHeight="1">
      <c r="A41" s="3"/>
      <c r="B41" s="2471"/>
      <c r="C41" s="967" t="s">
        <v>605</v>
      </c>
      <c r="D41" s="957">
        <f>基本情報!C49</f>
        <v>0</v>
      </c>
      <c r="E41" s="957"/>
      <c r="F41" s="958"/>
      <c r="G41" s="958"/>
      <c r="H41" s="958"/>
      <c r="I41" s="958"/>
      <c r="J41" s="958"/>
      <c r="K41" s="971"/>
      <c r="L41" s="978"/>
    </row>
    <row r="42" spans="1:16" ht="21" customHeight="1">
      <c r="A42" s="3"/>
      <c r="B42" s="2471"/>
      <c r="C42" s="967" t="s">
        <v>606</v>
      </c>
      <c r="D42" s="968">
        <f>基本情報!C50</f>
        <v>0</v>
      </c>
      <c r="E42" s="968"/>
      <c r="F42" s="958"/>
      <c r="G42" s="958"/>
      <c r="H42" s="958"/>
      <c r="I42" s="958"/>
      <c r="J42" s="958"/>
      <c r="K42" s="971"/>
      <c r="L42" s="978"/>
    </row>
    <row r="43" spans="1:16" ht="21" customHeight="1" thickBot="1">
      <c r="A43" s="3"/>
      <c r="B43" s="2509"/>
      <c r="C43" s="2519" t="s">
        <v>595</v>
      </c>
      <c r="D43" s="2520"/>
      <c r="E43" s="2520"/>
      <c r="F43" s="2520"/>
      <c r="G43" s="2520"/>
      <c r="H43" s="2520"/>
      <c r="I43" s="2520"/>
      <c r="J43" s="2520"/>
      <c r="K43" s="2521"/>
      <c r="L43" s="977" t="s">
        <v>22</v>
      </c>
    </row>
    <row r="44" spans="1:16" s="976" customFormat="1" ht="9.75" customHeight="1">
      <c r="A44" s="975"/>
      <c r="B44" s="972"/>
      <c r="C44" s="973"/>
      <c r="D44" s="974"/>
      <c r="E44" s="974"/>
      <c r="F44" s="974"/>
      <c r="G44" s="974"/>
      <c r="H44" s="974"/>
      <c r="I44" s="974"/>
      <c r="J44" s="974"/>
      <c r="K44" s="974"/>
      <c r="L44" s="979"/>
    </row>
    <row r="45" spans="1:16" ht="15.75">
      <c r="A45" s="3"/>
      <c r="B45" s="17"/>
      <c r="C45" s="3"/>
      <c r="D45" s="3"/>
      <c r="E45" s="3"/>
      <c r="F45" s="3"/>
      <c r="G45" s="3"/>
      <c r="H45" s="3"/>
      <c r="I45" s="384" t="s">
        <v>27</v>
      </c>
      <c r="J45" s="2527"/>
      <c r="K45" s="2527"/>
      <c r="L45" s="978"/>
    </row>
    <row r="46" spans="1:16" ht="15">
      <c r="A46" s="3"/>
      <c r="B46" s="3"/>
      <c r="C46" s="3"/>
      <c r="D46" s="3"/>
      <c r="E46" s="3"/>
      <c r="F46" s="3"/>
      <c r="G46" s="1870" t="s">
        <v>27</v>
      </c>
      <c r="H46" s="2526"/>
      <c r="I46" s="2526"/>
      <c r="J46" s="2526"/>
      <c r="K46" s="2526"/>
      <c r="L46" s="978"/>
    </row>
    <row r="47" spans="1:16" ht="15">
      <c r="A47" s="3"/>
      <c r="B47" s="3"/>
      <c r="C47" s="3"/>
      <c r="D47" s="3"/>
      <c r="E47" s="3"/>
      <c r="F47" s="3"/>
      <c r="G47" s="1870" t="s">
        <v>27</v>
      </c>
      <c r="H47" s="2526"/>
      <c r="I47" s="2526"/>
      <c r="J47" s="2526"/>
      <c r="K47" s="2526"/>
      <c r="L47" s="978"/>
      <c r="M47" s="949"/>
      <c r="N47" s="953" t="s">
        <v>594</v>
      </c>
      <c r="P47" s="953" t="s">
        <v>593</v>
      </c>
    </row>
    <row r="48" spans="1:16" ht="15">
      <c r="A48" s="3"/>
      <c r="B48" s="3"/>
      <c r="C48" s="3"/>
      <c r="D48" s="3"/>
      <c r="E48" s="3"/>
      <c r="F48" s="3"/>
      <c r="G48" s="1870" t="s">
        <v>27</v>
      </c>
      <c r="H48" s="2526"/>
      <c r="I48" s="2526"/>
      <c r="J48" s="2526"/>
      <c r="K48" s="2526"/>
      <c r="L48" s="978"/>
      <c r="M48" s="950" t="s">
        <v>585</v>
      </c>
      <c r="N48" s="950" t="s">
        <v>482</v>
      </c>
      <c r="O48" s="950" t="s">
        <v>586</v>
      </c>
      <c r="P48" s="950" t="s">
        <v>588</v>
      </c>
    </row>
    <row r="49" spans="1:16" ht="15">
      <c r="A49" s="3"/>
      <c r="B49" s="3"/>
      <c r="C49" s="3"/>
      <c r="D49" s="3"/>
      <c r="E49" s="3"/>
      <c r="F49" s="3"/>
      <c r="G49" s="18" t="s">
        <v>27</v>
      </c>
      <c r="H49" s="19"/>
      <c r="I49" s="18" t="s">
        <v>27</v>
      </c>
      <c r="J49" s="1870" t="s">
        <v>27</v>
      </c>
      <c r="K49" s="2526"/>
      <c r="L49" s="978"/>
      <c r="M49" s="951" t="s">
        <v>589</v>
      </c>
      <c r="N49" s="950" t="str">
        <f>基本情報!C3</f>
        <v>矢部　浩亮</v>
      </c>
      <c r="O49" s="952" t="str">
        <f>基本情報!D3</f>
        <v>（080-9151-0877）</v>
      </c>
      <c r="P49" s="950"/>
    </row>
    <row r="50" spans="1:16" ht="9.75" customHeight="1">
      <c r="M50" s="949"/>
      <c r="N50" s="949"/>
      <c r="O50" s="949"/>
      <c r="P50" s="949"/>
    </row>
  </sheetData>
  <mergeCells count="60">
    <mergeCell ref="J14:K14"/>
    <mergeCell ref="C15:C16"/>
    <mergeCell ref="D15:E15"/>
    <mergeCell ref="J15:K15"/>
    <mergeCell ref="B2:K2"/>
    <mergeCell ref="J3:K3"/>
    <mergeCell ref="B5:B6"/>
    <mergeCell ref="D5:K5"/>
    <mergeCell ref="D6:K6"/>
    <mergeCell ref="B7:B12"/>
    <mergeCell ref="D16:E16"/>
    <mergeCell ref="C17:C18"/>
    <mergeCell ref="B19:B24"/>
    <mergeCell ref="D19:K19"/>
    <mergeCell ref="D20:K20"/>
    <mergeCell ref="D21:K21"/>
    <mergeCell ref="C22:C23"/>
    <mergeCell ref="D22:E22"/>
    <mergeCell ref="D23:E23"/>
    <mergeCell ref="D24:F24"/>
    <mergeCell ref="B13:B18"/>
    <mergeCell ref="D13:F13"/>
    <mergeCell ref="G13:I13"/>
    <mergeCell ref="J13:K13"/>
    <mergeCell ref="D14:F14"/>
    <mergeCell ref="G14:I14"/>
    <mergeCell ref="G24:I24"/>
    <mergeCell ref="J24:K24"/>
    <mergeCell ref="B25:B26"/>
    <mergeCell ref="D25:F25"/>
    <mergeCell ref="G25:I25"/>
    <mergeCell ref="J25:K25"/>
    <mergeCell ref="D26:F26"/>
    <mergeCell ref="G26:I26"/>
    <mergeCell ref="J26:K26"/>
    <mergeCell ref="B27:B30"/>
    <mergeCell ref="D27:K27"/>
    <mergeCell ref="D28:F28"/>
    <mergeCell ref="G28:I28"/>
    <mergeCell ref="J28:K28"/>
    <mergeCell ref="D29:F29"/>
    <mergeCell ref="G29:I29"/>
    <mergeCell ref="J29:K29"/>
    <mergeCell ref="D30:K30"/>
    <mergeCell ref="J49:K49"/>
    <mergeCell ref="D31:K31"/>
    <mergeCell ref="B32:B43"/>
    <mergeCell ref="G35:I35"/>
    <mergeCell ref="G36:I36"/>
    <mergeCell ref="F38:I38"/>
    <mergeCell ref="J38:K38"/>
    <mergeCell ref="H39:I39"/>
    <mergeCell ref="J39:K39"/>
    <mergeCell ref="C40:D40"/>
    <mergeCell ref="F40:H40"/>
    <mergeCell ref="C43:K43"/>
    <mergeCell ref="J45:K45"/>
    <mergeCell ref="G46:K46"/>
    <mergeCell ref="G47:K47"/>
    <mergeCell ref="G48:K48"/>
  </mergeCells>
  <phoneticPr fontId="192"/>
  <dataValidations count="1">
    <dataValidation type="list" allowBlank="1" showInputMessage="1" showErrorMessage="1" sqref="N48">
      <formula1>"当社購入,売主"</formula1>
    </dataValidation>
  </dataValidations>
  <printOptions horizontalCentered="1"/>
  <pageMargins left="0.23622047244094491" right="0.23622047244094491" top="0" bottom="0.15748031496062992" header="0.31496062992125984" footer="0.31496062992125984"/>
  <pageSetup paperSize="9" scale="93"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66FFCC"/>
  </sheetPr>
  <dimension ref="A1:Z202"/>
  <sheetViews>
    <sheetView view="pageBreakPreview" zoomScale="85" zoomScaleNormal="85" zoomScaleSheetLayoutView="85" workbookViewId="0">
      <selection activeCell="L36" sqref="L36"/>
    </sheetView>
  </sheetViews>
  <sheetFormatPr defaultRowHeight="13.5" customHeight="1"/>
  <cols>
    <col min="1" max="12" width="13.125" style="1503" customWidth="1"/>
    <col min="13" max="13" width="15.25" style="1503" customWidth="1"/>
    <col min="14" max="16" width="17.625" style="1503" customWidth="1"/>
    <col min="17" max="18" width="7.125" style="1503" customWidth="1"/>
    <col min="19" max="19" width="31.75" style="1503" customWidth="1"/>
    <col min="20" max="16384" width="9" style="1503"/>
  </cols>
  <sheetData>
    <row r="1" spans="1:26" ht="23.25" customHeight="1">
      <c r="A1" s="2547" t="s">
        <v>888</v>
      </c>
      <c r="B1" s="2547"/>
      <c r="C1" s="2547"/>
      <c r="D1" s="2547"/>
      <c r="E1" s="2547"/>
      <c r="F1" s="2547"/>
      <c r="G1" s="2547"/>
      <c r="H1" s="2547"/>
      <c r="I1" s="2547"/>
      <c r="J1" s="2547"/>
      <c r="K1" s="2547"/>
      <c r="L1" s="2547"/>
      <c r="M1" s="2547"/>
      <c r="N1" s="2547"/>
      <c r="O1" s="2547"/>
      <c r="P1" s="2547"/>
      <c r="Q1" s="2547"/>
      <c r="R1" s="2547"/>
      <c r="S1" s="2547"/>
    </row>
    <row r="2" spans="1:26" ht="23.25" customHeight="1">
      <c r="A2" s="1504" t="str">
        <f>基本情報!C5</f>
        <v>MAMIYAビル</v>
      </c>
      <c r="B2" s="1505"/>
      <c r="C2" s="1505"/>
      <c r="D2" s="1506"/>
      <c r="E2" s="1507"/>
      <c r="F2" s="1506"/>
      <c r="G2" s="1508"/>
      <c r="H2" s="1509"/>
      <c r="I2" s="1508"/>
      <c r="J2" s="1508"/>
      <c r="K2" s="1508"/>
      <c r="N2" s="1508"/>
      <c r="O2" s="1508"/>
      <c r="P2" s="1508"/>
      <c r="Q2" s="1508"/>
      <c r="R2" s="1508"/>
      <c r="S2" s="1508"/>
    </row>
    <row r="3" spans="1:26" ht="9.75" customHeight="1">
      <c r="A3" s="1510"/>
      <c r="B3" s="1510"/>
      <c r="C3" s="1510"/>
      <c r="D3" s="1506"/>
      <c r="E3" s="1506"/>
      <c r="F3" s="1506"/>
      <c r="G3" s="1508"/>
      <c r="H3" s="1509"/>
      <c r="I3" s="1508"/>
      <c r="J3" s="1508"/>
      <c r="K3" s="1508"/>
      <c r="N3" s="1508"/>
      <c r="O3" s="1508"/>
      <c r="P3" s="1508"/>
      <c r="Q3" s="1508"/>
      <c r="R3" s="1508"/>
      <c r="S3" s="1508"/>
    </row>
    <row r="4" spans="1:26" s="1508" customFormat="1" ht="15" customHeight="1" thickBot="1">
      <c r="A4" s="1511" t="s">
        <v>889</v>
      </c>
      <c r="B4" s="1511"/>
      <c r="G4" s="1512"/>
      <c r="J4" s="1513"/>
      <c r="S4" s="1514">
        <f ca="1">TODAY()</f>
        <v>43486</v>
      </c>
    </row>
    <row r="5" spans="1:26" s="1508" customFormat="1" ht="15" customHeight="1" thickBot="1">
      <c r="A5" s="1515" t="s">
        <v>890</v>
      </c>
      <c r="B5" s="1516"/>
      <c r="C5" s="1517" t="s">
        <v>97</v>
      </c>
      <c r="D5" s="1518" t="e">
        <f>D18/D19*100</f>
        <v>#REF!</v>
      </c>
      <c r="E5" s="1508" t="s">
        <v>891</v>
      </c>
      <c r="F5" s="1519"/>
      <c r="G5" s="1520"/>
    </row>
    <row r="6" spans="1:26" s="1508" customFormat="1" ht="8.25" customHeight="1">
      <c r="A6" s="1516"/>
      <c r="B6" s="1516"/>
    </row>
    <row r="7" spans="1:26" s="1508" customFormat="1" ht="15" customHeight="1">
      <c r="A7" s="2548" t="s">
        <v>98</v>
      </c>
      <c r="B7" s="2550" t="s">
        <v>99</v>
      </c>
      <c r="C7" s="2551"/>
      <c r="D7" s="2551" t="s">
        <v>100</v>
      </c>
      <c r="E7" s="2551"/>
      <c r="F7" s="2552" t="s">
        <v>74</v>
      </c>
      <c r="G7" s="2553"/>
      <c r="H7" s="2552" t="s">
        <v>75</v>
      </c>
      <c r="I7" s="2553"/>
      <c r="J7" s="2552" t="s">
        <v>101</v>
      </c>
      <c r="K7" s="2553"/>
      <c r="L7" s="2554" t="s">
        <v>892</v>
      </c>
      <c r="M7" s="2548" t="s">
        <v>103</v>
      </c>
      <c r="N7" s="2555" t="s">
        <v>76</v>
      </c>
      <c r="O7" s="2556"/>
      <c r="P7" s="2557"/>
      <c r="Q7" s="73" t="s">
        <v>104</v>
      </c>
      <c r="R7" s="73" t="s">
        <v>105</v>
      </c>
      <c r="S7" s="2548" t="s">
        <v>43</v>
      </c>
    </row>
    <row r="8" spans="1:26" s="1508" customFormat="1" ht="15" customHeight="1">
      <c r="A8" s="2549"/>
      <c r="B8" s="2551"/>
      <c r="C8" s="2551"/>
      <c r="D8" s="2551"/>
      <c r="E8" s="2551"/>
      <c r="F8" s="1521"/>
      <c r="G8" s="1522" t="s">
        <v>106</v>
      </c>
      <c r="H8" s="1521"/>
      <c r="I8" s="1522" t="s">
        <v>106</v>
      </c>
      <c r="J8" s="1521"/>
      <c r="K8" s="1522" t="s">
        <v>106</v>
      </c>
      <c r="L8" s="2549"/>
      <c r="M8" s="2549"/>
      <c r="N8" s="1522" t="s">
        <v>893</v>
      </c>
      <c r="O8" s="74" t="s">
        <v>77</v>
      </c>
      <c r="P8" s="74" t="s">
        <v>78</v>
      </c>
      <c r="Q8" s="74" t="s">
        <v>107</v>
      </c>
      <c r="R8" s="74" t="s">
        <v>108</v>
      </c>
      <c r="S8" s="2549"/>
    </row>
    <row r="9" spans="1:26" s="1537" customFormat="1" ht="33.75" customHeight="1">
      <c r="A9" s="1523" t="s">
        <v>227</v>
      </c>
      <c r="B9" s="1524" t="s">
        <v>894</v>
      </c>
      <c r="C9" s="1525" t="s">
        <v>895</v>
      </c>
      <c r="D9" s="1526">
        <f>'収支計算表（見込）計画1'!D20</f>
        <v>166.79124999999999</v>
      </c>
      <c r="E9" s="1527">
        <f>ROUNDDOWN(D9*0.3025,2)</f>
        <v>50.45</v>
      </c>
      <c r="F9" s="1528">
        <f>'収支計算表（見込）計画1'!F20</f>
        <v>1210800</v>
      </c>
      <c r="G9" s="1529">
        <f>'収支計算表（見込）計画1'!G20</f>
        <v>24000</v>
      </c>
      <c r="H9" s="1529">
        <f>'収支計算表（見込）計画1'!H20</f>
        <v>0</v>
      </c>
      <c r="I9" s="1529">
        <f>'収支計算表（見込）計画1'!I20</f>
        <v>0</v>
      </c>
      <c r="J9" s="1529">
        <f t="shared" ref="J9:K17" si="0">SUM(F9,H9)</f>
        <v>1210800</v>
      </c>
      <c r="K9" s="1529">
        <f t="shared" si="0"/>
        <v>24000</v>
      </c>
      <c r="L9" s="1530">
        <f>'収支計算表（見込）計画1'!L20</f>
        <v>0</v>
      </c>
      <c r="M9" s="1531">
        <f t="shared" ref="M9:M17" si="1">L9/F9</f>
        <v>0</v>
      </c>
      <c r="N9" s="1532"/>
      <c r="O9" s="1533"/>
      <c r="P9" s="1533"/>
      <c r="Q9" s="1534">
        <f>'収支計算表（見込）計画1'!Q20</f>
        <v>2</v>
      </c>
      <c r="R9" s="1535" t="str">
        <f>'収支計算表（見込）計画1'!R20</f>
        <v>-</v>
      </c>
      <c r="S9" s="1536" t="s">
        <v>896</v>
      </c>
      <c r="T9" s="2541" t="s">
        <v>897</v>
      </c>
      <c r="U9" s="2542"/>
      <c r="V9" s="2542"/>
      <c r="W9" s="2542"/>
      <c r="X9" s="2542"/>
      <c r="Y9" s="2542"/>
      <c r="Z9" s="2542"/>
    </row>
    <row r="10" spans="1:26" s="1552" customFormat="1" ht="33.75" customHeight="1">
      <c r="A10" s="1538" t="s">
        <v>898</v>
      </c>
      <c r="B10" s="1539" t="s">
        <v>96</v>
      </c>
      <c r="C10" s="1540" t="s">
        <v>899</v>
      </c>
      <c r="D10" s="1541">
        <f>'収支計算表（見込）計画1'!D21</f>
        <v>286.42</v>
      </c>
      <c r="E10" s="1542">
        <f t="shared" ref="E10:E17" si="2">ROUNDDOWN(D10*0.3025,2)</f>
        <v>86.64</v>
      </c>
      <c r="F10" s="1543">
        <f>'収支計算表（見込）計画1'!F21</f>
        <v>2079360</v>
      </c>
      <c r="G10" s="1544">
        <f>'収支計算表（見込）計画1'!G21</f>
        <v>24000</v>
      </c>
      <c r="H10" s="1543">
        <f>'収支計算表（見込）計画1'!H21</f>
        <v>0</v>
      </c>
      <c r="I10" s="1544">
        <f>'収支計算表（見込）計画1'!I21</f>
        <v>0</v>
      </c>
      <c r="J10" s="1544">
        <f t="shared" si="0"/>
        <v>2079360</v>
      </c>
      <c r="K10" s="1544">
        <f t="shared" si="0"/>
        <v>24000</v>
      </c>
      <c r="L10" s="1545">
        <f>'収支計算表（見込）計画1'!L21</f>
        <v>0</v>
      </c>
      <c r="M10" s="1546">
        <f t="shared" si="1"/>
        <v>0</v>
      </c>
      <c r="N10" s="1547">
        <f>'収支計算表（見込）計画1'!N21</f>
        <v>0</v>
      </c>
      <c r="O10" s="1547">
        <f>'収支計算表（見込）計画1'!O21</f>
        <v>0</v>
      </c>
      <c r="P10" s="1547">
        <f>'収支計算表（見込）計画1'!P21</f>
        <v>0</v>
      </c>
      <c r="Q10" s="1549">
        <f>'収支計算表（見込）計画1'!Q21</f>
        <v>2</v>
      </c>
      <c r="R10" s="1550" t="str">
        <f>'収支計算表（見込）計画1'!R21</f>
        <v>-</v>
      </c>
      <c r="S10" s="1551"/>
      <c r="T10" s="2541"/>
      <c r="U10" s="2542"/>
      <c r="V10" s="2542"/>
      <c r="W10" s="2542"/>
      <c r="X10" s="2542"/>
      <c r="Y10" s="2542"/>
      <c r="Z10" s="2542"/>
    </row>
    <row r="11" spans="1:26" s="1558" customFormat="1" ht="33.75" customHeight="1">
      <c r="A11" s="1538" t="s">
        <v>900</v>
      </c>
      <c r="B11" s="1539" t="s">
        <v>96</v>
      </c>
      <c r="C11" s="1553" t="s">
        <v>901</v>
      </c>
      <c r="D11" s="1541">
        <f>'収支計算表（見込）計画1'!D22</f>
        <v>286.42</v>
      </c>
      <c r="E11" s="1542">
        <f t="shared" si="2"/>
        <v>86.64</v>
      </c>
      <c r="F11" s="1554">
        <f>'収支計算表（見込）計画1'!F22</f>
        <v>2079360</v>
      </c>
      <c r="G11" s="1555">
        <f>'収支計算表（見込）計画1'!G22</f>
        <v>24000</v>
      </c>
      <c r="H11" s="1555">
        <f>'収支計算表（見込）計画1'!H22</f>
        <v>0</v>
      </c>
      <c r="I11" s="1555">
        <f>'収支計算表（見込）計画1'!I22</f>
        <v>0</v>
      </c>
      <c r="J11" s="1555">
        <f t="shared" si="0"/>
        <v>2079360</v>
      </c>
      <c r="K11" s="1555">
        <f t="shared" si="0"/>
        <v>24000</v>
      </c>
      <c r="L11" s="1545">
        <f>'収支計算表（見込）計画1'!L22</f>
        <v>0</v>
      </c>
      <c r="M11" s="1556">
        <f t="shared" si="1"/>
        <v>0</v>
      </c>
      <c r="N11" s="1547">
        <f>'収支計算表（見込）計画1'!N22</f>
        <v>0</v>
      </c>
      <c r="O11" s="1548">
        <f>'収支計算表（見込）計画1'!O22</f>
        <v>0</v>
      </c>
      <c r="P11" s="1548">
        <f>'収支計算表（見込）計画1'!P22</f>
        <v>0</v>
      </c>
      <c r="Q11" s="1549">
        <f>'収支計算表（見込）計画1'!Q22</f>
        <v>2</v>
      </c>
      <c r="R11" s="1550" t="str">
        <f>'収支計算表（見込）計画1'!R22</f>
        <v>-</v>
      </c>
      <c r="S11" s="1557"/>
      <c r="T11" s="2541"/>
      <c r="U11" s="2542"/>
      <c r="V11" s="2542"/>
      <c r="W11" s="2542"/>
      <c r="X11" s="2542"/>
      <c r="Y11" s="2542"/>
      <c r="Z11" s="2542"/>
    </row>
    <row r="12" spans="1:26" s="1559" customFormat="1" ht="33.75" customHeight="1">
      <c r="A12" s="1538" t="s">
        <v>902</v>
      </c>
      <c r="B12" s="1553" t="s">
        <v>903</v>
      </c>
      <c r="C12" s="1540" t="s">
        <v>904</v>
      </c>
      <c r="D12" s="1541">
        <f>'収支計算表（見込）計画1'!D23</f>
        <v>286.42</v>
      </c>
      <c r="E12" s="1542">
        <f t="shared" si="2"/>
        <v>86.64</v>
      </c>
      <c r="F12" s="1543">
        <f>'収支計算表（見込）計画1'!F23</f>
        <v>2079360</v>
      </c>
      <c r="G12" s="1544">
        <f>'収支計算表（見込）計画1'!G23</f>
        <v>24000</v>
      </c>
      <c r="H12" s="1544">
        <f>'収支計算表（見込）計画1'!H23</f>
        <v>0</v>
      </c>
      <c r="I12" s="1544">
        <f>'収支計算表（見込）計画1'!I23</f>
        <v>0</v>
      </c>
      <c r="J12" s="1544">
        <f t="shared" si="0"/>
        <v>2079360</v>
      </c>
      <c r="K12" s="1544">
        <f t="shared" si="0"/>
        <v>24000</v>
      </c>
      <c r="L12" s="1545">
        <f>'収支計算表（見込）計画1'!L23</f>
        <v>0</v>
      </c>
      <c r="M12" s="1546">
        <f t="shared" si="1"/>
        <v>0</v>
      </c>
      <c r="N12" s="1547">
        <f>'収支計算表（見込）計画1'!N23</f>
        <v>0</v>
      </c>
      <c r="O12" s="1548">
        <f>'収支計算表（見込）計画1'!O23</f>
        <v>0</v>
      </c>
      <c r="P12" s="1548">
        <f>'収支計算表（見込）計画1'!P23</f>
        <v>0</v>
      </c>
      <c r="Q12" s="1549">
        <f>'収支計算表（見込）計画1'!Q23</f>
        <v>2</v>
      </c>
      <c r="R12" s="1550" t="str">
        <f>'収支計算表（見込）計画1'!R23</f>
        <v>-</v>
      </c>
      <c r="S12" s="1551" t="s">
        <v>905</v>
      </c>
    </row>
    <row r="13" spans="1:26" s="1508" customFormat="1" ht="33.75" customHeight="1">
      <c r="A13" s="1538" t="s">
        <v>906</v>
      </c>
      <c r="B13" s="1539" t="s">
        <v>96</v>
      </c>
      <c r="C13" s="1553" t="s">
        <v>907</v>
      </c>
      <c r="D13" s="1541">
        <f>'収支計算表（見込）計画1'!D24</f>
        <v>286.42</v>
      </c>
      <c r="E13" s="1542">
        <f t="shared" si="2"/>
        <v>86.64</v>
      </c>
      <c r="F13" s="1543">
        <f>'収支計算表（見込）計画1'!F24</f>
        <v>2079360</v>
      </c>
      <c r="G13" s="1544">
        <f>'収支計算表（見込）計画1'!G24</f>
        <v>24000</v>
      </c>
      <c r="H13" s="1544">
        <f>'収支計算表（見込）計画1'!H24</f>
        <v>0</v>
      </c>
      <c r="I13" s="1544">
        <f>'収支計算表（見込）計画1'!I24</f>
        <v>0</v>
      </c>
      <c r="J13" s="1544">
        <f t="shared" si="0"/>
        <v>2079360</v>
      </c>
      <c r="K13" s="1544">
        <f t="shared" si="0"/>
        <v>24000</v>
      </c>
      <c r="L13" s="1545">
        <f>'収支計算表（見込）計画1'!L24</f>
        <v>0</v>
      </c>
      <c r="M13" s="1546">
        <f t="shared" si="1"/>
        <v>0</v>
      </c>
      <c r="N13" s="1547">
        <f>'収支計算表（見込）計画1'!N24</f>
        <v>0</v>
      </c>
      <c r="O13" s="1548">
        <f>'収支計算表（見込）計画1'!O24</f>
        <v>0</v>
      </c>
      <c r="P13" s="1548">
        <f>'収支計算表（見込）計画1'!P24</f>
        <v>0</v>
      </c>
      <c r="Q13" s="1549">
        <f>'収支計算表（見込）計画1'!Q24</f>
        <v>2</v>
      </c>
      <c r="R13" s="1560" t="str">
        <f>'収支計算表（見込）計画1'!R24</f>
        <v>-</v>
      </c>
      <c r="S13" s="1561"/>
    </row>
    <row r="14" spans="1:26" s="1552" customFormat="1" ht="33.75" customHeight="1">
      <c r="A14" s="1538" t="s">
        <v>908</v>
      </c>
      <c r="B14" s="1553" t="s">
        <v>903</v>
      </c>
      <c r="C14" s="1540" t="s">
        <v>909</v>
      </c>
      <c r="D14" s="1541">
        <f>'収支計算表（見込）計画1'!D25</f>
        <v>286.42</v>
      </c>
      <c r="E14" s="1542">
        <f t="shared" si="2"/>
        <v>86.64</v>
      </c>
      <c r="F14" s="1554">
        <f>'収支計算表（見込）計画1'!F25</f>
        <v>2079360</v>
      </c>
      <c r="G14" s="1555">
        <f>'収支計算表（見込）計画1'!G25</f>
        <v>24000</v>
      </c>
      <c r="H14" s="1555">
        <f>'収支計算表（見込）計画1'!H25</f>
        <v>0</v>
      </c>
      <c r="I14" s="1555">
        <f>'収支計算表（見込）計画1'!I25</f>
        <v>0</v>
      </c>
      <c r="J14" s="1555">
        <f t="shared" si="0"/>
        <v>2079360</v>
      </c>
      <c r="K14" s="1555">
        <f t="shared" si="0"/>
        <v>24000</v>
      </c>
      <c r="L14" s="1545">
        <f>'収支計算表（見込）計画1'!L25</f>
        <v>0</v>
      </c>
      <c r="M14" s="1546">
        <f t="shared" si="1"/>
        <v>0</v>
      </c>
      <c r="N14" s="1547">
        <f>'収支計算表（見込）計画1'!N25</f>
        <v>0</v>
      </c>
      <c r="O14" s="1548">
        <f>'収支計算表（見込）計画1'!O25</f>
        <v>0</v>
      </c>
      <c r="P14" s="1548">
        <f>'収支計算表（見込）計画1'!P25</f>
        <v>0</v>
      </c>
      <c r="Q14" s="1549">
        <f>'収支計算表（見込）計画1'!Q25</f>
        <v>2</v>
      </c>
      <c r="R14" s="1550" t="str">
        <f>'収支計算表（見込）計画1'!R25</f>
        <v>-</v>
      </c>
      <c r="S14" s="1551" t="s">
        <v>910</v>
      </c>
    </row>
    <row r="15" spans="1:26" s="1563" customFormat="1" ht="33.75" customHeight="1">
      <c r="A15" s="1538" t="s">
        <v>911</v>
      </c>
      <c r="B15" s="1553" t="s">
        <v>903</v>
      </c>
      <c r="C15" s="1562" t="s">
        <v>912</v>
      </c>
      <c r="D15" s="1541" t="e">
        <f>'収支計算表（見込）計画1'!#REF!</f>
        <v>#REF!</v>
      </c>
      <c r="E15" s="1542" t="e">
        <f t="shared" si="2"/>
        <v>#REF!</v>
      </c>
      <c r="F15" s="1543" t="e">
        <f>'収支計算表（見込）計画1'!#REF!</f>
        <v>#REF!</v>
      </c>
      <c r="G15" s="1544" t="e">
        <f>'収支計算表（見込）計画1'!#REF!</f>
        <v>#REF!</v>
      </c>
      <c r="H15" s="1544" t="e">
        <f>'収支計算表（見込）計画1'!#REF!</f>
        <v>#REF!</v>
      </c>
      <c r="I15" s="1544" t="e">
        <f>'収支計算表（見込）計画1'!#REF!</f>
        <v>#REF!</v>
      </c>
      <c r="J15" s="1544" t="e">
        <f t="shared" si="0"/>
        <v>#REF!</v>
      </c>
      <c r="K15" s="1544" t="e">
        <f t="shared" si="0"/>
        <v>#REF!</v>
      </c>
      <c r="L15" s="1545" t="e">
        <f>'収支計算表（見込）計画1'!#REF!</f>
        <v>#REF!</v>
      </c>
      <c r="M15" s="1546" t="e">
        <f t="shared" si="1"/>
        <v>#REF!</v>
      </c>
      <c r="N15" s="1547" t="e">
        <f>'収支計算表（見込）計画1'!#REF!</f>
        <v>#REF!</v>
      </c>
      <c r="O15" s="1548" t="e">
        <f>'収支計算表（見込）計画1'!#REF!</f>
        <v>#REF!</v>
      </c>
      <c r="P15" s="1548" t="e">
        <f>'収支計算表（見込）計画1'!#REF!</f>
        <v>#REF!</v>
      </c>
      <c r="Q15" s="1549" t="e">
        <f>'収支計算表（見込）計画1'!#REF!</f>
        <v>#REF!</v>
      </c>
      <c r="R15" s="1550" t="e">
        <f>'収支計算表（見込）計画1'!#REF!</f>
        <v>#REF!</v>
      </c>
      <c r="S15" s="1551" t="s">
        <v>913</v>
      </c>
    </row>
    <row r="16" spans="1:26" s="1559" customFormat="1" ht="33.75" customHeight="1">
      <c r="A16" s="1538" t="s">
        <v>914</v>
      </c>
      <c r="B16" s="1553" t="s">
        <v>903</v>
      </c>
      <c r="C16" s="1540" t="s">
        <v>915</v>
      </c>
      <c r="D16" s="1541" t="e">
        <f>'収支計算表（見込）計画1'!#REF!</f>
        <v>#REF!</v>
      </c>
      <c r="E16" s="1542" t="e">
        <f>ROUNDDOWN(D16*0.3025,2)</f>
        <v>#REF!</v>
      </c>
      <c r="F16" s="1554" t="e">
        <f>'収支計算表（見込）計画1'!#REF!</f>
        <v>#REF!</v>
      </c>
      <c r="G16" s="1555" t="e">
        <f>'収支計算表（見込）計画1'!#REF!</f>
        <v>#REF!</v>
      </c>
      <c r="H16" s="1555" t="e">
        <f>'収支計算表（見込）計画1'!#REF!</f>
        <v>#REF!</v>
      </c>
      <c r="I16" s="1555" t="e">
        <f>'収支計算表（見込）計画1'!#REF!</f>
        <v>#REF!</v>
      </c>
      <c r="J16" s="1555" t="e">
        <f t="shared" si="0"/>
        <v>#REF!</v>
      </c>
      <c r="K16" s="1555" t="e">
        <f t="shared" si="0"/>
        <v>#REF!</v>
      </c>
      <c r="L16" s="1545" t="e">
        <f>'収支計算表（見込）計画1'!#REF!</f>
        <v>#REF!</v>
      </c>
      <c r="M16" s="1546" t="e">
        <f t="shared" si="1"/>
        <v>#REF!</v>
      </c>
      <c r="N16" s="1547" t="e">
        <f>'収支計算表（見込）計画1'!#REF!</f>
        <v>#REF!</v>
      </c>
      <c r="O16" s="1548" t="e">
        <f>'収支計算表（見込）計画1'!#REF!</f>
        <v>#REF!</v>
      </c>
      <c r="P16" s="1548" t="e">
        <f>'収支計算表（見込）計画1'!#REF!</f>
        <v>#REF!</v>
      </c>
      <c r="Q16" s="1549" t="e">
        <f>'収支計算表（見込）計画1'!#REF!</f>
        <v>#REF!</v>
      </c>
      <c r="R16" s="1550" t="e">
        <f>'収支計算表（見込）計画1'!#REF!</f>
        <v>#REF!</v>
      </c>
      <c r="S16" s="1551" t="s">
        <v>916</v>
      </c>
    </row>
    <row r="17" spans="1:19" s="1559" customFormat="1" ht="33.75" customHeight="1" thickBot="1">
      <c r="A17" s="1564" t="s">
        <v>917</v>
      </c>
      <c r="B17" s="1565" t="s">
        <v>96</v>
      </c>
      <c r="C17" s="1566" t="s">
        <v>918</v>
      </c>
      <c r="D17" s="1567">
        <f>'収支計算表（見込）計画1'!D26</f>
        <v>324.34000000000003</v>
      </c>
      <c r="E17" s="1568">
        <f t="shared" si="2"/>
        <v>98.11</v>
      </c>
      <c r="F17" s="1569">
        <f>'収支計算表（見込）計画1'!F26</f>
        <v>2550860</v>
      </c>
      <c r="G17" s="1570">
        <f>'収支計算表（見込）計画1'!G26</f>
        <v>26000</v>
      </c>
      <c r="H17" s="1570">
        <f>'収支計算表（見込）計画1'!H26</f>
        <v>0</v>
      </c>
      <c r="I17" s="1570">
        <f>'収支計算表（見込）計画1'!I26</f>
        <v>0</v>
      </c>
      <c r="J17" s="1570">
        <f t="shared" si="0"/>
        <v>2550860</v>
      </c>
      <c r="K17" s="1570">
        <f t="shared" si="0"/>
        <v>26000</v>
      </c>
      <c r="L17" s="1571">
        <f>'収支計算表（見込）計画1'!L26</f>
        <v>0</v>
      </c>
      <c r="M17" s="1572">
        <f t="shared" si="1"/>
        <v>0</v>
      </c>
      <c r="N17" s="1573">
        <f>'収支計算表（見込）計画1'!N26</f>
        <v>0</v>
      </c>
      <c r="O17" s="1574">
        <f>'収支計算表（見込）計画1'!O26</f>
        <v>0</v>
      </c>
      <c r="P17" s="1574">
        <f>'収支計算表（見込）計画1'!P26</f>
        <v>0</v>
      </c>
      <c r="Q17" s="1575">
        <f>'収支計算表（見込）計画1'!Q26</f>
        <v>2</v>
      </c>
      <c r="R17" s="1576" t="str">
        <f>'収支計算表（見込）計画1'!R26</f>
        <v>-</v>
      </c>
      <c r="S17" s="1577" t="s">
        <v>905</v>
      </c>
    </row>
    <row r="18" spans="1:19" s="1508" customFormat="1" ht="18" customHeight="1" thickTop="1">
      <c r="B18" s="1517" t="s">
        <v>110</v>
      </c>
      <c r="C18" s="1578" t="s">
        <v>919</v>
      </c>
      <c r="D18" s="1579" t="e">
        <f>D19-SUMIF(C9:C17,"-",D9:D17)</f>
        <v>#REF!</v>
      </c>
      <c r="E18" s="1580" t="e">
        <f>ROUNDDOWN(D18*0.3025,2)</f>
        <v>#REF!</v>
      </c>
      <c r="F18" s="1581" t="e">
        <f>F19-SUMIF(C9:C17,"-",F9:F17)</f>
        <v>#REF!</v>
      </c>
      <c r="G18" s="1581" t="e">
        <f>F18/E18</f>
        <v>#REF!</v>
      </c>
      <c r="H18" s="1581" t="e">
        <f>H19-SUMIF(C9:C17,"-",H9:H17)</f>
        <v>#REF!</v>
      </c>
      <c r="I18" s="1581" t="e">
        <f>H18/E18</f>
        <v>#REF!</v>
      </c>
      <c r="J18" s="1581" t="e">
        <f>SUM(F18,H18)</f>
        <v>#REF!</v>
      </c>
      <c r="K18" s="1581" t="e">
        <f>G18+I18</f>
        <v>#REF!</v>
      </c>
      <c r="L18" s="1581" t="e">
        <f>L19-SUMIF(C9:C17,"-",L9:L17)</f>
        <v>#REF!</v>
      </c>
      <c r="M18" s="1582"/>
      <c r="N18" s="1583"/>
      <c r="O18" s="338"/>
      <c r="P18" s="338"/>
      <c r="Q18" s="338"/>
      <c r="R18" s="338"/>
      <c r="S18" s="1584"/>
    </row>
    <row r="19" spans="1:19" s="1508" customFormat="1" ht="18" customHeight="1">
      <c r="B19" s="1517" t="s">
        <v>111</v>
      </c>
      <c r="C19" s="1522" t="s">
        <v>919</v>
      </c>
      <c r="D19" s="1585" t="e">
        <f>SUM(D9:D17)</f>
        <v>#REF!</v>
      </c>
      <c r="E19" s="1586" t="e">
        <f>ROUNDDOWN(D19*0.3025,2)</f>
        <v>#REF!</v>
      </c>
      <c r="F19" s="1587" t="e">
        <f>SUM(F9:F17)</f>
        <v>#REF!</v>
      </c>
      <c r="G19" s="1587" t="e">
        <f>F19/E19</f>
        <v>#REF!</v>
      </c>
      <c r="H19" s="1587" t="e">
        <f>SUM(H9:H17)</f>
        <v>#REF!</v>
      </c>
      <c r="I19" s="1587" t="e">
        <f>H19/E19</f>
        <v>#REF!</v>
      </c>
      <c r="J19" s="1587" t="e">
        <f>SUM(J9:J17)</f>
        <v>#REF!</v>
      </c>
      <c r="K19" s="1587" t="e">
        <f>SUM(G19,I19)</f>
        <v>#REF!</v>
      </c>
      <c r="L19" s="1587" t="e">
        <f>SUM(L9:L17)</f>
        <v>#REF!</v>
      </c>
      <c r="M19" s="1588"/>
      <c r="N19" s="1583"/>
      <c r="O19" s="338"/>
      <c r="P19" s="338"/>
      <c r="Q19" s="338"/>
      <c r="R19" s="338"/>
      <c r="S19" s="1584"/>
    </row>
    <row r="20" spans="1:19" s="1508" customFormat="1" ht="18" customHeight="1">
      <c r="C20" s="1589"/>
      <c r="D20" s="1590"/>
      <c r="E20" s="1591"/>
      <c r="F20" s="1592"/>
      <c r="G20" s="1592"/>
      <c r="H20" s="1592"/>
      <c r="I20" s="1592"/>
      <c r="J20" s="1592"/>
      <c r="K20" s="1592"/>
      <c r="L20" s="1592"/>
      <c r="M20" s="1593"/>
      <c r="N20" s="338"/>
      <c r="O20" s="338"/>
      <c r="P20" s="1584"/>
      <c r="Q20" s="1584"/>
      <c r="R20" s="1584"/>
      <c r="S20" s="1584"/>
    </row>
    <row r="21" spans="1:19" s="1508" customFormat="1" ht="18" customHeight="1">
      <c r="A21" s="1584"/>
      <c r="B21" s="1584"/>
      <c r="C21" s="1594"/>
      <c r="D21" s="1595"/>
      <c r="E21" s="1596"/>
      <c r="F21" s="1597"/>
      <c r="G21" s="1597"/>
      <c r="H21" s="1597"/>
      <c r="I21" s="1597"/>
      <c r="J21" s="1597"/>
      <c r="K21" s="1597"/>
      <c r="L21" s="1597"/>
      <c r="M21" s="1598" t="s">
        <v>966</v>
      </c>
      <c r="O21" s="1503"/>
      <c r="P21" s="1503"/>
      <c r="Q21" s="1503"/>
      <c r="R21" s="1503"/>
    </row>
    <row r="22" spans="1:19" s="1508" customFormat="1" ht="18" customHeight="1">
      <c r="A22" s="1599"/>
      <c r="B22" s="1599"/>
      <c r="C22" s="1600"/>
      <c r="D22" s="1601"/>
      <c r="E22" s="1602"/>
      <c r="F22" s="1603"/>
      <c r="G22" s="1603"/>
      <c r="H22" s="1603"/>
      <c r="I22" s="1603"/>
      <c r="J22" s="1603"/>
      <c r="K22" s="1603"/>
      <c r="L22" s="1597"/>
      <c r="M22" s="1604"/>
      <c r="N22" s="1605"/>
      <c r="O22" s="1503"/>
      <c r="P22" s="1503"/>
      <c r="Q22" s="1503"/>
      <c r="R22" s="1503"/>
    </row>
    <row r="23" spans="1:19" s="1508" customFormat="1" ht="18" customHeight="1">
      <c r="A23" s="1511" t="s">
        <v>123</v>
      </c>
      <c r="B23" s="1511"/>
      <c r="E23" s="1511" t="s">
        <v>920</v>
      </c>
      <c r="I23" s="1606" t="s">
        <v>921</v>
      </c>
      <c r="J23" s="1607"/>
      <c r="M23" s="1608" t="s">
        <v>967</v>
      </c>
      <c r="N23" s="1609"/>
      <c r="O23" s="1608"/>
      <c r="P23" s="1608"/>
      <c r="Q23" s="1608"/>
      <c r="R23" s="1608"/>
      <c r="S23" s="1610"/>
    </row>
    <row r="24" spans="1:19" s="1508" customFormat="1" ht="18" customHeight="1">
      <c r="A24" s="2543" t="s">
        <v>49</v>
      </c>
      <c r="B24" s="2544"/>
      <c r="C24" s="1522" t="s">
        <v>126</v>
      </c>
      <c r="D24" s="1611"/>
      <c r="E24" s="2543" t="s">
        <v>49</v>
      </c>
      <c r="F24" s="2544"/>
      <c r="G24" s="1522" t="s">
        <v>79</v>
      </c>
      <c r="H24" s="1612"/>
      <c r="I24" s="1613"/>
      <c r="J24" s="96" t="s">
        <v>72</v>
      </c>
      <c r="K24" s="96" t="s">
        <v>922</v>
      </c>
      <c r="M24" s="1614" t="s">
        <v>923</v>
      </c>
      <c r="N24" s="1614"/>
      <c r="O24" s="1614"/>
      <c r="P24" s="1615" t="e">
        <f>(J12+J13+J15)/(E12+E13+E15)</f>
        <v>#REF!</v>
      </c>
      <c r="Q24" s="1614" t="s">
        <v>924</v>
      </c>
      <c r="S24" s="1614"/>
    </row>
    <row r="25" spans="1:19" s="1508" customFormat="1" ht="18" customHeight="1">
      <c r="A25" s="1616" t="str">
        <f>'収支計算表（見込）計画1'!A43</f>
        <v>貸室賃料</v>
      </c>
      <c r="B25" s="1617"/>
      <c r="C25" s="1618">
        <f>'収支計算表（見込）計画1'!C43</f>
        <v>169901520</v>
      </c>
      <c r="D25" s="1701" t="s">
        <v>964</v>
      </c>
      <c r="E25" s="1619" t="str">
        <f>'収支計算表（見込）計画1'!E43</f>
        <v xml:space="preserve">   ビルメンテナンス費用（清掃・設備）</v>
      </c>
      <c r="F25" s="1620"/>
      <c r="G25" s="1621">
        <f>'収支計算表（見込）計画1'!G43</f>
        <v>4200000</v>
      </c>
      <c r="H25" s="380">
        <f>'収支計算表（見込）計画1'!H43</f>
        <v>350000</v>
      </c>
      <c r="I25" s="101" t="s">
        <v>80</v>
      </c>
      <c r="J25" s="1622">
        <f>'収支計算表（見込）計画1'!J43</f>
        <v>728981750</v>
      </c>
      <c r="K25" s="1622">
        <f>'収支計算表（見込）計画1'!K43</f>
        <v>196308100</v>
      </c>
      <c r="L25" s="1611"/>
      <c r="M25" s="1614" t="s">
        <v>925</v>
      </c>
      <c r="N25" s="1614"/>
      <c r="O25" s="1614"/>
      <c r="P25" s="1615" t="e">
        <f>(J11+J14+J16+J17)/(E11+E14+E16+E17)</f>
        <v>#REF!</v>
      </c>
      <c r="Q25" s="1614" t="s">
        <v>924</v>
      </c>
      <c r="S25" s="1614"/>
    </row>
    <row r="26" spans="1:19" s="1508" customFormat="1" ht="18" customHeight="1">
      <c r="A26" s="1616" t="str">
        <f>'収支計算表（見込）計画1'!A44</f>
        <v>貸室共益費</v>
      </c>
      <c r="B26" s="1623"/>
      <c r="C26" s="1618">
        <f>'収支計算表（見込）計画1'!C44</f>
        <v>0</v>
      </c>
      <c r="D26" s="1701" t="s">
        <v>964</v>
      </c>
      <c r="E26" s="1619" t="str">
        <f>'収支計算表（見込）計画1'!E44</f>
        <v>ビル運営管理費用（PM）</v>
      </c>
      <c r="F26" s="1620"/>
      <c r="G26" s="1624">
        <f>'収支計算表（見込）計画1'!G44</f>
        <v>3429230.4</v>
      </c>
      <c r="H26" s="1625">
        <f>'収支計算表（見込）計画1'!H44</f>
        <v>0.02</v>
      </c>
      <c r="I26" s="105" t="s">
        <v>81</v>
      </c>
      <c r="J26" s="1626">
        <f>'収支計算表（見込）計画1'!J44</f>
        <v>437389050</v>
      </c>
      <c r="K26" s="1626">
        <f>'収支計算表（見込）計画1'!K44</f>
        <v>196308100</v>
      </c>
      <c r="L26" s="1627"/>
      <c r="M26" s="1614" t="s">
        <v>926</v>
      </c>
      <c r="N26" s="1614"/>
      <c r="O26" s="1614"/>
      <c r="P26" s="1628" t="s">
        <v>927</v>
      </c>
      <c r="Q26" s="2545" t="e">
        <f>P24-P25</f>
        <v>#REF!</v>
      </c>
      <c r="R26" s="2545"/>
      <c r="S26" s="1614" t="s">
        <v>928</v>
      </c>
    </row>
    <row r="27" spans="1:19" s="1508" customFormat="1" ht="18" customHeight="1">
      <c r="A27" s="1616" t="str">
        <f>'収支計算表（見込）計画1'!A45</f>
        <v>駐車場</v>
      </c>
      <c r="B27" s="1629">
        <f>'収支計算表（見込）計画1'!D38</f>
        <v>2</v>
      </c>
      <c r="C27" s="1618">
        <f>'収支計算表（見込）計画1'!C45</f>
        <v>1200000</v>
      </c>
      <c r="E27" s="1630" t="str">
        <f>'収支計算表（見込）計画1'!E45</f>
        <v>固定資産税・都市計画税等</v>
      </c>
      <c r="F27" s="1631"/>
      <c r="G27" s="1632">
        <f>'収支計算表（見込）計画1'!G45</f>
        <v>10202900</v>
      </c>
      <c r="H27" s="1611" t="s">
        <v>929</v>
      </c>
      <c r="I27" s="110" t="s">
        <v>82</v>
      </c>
      <c r="J27" s="1633">
        <f>'収支計算表（見込）計画1'!J45</f>
        <v>437389050</v>
      </c>
      <c r="K27" s="1633">
        <f>'収支計算表（見込）計画1'!K45</f>
        <v>196308100</v>
      </c>
      <c r="L27" s="1627"/>
      <c r="M27" s="1614"/>
      <c r="N27" s="1614"/>
      <c r="O27" s="1614"/>
      <c r="P27" s="1614"/>
      <c r="Q27" s="1614"/>
      <c r="R27" s="1614"/>
      <c r="S27" s="1614"/>
    </row>
    <row r="28" spans="1:19" s="1508" customFormat="1" ht="18" customHeight="1">
      <c r="A28" s="1616" t="str">
        <f>'収支計算表（見込）計画1'!A46</f>
        <v>自動販売機</v>
      </c>
      <c r="B28" s="1634"/>
      <c r="C28" s="1618">
        <f>'収支計算表（見込）計画1'!C46</f>
        <v>360000</v>
      </c>
      <c r="E28" s="1630" t="str">
        <f>'収支計算表（見込）計画1'!E46</f>
        <v>火災保険料・賠責保険料</v>
      </c>
      <c r="F28" s="1635"/>
      <c r="G28" s="1632">
        <f>'収支計算表（見込）計画1'!G46</f>
        <v>300000</v>
      </c>
      <c r="H28" s="1611" t="s">
        <v>930</v>
      </c>
      <c r="I28" s="110" t="s">
        <v>83</v>
      </c>
      <c r="J28" s="1633">
        <f>'収支計算表（見込）計画1'!J46</f>
        <v>6123446.7000000002</v>
      </c>
      <c r="K28" s="1633">
        <f>'収支計算表（見込）計画1'!K46</f>
        <v>2748313.4</v>
      </c>
      <c r="L28" s="1627"/>
      <c r="M28" s="1608" t="s">
        <v>931</v>
      </c>
      <c r="N28" s="1608"/>
      <c r="O28" s="1608"/>
      <c r="P28" s="1608"/>
      <c r="Q28" s="1608"/>
      <c r="R28" s="1608"/>
      <c r="S28" s="1610"/>
    </row>
    <row r="29" spans="1:19" s="1508" customFormat="1" ht="18" customHeight="1">
      <c r="A29" s="1616" t="str">
        <f>'収支計算表（見込）計画1'!A47</f>
        <v>その他（看板・アンテナ等）</v>
      </c>
      <c r="B29" s="1634"/>
      <c r="C29" s="1618">
        <f>'収支計算表（見込）計画1'!C47</f>
        <v>0</v>
      </c>
      <c r="E29" s="1636" t="str">
        <f>'収支計算表（見込）計画1'!E47</f>
        <v>その他（道路占有料等）</v>
      </c>
      <c r="F29" s="1637"/>
      <c r="G29" s="1638">
        <f>'収支計算表（見込）計画1'!G47</f>
        <v>0</v>
      </c>
      <c r="I29" s="113" t="s">
        <v>84</v>
      </c>
      <c r="J29" s="1639">
        <f>'収支計算表（見込）計画1'!J47</f>
        <v>1312167.1500000001</v>
      </c>
      <c r="K29" s="1639">
        <f>'収支計算表（見込）計画1'!K47</f>
        <v>588924.30000000005</v>
      </c>
      <c r="L29" s="1627"/>
      <c r="M29" s="1640" t="s">
        <v>932</v>
      </c>
      <c r="N29" s="1640"/>
      <c r="O29" s="1640"/>
      <c r="P29" s="1640"/>
      <c r="Q29" s="1640"/>
      <c r="R29" s="1641"/>
      <c r="S29" s="1610"/>
    </row>
    <row r="30" spans="1:19" s="1508" customFormat="1" ht="18" customHeight="1" thickBot="1">
      <c r="A30" s="1642" t="str">
        <f>'収支計算表（見込）計画1'!A48</f>
        <v>水道光熱費</v>
      </c>
      <c r="B30" s="1643"/>
      <c r="C30" s="1644" t="str">
        <f>'収支計算表（見込）計画1'!C48</f>
        <v>-</v>
      </c>
      <c r="D30" s="70" t="s">
        <v>138</v>
      </c>
      <c r="E30" s="1645" t="str">
        <f>'収支計算表（見込）計画1'!E48</f>
        <v>水道光熱費</v>
      </c>
      <c r="F30" s="1646"/>
      <c r="G30" s="1647" t="str">
        <f>'収支計算表（見込）計画1'!G48</f>
        <v>-</v>
      </c>
      <c r="H30" s="1611"/>
      <c r="I30" s="117" t="s">
        <v>85</v>
      </c>
      <c r="J30" s="1648">
        <f>SUM(J28:J29)</f>
        <v>7435613.8500000006</v>
      </c>
      <c r="K30" s="1648">
        <f>ROUNDDOWN(SUM(K28:K29),0)</f>
        <v>3337237</v>
      </c>
      <c r="M30" s="1640"/>
      <c r="N30" s="1649" t="s">
        <v>933</v>
      </c>
      <c r="O30" s="2546" t="e">
        <f>E11+E14+E16+E17</f>
        <v>#REF!</v>
      </c>
      <c r="P30" s="2546"/>
      <c r="Q30" s="1640" t="s">
        <v>934</v>
      </c>
      <c r="R30" s="1641"/>
      <c r="S30" s="1610"/>
    </row>
    <row r="31" spans="1:19" s="1508" customFormat="1" ht="18" customHeight="1" thickTop="1">
      <c r="B31" s="1650" t="s">
        <v>141</v>
      </c>
      <c r="C31" s="1651">
        <f>SUM(C25:C30)</f>
        <v>171461520</v>
      </c>
      <c r="D31" s="120">
        <f>C31/12</f>
        <v>14288460</v>
      </c>
      <c r="F31" s="1650" t="s">
        <v>139</v>
      </c>
      <c r="G31" s="1651">
        <f>SUM(G25:G30)</f>
        <v>18132130.399999999</v>
      </c>
      <c r="H31" s="1652"/>
      <c r="I31" s="1653"/>
      <c r="J31" s="1654"/>
      <c r="K31" s="1654"/>
      <c r="M31" s="1640"/>
      <c r="N31" s="1649" t="s">
        <v>935</v>
      </c>
      <c r="O31" s="2533" t="e">
        <f>Q26</f>
        <v>#REF!</v>
      </c>
      <c r="P31" s="2533"/>
      <c r="Q31" s="1640" t="s">
        <v>936</v>
      </c>
      <c r="R31" s="1641"/>
      <c r="S31" s="1610"/>
    </row>
    <row r="32" spans="1:19" s="1508" customFormat="1" ht="18" customHeight="1" thickBot="1">
      <c r="D32" s="1517"/>
      <c r="F32" s="1594"/>
      <c r="G32" s="1597"/>
      <c r="H32" s="1652"/>
      <c r="I32" s="1655"/>
      <c r="J32" s="1656"/>
      <c r="M32" s="1640"/>
      <c r="N32" s="1649" t="s">
        <v>937</v>
      </c>
      <c r="O32" s="2533" t="e">
        <f>(O30)*O31</f>
        <v>#REF!</v>
      </c>
      <c r="P32" s="2533"/>
      <c r="Q32" s="1657" t="s">
        <v>938</v>
      </c>
      <c r="R32" s="1641"/>
      <c r="S32" s="1610"/>
    </row>
    <row r="33" spans="1:19" s="1508" customFormat="1" ht="18" customHeight="1" thickBot="1">
      <c r="D33" s="1517"/>
      <c r="F33" s="1658" t="s">
        <v>142</v>
      </c>
      <c r="G33" s="1659">
        <f>G25/12/'収支計算表（見込）計画1'!E10</f>
        <v>542.69455599832543</v>
      </c>
      <c r="I33" s="1655"/>
      <c r="J33" s="1656"/>
      <c r="M33" s="1640"/>
      <c r="N33" s="1649" t="s">
        <v>939</v>
      </c>
      <c r="O33" s="2531" t="e">
        <f>O32*12</f>
        <v>#REF!</v>
      </c>
      <c r="P33" s="2531"/>
      <c r="Q33" s="1660" t="s">
        <v>940</v>
      </c>
      <c r="R33" s="1641"/>
      <c r="S33" s="1610"/>
    </row>
    <row r="34" spans="1:19" s="1508" customFormat="1" ht="18" customHeight="1" thickBot="1">
      <c r="A34" s="1511" t="s">
        <v>143</v>
      </c>
      <c r="D34" s="1517"/>
      <c r="I34" s="1606" t="s">
        <v>941</v>
      </c>
      <c r="M34" s="1640"/>
      <c r="N34" s="1640"/>
      <c r="O34" s="1640"/>
      <c r="P34" s="1640"/>
      <c r="Q34" s="1640"/>
      <c r="R34" s="1641"/>
      <c r="S34" s="1608"/>
    </row>
    <row r="35" spans="1:19" s="1508" customFormat="1" ht="18" customHeight="1" thickBot="1">
      <c r="A35" s="1661" t="s">
        <v>49</v>
      </c>
      <c r="B35" s="1662"/>
      <c r="C35" s="1522" t="s">
        <v>126</v>
      </c>
      <c r="D35" s="1663"/>
      <c r="F35" s="1664" t="s">
        <v>942</v>
      </c>
      <c r="G35" s="1665">
        <f>C31-G31</f>
        <v>153329389.59999999</v>
      </c>
      <c r="H35" s="1517" t="s">
        <v>144</v>
      </c>
      <c r="I35" s="1666" t="s">
        <v>943</v>
      </c>
      <c r="J35" s="2534">
        <f>'収支計算表（見込）計画1'!K51</f>
        <v>2350000</v>
      </c>
      <c r="K35" s="2535"/>
      <c r="L35" s="1667" t="s">
        <v>145</v>
      </c>
      <c r="M35" s="1640" t="s">
        <v>944</v>
      </c>
      <c r="N35" s="1640"/>
      <c r="O35" s="1640"/>
      <c r="P35" s="1640"/>
      <c r="Q35" s="1640"/>
      <c r="R35" s="1641"/>
      <c r="S35" s="1608"/>
    </row>
    <row r="36" spans="1:19" s="1508" customFormat="1" ht="18" customHeight="1" thickBot="1">
      <c r="A36" s="1668" t="str">
        <f>'収支計算表（見込）計画1'!A53</f>
        <v>貸室敷金</v>
      </c>
      <c r="B36" s="1669"/>
      <c r="C36" s="1670">
        <f>'収支計算表（見込）計画1'!C53</f>
        <v>0</v>
      </c>
      <c r="H36" s="1663">
        <f>G35/12</f>
        <v>12777449.133333333</v>
      </c>
      <c r="I36" s="1671" t="s">
        <v>147</v>
      </c>
      <c r="J36" s="2536">
        <f>'収支計算表（見込）計画1'!K52</f>
        <v>833122000</v>
      </c>
      <c r="K36" s="2537"/>
      <c r="L36" s="1672">
        <f>'収支計算表（見込）計画1'!L52</f>
        <v>7768761.656098471</v>
      </c>
      <c r="M36" s="1640"/>
      <c r="N36" s="1649" t="s">
        <v>945</v>
      </c>
      <c r="O36" s="2538">
        <v>4</v>
      </c>
      <c r="P36" s="2538"/>
      <c r="Q36" s="1640" t="s">
        <v>934</v>
      </c>
      <c r="R36" s="1641"/>
      <c r="S36" s="1608"/>
    </row>
    <row r="37" spans="1:19" ht="18" customHeight="1" thickBot="1">
      <c r="A37" s="1673" t="str">
        <f>'収支計算表（見込）計画1'!A54</f>
        <v>駐車場敷金</v>
      </c>
      <c r="B37" s="1674"/>
      <c r="C37" s="1675">
        <f>'収支計算表（見込）計画1'!C54</f>
        <v>0</v>
      </c>
      <c r="D37" s="1508"/>
      <c r="E37" s="1508"/>
      <c r="F37" s="1676" t="s">
        <v>946</v>
      </c>
      <c r="G37" s="1677">
        <f>G31/C31*100</f>
        <v>10.575043543297644</v>
      </c>
      <c r="H37" s="1508"/>
      <c r="I37" s="1584"/>
      <c r="J37" s="2539"/>
      <c r="K37" s="2539"/>
      <c r="L37" s="1672"/>
      <c r="M37" s="1640"/>
      <c r="N37" s="1649" t="s">
        <v>947</v>
      </c>
      <c r="O37" s="2540">
        <v>7000000</v>
      </c>
      <c r="P37" s="2540"/>
      <c r="Q37" s="1640" t="s">
        <v>948</v>
      </c>
      <c r="R37" s="1641"/>
      <c r="S37" s="1608"/>
    </row>
    <row r="38" spans="1:19" ht="18" customHeight="1">
      <c r="A38" s="1508"/>
      <c r="B38" s="1650" t="s">
        <v>70</v>
      </c>
      <c r="C38" s="1651">
        <f>SUM(C36:C37)</f>
        <v>0</v>
      </c>
      <c r="D38" s="1508"/>
      <c r="E38" s="1508"/>
      <c r="H38" s="1508"/>
      <c r="I38" s="1584"/>
      <c r="J38" s="1678"/>
      <c r="K38" s="1678"/>
      <c r="L38" s="1508"/>
      <c r="M38" s="1640"/>
      <c r="N38" s="1649" t="s">
        <v>949</v>
      </c>
      <c r="O38" s="2532">
        <f>O36*O37</f>
        <v>28000000</v>
      </c>
      <c r="P38" s="2532"/>
      <c r="Q38" s="1660" t="s">
        <v>950</v>
      </c>
      <c r="R38" s="1641"/>
      <c r="S38" s="1608"/>
    </row>
    <row r="39" spans="1:19" ht="18" customHeight="1">
      <c r="D39" s="1508"/>
      <c r="E39" s="1508"/>
      <c r="H39" s="1508"/>
      <c r="L39" s="1506"/>
      <c r="M39" s="1640"/>
      <c r="N39" s="1640"/>
      <c r="O39" s="1640"/>
      <c r="P39" s="1640"/>
      <c r="Q39" s="1640"/>
      <c r="R39" s="1641"/>
      <c r="S39" s="1608"/>
    </row>
    <row r="40" spans="1:19" ht="18" customHeight="1">
      <c r="A40" s="1508"/>
      <c r="B40" s="1594"/>
      <c r="C40" s="1597"/>
      <c r="D40" s="1508"/>
      <c r="L40" s="1679"/>
      <c r="M40" s="1640" t="s">
        <v>951</v>
      </c>
      <c r="N40" s="1649"/>
      <c r="O40" s="1640"/>
      <c r="P40" s="1640"/>
      <c r="Q40" s="1640"/>
      <c r="R40" s="1641"/>
      <c r="S40" s="1608"/>
    </row>
    <row r="41" spans="1:19" ht="18" customHeight="1">
      <c r="A41" s="1680"/>
      <c r="B41" s="1680"/>
      <c r="C41" s="1680"/>
      <c r="D41" s="1681"/>
      <c r="E41" s="1681"/>
      <c r="F41" s="1681"/>
      <c r="G41" s="1681"/>
      <c r="H41" s="1681"/>
      <c r="I41" s="1681"/>
      <c r="J41" s="1681"/>
      <c r="K41" s="1681"/>
      <c r="L41" s="1679"/>
      <c r="M41" s="1682">
        <f>M48</f>
        <v>4.4999999999999998E-2</v>
      </c>
      <c r="N41" s="1640" t="s">
        <v>952</v>
      </c>
      <c r="O41" s="2531" t="e">
        <f>$O$33/M48-$O$38</f>
        <v>#REF!</v>
      </c>
      <c r="P41" s="2531"/>
      <c r="Q41" s="1640" t="s">
        <v>953</v>
      </c>
      <c r="R41" s="1641"/>
      <c r="S41" s="1608"/>
    </row>
    <row r="42" spans="1:19" ht="18" customHeight="1">
      <c r="L42" s="1679"/>
      <c r="M42" s="1682">
        <f t="shared" ref="M42:M43" si="3">M49</f>
        <v>4.2999999999999997E-2</v>
      </c>
      <c r="N42" s="1683" t="s">
        <v>954</v>
      </c>
      <c r="O42" s="2531" t="e">
        <f>$O$33/M49-$O$38</f>
        <v>#REF!</v>
      </c>
      <c r="P42" s="2531"/>
      <c r="Q42" s="1649" t="s">
        <v>954</v>
      </c>
      <c r="R42" s="1641"/>
      <c r="S42" s="1608"/>
    </row>
    <row r="43" spans="1:19" ht="18" customHeight="1">
      <c r="G43" s="1506"/>
      <c r="I43" s="1684"/>
      <c r="J43" s="1679"/>
      <c r="K43" s="1679"/>
      <c r="L43" s="1679"/>
      <c r="M43" s="1682">
        <f t="shared" si="3"/>
        <v>4.0999999999999995E-2</v>
      </c>
      <c r="N43" s="1683" t="s">
        <v>954</v>
      </c>
      <c r="O43" s="2531" t="e">
        <f>$O$33/M50-$O$38</f>
        <v>#REF!</v>
      </c>
      <c r="P43" s="2531"/>
      <c r="Q43" s="1649" t="s">
        <v>954</v>
      </c>
      <c r="R43" s="1641"/>
      <c r="S43" s="1685"/>
    </row>
    <row r="44" spans="1:19" ht="18" customHeight="1">
      <c r="A44" s="1686" t="s">
        <v>955</v>
      </c>
      <c r="D44" s="1508"/>
      <c r="G44" s="1506"/>
      <c r="I44" s="1684"/>
      <c r="J44" s="1679"/>
      <c r="K44" s="1679"/>
      <c r="L44" s="1679"/>
      <c r="M44" s="1682"/>
      <c r="N44" s="1683"/>
      <c r="O44" s="2532"/>
      <c r="P44" s="2532"/>
      <c r="Q44" s="1649"/>
      <c r="R44" s="1641"/>
      <c r="S44" s="1610"/>
    </row>
    <row r="45" spans="1:19" ht="18" customHeight="1">
      <c r="A45" s="1608" t="s">
        <v>956</v>
      </c>
      <c r="G45" s="1506"/>
      <c r="I45" s="1687"/>
      <c r="J45" s="1679"/>
      <c r="K45" s="1679"/>
      <c r="L45" s="1679"/>
      <c r="M45" s="1641" t="s">
        <v>965</v>
      </c>
      <c r="N45" s="1641"/>
      <c r="O45" s="1641"/>
      <c r="P45" s="1641"/>
      <c r="Q45" s="1641"/>
      <c r="R45" s="1688"/>
      <c r="S45" s="1608"/>
    </row>
    <row r="46" spans="1:19" ht="18" customHeight="1">
      <c r="G46" s="1506"/>
      <c r="I46" s="1687"/>
      <c r="J46" s="1679"/>
      <c r="K46" s="1679"/>
      <c r="L46" s="1689"/>
      <c r="M46" s="1690" t="s">
        <v>957</v>
      </c>
      <c r="N46" s="1690"/>
      <c r="O46" s="1685"/>
      <c r="P46" s="1685"/>
      <c r="Q46" s="1610"/>
      <c r="R46" s="1691"/>
    </row>
    <row r="47" spans="1:19" ht="18" customHeight="1">
      <c r="A47" s="1608" t="s">
        <v>958</v>
      </c>
      <c r="G47" s="1506"/>
      <c r="I47" s="1687"/>
      <c r="J47" s="1679"/>
      <c r="K47" s="1679"/>
      <c r="M47" s="1692" t="s">
        <v>129</v>
      </c>
      <c r="N47" s="1692" t="s">
        <v>179</v>
      </c>
      <c r="O47" s="1692" t="s">
        <v>131</v>
      </c>
      <c r="P47" s="1693" t="s">
        <v>959</v>
      </c>
      <c r="Q47" s="2528" t="s">
        <v>960</v>
      </c>
      <c r="R47" s="2528"/>
    </row>
    <row r="48" spans="1:19" ht="18" customHeight="1">
      <c r="G48" s="1506"/>
      <c r="I48" s="1687"/>
      <c r="J48" s="1689"/>
      <c r="K48" s="1689"/>
      <c r="M48" s="1694">
        <v>4.4999999999999998E-2</v>
      </c>
      <c r="N48" s="1695">
        <f>$C$31/M48</f>
        <v>3810256000</v>
      </c>
      <c r="O48" s="1696">
        <f>G35/N48</f>
        <v>4.0241230405516061E-2</v>
      </c>
      <c r="P48" s="1697" t="e">
        <f>($C$31+$O$33)/N48</f>
        <v>#REF!</v>
      </c>
      <c r="Q48" s="2529" t="e">
        <f>P48-M48</f>
        <v>#REF!</v>
      </c>
      <c r="R48" s="2529"/>
    </row>
    <row r="49" spans="1:19" ht="18" customHeight="1">
      <c r="A49" s="1608" t="s">
        <v>961</v>
      </c>
      <c r="G49" s="1506"/>
      <c r="M49" s="1696">
        <f>M48-0.2%</f>
        <v>4.2999999999999997E-2</v>
      </c>
      <c r="N49" s="1695">
        <f>$C$31/M49</f>
        <v>3987477209.3023257</v>
      </c>
      <c r="O49" s="1696">
        <f>G35/N49</f>
        <v>3.8452731276382011E-2</v>
      </c>
      <c r="P49" s="1697" t="e">
        <f>($C$31+$O$33)/N49</f>
        <v>#REF!</v>
      </c>
      <c r="Q49" s="2529" t="e">
        <f t="shared" ref="Q49:Q50" si="4">P49-M49</f>
        <v>#REF!</v>
      </c>
      <c r="R49" s="2529"/>
    </row>
    <row r="50" spans="1:19" ht="18" customHeight="1">
      <c r="M50" s="1696">
        <f>M49-0.2%</f>
        <v>4.0999999999999995E-2</v>
      </c>
      <c r="N50" s="1695">
        <f>$C$31/M50</f>
        <v>4181988292.6829271</v>
      </c>
      <c r="O50" s="1696">
        <f>G35/N50</f>
        <v>3.6664232147247962E-2</v>
      </c>
      <c r="P50" s="1697" t="e">
        <f>($C$31+$O$33)/N50</f>
        <v>#REF!</v>
      </c>
      <c r="Q50" s="2529" t="e">
        <f t="shared" si="4"/>
        <v>#REF!</v>
      </c>
      <c r="R50" s="2529"/>
    </row>
    <row r="51" spans="1:19" ht="18" customHeight="1">
      <c r="A51" s="1608" t="s">
        <v>962</v>
      </c>
      <c r="P51" s="1698" t="s">
        <v>963</v>
      </c>
    </row>
    <row r="52" spans="1:19" ht="15" customHeight="1">
      <c r="M52" s="1699"/>
      <c r="N52" s="1700"/>
      <c r="O52" s="1699"/>
      <c r="Q52" s="1608"/>
    </row>
    <row r="53" spans="1:19" ht="13.5" customHeight="1">
      <c r="G53" s="1506"/>
      <c r="M53" s="1584"/>
      <c r="N53" s="1508"/>
      <c r="O53" s="1508"/>
      <c r="P53" s="1508"/>
      <c r="Q53" s="1508"/>
    </row>
    <row r="54" spans="1:19" ht="13.5" customHeight="1">
      <c r="G54" s="1506"/>
      <c r="M54" s="1592"/>
      <c r="N54" s="1508"/>
      <c r="O54" s="1508"/>
      <c r="P54" s="1508"/>
      <c r="Q54" s="1508"/>
    </row>
    <row r="55" spans="1:19" ht="13.5" customHeight="1">
      <c r="G55" s="1506"/>
      <c r="M55" s="1508"/>
      <c r="N55" s="1508"/>
      <c r="O55" s="1508"/>
      <c r="P55" s="1508"/>
      <c r="Q55" s="1508"/>
    </row>
    <row r="56" spans="1:19" s="1508" customFormat="1" ht="13.5" customHeight="1">
      <c r="A56" s="1503"/>
      <c r="B56" s="1503"/>
      <c r="C56" s="1503"/>
      <c r="D56" s="1503"/>
      <c r="E56" s="1503"/>
      <c r="F56" s="1503"/>
      <c r="G56" s="1506"/>
      <c r="H56" s="1503"/>
      <c r="I56" s="1503"/>
      <c r="J56" s="1503"/>
      <c r="K56" s="1503"/>
      <c r="L56" s="1503"/>
      <c r="S56" s="1503"/>
    </row>
    <row r="57" spans="1:19" s="1508" customFormat="1" ht="13.5" customHeight="1">
      <c r="A57" s="1503"/>
      <c r="B57" s="1503"/>
      <c r="C57" s="1503"/>
      <c r="D57" s="1503"/>
      <c r="E57" s="1503"/>
      <c r="F57" s="1503"/>
      <c r="G57" s="1506"/>
      <c r="H57" s="1503"/>
      <c r="I57" s="1503"/>
      <c r="J57" s="1503"/>
      <c r="K57" s="1503"/>
      <c r="L57" s="1503"/>
      <c r="S57" s="1503"/>
    </row>
    <row r="58" spans="1:19" s="1508" customFormat="1" ht="13.5" customHeight="1">
      <c r="A58" s="1503"/>
      <c r="B58" s="1503"/>
      <c r="C58" s="1503"/>
      <c r="D58" s="1503"/>
      <c r="E58" s="1503"/>
      <c r="F58" s="1503"/>
      <c r="G58" s="1503"/>
      <c r="H58" s="1503"/>
      <c r="I58" s="1503"/>
      <c r="J58" s="1503"/>
      <c r="K58" s="1503"/>
    </row>
    <row r="59" spans="1:19" s="1508" customFormat="1" ht="13.5" customHeight="1">
      <c r="A59" s="1503"/>
      <c r="B59" s="1503"/>
      <c r="C59" s="1503"/>
      <c r="D59" s="1503"/>
      <c r="E59" s="1503"/>
      <c r="F59" s="1503"/>
      <c r="G59" s="1503"/>
      <c r="H59" s="1503"/>
      <c r="I59" s="1503"/>
      <c r="J59" s="1503"/>
      <c r="K59" s="1503"/>
    </row>
    <row r="60" spans="1:19" s="1508" customFormat="1" ht="15" customHeight="1">
      <c r="D60" s="1503"/>
      <c r="E60" s="1503"/>
      <c r="F60" s="1503"/>
      <c r="G60" s="1503"/>
      <c r="H60" s="1503"/>
      <c r="M60" s="1584"/>
    </row>
    <row r="61" spans="1:19" s="1508" customFormat="1" ht="15" customHeight="1">
      <c r="D61" s="1503"/>
      <c r="L61" s="1584"/>
      <c r="M61" s="1584"/>
    </row>
    <row r="62" spans="1:19" s="1508" customFormat="1" ht="15" customHeight="1">
      <c r="D62" s="1503"/>
      <c r="L62" s="1584"/>
      <c r="M62" s="1584"/>
    </row>
    <row r="63" spans="1:19" s="1508" customFormat="1" ht="15" customHeight="1">
      <c r="I63" s="1584"/>
      <c r="J63" s="1584"/>
      <c r="K63" s="1584"/>
      <c r="L63" s="1584"/>
      <c r="M63" s="1584"/>
    </row>
    <row r="64" spans="1:19" s="1508" customFormat="1" ht="15" customHeight="1">
      <c r="G64" s="1584"/>
      <c r="H64" s="1584"/>
      <c r="I64" s="1584"/>
      <c r="J64" s="1584"/>
      <c r="K64" s="1584"/>
      <c r="L64" s="1592"/>
      <c r="M64" s="1584"/>
    </row>
    <row r="65" spans="7:13" s="1508" customFormat="1" ht="15" customHeight="1">
      <c r="G65" s="1584"/>
      <c r="H65" s="1584"/>
      <c r="I65" s="1584"/>
      <c r="J65" s="1584"/>
      <c r="K65" s="1584"/>
      <c r="L65" s="1592"/>
      <c r="M65" s="1584"/>
    </row>
    <row r="66" spans="7:13" s="1508" customFormat="1" ht="15" customHeight="1">
      <c r="G66" s="1584"/>
      <c r="H66" s="1584"/>
      <c r="I66" s="1592"/>
      <c r="J66" s="1592"/>
      <c r="K66" s="1592"/>
      <c r="L66" s="1592"/>
      <c r="M66" s="1584"/>
    </row>
    <row r="67" spans="7:13" s="1508" customFormat="1" ht="15" customHeight="1">
      <c r="G67" s="1584"/>
      <c r="H67" s="1584"/>
      <c r="I67" s="1592"/>
      <c r="J67" s="1592"/>
      <c r="K67" s="1592"/>
      <c r="L67" s="1592"/>
      <c r="M67" s="1584"/>
    </row>
    <row r="68" spans="7:13" s="1508" customFormat="1" ht="15" customHeight="1">
      <c r="G68" s="1584"/>
      <c r="H68" s="1584"/>
      <c r="I68" s="1592"/>
      <c r="J68" s="1592"/>
      <c r="K68" s="1592"/>
      <c r="L68" s="1592"/>
      <c r="M68" s="1584"/>
    </row>
    <row r="69" spans="7:13" s="1508" customFormat="1" ht="15" customHeight="1">
      <c r="G69" s="1584"/>
      <c r="H69" s="1584"/>
      <c r="I69" s="1592"/>
      <c r="J69" s="1592"/>
      <c r="K69" s="1592"/>
      <c r="L69" s="1592"/>
      <c r="M69" s="1584"/>
    </row>
    <row r="70" spans="7:13" s="1508" customFormat="1" ht="15" customHeight="1">
      <c r="G70" s="1584"/>
      <c r="H70" s="1584"/>
      <c r="I70" s="1592"/>
      <c r="J70" s="1592"/>
      <c r="K70" s="1592"/>
      <c r="L70" s="1592"/>
      <c r="M70" s="1584"/>
    </row>
    <row r="71" spans="7:13" s="1508" customFormat="1" ht="13.5" customHeight="1">
      <c r="G71" s="1584"/>
      <c r="H71" s="1584"/>
      <c r="I71" s="1592"/>
      <c r="J71" s="1592"/>
      <c r="K71" s="1592"/>
      <c r="L71" s="1592"/>
      <c r="M71" s="1584"/>
    </row>
    <row r="72" spans="7:13" s="1508" customFormat="1" ht="13.5" customHeight="1">
      <c r="G72" s="1584"/>
      <c r="H72" s="1584"/>
      <c r="I72" s="1592"/>
      <c r="J72" s="1592"/>
      <c r="K72" s="1592"/>
      <c r="L72" s="1592"/>
      <c r="M72" s="1584"/>
    </row>
    <row r="73" spans="7:13" s="1508" customFormat="1" ht="13.5" customHeight="1">
      <c r="G73" s="1584"/>
      <c r="H73" s="1584"/>
      <c r="I73" s="1592"/>
      <c r="J73" s="1592"/>
      <c r="K73" s="1592"/>
      <c r="L73" s="1592"/>
    </row>
    <row r="74" spans="7:13" s="1508" customFormat="1" ht="13.5" customHeight="1">
      <c r="G74" s="1584"/>
      <c r="H74" s="1584"/>
      <c r="I74" s="1592"/>
      <c r="J74" s="1592"/>
      <c r="K74" s="1592"/>
      <c r="L74" s="1592"/>
    </row>
    <row r="75" spans="7:13" s="1508" customFormat="1" ht="13.5" customHeight="1">
      <c r="G75" s="1584"/>
      <c r="H75" s="1584"/>
      <c r="I75" s="1592"/>
      <c r="J75" s="1592"/>
      <c r="K75" s="1592"/>
      <c r="L75" s="1592"/>
    </row>
    <row r="76" spans="7:13" s="1508" customFormat="1" ht="13.5" customHeight="1">
      <c r="G76" s="1584"/>
      <c r="H76" s="1584"/>
      <c r="I76" s="1592"/>
      <c r="J76" s="1592"/>
      <c r="K76" s="1592"/>
      <c r="L76" s="1592"/>
    </row>
    <row r="77" spans="7:13" s="1508" customFormat="1" ht="13.5" customHeight="1">
      <c r="G77" s="1584"/>
      <c r="H77" s="1584"/>
      <c r="I77" s="1592"/>
      <c r="J77" s="1592"/>
      <c r="K77" s="1592"/>
      <c r="L77" s="1592"/>
    </row>
    <row r="78" spans="7:13" s="1508" customFormat="1" ht="13.5" customHeight="1">
      <c r="G78" s="1584"/>
      <c r="H78" s="1584"/>
      <c r="I78" s="1592"/>
      <c r="J78" s="1592"/>
      <c r="K78" s="1592"/>
      <c r="L78" s="1592"/>
    </row>
    <row r="79" spans="7:13" s="1508" customFormat="1" ht="13.5" customHeight="1">
      <c r="G79" s="1584"/>
      <c r="H79" s="1584"/>
      <c r="I79" s="1592"/>
      <c r="J79" s="1592"/>
      <c r="K79" s="1592"/>
      <c r="L79" s="1592"/>
    </row>
    <row r="80" spans="7:13" s="1508" customFormat="1" ht="13.5" customHeight="1">
      <c r="G80" s="1584"/>
      <c r="H80" s="1584"/>
      <c r="I80" s="1592"/>
      <c r="J80" s="1592"/>
      <c r="K80" s="1592"/>
      <c r="L80" s="1592"/>
    </row>
    <row r="81" spans="7:12" s="1508" customFormat="1" ht="13.5" customHeight="1">
      <c r="G81" s="1584"/>
      <c r="H81" s="1584"/>
      <c r="I81" s="1592"/>
      <c r="J81" s="1592"/>
      <c r="K81" s="1592"/>
      <c r="L81" s="1592"/>
    </row>
    <row r="82" spans="7:12" s="1508" customFormat="1" ht="13.5" customHeight="1">
      <c r="G82" s="1584"/>
      <c r="H82" s="1584"/>
      <c r="I82" s="1592"/>
      <c r="J82" s="1592"/>
      <c r="K82" s="1592"/>
      <c r="L82" s="1592"/>
    </row>
    <row r="83" spans="7:12" s="1508" customFormat="1" ht="13.5" customHeight="1">
      <c r="G83" s="1584"/>
      <c r="H83" s="1584"/>
      <c r="I83" s="1592"/>
      <c r="J83" s="1592"/>
      <c r="K83" s="1592"/>
      <c r="L83" s="1584"/>
    </row>
    <row r="84" spans="7:12" s="1508" customFormat="1" ht="13.5" customHeight="1">
      <c r="G84" s="1584"/>
      <c r="H84" s="1584"/>
      <c r="I84" s="1592"/>
      <c r="J84" s="2530"/>
      <c r="K84" s="2530"/>
      <c r="L84" s="1584"/>
    </row>
    <row r="85" spans="7:12" s="1508" customFormat="1" ht="13.5" customHeight="1">
      <c r="G85" s="1584"/>
      <c r="H85" s="1584"/>
      <c r="I85" s="1584"/>
      <c r="J85" s="1584"/>
      <c r="K85" s="1584"/>
    </row>
    <row r="86" spans="7:12" s="1508" customFormat="1" ht="13.5" customHeight="1">
      <c r="G86" s="1584"/>
      <c r="H86" s="1584"/>
      <c r="I86" s="1584"/>
      <c r="J86" s="1584"/>
      <c r="K86" s="1584"/>
    </row>
    <row r="87" spans="7:12" s="1508" customFormat="1" ht="13.5" customHeight="1">
      <c r="G87" s="1584"/>
      <c r="H87" s="1584"/>
    </row>
    <row r="88" spans="7:12" s="1508" customFormat="1" ht="13.5" customHeight="1"/>
    <row r="89" spans="7:12" s="1508" customFormat="1" ht="13.5" customHeight="1"/>
    <row r="90" spans="7:12" s="1508" customFormat="1" ht="13.5" customHeight="1"/>
    <row r="91" spans="7:12" s="1508" customFormat="1" ht="13.5" customHeight="1"/>
    <row r="92" spans="7:12" s="1508" customFormat="1" ht="13.5" customHeight="1"/>
    <row r="93" spans="7:12" s="1508" customFormat="1" ht="13.5" customHeight="1"/>
    <row r="94" spans="7:12" s="1508" customFormat="1" ht="13.5" customHeight="1"/>
    <row r="95" spans="7:12" s="1508" customFormat="1" ht="13.5" customHeight="1"/>
    <row r="96" spans="7:12" s="1508" customFormat="1" ht="13.5" customHeight="1"/>
    <row r="97" s="1508" customFormat="1" ht="13.5" customHeight="1"/>
    <row r="98" s="1508" customFormat="1" ht="13.5" customHeight="1"/>
    <row r="99" s="1508" customFormat="1" ht="13.5" customHeight="1"/>
    <row r="100" s="1508" customFormat="1" ht="13.5" customHeight="1"/>
    <row r="101" s="1508" customFormat="1" ht="13.5" customHeight="1"/>
    <row r="102" s="1508" customFormat="1" ht="13.5" customHeight="1"/>
    <row r="103" s="1508" customFormat="1" ht="13.5" customHeight="1"/>
    <row r="104" s="1508" customFormat="1" ht="13.5" customHeight="1"/>
    <row r="105" s="1508" customFormat="1" ht="13.5" customHeight="1"/>
    <row r="106" s="1508" customFormat="1" ht="13.5" customHeight="1"/>
    <row r="107" s="1508" customFormat="1" ht="13.5" customHeight="1"/>
    <row r="108" s="1508" customFormat="1" ht="13.5" customHeight="1"/>
    <row r="109" s="1508" customFormat="1" ht="13.5" customHeight="1"/>
    <row r="110" s="1508" customFormat="1" ht="13.5" customHeight="1"/>
    <row r="111" s="1508" customFormat="1" ht="13.5" customHeight="1"/>
    <row r="112" s="1508" customFormat="1" ht="13.5" customHeight="1"/>
    <row r="113" s="1508" customFormat="1" ht="13.5" customHeight="1"/>
    <row r="114" s="1508" customFormat="1" ht="13.5" customHeight="1"/>
    <row r="115" s="1508" customFormat="1" ht="13.5" customHeight="1"/>
    <row r="116" s="1508" customFormat="1" ht="13.5" customHeight="1"/>
    <row r="117" s="1508" customFormat="1" ht="13.5" customHeight="1"/>
    <row r="118" s="1508" customFormat="1" ht="13.5" customHeight="1"/>
    <row r="119" s="1508" customFormat="1" ht="13.5" customHeight="1"/>
    <row r="120" s="1508" customFormat="1" ht="13.5" customHeight="1"/>
    <row r="121" s="1508" customFormat="1" ht="13.5" customHeight="1"/>
    <row r="122" s="1508" customFormat="1" ht="13.5" customHeight="1"/>
    <row r="123" s="1508" customFormat="1" ht="13.5" customHeight="1"/>
    <row r="124" s="1508" customFormat="1" ht="13.5" customHeight="1"/>
    <row r="125" s="1508" customFormat="1" ht="13.5" customHeight="1"/>
    <row r="126" s="1508" customFormat="1" ht="13.5" customHeight="1"/>
    <row r="127" s="1508" customFormat="1" ht="13.5" customHeight="1"/>
    <row r="128" s="1508" customFormat="1" ht="13.5" customHeight="1"/>
    <row r="129" s="1508" customFormat="1" ht="13.5" customHeight="1"/>
    <row r="130" s="1508" customFormat="1" ht="13.5" customHeight="1"/>
    <row r="131" s="1508" customFormat="1" ht="13.5" customHeight="1"/>
    <row r="132" s="1508" customFormat="1" ht="13.5" customHeight="1"/>
    <row r="133" s="1508" customFormat="1" ht="13.5" customHeight="1"/>
    <row r="134" s="1508" customFormat="1" ht="13.5" customHeight="1"/>
    <row r="135" s="1508" customFormat="1" ht="13.5" customHeight="1"/>
    <row r="136" s="1508" customFormat="1" ht="13.5" customHeight="1"/>
    <row r="137" s="1508" customFormat="1" ht="13.5" customHeight="1"/>
    <row r="138" s="1508" customFormat="1" ht="13.5" customHeight="1"/>
    <row r="139" s="1508" customFormat="1" ht="13.5" customHeight="1"/>
    <row r="140" s="1508" customFormat="1" ht="13.5" customHeight="1"/>
    <row r="141" s="1508" customFormat="1" ht="13.5" customHeight="1"/>
    <row r="142" s="1508" customFormat="1" ht="13.5" customHeight="1"/>
    <row r="143" s="1508" customFormat="1" ht="13.5" customHeight="1"/>
    <row r="144" s="1508" customFormat="1" ht="13.5" customHeight="1"/>
    <row r="145" s="1508" customFormat="1" ht="13.5" customHeight="1"/>
    <row r="146" s="1508" customFormat="1" ht="13.5" customHeight="1"/>
    <row r="147" s="1508" customFormat="1" ht="13.5" customHeight="1"/>
    <row r="148" s="1508" customFormat="1" ht="13.5" customHeight="1"/>
    <row r="149" s="1508" customFormat="1" ht="13.5" customHeight="1"/>
    <row r="150" s="1508" customFormat="1" ht="13.5" customHeight="1"/>
    <row r="151" s="1508" customFormat="1" ht="13.5" customHeight="1"/>
    <row r="152" s="1508" customFormat="1" ht="13.5" customHeight="1"/>
    <row r="153" s="1508" customFormat="1" ht="13.5" customHeight="1"/>
    <row r="154" s="1508" customFormat="1" ht="13.5" customHeight="1"/>
    <row r="155" s="1508" customFormat="1" ht="13.5" customHeight="1"/>
    <row r="156" s="1508" customFormat="1" ht="13.5" customHeight="1"/>
    <row r="157" s="1508" customFormat="1" ht="13.5" customHeight="1"/>
    <row r="158" s="1508" customFormat="1" ht="13.5" customHeight="1"/>
    <row r="159" s="1508" customFormat="1" ht="13.5" customHeight="1"/>
    <row r="160" s="1508" customFormat="1" ht="13.5" customHeight="1"/>
    <row r="161" s="1508" customFormat="1" ht="13.5" customHeight="1"/>
    <row r="162" s="1508" customFormat="1" ht="13.5" customHeight="1"/>
    <row r="163" s="1508" customFormat="1" ht="13.5" customHeight="1"/>
    <row r="164" s="1508" customFormat="1" ht="13.5" customHeight="1"/>
    <row r="165" s="1508" customFormat="1" ht="13.5" customHeight="1"/>
    <row r="166" s="1508" customFormat="1" ht="13.5" customHeight="1"/>
    <row r="167" s="1508" customFormat="1" ht="13.5" customHeight="1"/>
    <row r="168" s="1508" customFormat="1" ht="13.5" customHeight="1"/>
    <row r="169" s="1508" customFormat="1" ht="13.5" customHeight="1"/>
    <row r="170" s="1508" customFormat="1" ht="13.5" customHeight="1"/>
    <row r="171" s="1508" customFormat="1" ht="13.5" customHeight="1"/>
    <row r="172" s="1508" customFormat="1" ht="13.5" customHeight="1"/>
    <row r="173" s="1508" customFormat="1" ht="13.5" customHeight="1"/>
    <row r="174" s="1508" customFormat="1" ht="13.5" customHeight="1"/>
    <row r="175" s="1508" customFormat="1" ht="13.5" customHeight="1"/>
    <row r="176" s="1508" customFormat="1" ht="13.5" customHeight="1"/>
    <row r="177" spans="13:19" s="1508" customFormat="1" ht="13.5" customHeight="1"/>
    <row r="178" spans="13:19" s="1508" customFormat="1" ht="13.5" customHeight="1"/>
    <row r="179" spans="13:19" s="1508" customFormat="1" ht="13.5" customHeight="1"/>
    <row r="180" spans="13:19" s="1508" customFormat="1" ht="13.5" customHeight="1"/>
    <row r="181" spans="13:19" s="1508" customFormat="1" ht="13.5" customHeight="1"/>
    <row r="182" spans="13:19" s="1508" customFormat="1" ht="13.5" customHeight="1"/>
    <row r="183" spans="13:19" s="1508" customFormat="1" ht="13.5" customHeight="1"/>
    <row r="184" spans="13:19" s="1508" customFormat="1" ht="13.5" customHeight="1"/>
    <row r="185" spans="13:19" s="1508" customFormat="1" ht="13.5" customHeight="1"/>
    <row r="186" spans="13:19" s="1508" customFormat="1" ht="13.5" customHeight="1">
      <c r="M186" s="1503"/>
      <c r="N186" s="1503"/>
      <c r="O186" s="1503"/>
      <c r="P186" s="1503"/>
      <c r="Q186" s="1503"/>
    </row>
    <row r="187" spans="13:19" s="1508" customFormat="1" ht="13.5" customHeight="1">
      <c r="M187" s="1503"/>
      <c r="N187" s="1503"/>
      <c r="O187" s="1503"/>
      <c r="P187" s="1503"/>
      <c r="Q187" s="1503"/>
    </row>
    <row r="188" spans="13:19" s="1508" customFormat="1" ht="13.5" customHeight="1">
      <c r="M188" s="1503"/>
      <c r="N188" s="1503"/>
      <c r="O188" s="1503"/>
      <c r="P188" s="1503"/>
      <c r="Q188" s="1503"/>
    </row>
    <row r="189" spans="13:19" s="1508" customFormat="1" ht="13.5" customHeight="1">
      <c r="M189" s="1503"/>
      <c r="N189" s="1503"/>
      <c r="O189" s="1503"/>
      <c r="P189" s="1503"/>
      <c r="Q189" s="1503"/>
      <c r="R189" s="1503"/>
    </row>
    <row r="190" spans="13:19" s="1508" customFormat="1" ht="13.5" customHeight="1">
      <c r="M190" s="1503"/>
      <c r="N190" s="1503"/>
      <c r="O190" s="1503"/>
      <c r="P190" s="1503"/>
      <c r="Q190" s="1503"/>
      <c r="R190" s="1503"/>
    </row>
    <row r="191" spans="13:19" s="1508" customFormat="1" ht="13.5" customHeight="1">
      <c r="M191" s="1503"/>
      <c r="N191" s="1503"/>
      <c r="O191" s="1503"/>
      <c r="P191" s="1503"/>
      <c r="Q191" s="1503"/>
      <c r="R191" s="1503"/>
      <c r="S191" s="1503"/>
    </row>
    <row r="192" spans="13:19" s="1508" customFormat="1" ht="13.5" customHeight="1">
      <c r="M192" s="1503"/>
      <c r="N192" s="1503"/>
      <c r="O192" s="1503"/>
      <c r="P192" s="1503"/>
      <c r="Q192" s="1503"/>
      <c r="R192" s="1503"/>
      <c r="S192" s="1503"/>
    </row>
    <row r="193" spans="1:19" s="1508" customFormat="1" ht="13.5" customHeight="1">
      <c r="M193" s="1503"/>
      <c r="N193" s="1503"/>
      <c r="O193" s="1503"/>
      <c r="P193" s="1503"/>
      <c r="Q193" s="1503"/>
      <c r="R193" s="1503"/>
      <c r="S193" s="1503"/>
    </row>
    <row r="194" spans="1:19" s="1508" customFormat="1" ht="13.5" customHeight="1">
      <c r="M194" s="1503"/>
      <c r="N194" s="1503"/>
      <c r="O194" s="1503"/>
      <c r="P194" s="1503"/>
      <c r="Q194" s="1503"/>
      <c r="R194" s="1503"/>
      <c r="S194" s="1503"/>
    </row>
    <row r="195" spans="1:19" s="1508" customFormat="1" ht="13.5" customHeight="1">
      <c r="M195" s="1503"/>
      <c r="N195" s="1503"/>
      <c r="O195" s="1503"/>
      <c r="P195" s="1503"/>
      <c r="Q195" s="1503"/>
      <c r="R195" s="1503"/>
      <c r="S195" s="1503"/>
    </row>
    <row r="196" spans="1:19" ht="13.5" customHeight="1">
      <c r="A196" s="1508"/>
      <c r="B196" s="1508"/>
      <c r="C196" s="1508"/>
      <c r="D196" s="1508"/>
      <c r="E196" s="1508"/>
      <c r="F196" s="1508"/>
      <c r="G196" s="1508"/>
      <c r="H196" s="1508"/>
      <c r="I196" s="1508"/>
      <c r="J196" s="1508"/>
      <c r="K196" s="1508"/>
      <c r="L196" s="1508"/>
    </row>
    <row r="197" spans="1:19" ht="13.5" customHeight="1">
      <c r="A197" s="1508"/>
      <c r="B197" s="1508"/>
      <c r="C197" s="1508"/>
      <c r="D197" s="1508"/>
      <c r="E197" s="1508"/>
      <c r="F197" s="1508"/>
      <c r="G197" s="1508"/>
      <c r="H197" s="1508"/>
      <c r="I197" s="1508"/>
      <c r="J197" s="1508"/>
      <c r="K197" s="1508"/>
      <c r="L197" s="1508"/>
    </row>
    <row r="198" spans="1:19" ht="13.5" customHeight="1">
      <c r="A198" s="1508"/>
      <c r="B198" s="1508"/>
      <c r="C198" s="1508"/>
      <c r="D198" s="1508"/>
      <c r="E198" s="1508"/>
      <c r="F198" s="1508"/>
      <c r="G198" s="1508"/>
      <c r="H198" s="1508"/>
      <c r="I198" s="1508"/>
      <c r="J198" s="1508"/>
      <c r="K198" s="1508"/>
    </row>
    <row r="199" spans="1:19" ht="13.5" customHeight="1">
      <c r="A199" s="1508"/>
      <c r="B199" s="1508"/>
      <c r="C199" s="1508"/>
      <c r="D199" s="1508"/>
      <c r="E199" s="1508"/>
      <c r="F199" s="1508"/>
      <c r="G199" s="1508"/>
      <c r="H199" s="1508"/>
      <c r="I199" s="1508"/>
      <c r="J199" s="1508"/>
      <c r="K199" s="1508"/>
    </row>
    <row r="200" spans="1:19" ht="13.5" customHeight="1">
      <c r="D200" s="1508"/>
      <c r="E200" s="1508"/>
      <c r="F200" s="1508"/>
      <c r="G200" s="1508"/>
      <c r="H200" s="1508"/>
    </row>
    <row r="201" spans="1:19" ht="13.5" customHeight="1">
      <c r="D201" s="1508"/>
    </row>
    <row r="202" spans="1:19" ht="13.5" customHeight="1">
      <c r="D202" s="1508"/>
    </row>
  </sheetData>
  <mergeCells count="34">
    <mergeCell ref="A1:S1"/>
    <mergeCell ref="A7:A8"/>
    <mergeCell ref="B7:C8"/>
    <mergeCell ref="D7:E8"/>
    <mergeCell ref="F7:G7"/>
    <mergeCell ref="H7:I7"/>
    <mergeCell ref="J7:K7"/>
    <mergeCell ref="L7:L8"/>
    <mergeCell ref="M7:M8"/>
    <mergeCell ref="N7:P7"/>
    <mergeCell ref="S7:S8"/>
    <mergeCell ref="T9:Z11"/>
    <mergeCell ref="A24:B24"/>
    <mergeCell ref="E24:F24"/>
    <mergeCell ref="Q26:R26"/>
    <mergeCell ref="O31:P31"/>
    <mergeCell ref="O30:P30"/>
    <mergeCell ref="O43:P43"/>
    <mergeCell ref="O44:P44"/>
    <mergeCell ref="O32:P32"/>
    <mergeCell ref="O33:P33"/>
    <mergeCell ref="J35:K35"/>
    <mergeCell ref="J36:K36"/>
    <mergeCell ref="O36:P36"/>
    <mergeCell ref="J37:K37"/>
    <mergeCell ref="O37:P37"/>
    <mergeCell ref="O38:P38"/>
    <mergeCell ref="O41:P41"/>
    <mergeCell ref="O42:P42"/>
    <mergeCell ref="Q47:R47"/>
    <mergeCell ref="Q48:R48"/>
    <mergeCell ref="Q49:R49"/>
    <mergeCell ref="Q50:R50"/>
    <mergeCell ref="J84:K84"/>
  </mergeCells>
  <phoneticPr fontId="276"/>
  <conditionalFormatting sqref="B34 B25:B26 A40 A27:B30 A24:A26 A31">
    <cfRule type="cellIs" dxfId="61" priority="5" stopIfTrue="1" operator="equal">
      <formula>"空"</formula>
    </cfRule>
  </conditionalFormatting>
  <conditionalFormatting sqref="B20:B22">
    <cfRule type="cellIs" dxfId="60" priority="6" stopIfTrue="1" operator="equal">
      <formula>"空室"</formula>
    </cfRule>
  </conditionalFormatting>
  <conditionalFormatting sqref="B36:B37 A35:A38">
    <cfRule type="cellIs" dxfId="59" priority="4" stopIfTrue="1" operator="equal">
      <formula>"空"</formula>
    </cfRule>
  </conditionalFormatting>
  <conditionalFormatting sqref="B9:B10 B12 B14:B19">
    <cfRule type="cellIs" dxfId="58" priority="3" stopIfTrue="1" operator="equal">
      <formula>"空室"</formula>
    </cfRule>
  </conditionalFormatting>
  <conditionalFormatting sqref="B11">
    <cfRule type="cellIs" dxfId="57" priority="2" stopIfTrue="1" operator="equal">
      <formula>"空室"</formula>
    </cfRule>
  </conditionalFormatting>
  <conditionalFormatting sqref="B13">
    <cfRule type="cellIs" dxfId="56" priority="1" stopIfTrue="1" operator="equal">
      <formula>"空室"</formula>
    </cfRule>
  </conditionalFormatting>
  <printOptions horizontalCentered="1" verticalCentered="1"/>
  <pageMargins left="0" right="0" top="0.78740157480314965" bottom="0.39370078740157483" header="0.98425196850393704" footer="0.19685039370078741"/>
  <pageSetup paperSize="9" scale="52" orientation="landscape" r:id="rId1"/>
  <headerFooter alignWithMargins="0"/>
  <rowBreaks count="1" manualBreakCount="1">
    <brk id="52" max="18" man="1"/>
  </rowBreaks>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AC95"/>
  <sheetViews>
    <sheetView view="pageBreakPreview" topLeftCell="A9" zoomScaleNormal="100" zoomScaleSheetLayoutView="100" workbookViewId="0">
      <selection activeCell="C10" sqref="C10"/>
    </sheetView>
  </sheetViews>
  <sheetFormatPr defaultRowHeight="11.25"/>
  <cols>
    <col min="1" max="1" width="6.25" style="387" customWidth="1"/>
    <col min="2" max="2" width="21.375" style="388" customWidth="1"/>
    <col min="3" max="6" width="11.25" style="390" customWidth="1"/>
    <col min="7" max="7" width="11.25" style="391" customWidth="1"/>
    <col min="8" max="8" width="16.25" style="391" customWidth="1"/>
    <col min="9" max="9" width="2.5" style="391" customWidth="1"/>
    <col min="10" max="10" width="55.625" style="392" customWidth="1"/>
    <col min="11" max="11" width="3.75" style="392" customWidth="1"/>
    <col min="12" max="13" width="9" style="392"/>
    <col min="14" max="14" width="15.125" style="392" customWidth="1"/>
    <col min="15" max="16384" width="9" style="392"/>
  </cols>
  <sheetData>
    <row r="1" spans="1:29" ht="22.5" customHeight="1">
      <c r="A1" s="2583" t="s">
        <v>295</v>
      </c>
      <c r="B1" s="2583"/>
      <c r="C1" s="2583"/>
      <c r="D1" s="2583"/>
      <c r="E1" s="2583"/>
      <c r="F1" s="2583"/>
      <c r="G1" s="2583"/>
      <c r="H1" s="2583"/>
      <c r="I1" s="2583"/>
      <c r="J1" s="2583"/>
    </row>
    <row r="2" spans="1:29" ht="13.5" customHeight="1">
      <c r="C2" s="389" t="s">
        <v>254</v>
      </c>
      <c r="D2" s="390" t="str">
        <f>基本情報!C5</f>
        <v>MAMIYAビル</v>
      </c>
      <c r="H2" s="474"/>
      <c r="I2" s="441"/>
      <c r="J2" s="441"/>
    </row>
    <row r="3" spans="1:29" ht="13.5" customHeight="1">
      <c r="A3" s="393" t="s">
        <v>989</v>
      </c>
      <c r="B3" s="393"/>
      <c r="C3" s="389" t="s">
        <v>255</v>
      </c>
      <c r="D3" s="390" t="str">
        <f>基本情報!C6</f>
        <v>東京都千代田区神田錦町3-18</v>
      </c>
      <c r="H3" s="441"/>
      <c r="I3" s="441"/>
      <c r="J3" s="476">
        <f ca="1">TODAY()</f>
        <v>43486</v>
      </c>
      <c r="K3" s="394"/>
    </row>
    <row r="4" spans="1:29" ht="6.75" customHeight="1">
      <c r="H4" s="475"/>
      <c r="I4" s="475"/>
      <c r="J4" s="475"/>
      <c r="K4" s="394"/>
    </row>
    <row r="5" spans="1:29" ht="3.75" customHeight="1">
      <c r="A5" s="395"/>
      <c r="B5" s="396"/>
      <c r="C5" s="477"/>
      <c r="D5" s="442"/>
      <c r="E5" s="443"/>
      <c r="F5" s="444"/>
      <c r="G5" s="397"/>
      <c r="H5" s="398"/>
      <c r="I5" s="445"/>
      <c r="J5" s="399"/>
      <c r="K5" s="394"/>
    </row>
    <row r="6" spans="1:29" ht="13.5" customHeight="1">
      <c r="A6" s="400"/>
      <c r="B6" s="401" t="s">
        <v>256</v>
      </c>
      <c r="C6" s="402" t="s">
        <v>257</v>
      </c>
      <c r="D6" s="403" t="s">
        <v>258</v>
      </c>
      <c r="E6" s="404" t="s">
        <v>301</v>
      </c>
      <c r="F6" s="405" t="s">
        <v>259</v>
      </c>
      <c r="G6" s="406" t="s">
        <v>275</v>
      </c>
      <c r="H6" s="407" t="s">
        <v>260</v>
      </c>
      <c r="I6" s="446"/>
      <c r="J6" s="447" t="s">
        <v>261</v>
      </c>
      <c r="K6" s="394"/>
      <c r="L6" s="392" t="s">
        <v>321</v>
      </c>
    </row>
    <row r="7" spans="1:29" s="410" customFormat="1" ht="13.5" customHeight="1">
      <c r="A7" s="984" t="s">
        <v>318</v>
      </c>
      <c r="B7" s="985" t="s">
        <v>276</v>
      </c>
      <c r="C7" s="986">
        <v>10000000</v>
      </c>
      <c r="D7" s="478">
        <v>0</v>
      </c>
      <c r="E7" s="408">
        <f t="shared" ref="E7:E13" si="0">C7</f>
        <v>10000000</v>
      </c>
      <c r="F7" s="449">
        <f>D7+E7</f>
        <v>10000000</v>
      </c>
      <c r="G7" s="450">
        <f>C7-F7</f>
        <v>0</v>
      </c>
      <c r="H7" s="451"/>
      <c r="I7" s="452"/>
      <c r="J7" s="1727" t="s">
        <v>991</v>
      </c>
      <c r="K7" s="409"/>
      <c r="L7" s="410" t="s">
        <v>615</v>
      </c>
    </row>
    <row r="8" spans="1:29" s="410" customFormat="1" ht="13.5" customHeight="1">
      <c r="A8" s="411" t="s">
        <v>319</v>
      </c>
      <c r="B8" s="480" t="s">
        <v>320</v>
      </c>
      <c r="C8" s="412">
        <v>10000000</v>
      </c>
      <c r="D8" s="448">
        <v>0</v>
      </c>
      <c r="E8" s="494">
        <f t="shared" si="0"/>
        <v>10000000</v>
      </c>
      <c r="F8" s="449">
        <f>D8+E8</f>
        <v>10000000</v>
      </c>
      <c r="G8" s="450">
        <f>C8-F8</f>
        <v>0</v>
      </c>
      <c r="H8" s="491"/>
      <c r="I8" s="492"/>
      <c r="J8" s="493" t="s">
        <v>990</v>
      </c>
      <c r="K8" s="409"/>
      <c r="L8" s="410" t="s">
        <v>616</v>
      </c>
    </row>
    <row r="9" spans="1:29" s="410" customFormat="1" ht="13.5" customHeight="1">
      <c r="A9" s="411" t="s">
        <v>168</v>
      </c>
      <c r="B9" s="480" t="s">
        <v>302</v>
      </c>
      <c r="C9" s="413">
        <v>0</v>
      </c>
      <c r="D9" s="448">
        <v>0</v>
      </c>
      <c r="E9" s="453">
        <f t="shared" si="0"/>
        <v>0</v>
      </c>
      <c r="F9" s="449">
        <f>D9+E9</f>
        <v>0</v>
      </c>
      <c r="G9" s="450">
        <f>C9-F9</f>
        <v>0</v>
      </c>
      <c r="H9" s="454"/>
      <c r="I9" s="455"/>
      <c r="J9" s="456" t="s">
        <v>1179</v>
      </c>
      <c r="K9" s="409"/>
      <c r="L9" s="410" t="s">
        <v>617</v>
      </c>
    </row>
    <row r="10" spans="1:29" s="410" customFormat="1" ht="27" customHeight="1">
      <c r="A10" s="411" t="s">
        <v>283</v>
      </c>
      <c r="B10" s="987" t="s">
        <v>284</v>
      </c>
      <c r="C10" s="417">
        <v>10000000</v>
      </c>
      <c r="D10" s="462">
        <v>0</v>
      </c>
      <c r="E10" s="463">
        <f t="shared" si="0"/>
        <v>10000000</v>
      </c>
      <c r="F10" s="449">
        <f>D10+E10</f>
        <v>10000000</v>
      </c>
      <c r="G10" s="450">
        <f>C10-F10</f>
        <v>0</v>
      </c>
      <c r="H10" s="454"/>
      <c r="I10" s="458"/>
      <c r="J10" s="1744" t="s">
        <v>1202</v>
      </c>
      <c r="K10" s="409"/>
      <c r="L10" s="410" t="s">
        <v>614</v>
      </c>
    </row>
    <row r="11" spans="1:29" s="484" customFormat="1" ht="13.5" customHeight="1">
      <c r="A11" s="486" t="s">
        <v>169</v>
      </c>
      <c r="B11" s="988" t="s">
        <v>277</v>
      </c>
      <c r="C11" s="989">
        <v>20000000</v>
      </c>
      <c r="D11" s="1730">
        <v>0</v>
      </c>
      <c r="E11" s="1729">
        <f t="shared" si="0"/>
        <v>20000000</v>
      </c>
      <c r="F11" s="1732">
        <f>D11+E11</f>
        <v>20000000</v>
      </c>
      <c r="G11" s="1714">
        <f>C11-F11</f>
        <v>0</v>
      </c>
      <c r="H11" s="1733"/>
      <c r="I11" s="481"/>
      <c r="J11" s="482" t="s">
        <v>278</v>
      </c>
      <c r="K11" s="483"/>
      <c r="L11" s="484" t="s">
        <v>618</v>
      </c>
      <c r="T11" s="1037" t="s">
        <v>632</v>
      </c>
      <c r="U11" s="1037"/>
      <c r="V11" s="1037"/>
      <c r="W11" s="1037"/>
      <c r="X11" s="1037"/>
      <c r="Y11" s="1037"/>
      <c r="Z11" s="1037"/>
      <c r="AA11" s="1037"/>
      <c r="AB11" s="1037"/>
      <c r="AC11" s="1037"/>
    </row>
    <row r="12" spans="1:29" s="484" customFormat="1" ht="37.5" customHeight="1">
      <c r="A12" s="486" t="s">
        <v>317</v>
      </c>
      <c r="B12" s="990" t="s">
        <v>1180</v>
      </c>
      <c r="C12" s="991">
        <v>310000000</v>
      </c>
      <c r="D12" s="1730">
        <v>0</v>
      </c>
      <c r="E12" s="1731">
        <f t="shared" si="0"/>
        <v>310000000</v>
      </c>
      <c r="F12" s="1732">
        <f t="shared" ref="F12:F14" si="1">D12+E12</f>
        <v>310000000</v>
      </c>
      <c r="G12" s="1714">
        <f t="shared" ref="G12:G14" si="2">C12-F12</f>
        <v>0</v>
      </c>
      <c r="H12" s="1735"/>
      <c r="I12" s="485"/>
      <c r="J12" s="1736" t="s">
        <v>1195</v>
      </c>
      <c r="K12" s="483"/>
      <c r="L12" s="484" t="s">
        <v>613</v>
      </c>
      <c r="T12" s="1037" t="s">
        <v>633</v>
      </c>
      <c r="U12" s="1037"/>
      <c r="V12" s="1037"/>
      <c r="W12" s="1037"/>
      <c r="X12" s="1037"/>
      <c r="Y12" s="1037"/>
      <c r="Z12" s="1037"/>
      <c r="AA12" s="1037"/>
      <c r="AB12" s="1037"/>
      <c r="AC12" s="1037"/>
    </row>
    <row r="13" spans="1:29" s="484" customFormat="1" ht="13.5" customHeight="1">
      <c r="A13" s="486" t="s">
        <v>316</v>
      </c>
      <c r="B13" s="990" t="s">
        <v>1182</v>
      </c>
      <c r="C13" s="989">
        <v>0</v>
      </c>
      <c r="D13" s="1730">
        <v>0</v>
      </c>
      <c r="E13" s="1731">
        <f t="shared" si="0"/>
        <v>0</v>
      </c>
      <c r="F13" s="1732">
        <f t="shared" si="1"/>
        <v>0</v>
      </c>
      <c r="G13" s="1714">
        <f t="shared" si="2"/>
        <v>0</v>
      </c>
      <c r="H13" s="1734"/>
      <c r="I13" s="485"/>
      <c r="J13" s="1736" t="s">
        <v>1183</v>
      </c>
      <c r="K13" s="483"/>
      <c r="L13" s="484" t="s">
        <v>619</v>
      </c>
    </row>
    <row r="14" spans="1:29" s="484" customFormat="1" ht="13.5" customHeight="1">
      <c r="A14" s="486" t="s">
        <v>279</v>
      </c>
      <c r="B14" s="990" t="s">
        <v>315</v>
      </c>
      <c r="C14" s="991">
        <v>0</v>
      </c>
      <c r="D14" s="1728">
        <v>0</v>
      </c>
      <c r="E14" s="1731"/>
      <c r="F14" s="1732">
        <f t="shared" si="1"/>
        <v>0</v>
      </c>
      <c r="G14" s="1714">
        <f t="shared" si="2"/>
        <v>0</v>
      </c>
      <c r="H14" s="1735"/>
      <c r="I14" s="485"/>
      <c r="J14" s="482" t="s">
        <v>1181</v>
      </c>
      <c r="K14" s="483"/>
      <c r="L14" s="484" t="s">
        <v>620</v>
      </c>
    </row>
    <row r="15" spans="1:29" s="410" customFormat="1" ht="13.5" customHeight="1">
      <c r="A15" s="411" t="s">
        <v>280</v>
      </c>
      <c r="B15" s="479" t="s">
        <v>297</v>
      </c>
      <c r="C15" s="417">
        <v>0</v>
      </c>
      <c r="D15" s="459"/>
      <c r="E15" s="460">
        <f>C15</f>
        <v>0</v>
      </c>
      <c r="F15" s="449">
        <f>D15+E15</f>
        <v>0</v>
      </c>
      <c r="G15" s="450">
        <f>C15-F15</f>
        <v>0</v>
      </c>
      <c r="H15" s="454"/>
      <c r="I15" s="458"/>
      <c r="J15" s="457"/>
      <c r="K15" s="409"/>
      <c r="L15" s="410" t="s">
        <v>621</v>
      </c>
    </row>
    <row r="16" spans="1:29" s="410" customFormat="1" ht="13.5" customHeight="1">
      <c r="A16" s="411" t="s">
        <v>281</v>
      </c>
      <c r="B16" s="479" t="s">
        <v>298</v>
      </c>
      <c r="C16" s="417">
        <v>0</v>
      </c>
      <c r="D16" s="459"/>
      <c r="E16" s="460">
        <f>C16</f>
        <v>0</v>
      </c>
      <c r="F16" s="449">
        <f>D16+E16</f>
        <v>0</v>
      </c>
      <c r="G16" s="450">
        <f>C16-F16</f>
        <v>0</v>
      </c>
      <c r="H16" s="454"/>
      <c r="I16" s="458"/>
      <c r="J16" s="457" t="s">
        <v>1189</v>
      </c>
      <c r="K16" s="409"/>
      <c r="L16" s="410" t="s">
        <v>622</v>
      </c>
    </row>
    <row r="17" spans="1:12" s="410" customFormat="1" ht="13.5" customHeight="1">
      <c r="A17" s="411" t="s">
        <v>282</v>
      </c>
      <c r="B17" s="479" t="s">
        <v>303</v>
      </c>
      <c r="C17" s="417">
        <v>0</v>
      </c>
      <c r="D17" s="459"/>
      <c r="E17" s="460">
        <f>C17</f>
        <v>0</v>
      </c>
      <c r="F17" s="449">
        <f>D17+E17</f>
        <v>0</v>
      </c>
      <c r="G17" s="450">
        <f>C17-F17</f>
        <v>0</v>
      </c>
      <c r="H17" s="414"/>
      <c r="I17" s="461"/>
      <c r="J17" s="1737" t="s">
        <v>1190</v>
      </c>
      <c r="K17" s="409"/>
      <c r="L17" s="410" t="s">
        <v>624</v>
      </c>
    </row>
    <row r="18" spans="1:12" s="410" customFormat="1" ht="13.5" customHeight="1">
      <c r="A18" s="992" t="s">
        <v>314</v>
      </c>
      <c r="B18" s="479" t="s">
        <v>304</v>
      </c>
      <c r="C18" s="417">
        <v>3000000</v>
      </c>
      <c r="D18" s="459"/>
      <c r="E18" s="460">
        <f>C18</f>
        <v>3000000</v>
      </c>
      <c r="F18" s="449">
        <f>D18+E18</f>
        <v>3000000</v>
      </c>
      <c r="G18" s="450">
        <f>C18-F18</f>
        <v>0</v>
      </c>
      <c r="H18" s="414"/>
      <c r="I18" s="461"/>
      <c r="J18" s="456"/>
      <c r="K18" s="409"/>
      <c r="L18" s="410" t="s">
        <v>623</v>
      </c>
    </row>
    <row r="19" spans="1:12" s="1743" customFormat="1" ht="13.5" customHeight="1">
      <c r="A19" s="993" t="s">
        <v>285</v>
      </c>
      <c r="B19" s="1738"/>
      <c r="C19" s="417">
        <v>0</v>
      </c>
      <c r="D19" s="1739"/>
      <c r="E19" s="460">
        <f>C19</f>
        <v>0</v>
      </c>
      <c r="F19" s="449">
        <f>D19+E19</f>
        <v>0</v>
      </c>
      <c r="G19" s="450">
        <f t="shared" ref="G19:G20" si="3">C19-F19</f>
        <v>0</v>
      </c>
      <c r="H19" s="1740"/>
      <c r="I19" s="1741"/>
      <c r="J19" s="1747"/>
      <c r="K19" s="1742"/>
    </row>
    <row r="20" spans="1:12" s="410" customFormat="1" ht="19.5" customHeight="1">
      <c r="A20" s="993" t="s">
        <v>992</v>
      </c>
      <c r="B20" s="1738" t="s">
        <v>994</v>
      </c>
      <c r="C20" s="417">
        <v>0</v>
      </c>
      <c r="D20" s="462"/>
      <c r="E20" s="460">
        <f t="shared" ref="E20" si="4">C20</f>
        <v>0</v>
      </c>
      <c r="F20" s="449">
        <f t="shared" ref="F20" si="5">D20+E20</f>
        <v>0</v>
      </c>
      <c r="G20" s="450">
        <f t="shared" si="3"/>
        <v>0</v>
      </c>
      <c r="H20" s="454"/>
      <c r="I20" s="458"/>
      <c r="J20" s="1744"/>
      <c r="K20" s="409"/>
    </row>
    <row r="21" spans="1:12" s="416" customFormat="1" ht="22.5" customHeight="1">
      <c r="A21" s="993" t="s">
        <v>993</v>
      </c>
      <c r="B21" s="1745" t="s">
        <v>996</v>
      </c>
      <c r="C21" s="994">
        <v>3000000</v>
      </c>
      <c r="D21" s="487"/>
      <c r="E21" s="460">
        <f>C21</f>
        <v>3000000</v>
      </c>
      <c r="F21" s="449">
        <f>D21+E21</f>
        <v>3000000</v>
      </c>
      <c r="G21" s="488">
        <f>C21-F21</f>
        <v>0</v>
      </c>
      <c r="H21" s="489"/>
      <c r="I21" s="490"/>
      <c r="J21" s="1746" t="s">
        <v>995</v>
      </c>
      <c r="K21" s="415"/>
      <c r="L21" s="416" t="s">
        <v>625</v>
      </c>
    </row>
    <row r="22" spans="1:12" s="410" customFormat="1" ht="13.5" customHeight="1">
      <c r="A22" s="411"/>
      <c r="B22" s="995"/>
      <c r="C22" s="417"/>
      <c r="D22" s="462"/>
      <c r="E22" s="460">
        <f t="shared" ref="E22:E23" si="6">C22</f>
        <v>0</v>
      </c>
      <c r="F22" s="449">
        <f t="shared" ref="F22:F24" si="7">D22+E22</f>
        <v>0</v>
      </c>
      <c r="G22" s="488">
        <f t="shared" ref="G22:G24" si="8">C22-F22</f>
        <v>0</v>
      </c>
      <c r="H22" s="454"/>
      <c r="I22" s="458"/>
      <c r="J22" s="457"/>
      <c r="K22" s="409"/>
    </row>
    <row r="23" spans="1:12" s="410" customFormat="1" ht="13.5" customHeight="1">
      <c r="A23" s="411" t="s">
        <v>311</v>
      </c>
      <c r="B23" s="995" t="s">
        <v>312</v>
      </c>
      <c r="C23" s="417">
        <v>1000000</v>
      </c>
      <c r="D23" s="462"/>
      <c r="E23" s="460">
        <f t="shared" si="6"/>
        <v>1000000</v>
      </c>
      <c r="F23" s="449">
        <f t="shared" si="7"/>
        <v>1000000</v>
      </c>
      <c r="G23" s="488">
        <f t="shared" si="8"/>
        <v>0</v>
      </c>
      <c r="H23" s="454"/>
      <c r="I23" s="458"/>
      <c r="J23" s="457"/>
      <c r="K23" s="409"/>
      <c r="L23" s="392" t="s">
        <v>634</v>
      </c>
    </row>
    <row r="24" spans="1:12" s="410" customFormat="1" ht="13.5" customHeight="1">
      <c r="A24" s="411"/>
      <c r="B24" s="995"/>
      <c r="C24" s="417"/>
      <c r="D24" s="462"/>
      <c r="E24" s="460">
        <f>C24</f>
        <v>0</v>
      </c>
      <c r="F24" s="449">
        <f t="shared" si="7"/>
        <v>0</v>
      </c>
      <c r="G24" s="488">
        <f t="shared" si="8"/>
        <v>0</v>
      </c>
      <c r="H24" s="454"/>
      <c r="I24" s="458"/>
      <c r="J24" s="457"/>
      <c r="K24" s="409"/>
      <c r="L24" s="1036" t="s">
        <v>626</v>
      </c>
    </row>
    <row r="25" spans="1:12" s="410" customFormat="1" ht="13.5" customHeight="1">
      <c r="A25" s="411" t="s">
        <v>307</v>
      </c>
      <c r="B25" s="995" t="s">
        <v>299</v>
      </c>
      <c r="C25" s="417">
        <v>0</v>
      </c>
      <c r="D25" s="462"/>
      <c r="E25" s="463">
        <v>0</v>
      </c>
      <c r="F25" s="449">
        <f t="shared" ref="F25:F29" si="9">D25+E25</f>
        <v>0</v>
      </c>
      <c r="G25" s="450">
        <f>C25-F25</f>
        <v>0</v>
      </c>
      <c r="H25" s="454"/>
      <c r="I25" s="458"/>
      <c r="J25" s="457"/>
      <c r="K25" s="409"/>
      <c r="L25" s="1036" t="s">
        <v>627</v>
      </c>
    </row>
    <row r="26" spans="1:12" s="410" customFormat="1" ht="13.5" customHeight="1">
      <c r="A26" s="411" t="s">
        <v>308</v>
      </c>
      <c r="B26" s="995" t="s">
        <v>300</v>
      </c>
      <c r="C26" s="417">
        <v>0</v>
      </c>
      <c r="D26" s="462"/>
      <c r="E26" s="463">
        <v>0</v>
      </c>
      <c r="F26" s="449">
        <f t="shared" si="9"/>
        <v>0</v>
      </c>
      <c r="G26" s="450">
        <f>C26-F26</f>
        <v>0</v>
      </c>
      <c r="H26" s="454"/>
      <c r="I26" s="458"/>
      <c r="J26" s="457"/>
      <c r="K26" s="409"/>
      <c r="L26" s="1036" t="s">
        <v>628</v>
      </c>
    </row>
    <row r="27" spans="1:12" s="410" customFormat="1" ht="13.5" customHeight="1">
      <c r="A27" s="411" t="s">
        <v>309</v>
      </c>
      <c r="B27" s="995" t="s">
        <v>305</v>
      </c>
      <c r="C27" s="417">
        <v>0</v>
      </c>
      <c r="D27" s="462"/>
      <c r="E27" s="463">
        <v>0</v>
      </c>
      <c r="F27" s="449">
        <f t="shared" si="9"/>
        <v>0</v>
      </c>
      <c r="G27" s="450">
        <f>C27-F27</f>
        <v>0</v>
      </c>
      <c r="H27" s="454"/>
      <c r="I27" s="458"/>
      <c r="J27" s="457"/>
      <c r="K27" s="409"/>
      <c r="L27" s="1036" t="s">
        <v>630</v>
      </c>
    </row>
    <row r="28" spans="1:12" s="410" customFormat="1" ht="13.5" customHeight="1">
      <c r="A28" s="411" t="s">
        <v>310</v>
      </c>
      <c r="B28" s="995" t="s">
        <v>306</v>
      </c>
      <c r="C28" s="417">
        <v>0</v>
      </c>
      <c r="D28" s="462"/>
      <c r="E28" s="463">
        <v>0</v>
      </c>
      <c r="F28" s="449">
        <f t="shared" si="9"/>
        <v>0</v>
      </c>
      <c r="G28" s="450">
        <f>C28-F28</f>
        <v>0</v>
      </c>
      <c r="H28" s="454"/>
      <c r="I28" s="458"/>
      <c r="J28" s="457"/>
      <c r="K28" s="409"/>
      <c r="L28" s="1036" t="s">
        <v>629</v>
      </c>
    </row>
    <row r="29" spans="1:12" s="410" customFormat="1" ht="13.5" customHeight="1">
      <c r="A29" s="411"/>
      <c r="B29" s="995" t="s">
        <v>313</v>
      </c>
      <c r="C29" s="417">
        <v>0</v>
      </c>
      <c r="D29" s="462"/>
      <c r="E29" s="463">
        <v>0</v>
      </c>
      <c r="F29" s="449">
        <f t="shared" si="9"/>
        <v>0</v>
      </c>
      <c r="G29" s="450">
        <f>C29-F29</f>
        <v>0</v>
      </c>
      <c r="H29" s="454"/>
      <c r="I29" s="458"/>
      <c r="J29" s="457"/>
      <c r="K29" s="409"/>
      <c r="L29" s="1036" t="s">
        <v>843</v>
      </c>
    </row>
    <row r="30" spans="1:12" s="410" customFormat="1" ht="13.5" customHeight="1" thickBot="1">
      <c r="A30" s="1704"/>
      <c r="B30" s="1705"/>
      <c r="C30" s="1706"/>
      <c r="D30" s="464"/>
      <c r="E30" s="465"/>
      <c r="F30" s="449"/>
      <c r="G30" s="450"/>
      <c r="H30" s="466"/>
      <c r="I30" s="467"/>
      <c r="J30" s="468"/>
      <c r="K30" s="409"/>
      <c r="L30" s="1036" t="s">
        <v>631</v>
      </c>
    </row>
    <row r="31" spans="1:12" ht="13.5" customHeight="1" thickTop="1">
      <c r="A31" s="1707"/>
      <c r="B31" s="1708"/>
      <c r="C31" s="1709">
        <f>SUM(C7:C30)</f>
        <v>367000000</v>
      </c>
      <c r="D31" s="982">
        <f>SUM(D7:D30)</f>
        <v>0</v>
      </c>
      <c r="E31" s="983">
        <f>SUM(E7:E30)</f>
        <v>367000000</v>
      </c>
      <c r="F31" s="469">
        <f>SUM(F7:F30)</f>
        <v>367000000</v>
      </c>
      <c r="G31" s="470">
        <f>C31-F31</f>
        <v>0</v>
      </c>
      <c r="H31" s="418"/>
      <c r="I31" s="471"/>
      <c r="J31" s="419"/>
      <c r="K31" s="394"/>
    </row>
    <row r="32" spans="1:12" ht="13.5" customHeight="1">
      <c r="G32" s="420"/>
      <c r="H32" s="420"/>
      <c r="I32" s="420"/>
      <c r="J32" s="392" t="s">
        <v>262</v>
      </c>
      <c r="K32" s="394"/>
    </row>
    <row r="33" spans="1:12" ht="13.5" customHeight="1">
      <c r="A33" s="422" t="s">
        <v>263</v>
      </c>
      <c r="G33" s="420"/>
      <c r="H33" s="420" t="s">
        <v>286</v>
      </c>
      <c r="I33" s="420"/>
      <c r="L33" s="394"/>
    </row>
    <row r="34" spans="1:12" ht="13.5" customHeight="1">
      <c r="A34" s="424" t="s">
        <v>322</v>
      </c>
      <c r="B34" s="472" t="s">
        <v>296</v>
      </c>
      <c r="C34" s="473" t="s">
        <v>287</v>
      </c>
      <c r="D34" s="390" t="s">
        <v>288</v>
      </c>
      <c r="G34" s="420"/>
      <c r="H34" s="2572" t="s">
        <v>289</v>
      </c>
      <c r="I34" s="2573"/>
      <c r="J34" s="2574"/>
    </row>
    <row r="35" spans="1:12" ht="13.5" customHeight="1">
      <c r="A35" s="424"/>
      <c r="B35" s="472"/>
      <c r="C35" s="473"/>
      <c r="G35" s="420"/>
      <c r="H35" s="2575"/>
      <c r="I35" s="2576"/>
      <c r="J35" s="2577"/>
      <c r="L35" s="394"/>
    </row>
    <row r="36" spans="1:12" ht="13.5" customHeight="1">
      <c r="A36" s="424"/>
      <c r="B36" s="472"/>
      <c r="C36" s="473"/>
      <c r="G36" s="420"/>
      <c r="H36" s="2575"/>
      <c r="I36" s="2576"/>
      <c r="J36" s="2577"/>
      <c r="L36" s="394"/>
    </row>
    <row r="37" spans="1:12" ht="13.5" customHeight="1" thickBot="1">
      <c r="A37" s="424"/>
      <c r="B37" s="425"/>
      <c r="C37" s="423"/>
      <c r="G37" s="420"/>
      <c r="H37" s="2575"/>
      <c r="I37" s="2576"/>
      <c r="J37" s="2577"/>
      <c r="L37" s="394"/>
    </row>
    <row r="38" spans="1:12" ht="13.5" customHeight="1" thickBot="1">
      <c r="C38" s="426" t="s">
        <v>264</v>
      </c>
      <c r="D38" s="427">
        <f>SUM(C7:C24)</f>
        <v>367000000</v>
      </c>
      <c r="H38" s="2575"/>
      <c r="I38" s="2576"/>
      <c r="J38" s="2577"/>
      <c r="K38" s="394"/>
    </row>
    <row r="39" spans="1:12" ht="13.5" customHeight="1">
      <c r="C39" s="428" t="s">
        <v>971</v>
      </c>
      <c r="D39" s="423">
        <f>SUM(C25:C30)</f>
        <v>0</v>
      </c>
      <c r="H39" s="2578"/>
      <c r="I39" s="2579"/>
      <c r="J39" s="2580"/>
    </row>
    <row r="40" spans="1:12" ht="13.5" customHeight="1" thickBot="1">
      <c r="C40" s="426"/>
    </row>
    <row r="41" spans="1:12" ht="13.5" customHeight="1" thickBot="1">
      <c r="C41" s="426" t="s">
        <v>972</v>
      </c>
      <c r="D41" s="427">
        <f>D38+D39</f>
        <v>367000000</v>
      </c>
      <c r="E41" s="390" t="str">
        <f>IF(D43&gt;0,"OK","NG 事業原価の5％以内か確認")</f>
        <v>NG 事業原価の5％以内か確認</v>
      </c>
    </row>
    <row r="42" spans="1:12" ht="13.5" customHeight="1">
      <c r="F42" s="390" t="s">
        <v>294</v>
      </c>
    </row>
    <row r="43" spans="1:12" ht="13.5" customHeight="1">
      <c r="B43" s="2586" t="s">
        <v>290</v>
      </c>
      <c r="C43" s="2586"/>
      <c r="D43" s="2585">
        <f>D41-F31</f>
        <v>0</v>
      </c>
      <c r="E43" s="2584" t="s">
        <v>291</v>
      </c>
      <c r="F43" s="421" t="s">
        <v>292</v>
      </c>
      <c r="G43" s="391">
        <f>+('事業計画書（事業決定時）'!D62-'事業計画書（事業決定時）'!M15)*5%</f>
        <v>37382410.899999999</v>
      </c>
      <c r="H43" s="391" t="s">
        <v>293</v>
      </c>
    </row>
    <row r="44" spans="1:12" ht="13.5" customHeight="1">
      <c r="B44" s="2586"/>
      <c r="C44" s="2586"/>
      <c r="D44" s="2585"/>
      <c r="E44" s="2584"/>
      <c r="F44" s="421" t="s">
        <v>292</v>
      </c>
      <c r="G44" s="391">
        <f>('収支計算表（見込）計画1'!G53-'収支計算表（下限）計画2'!G53)/5%</f>
        <v>137300351.99999988</v>
      </c>
      <c r="H44" s="391" t="s">
        <v>323</v>
      </c>
    </row>
    <row r="45" spans="1:12" ht="13.5" customHeight="1"/>
    <row r="46" spans="1:12" ht="13.5" customHeight="1"/>
    <row r="47" spans="1:12" ht="13.5" customHeight="1"/>
    <row r="48" spans="1:12" ht="13.5" customHeight="1"/>
    <row r="49" spans="1:9" ht="13.5" customHeight="1"/>
    <row r="50" spans="1:9" s="536" customFormat="1" ht="13.5" customHeight="1" thickBot="1">
      <c r="A50" s="532"/>
      <c r="B50" s="533"/>
      <c r="C50" s="534"/>
      <c r="D50" s="534"/>
      <c r="E50" s="534"/>
      <c r="F50" s="534"/>
      <c r="G50" s="535"/>
      <c r="H50" s="535"/>
      <c r="I50" s="535"/>
    </row>
    <row r="51" spans="1:9" ht="13.5" customHeight="1" thickTop="1">
      <c r="A51" s="501"/>
      <c r="B51" s="502"/>
      <c r="C51" s="503"/>
      <c r="D51" s="503"/>
      <c r="E51" s="503"/>
      <c r="F51" s="503"/>
    </row>
    <row r="52" spans="1:9" ht="13.5" customHeight="1">
      <c r="A52" s="530" t="s">
        <v>327</v>
      </c>
      <c r="B52" s="531" t="s">
        <v>328</v>
      </c>
      <c r="C52" s="503"/>
      <c r="D52" s="503"/>
      <c r="E52" s="503"/>
      <c r="F52" s="503"/>
    </row>
    <row r="53" spans="1:9" ht="13.5" customHeight="1" thickBot="1">
      <c r="A53" s="501"/>
      <c r="B53" s="502"/>
      <c r="C53" s="504"/>
      <c r="D53" s="420"/>
      <c r="E53" s="394"/>
      <c r="F53" s="394"/>
      <c r="G53" s="392"/>
      <c r="H53" s="392"/>
      <c r="I53" s="392"/>
    </row>
    <row r="54" spans="1:9" ht="13.5" customHeight="1">
      <c r="A54" s="527"/>
      <c r="B54" s="528" t="s">
        <v>256</v>
      </c>
      <c r="C54" s="529" t="s">
        <v>257</v>
      </c>
      <c r="D54" s="2567" t="s">
        <v>261</v>
      </c>
      <c r="E54" s="2567"/>
      <c r="F54" s="2567"/>
      <c r="G54" s="2567"/>
      <c r="H54" s="2568"/>
      <c r="I54" s="392"/>
    </row>
    <row r="55" spans="1:9" ht="13.5" customHeight="1">
      <c r="A55" s="524" t="str">
        <f t="shared" ref="A55:C66" si="10">A7</f>
        <v>①－1</v>
      </c>
      <c r="B55" s="525" t="str">
        <f t="shared" si="10"/>
        <v>外壁改修工事</v>
      </c>
      <c r="C55" s="526">
        <f t="shared" si="10"/>
        <v>10000000</v>
      </c>
      <c r="D55" s="2581" t="str">
        <f t="shared" ref="D55:D66" si="11">IF(J7="","",J7)</f>
        <v>外壁窓枠、表面補修、高圧洗浄、外壁補修、可視部塗装、屋上防水10年保証</v>
      </c>
      <c r="E55" s="2581"/>
      <c r="F55" s="2581"/>
      <c r="G55" s="2581"/>
      <c r="H55" s="2582"/>
      <c r="I55" s="392"/>
    </row>
    <row r="56" spans="1:9">
      <c r="A56" s="508" t="str">
        <f t="shared" si="10"/>
        <v>①－2</v>
      </c>
      <c r="B56" s="506" t="str">
        <f t="shared" si="10"/>
        <v>外壁美装工事</v>
      </c>
      <c r="C56" s="507">
        <f t="shared" si="10"/>
        <v>10000000</v>
      </c>
      <c r="D56" s="2558" t="str">
        <f t="shared" si="11"/>
        <v>前面＋＋セットバック前面+工作物</v>
      </c>
      <c r="E56" s="2558"/>
      <c r="F56" s="2558"/>
      <c r="G56" s="2558"/>
      <c r="H56" s="2559"/>
      <c r="I56" s="392"/>
    </row>
    <row r="57" spans="1:9">
      <c r="A57" s="508" t="str">
        <f t="shared" si="10"/>
        <v>②</v>
      </c>
      <c r="B57" s="506" t="str">
        <f t="shared" si="10"/>
        <v>屋上防水工事</v>
      </c>
      <c r="C57" s="509">
        <f t="shared" si="10"/>
        <v>0</v>
      </c>
      <c r="D57" s="2558" t="str">
        <f t="shared" si="11"/>
        <v>①-1に含む</v>
      </c>
      <c r="E57" s="2558"/>
      <c r="F57" s="2558"/>
      <c r="G57" s="2558"/>
      <c r="H57" s="2559"/>
      <c r="I57" s="392"/>
    </row>
    <row r="58" spans="1:9">
      <c r="A58" s="508" t="str">
        <f t="shared" si="10"/>
        <v>⑨</v>
      </c>
      <c r="B58" s="506" t="str">
        <f t="shared" si="10"/>
        <v>屋上緑化</v>
      </c>
      <c r="C58" s="509">
        <f t="shared" si="10"/>
        <v>10000000</v>
      </c>
      <c r="D58" s="2558" t="str">
        <f t="shared" si="11"/>
        <v>屋上テラス工事（ウッドデッキ工事、ウッドウェンス工事、ハイカウンター・チェア作成費、照明、屋上緑化（プランター、同施工事））</v>
      </c>
      <c r="E58" s="2558"/>
      <c r="F58" s="2558"/>
      <c r="G58" s="2558"/>
      <c r="H58" s="2559"/>
      <c r="I58" s="392"/>
    </row>
    <row r="59" spans="1:9">
      <c r="A59" s="510" t="str">
        <f t="shared" si="10"/>
        <v>③</v>
      </c>
      <c r="B59" s="511" t="str">
        <f t="shared" si="10"/>
        <v>エントランス</v>
      </c>
      <c r="C59" s="512">
        <f t="shared" si="10"/>
        <v>20000000</v>
      </c>
      <c r="D59" s="2558" t="str">
        <f t="shared" si="11"/>
        <v>エントランス改修工事</v>
      </c>
      <c r="E59" s="2558"/>
      <c r="F59" s="2558"/>
      <c r="G59" s="2558"/>
      <c r="H59" s="2559"/>
      <c r="I59" s="392"/>
    </row>
    <row r="60" spans="1:9">
      <c r="A60" s="510" t="str">
        <f t="shared" si="10"/>
        <v>④－1</v>
      </c>
      <c r="B60" s="511" t="str">
        <f t="shared" si="10"/>
        <v>内装工事（7フロア）</v>
      </c>
      <c r="C60" s="512">
        <f t="shared" si="10"/>
        <v>310000000</v>
      </c>
      <c r="D60" s="2558" t="str">
        <f t="shared" si="11"/>
        <v>（1-7F：@45万円）
8F造作工事：5000万円（増築2000万円、補強1000万円、階段部解体400万円、
螺旋階段600万円、内装600万円、構造計算・検証400万円）</v>
      </c>
      <c r="E60" s="2558"/>
      <c r="F60" s="2558"/>
      <c r="G60" s="2558"/>
      <c r="H60" s="2559"/>
      <c r="I60" s="392"/>
    </row>
    <row r="61" spans="1:9">
      <c r="A61" s="510" t="str">
        <f t="shared" si="10"/>
        <v>④－2</v>
      </c>
      <c r="B61" s="511" t="str">
        <f t="shared" si="10"/>
        <v>衛生器具更新</v>
      </c>
      <c r="C61" s="512">
        <f t="shared" si="10"/>
        <v>0</v>
      </c>
      <c r="D61" s="2558" t="str">
        <f t="shared" si="11"/>
        <v>（7フロア×約60万円）</v>
      </c>
      <c r="E61" s="2558"/>
      <c r="F61" s="2558"/>
      <c r="G61" s="2558"/>
      <c r="H61" s="2559"/>
      <c r="I61" s="392"/>
    </row>
    <row r="62" spans="1:9">
      <c r="A62" s="510" t="str">
        <f t="shared" si="10"/>
        <v>⑤</v>
      </c>
      <c r="B62" s="511" t="str">
        <f t="shared" si="10"/>
        <v>什器備品</v>
      </c>
      <c r="C62" s="512">
        <f t="shared" si="10"/>
        <v>0</v>
      </c>
      <c r="D62" s="2558" t="str">
        <f t="shared" si="11"/>
        <v>モデルルーム用家具</v>
      </c>
      <c r="E62" s="2558"/>
      <c r="F62" s="2558"/>
      <c r="G62" s="2558"/>
      <c r="H62" s="2559"/>
      <c r="I62" s="392"/>
    </row>
    <row r="63" spans="1:9">
      <c r="A63" s="508" t="str">
        <f t="shared" si="10"/>
        <v>⑥</v>
      </c>
      <c r="B63" s="513" t="str">
        <f t="shared" si="10"/>
        <v>飲食店舗用途変更</v>
      </c>
      <c r="C63" s="509">
        <f t="shared" si="10"/>
        <v>0</v>
      </c>
      <c r="D63" s="2558" t="str">
        <f t="shared" si="11"/>
        <v/>
      </c>
      <c r="E63" s="2558"/>
      <c r="F63" s="2558"/>
      <c r="G63" s="2558"/>
      <c r="H63" s="2559"/>
      <c r="I63" s="392"/>
    </row>
    <row r="64" spans="1:9">
      <c r="A64" s="508" t="str">
        <f t="shared" si="10"/>
        <v>⑦</v>
      </c>
      <c r="B64" s="513" t="str">
        <f t="shared" si="10"/>
        <v>EV工事（基盤・巻上機）</v>
      </c>
      <c r="C64" s="509">
        <f t="shared" si="10"/>
        <v>0</v>
      </c>
      <c r="D64" s="2558" t="str">
        <f t="shared" si="11"/>
        <v>基盤巻き上げ更新済み（2015年）</v>
      </c>
      <c r="E64" s="2558"/>
      <c r="F64" s="2558"/>
      <c r="G64" s="2558"/>
      <c r="H64" s="2559"/>
      <c r="I64" s="392"/>
    </row>
    <row r="65" spans="1:9">
      <c r="A65" s="508" t="str">
        <f t="shared" si="10"/>
        <v>⑧</v>
      </c>
      <c r="B65" s="513" t="str">
        <f t="shared" si="10"/>
        <v>空調設備更新</v>
      </c>
      <c r="C65" s="509">
        <f t="shared" si="10"/>
        <v>0</v>
      </c>
      <c r="D65" s="2558" t="str">
        <f t="shared" si="11"/>
        <v>2015年全館更新済み</v>
      </c>
      <c r="E65" s="2558"/>
      <c r="F65" s="2558"/>
      <c r="G65" s="2558"/>
      <c r="H65" s="2559"/>
      <c r="I65" s="392"/>
    </row>
    <row r="66" spans="1:9">
      <c r="A66" s="505" t="str">
        <f t="shared" si="10"/>
        <v>⑨</v>
      </c>
      <c r="B66" s="513" t="str">
        <f t="shared" si="10"/>
        <v>機械警備</v>
      </c>
      <c r="C66" s="509">
        <f t="shared" si="10"/>
        <v>3000000</v>
      </c>
      <c r="D66" s="2558" t="str">
        <f t="shared" si="11"/>
        <v/>
      </c>
      <c r="E66" s="2558"/>
      <c r="F66" s="2558"/>
      <c r="G66" s="2558"/>
      <c r="H66" s="2559"/>
      <c r="I66" s="392"/>
    </row>
    <row r="67" spans="1:9">
      <c r="A67" s="505" t="str">
        <f t="shared" ref="A67:C67" si="12">A19</f>
        <v>⑩</v>
      </c>
      <c r="B67" s="513">
        <f t="shared" si="12"/>
        <v>0</v>
      </c>
      <c r="C67" s="509">
        <f t="shared" si="12"/>
        <v>0</v>
      </c>
      <c r="D67" s="2558" t="str">
        <f t="shared" ref="D67:D68" si="13">IF(J19="","",J19)</f>
        <v/>
      </c>
      <c r="E67" s="2558"/>
      <c r="F67" s="2558"/>
      <c r="G67" s="2558"/>
      <c r="H67" s="2559"/>
      <c r="I67" s="392"/>
    </row>
    <row r="68" spans="1:9">
      <c r="A68" s="505" t="str">
        <f t="shared" ref="A68:C68" si="14">A20</f>
        <v>⑪</v>
      </c>
      <c r="B68" s="513" t="str">
        <f t="shared" si="14"/>
        <v>UGS</v>
      </c>
      <c r="C68" s="509">
        <f t="shared" si="14"/>
        <v>0</v>
      </c>
      <c r="D68" s="2558" t="str">
        <f t="shared" si="13"/>
        <v/>
      </c>
      <c r="E68" s="2558"/>
      <c r="F68" s="2558"/>
      <c r="G68" s="2558"/>
      <c r="H68" s="2559"/>
      <c r="I68" s="392"/>
    </row>
    <row r="69" spans="1:9">
      <c r="A69" s="514" t="str">
        <f t="shared" ref="A69:C69" si="15">A21</f>
        <v>⑫</v>
      </c>
      <c r="B69" s="515" t="str">
        <f t="shared" si="15"/>
        <v>電気・給排水設備・消防設備是正</v>
      </c>
      <c r="C69" s="516">
        <f t="shared" si="15"/>
        <v>3000000</v>
      </c>
      <c r="D69" s="2558" t="str">
        <f t="shared" ref="D69:D71" si="16">IF(J21="","",J21)</f>
        <v>LBS交換・電力計設置・水道メーター更新・電気点検指摘是正工事
揚上ポンプ・排水ポンプ・湧水ポンプ</v>
      </c>
      <c r="E69" s="2558"/>
      <c r="F69" s="2558"/>
      <c r="G69" s="2558"/>
      <c r="H69" s="2559"/>
      <c r="I69" s="392"/>
    </row>
    <row r="70" spans="1:9" ht="5.25" customHeight="1">
      <c r="A70" s="508"/>
      <c r="B70" s="517"/>
      <c r="C70" s="509"/>
      <c r="D70" s="2558"/>
      <c r="E70" s="2558"/>
      <c r="F70" s="2558"/>
      <c r="G70" s="2558"/>
      <c r="H70" s="2559"/>
      <c r="I70" s="392"/>
    </row>
    <row r="71" spans="1:9">
      <c r="A71" s="508" t="str">
        <f>A23</f>
        <v>-</v>
      </c>
      <c r="B71" s="517" t="str">
        <f>B23</f>
        <v>工事予備費</v>
      </c>
      <c r="C71" s="509">
        <f>C23</f>
        <v>1000000</v>
      </c>
      <c r="D71" s="2558" t="str">
        <f t="shared" si="16"/>
        <v/>
      </c>
      <c r="E71" s="2558"/>
      <c r="F71" s="2558"/>
      <c r="G71" s="2558"/>
      <c r="H71" s="2559"/>
      <c r="I71" s="392"/>
    </row>
    <row r="72" spans="1:9" ht="5.25" customHeight="1" thickBot="1">
      <c r="A72" s="521"/>
      <c r="B72" s="522"/>
      <c r="C72" s="523"/>
      <c r="D72" s="2563"/>
      <c r="E72" s="2563"/>
      <c r="F72" s="2563"/>
      <c r="G72" s="2563"/>
      <c r="H72" s="2564"/>
      <c r="I72" s="392"/>
    </row>
    <row r="73" spans="1:9" ht="12.75" thickTop="1" thickBot="1">
      <c r="A73" s="518"/>
      <c r="B73" s="519"/>
      <c r="C73" s="520">
        <f>SUM(C55:C72)</f>
        <v>367000000</v>
      </c>
      <c r="D73" s="2565"/>
      <c r="E73" s="2565"/>
      <c r="F73" s="2565"/>
      <c r="G73" s="2565"/>
      <c r="H73" s="2566"/>
      <c r="I73" s="392"/>
    </row>
    <row r="76" spans="1:9">
      <c r="A76" s="530" t="s">
        <v>973</v>
      </c>
      <c r="B76" s="531" t="s">
        <v>974</v>
      </c>
    </row>
    <row r="77" spans="1:9" ht="12" thickBot="1"/>
    <row r="78" spans="1:9">
      <c r="A78" s="527"/>
      <c r="B78" s="528" t="s">
        <v>256</v>
      </c>
      <c r="C78" s="529" t="s">
        <v>259</v>
      </c>
      <c r="D78" s="2567" t="s">
        <v>261</v>
      </c>
      <c r="E78" s="2567"/>
      <c r="F78" s="2567"/>
      <c r="G78" s="2567"/>
      <c r="H78" s="2568"/>
    </row>
    <row r="79" spans="1:9">
      <c r="A79" s="1710" t="str">
        <f t="shared" ref="A79:B90" si="17">+A7</f>
        <v>①－1</v>
      </c>
      <c r="B79" s="525" t="str">
        <f t="shared" si="17"/>
        <v>外壁改修工事</v>
      </c>
      <c r="C79" s="526">
        <f t="shared" ref="C79:C90" si="18">+F7</f>
        <v>10000000</v>
      </c>
      <c r="D79" s="2569" t="str">
        <f t="shared" ref="D79:D90" si="19">IF(J7="","",J7)</f>
        <v>外壁窓枠、表面補修、高圧洗浄、外壁補修、可視部塗装、屋上防水10年保証</v>
      </c>
      <c r="E79" s="2570"/>
      <c r="F79" s="2570"/>
      <c r="G79" s="2570"/>
      <c r="H79" s="2571"/>
    </row>
    <row r="80" spans="1:9">
      <c r="A80" s="1710" t="str">
        <f t="shared" si="17"/>
        <v>①－2</v>
      </c>
      <c r="B80" s="506" t="str">
        <f t="shared" si="17"/>
        <v>外壁美装工事</v>
      </c>
      <c r="C80" s="507">
        <f t="shared" si="18"/>
        <v>10000000</v>
      </c>
      <c r="D80" s="2560" t="str">
        <f t="shared" si="19"/>
        <v>前面＋＋セットバック前面+工作物</v>
      </c>
      <c r="E80" s="2561"/>
      <c r="F80" s="2561"/>
      <c r="G80" s="2561"/>
      <c r="H80" s="2562"/>
    </row>
    <row r="81" spans="1:8">
      <c r="A81" s="1710" t="str">
        <f t="shared" si="17"/>
        <v>②</v>
      </c>
      <c r="B81" s="506" t="str">
        <f t="shared" si="17"/>
        <v>屋上防水工事</v>
      </c>
      <c r="C81" s="509">
        <f t="shared" si="18"/>
        <v>0</v>
      </c>
      <c r="D81" s="2560" t="str">
        <f t="shared" si="19"/>
        <v>①-1に含む</v>
      </c>
      <c r="E81" s="2561"/>
      <c r="F81" s="2561"/>
      <c r="G81" s="2561"/>
      <c r="H81" s="2562"/>
    </row>
    <row r="82" spans="1:8">
      <c r="A82" s="1710" t="str">
        <f t="shared" si="17"/>
        <v>⑨</v>
      </c>
      <c r="B82" s="506" t="str">
        <f t="shared" si="17"/>
        <v>屋上緑化</v>
      </c>
      <c r="C82" s="509">
        <f t="shared" si="18"/>
        <v>10000000</v>
      </c>
      <c r="D82" s="2560" t="str">
        <f t="shared" si="19"/>
        <v>屋上テラス工事（ウッドデッキ工事、ウッドウェンス工事、ハイカウンター・チェア作成費、照明、屋上緑化（プランター、同施工事））</v>
      </c>
      <c r="E82" s="2561"/>
      <c r="F82" s="2561"/>
      <c r="G82" s="2561"/>
      <c r="H82" s="2562"/>
    </row>
    <row r="83" spans="1:8">
      <c r="A83" s="1710" t="str">
        <f t="shared" si="17"/>
        <v>③</v>
      </c>
      <c r="B83" s="511" t="str">
        <f t="shared" si="17"/>
        <v>エントランス</v>
      </c>
      <c r="C83" s="512">
        <f t="shared" si="18"/>
        <v>20000000</v>
      </c>
      <c r="D83" s="2560" t="str">
        <f t="shared" si="19"/>
        <v>エントランス改修工事</v>
      </c>
      <c r="E83" s="2561"/>
      <c r="F83" s="2561"/>
      <c r="G83" s="2561"/>
      <c r="H83" s="2562"/>
    </row>
    <row r="84" spans="1:8">
      <c r="A84" s="1710" t="str">
        <f t="shared" si="17"/>
        <v>④－1</v>
      </c>
      <c r="B84" s="511" t="str">
        <f t="shared" si="17"/>
        <v>内装工事（7フロア）</v>
      </c>
      <c r="C84" s="512">
        <f t="shared" si="18"/>
        <v>310000000</v>
      </c>
      <c r="D84" s="2560" t="str">
        <f t="shared" si="19"/>
        <v>（1-7F：@45万円）
8F造作工事：5000万円（増築2000万円、補強1000万円、階段部解体400万円、
螺旋階段600万円、内装600万円、構造計算・検証400万円）</v>
      </c>
      <c r="E84" s="2561"/>
      <c r="F84" s="2561"/>
      <c r="G84" s="2561"/>
      <c r="H84" s="2562"/>
    </row>
    <row r="85" spans="1:8">
      <c r="A85" s="1710" t="str">
        <f t="shared" si="17"/>
        <v>④－2</v>
      </c>
      <c r="B85" s="511" t="str">
        <f t="shared" si="17"/>
        <v>衛生器具更新</v>
      </c>
      <c r="C85" s="512">
        <f t="shared" si="18"/>
        <v>0</v>
      </c>
      <c r="D85" s="2560" t="str">
        <f t="shared" si="19"/>
        <v>（7フロア×約60万円）</v>
      </c>
      <c r="E85" s="2561"/>
      <c r="F85" s="2561"/>
      <c r="G85" s="2561"/>
      <c r="H85" s="2562"/>
    </row>
    <row r="86" spans="1:8">
      <c r="A86" s="1710" t="str">
        <f t="shared" si="17"/>
        <v>⑤</v>
      </c>
      <c r="B86" s="511" t="str">
        <f t="shared" si="17"/>
        <v>什器備品</v>
      </c>
      <c r="C86" s="512">
        <f t="shared" si="18"/>
        <v>0</v>
      </c>
      <c r="D86" s="2560" t="str">
        <f t="shared" si="19"/>
        <v>モデルルーム用家具</v>
      </c>
      <c r="E86" s="2561"/>
      <c r="F86" s="2561"/>
      <c r="G86" s="2561"/>
      <c r="H86" s="2562"/>
    </row>
    <row r="87" spans="1:8">
      <c r="A87" s="1710" t="str">
        <f t="shared" si="17"/>
        <v>⑥</v>
      </c>
      <c r="B87" s="513" t="str">
        <f t="shared" si="17"/>
        <v>飲食店舗用途変更</v>
      </c>
      <c r="C87" s="509">
        <f t="shared" si="18"/>
        <v>0</v>
      </c>
      <c r="D87" s="2560" t="str">
        <f t="shared" si="19"/>
        <v/>
      </c>
      <c r="E87" s="2561"/>
      <c r="F87" s="2561"/>
      <c r="G87" s="2561"/>
      <c r="H87" s="2562"/>
    </row>
    <row r="88" spans="1:8">
      <c r="A88" s="1710" t="str">
        <f t="shared" si="17"/>
        <v>⑦</v>
      </c>
      <c r="B88" s="513" t="str">
        <f t="shared" si="17"/>
        <v>EV工事（基盤・巻上機）</v>
      </c>
      <c r="C88" s="509">
        <f t="shared" si="18"/>
        <v>0</v>
      </c>
      <c r="D88" s="2560" t="str">
        <f t="shared" si="19"/>
        <v>基盤巻き上げ更新済み（2015年）</v>
      </c>
      <c r="E88" s="2561"/>
      <c r="F88" s="2561"/>
      <c r="G88" s="2561"/>
      <c r="H88" s="2562"/>
    </row>
    <row r="89" spans="1:8">
      <c r="A89" s="1710" t="str">
        <f t="shared" si="17"/>
        <v>⑧</v>
      </c>
      <c r="B89" s="513" t="str">
        <f t="shared" si="17"/>
        <v>空調設備更新</v>
      </c>
      <c r="C89" s="509">
        <f t="shared" si="18"/>
        <v>0</v>
      </c>
      <c r="D89" s="2560" t="str">
        <f t="shared" si="19"/>
        <v>2015年全館更新済み</v>
      </c>
      <c r="E89" s="2561"/>
      <c r="F89" s="2561"/>
      <c r="G89" s="2561"/>
      <c r="H89" s="2562"/>
    </row>
    <row r="90" spans="1:8">
      <c r="A90" s="1710" t="str">
        <f t="shared" si="17"/>
        <v>⑨</v>
      </c>
      <c r="B90" s="513" t="str">
        <f t="shared" si="17"/>
        <v>機械警備</v>
      </c>
      <c r="C90" s="509">
        <f t="shared" si="18"/>
        <v>3000000</v>
      </c>
      <c r="D90" s="2560" t="str">
        <f t="shared" si="19"/>
        <v/>
      </c>
      <c r="E90" s="2561"/>
      <c r="F90" s="2561"/>
      <c r="G90" s="2561"/>
      <c r="H90" s="2562"/>
    </row>
    <row r="91" spans="1:8">
      <c r="A91" s="1710" t="str">
        <f t="shared" ref="A91:B91" si="20">+A21</f>
        <v>⑫</v>
      </c>
      <c r="B91" s="515" t="str">
        <f t="shared" si="20"/>
        <v>電気・給排水設備・消防設備是正</v>
      </c>
      <c r="C91" s="516">
        <f t="shared" ref="C91" si="21">+F21</f>
        <v>3000000</v>
      </c>
      <c r="D91" s="2560" t="str">
        <f t="shared" ref="D91" si="22">IF(J21="","",J21)</f>
        <v>LBS交換・電力計設置・水道メーター更新・電気点検指摘是正工事
揚上ポンプ・排水ポンプ・湧水ポンプ</v>
      </c>
      <c r="E91" s="2561"/>
      <c r="F91" s="2561"/>
      <c r="G91" s="2561"/>
      <c r="H91" s="2562"/>
    </row>
    <row r="92" spans="1:8" ht="4.5" customHeight="1">
      <c r="A92" s="1710"/>
      <c r="B92" s="517"/>
      <c r="C92" s="509"/>
      <c r="D92" s="2560"/>
      <c r="E92" s="2561"/>
      <c r="F92" s="2561"/>
      <c r="G92" s="2561"/>
      <c r="H92" s="2562"/>
    </row>
    <row r="93" spans="1:8">
      <c r="A93" s="1710" t="str">
        <f>+A23</f>
        <v>-</v>
      </c>
      <c r="B93" s="517" t="str">
        <f>+B23</f>
        <v>工事予備費</v>
      </c>
      <c r="C93" s="509">
        <f>+F23</f>
        <v>1000000</v>
      </c>
      <c r="D93" s="2560" t="str">
        <f>IF(J23="","",J23)</f>
        <v/>
      </c>
      <c r="E93" s="2561"/>
      <c r="F93" s="2561"/>
      <c r="G93" s="2561"/>
      <c r="H93" s="2562"/>
    </row>
    <row r="94" spans="1:8" ht="5.25" customHeight="1" thickBot="1">
      <c r="A94" s="521"/>
      <c r="B94" s="522"/>
      <c r="C94" s="523"/>
      <c r="D94" s="2563"/>
      <c r="E94" s="2563"/>
      <c r="F94" s="2563"/>
      <c r="G94" s="2563"/>
      <c r="H94" s="2564"/>
    </row>
    <row r="95" spans="1:8" ht="12.75" thickTop="1" thickBot="1">
      <c r="A95" s="518"/>
      <c r="B95" s="519"/>
      <c r="C95" s="520">
        <f>SUM(C79:C94)</f>
        <v>367000000</v>
      </c>
      <c r="D95" s="2565"/>
      <c r="E95" s="2565"/>
      <c r="F95" s="2565"/>
      <c r="G95" s="2565"/>
      <c r="H95" s="2566"/>
    </row>
  </sheetData>
  <mergeCells count="43">
    <mergeCell ref="D63:H63"/>
    <mergeCell ref="D64:H64"/>
    <mergeCell ref="D55:H55"/>
    <mergeCell ref="D56:H56"/>
    <mergeCell ref="A1:J1"/>
    <mergeCell ref="D57:H57"/>
    <mergeCell ref="D58:H58"/>
    <mergeCell ref="E43:E44"/>
    <mergeCell ref="D43:D44"/>
    <mergeCell ref="B43:C44"/>
    <mergeCell ref="D54:H54"/>
    <mergeCell ref="D79:H79"/>
    <mergeCell ref="D80:H80"/>
    <mergeCell ref="D81:H81"/>
    <mergeCell ref="D82:H82"/>
    <mergeCell ref="H34:J39"/>
    <mergeCell ref="D73:H73"/>
    <mergeCell ref="D65:H65"/>
    <mergeCell ref="D66:H66"/>
    <mergeCell ref="D69:H69"/>
    <mergeCell ref="D70:H70"/>
    <mergeCell ref="D71:H71"/>
    <mergeCell ref="D72:H72"/>
    <mergeCell ref="D59:H59"/>
    <mergeCell ref="D60:H60"/>
    <mergeCell ref="D61:H61"/>
    <mergeCell ref="D62:H62"/>
    <mergeCell ref="D67:H67"/>
    <mergeCell ref="D68:H68"/>
    <mergeCell ref="D93:H93"/>
    <mergeCell ref="D94:H94"/>
    <mergeCell ref="D95:H95"/>
    <mergeCell ref="D88:H88"/>
    <mergeCell ref="D89:H89"/>
    <mergeCell ref="D90:H90"/>
    <mergeCell ref="D91:H91"/>
    <mergeCell ref="D92:H92"/>
    <mergeCell ref="D83:H83"/>
    <mergeCell ref="D84:H84"/>
    <mergeCell ref="D85:H85"/>
    <mergeCell ref="D86:H86"/>
    <mergeCell ref="D87:H87"/>
    <mergeCell ref="D78:H78"/>
  </mergeCells>
  <phoneticPr fontId="151"/>
  <pageMargins left="0.51181102362204722" right="0.51181102362204722" top="0.35433070866141736" bottom="0.35433070866141736" header="0.31496062992125984" footer="0.31496062992125984"/>
  <pageSetup paperSize="9" scale="85" orientation="landscape" r:id="rId1"/>
  <colBreaks count="1" manualBreakCount="1">
    <brk id="10" max="1048575" man="1"/>
  </colBreaks>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6600"/>
    <pageSetUpPr fitToPage="1"/>
  </sheetPr>
  <dimension ref="A1:AV141"/>
  <sheetViews>
    <sheetView tabSelected="1" view="pageBreakPreview" topLeftCell="A4" zoomScale="55" zoomScaleNormal="55" zoomScaleSheetLayoutView="55" workbookViewId="0">
      <selection activeCell="L31" sqref="L31"/>
    </sheetView>
  </sheetViews>
  <sheetFormatPr defaultRowHeight="18.75"/>
  <cols>
    <col min="1" max="1" width="8.875" style="553" customWidth="1"/>
    <col min="2" max="2" width="8.875" style="554" customWidth="1"/>
    <col min="3" max="5" width="42.375" style="553" customWidth="1"/>
    <col min="6" max="8" width="14" style="553" customWidth="1"/>
    <col min="9" max="9" width="14.375" style="553" customWidth="1"/>
    <col min="10" max="10" width="8.875" style="553" customWidth="1"/>
    <col min="11" max="11" width="8.875" style="581" customWidth="1"/>
    <col min="12" max="13" width="42.625" style="553" customWidth="1"/>
    <col min="14" max="14" width="42.625" style="783" customWidth="1"/>
    <col min="15" max="15" width="42.625" style="553" customWidth="1"/>
    <col min="16" max="25" width="6.75" style="553" customWidth="1"/>
    <col min="26" max="27" width="6.25" style="553" customWidth="1"/>
    <col min="28" max="28" width="33.625" style="585" customWidth="1"/>
    <col min="29" max="29" width="21.5" style="553" customWidth="1"/>
    <col min="30" max="30" width="21.125" style="553" customWidth="1"/>
    <col min="31" max="31" width="19.25" style="573" customWidth="1"/>
    <col min="32" max="32" width="7" style="553" customWidth="1"/>
    <col min="33" max="33" width="31.25" style="553" customWidth="1"/>
    <col min="34" max="39" width="16.75" style="553" customWidth="1"/>
    <col min="40" max="16384" width="9" style="553"/>
  </cols>
  <sheetData>
    <row r="1" spans="1:43" s="541" customFormat="1" ht="30" customHeight="1">
      <c r="A1" s="2386" t="s">
        <v>607</v>
      </c>
      <c r="B1" s="2387"/>
      <c r="C1" s="2388"/>
      <c r="D1" s="2388"/>
      <c r="E1" s="2388"/>
      <c r="F1" s="2389"/>
      <c r="G1" s="2389"/>
      <c r="H1" s="2389"/>
      <c r="I1" s="540"/>
      <c r="K1" s="542"/>
      <c r="N1" s="543"/>
      <c r="P1" s="545"/>
      <c r="Q1" s="2390">
        <f ca="1">NOW()</f>
        <v>43486.813281365743</v>
      </c>
      <c r="R1" s="2390"/>
      <c r="S1" s="2390"/>
      <c r="T1" s="2390"/>
      <c r="U1" s="2390"/>
      <c r="V1" s="2390"/>
      <c r="W1" s="2390"/>
      <c r="X1" s="2390"/>
      <c r="Y1" s="545"/>
      <c r="Z1" s="545"/>
      <c r="AA1" s="545"/>
      <c r="AB1" s="546"/>
      <c r="AE1" s="547"/>
    </row>
    <row r="2" spans="1:43" s="541" customFormat="1" ht="8.25" customHeight="1" thickBot="1">
      <c r="A2" s="537"/>
      <c r="B2" s="537"/>
      <c r="C2" s="538"/>
      <c r="D2" s="538"/>
      <c r="E2" s="538"/>
      <c r="F2" s="539"/>
      <c r="G2" s="539"/>
      <c r="H2" s="539"/>
      <c r="I2" s="540"/>
      <c r="K2" s="542"/>
      <c r="N2" s="543"/>
      <c r="O2" s="544"/>
      <c r="P2" s="545"/>
      <c r="Q2" s="545"/>
      <c r="R2" s="545"/>
      <c r="S2" s="545"/>
      <c r="T2" s="545"/>
      <c r="U2" s="545"/>
      <c r="V2" s="545"/>
      <c r="W2" s="545"/>
      <c r="X2" s="545"/>
      <c r="Y2" s="545"/>
      <c r="Z2" s="545"/>
      <c r="AA2" s="545"/>
      <c r="AB2" s="546"/>
      <c r="AE2" s="547"/>
    </row>
    <row r="3" spans="1:43" s="541" customFormat="1" ht="78" customHeight="1" thickTop="1">
      <c r="A3" s="2391" t="str">
        <f>基本情報!C5</f>
        <v>MAMIYAビル</v>
      </c>
      <c r="B3" s="2391"/>
      <c r="C3" s="2391"/>
      <c r="D3" s="2391"/>
      <c r="E3" s="538"/>
      <c r="F3" s="549"/>
      <c r="G3" s="549"/>
      <c r="H3" s="549"/>
      <c r="I3" s="540"/>
      <c r="J3" s="2665" t="s">
        <v>1205</v>
      </c>
      <c r="K3" s="2393"/>
      <c r="L3" s="2393"/>
      <c r="M3" s="2393"/>
      <c r="N3" s="2393"/>
      <c r="O3" s="2398" t="s">
        <v>441</v>
      </c>
      <c r="P3" s="2398"/>
      <c r="Q3" s="2398"/>
      <c r="R3" s="2398"/>
      <c r="S3" s="2398"/>
      <c r="T3" s="2398"/>
      <c r="U3" s="2398"/>
      <c r="V3" s="2398"/>
      <c r="W3" s="2398"/>
      <c r="X3" s="2399"/>
      <c r="Y3" s="550"/>
      <c r="Z3" s="550"/>
      <c r="AA3" s="550"/>
      <c r="AB3" s="551"/>
      <c r="AE3" s="547"/>
    </row>
    <row r="4" spans="1:43" s="541" customFormat="1" ht="6.75" customHeight="1">
      <c r="A4" s="548"/>
      <c r="B4" s="548"/>
      <c r="C4" s="548"/>
      <c r="D4" s="548"/>
      <c r="E4" s="538"/>
      <c r="F4" s="549"/>
      <c r="G4" s="549"/>
      <c r="H4" s="549"/>
      <c r="I4" s="540"/>
      <c r="J4" s="2394"/>
      <c r="K4" s="2395"/>
      <c r="L4" s="2395"/>
      <c r="M4" s="2395"/>
      <c r="N4" s="2395"/>
      <c r="O4" s="2400"/>
      <c r="P4" s="2400"/>
      <c r="Q4" s="2400"/>
      <c r="R4" s="2400"/>
      <c r="S4" s="2400"/>
      <c r="T4" s="2400"/>
      <c r="U4" s="2400"/>
      <c r="V4" s="2400"/>
      <c r="W4" s="2400"/>
      <c r="X4" s="2401"/>
      <c r="Y4" s="550"/>
      <c r="Z4" s="550"/>
      <c r="AA4" s="550"/>
      <c r="AB4" s="551"/>
      <c r="AE4" s="547"/>
    </row>
    <row r="5" spans="1:43" ht="32.25" customHeight="1">
      <c r="A5" s="2404" t="str">
        <f>基本情報!C6</f>
        <v>東京都千代田区神田錦町3-18</v>
      </c>
      <c r="B5" s="2404"/>
      <c r="C5" s="2404"/>
      <c r="D5" s="2404"/>
      <c r="E5" s="948" t="s">
        <v>591</v>
      </c>
      <c r="F5" s="947" t="s">
        <v>592</v>
      </c>
      <c r="G5" s="2415" t="str">
        <f>基本情報!C3</f>
        <v>矢部　浩亮</v>
      </c>
      <c r="H5" s="2415"/>
      <c r="I5" s="552" t="s">
        <v>329</v>
      </c>
      <c r="J5" s="2394"/>
      <c r="K5" s="2395"/>
      <c r="L5" s="2395"/>
      <c r="M5" s="2395"/>
      <c r="N5" s="2395"/>
      <c r="O5" s="2400"/>
      <c r="P5" s="2400"/>
      <c r="Q5" s="2400"/>
      <c r="R5" s="2400"/>
      <c r="S5" s="2400"/>
      <c r="T5" s="2400"/>
      <c r="U5" s="2400"/>
      <c r="V5" s="2400"/>
      <c r="W5" s="2400"/>
      <c r="X5" s="2401"/>
      <c r="Y5" s="550"/>
      <c r="Z5" s="550"/>
      <c r="AA5" s="550"/>
      <c r="AB5" s="551"/>
      <c r="AC5" s="541"/>
      <c r="AD5" s="541"/>
      <c r="AE5" s="547"/>
      <c r="AF5" s="541"/>
      <c r="AG5" s="541"/>
      <c r="AH5" s="541"/>
      <c r="AI5" s="541"/>
      <c r="AJ5" s="541"/>
      <c r="AK5" s="541"/>
      <c r="AL5" s="541"/>
      <c r="AM5" s="541"/>
      <c r="AN5" s="541"/>
      <c r="AO5" s="541"/>
      <c r="AP5" s="541"/>
      <c r="AQ5" s="541"/>
    </row>
    <row r="6" spans="1:43" ht="7.5" customHeight="1" thickBot="1">
      <c r="F6" s="2405"/>
      <c r="G6" s="2405"/>
      <c r="H6" s="2405"/>
      <c r="J6" s="2394"/>
      <c r="K6" s="2395"/>
      <c r="L6" s="2395"/>
      <c r="M6" s="2395"/>
      <c r="N6" s="2395"/>
      <c r="O6" s="2400"/>
      <c r="P6" s="2400"/>
      <c r="Q6" s="2400"/>
      <c r="R6" s="2400"/>
      <c r="S6" s="2400"/>
      <c r="T6" s="2400"/>
      <c r="U6" s="2400"/>
      <c r="V6" s="2400"/>
      <c r="W6" s="2400"/>
      <c r="X6" s="2401"/>
      <c r="Y6" s="550"/>
      <c r="Z6" s="550"/>
      <c r="AA6" s="550"/>
      <c r="AB6" s="551"/>
      <c r="AC6" s="541"/>
      <c r="AD6" s="541"/>
      <c r="AE6" s="547"/>
      <c r="AF6" s="541"/>
      <c r="AG6" s="541"/>
      <c r="AH6" s="541"/>
      <c r="AI6" s="541"/>
      <c r="AJ6" s="541"/>
      <c r="AK6" s="541"/>
      <c r="AL6" s="541"/>
      <c r="AM6" s="541"/>
      <c r="AN6" s="541"/>
      <c r="AO6" s="541"/>
      <c r="AP6" s="541"/>
      <c r="AQ6" s="541"/>
    </row>
    <row r="7" spans="1:43" s="557" customFormat="1" ht="33.75" customHeight="1" thickBot="1">
      <c r="A7" s="2406" t="s">
        <v>330</v>
      </c>
      <c r="B7" s="2407"/>
      <c r="C7" s="2407"/>
      <c r="D7" s="555" t="s">
        <v>331</v>
      </c>
      <c r="E7" s="2408" t="s">
        <v>332</v>
      </c>
      <c r="F7" s="2409"/>
      <c r="G7" s="2409"/>
      <c r="H7" s="2410"/>
      <c r="I7" s="556"/>
      <c r="J7" s="2394"/>
      <c r="K7" s="2395"/>
      <c r="L7" s="2395"/>
      <c r="M7" s="2395"/>
      <c r="N7" s="2395"/>
      <c r="O7" s="2400"/>
      <c r="P7" s="2400"/>
      <c r="Q7" s="2400"/>
      <c r="R7" s="2400"/>
      <c r="S7" s="2400"/>
      <c r="T7" s="2400"/>
      <c r="U7" s="2400"/>
      <c r="V7" s="2400"/>
      <c r="W7" s="2400"/>
      <c r="X7" s="2401"/>
      <c r="Y7" s="550"/>
      <c r="Z7" s="550"/>
      <c r="AA7" s="550"/>
      <c r="AB7" s="551"/>
      <c r="AC7" s="541"/>
      <c r="AD7" s="541"/>
      <c r="AE7" s="547"/>
      <c r="AF7" s="541"/>
      <c r="AG7" s="541"/>
      <c r="AH7" s="541"/>
      <c r="AI7" s="541"/>
      <c r="AJ7" s="541"/>
      <c r="AK7" s="541"/>
      <c r="AL7" s="541"/>
      <c r="AM7" s="541"/>
      <c r="AN7" s="541"/>
      <c r="AO7" s="541"/>
      <c r="AP7" s="541"/>
      <c r="AQ7" s="541"/>
    </row>
    <row r="8" spans="1:43" ht="33" customHeight="1">
      <c r="A8" s="2411" t="s">
        <v>333</v>
      </c>
      <c r="B8" s="558">
        <v>1</v>
      </c>
      <c r="C8" s="559" t="s">
        <v>334</v>
      </c>
      <c r="D8" s="560">
        <v>2370000000</v>
      </c>
      <c r="E8" s="561" t="s">
        <v>335</v>
      </c>
      <c r="F8" s="2368">
        <f>D8+F9-1</f>
        <v>2409898715</v>
      </c>
      <c r="G8" s="2369"/>
      <c r="H8" s="2370"/>
      <c r="I8" s="562"/>
      <c r="J8" s="2394"/>
      <c r="K8" s="2395"/>
      <c r="L8" s="2395"/>
      <c r="M8" s="2395"/>
      <c r="N8" s="2395"/>
      <c r="O8" s="2400"/>
      <c r="P8" s="2400"/>
      <c r="Q8" s="2400"/>
      <c r="R8" s="2400"/>
      <c r="S8" s="2400"/>
      <c r="T8" s="2400"/>
      <c r="U8" s="2400"/>
      <c r="V8" s="2400"/>
      <c r="W8" s="2400"/>
      <c r="X8" s="2401"/>
      <c r="Y8" s="550"/>
      <c r="Z8" s="550"/>
      <c r="AA8" s="550"/>
      <c r="AB8" s="551"/>
      <c r="AC8" s="541"/>
      <c r="AD8" s="541"/>
      <c r="AE8" s="547"/>
      <c r="AF8" s="541"/>
      <c r="AG8" s="541"/>
      <c r="AH8" s="541"/>
      <c r="AI8" s="541"/>
      <c r="AJ8" s="541"/>
      <c r="AK8" s="541"/>
      <c r="AL8" s="541"/>
      <c r="AM8" s="541"/>
    </row>
    <row r="9" spans="1:43" ht="33" customHeight="1">
      <c r="A9" s="2412"/>
      <c r="B9" s="563"/>
      <c r="C9" s="564" t="s">
        <v>45</v>
      </c>
      <c r="D9" s="565"/>
      <c r="E9" s="566" t="s">
        <v>336</v>
      </c>
      <c r="F9" s="2371">
        <f>'売買価格按分(購入)'!B30</f>
        <v>39898716</v>
      </c>
      <c r="G9" s="2372"/>
      <c r="H9" s="2373"/>
      <c r="I9" s="562"/>
      <c r="J9" s="2394"/>
      <c r="K9" s="2395"/>
      <c r="L9" s="2395"/>
      <c r="M9" s="2395"/>
      <c r="N9" s="2395"/>
      <c r="O9" s="2400"/>
      <c r="P9" s="2400"/>
      <c r="Q9" s="2400"/>
      <c r="R9" s="2400"/>
      <c r="S9" s="2400"/>
      <c r="T9" s="2400"/>
      <c r="U9" s="2400"/>
      <c r="V9" s="2400"/>
      <c r="W9" s="2400"/>
      <c r="X9" s="2401"/>
      <c r="Y9" s="550"/>
      <c r="Z9" s="550"/>
      <c r="AA9" s="550"/>
      <c r="AB9" s="551"/>
      <c r="AC9" s="541"/>
      <c r="AD9" s="541"/>
      <c r="AE9" s="547"/>
      <c r="AF9" s="541"/>
      <c r="AG9" s="541"/>
      <c r="AH9" s="541"/>
      <c r="AI9" s="541"/>
      <c r="AJ9" s="541"/>
      <c r="AK9" s="541"/>
      <c r="AL9" s="541"/>
      <c r="AM9" s="541"/>
    </row>
    <row r="10" spans="1:43" ht="33" customHeight="1">
      <c r="A10" s="2412"/>
      <c r="B10" s="567">
        <f>B8+1</f>
        <v>2</v>
      </c>
      <c r="C10" s="568" t="s">
        <v>337</v>
      </c>
      <c r="D10" s="569">
        <f>ROUNDDOWN(((D8*F10)+60000),0)</f>
        <v>71160000</v>
      </c>
      <c r="E10" s="570" t="s">
        <v>384</v>
      </c>
      <c r="F10" s="2374">
        <v>0.03</v>
      </c>
      <c r="G10" s="2375"/>
      <c r="H10" s="2376"/>
      <c r="I10" s="571"/>
      <c r="J10" s="2394"/>
      <c r="K10" s="2395"/>
      <c r="L10" s="2395"/>
      <c r="M10" s="2395"/>
      <c r="N10" s="2395"/>
      <c r="O10" s="2400"/>
      <c r="P10" s="2400"/>
      <c r="Q10" s="2400"/>
      <c r="R10" s="2400"/>
      <c r="S10" s="2400"/>
      <c r="T10" s="2400"/>
      <c r="U10" s="2400"/>
      <c r="V10" s="2400"/>
      <c r="W10" s="2400"/>
      <c r="X10" s="2401"/>
      <c r="Y10" s="550"/>
      <c r="Z10" s="550"/>
      <c r="AA10" s="550"/>
      <c r="AB10" s="572"/>
      <c r="AN10" s="557"/>
      <c r="AO10" s="557"/>
      <c r="AP10" s="557"/>
      <c r="AQ10" s="557"/>
    </row>
    <row r="11" spans="1:43" ht="33" customHeight="1" thickBot="1">
      <c r="A11" s="2412"/>
      <c r="B11" s="574">
        <f t="shared" ref="B11:B17" si="0">B10+1</f>
        <v>3</v>
      </c>
      <c r="C11" s="575" t="s">
        <v>338</v>
      </c>
      <c r="D11" s="576">
        <f>IF(F8&gt;5000000000,480000/2,IF(F8&gt;1000000000,320000/2,IF(F8&gt;500000000,160000/2,IF(F8&gt;100000000,60000/2,))))</f>
        <v>160000</v>
      </c>
      <c r="E11" s="577" t="s">
        <v>339</v>
      </c>
      <c r="F11" s="2377"/>
      <c r="G11" s="2378"/>
      <c r="H11" s="2379"/>
      <c r="I11" s="578"/>
      <c r="J11" s="2396"/>
      <c r="K11" s="2397"/>
      <c r="L11" s="2397"/>
      <c r="M11" s="2397"/>
      <c r="N11" s="2397"/>
      <c r="O11" s="2402"/>
      <c r="P11" s="2402"/>
      <c r="Q11" s="2402"/>
      <c r="R11" s="2402"/>
      <c r="S11" s="2402"/>
      <c r="T11" s="2402"/>
      <c r="U11" s="2402"/>
      <c r="V11" s="2402"/>
      <c r="W11" s="2402"/>
      <c r="X11" s="2403"/>
      <c r="Y11" s="550"/>
      <c r="Z11" s="550"/>
      <c r="AA11" s="550"/>
      <c r="AB11" s="572"/>
    </row>
    <row r="12" spans="1:43" ht="33" customHeight="1" thickTop="1" thickBot="1">
      <c r="A12" s="2412"/>
      <c r="B12" s="574">
        <f t="shared" si="0"/>
        <v>4</v>
      </c>
      <c r="C12" s="575" t="s">
        <v>340</v>
      </c>
      <c r="D12" s="849">
        <v>100000</v>
      </c>
      <c r="E12" s="579" t="s">
        <v>341</v>
      </c>
      <c r="F12" s="2380"/>
      <c r="G12" s="2381"/>
      <c r="H12" s="2382"/>
      <c r="I12" s="580"/>
      <c r="N12" s="582">
        <f>M13-O12</f>
        <v>2970162482.059</v>
      </c>
      <c r="O12" s="583">
        <f>O14/8%</f>
        <v>799837517.94099987</v>
      </c>
      <c r="P12" s="584"/>
      <c r="Q12" s="584"/>
      <c r="R12" s="584"/>
      <c r="S12" s="584"/>
      <c r="T12" s="584"/>
      <c r="U12" s="584"/>
      <c r="V12" s="584"/>
      <c r="W12" s="584"/>
      <c r="X12" s="584"/>
      <c r="Y12" s="584"/>
      <c r="Z12" s="584"/>
      <c r="AA12" s="584"/>
      <c r="AC12" s="557"/>
      <c r="AD12" s="557"/>
      <c r="AE12" s="557"/>
      <c r="AF12" s="557"/>
      <c r="AG12" s="557"/>
      <c r="AH12" s="557"/>
      <c r="AI12" s="557"/>
      <c r="AJ12" s="557"/>
      <c r="AK12" s="557"/>
      <c r="AL12" s="557"/>
      <c r="AM12" s="557"/>
    </row>
    <row r="13" spans="1:43" ht="33" customHeight="1">
      <c r="A13" s="2412"/>
      <c r="B13" s="574">
        <f t="shared" si="0"/>
        <v>5</v>
      </c>
      <c r="C13" s="575" t="s">
        <v>385</v>
      </c>
      <c r="D13" s="586">
        <f>ROUNDDOWN('収支計算表（リスク値・購入時)計画3'!J43*0.015,-2)+ROUNDDOWN('収支計算表（リスク値・購入時)計画3'!K43*0.02,-2)</f>
        <v>14860800</v>
      </c>
      <c r="E13" s="587" t="s">
        <v>342</v>
      </c>
      <c r="F13" s="2383">
        <v>1300000000</v>
      </c>
      <c r="G13" s="2384"/>
      <c r="H13" s="2385"/>
      <c r="I13" s="588"/>
      <c r="J13" s="2353" t="s">
        <v>386</v>
      </c>
      <c r="K13" s="589">
        <f>B57+1</f>
        <v>32</v>
      </c>
      <c r="L13" s="590" t="s">
        <v>343</v>
      </c>
      <c r="M13" s="591">
        <v>3770000000</v>
      </c>
      <c r="N13" s="592" t="s">
        <v>344</v>
      </c>
      <c r="O13" s="593">
        <f>M13+O14</f>
        <v>3833987001.4352798</v>
      </c>
      <c r="P13" s="594"/>
      <c r="Q13" s="595" t="s">
        <v>345</v>
      </c>
      <c r="R13" s="714"/>
      <c r="S13" s="714"/>
      <c r="T13" s="715"/>
      <c r="U13" s="716"/>
      <c r="V13" s="717"/>
      <c r="Y13" s="584"/>
      <c r="Z13" s="596"/>
      <c r="AA13" s="596"/>
      <c r="AB13" s="597"/>
      <c r="AE13" s="553"/>
    </row>
    <row r="14" spans="1:43" ht="33" customHeight="1">
      <c r="A14" s="2412"/>
      <c r="B14" s="574">
        <f t="shared" si="0"/>
        <v>6</v>
      </c>
      <c r="C14" s="575" t="s">
        <v>387</v>
      </c>
      <c r="D14" s="586">
        <f>ROUNDDOWN('収支計算表（リスク値・購入時)計画3'!J43*0.5*0.03,-2)+ROUNDDOWN('収支計算表（リスク値・購入時)計画3'!K43*0.04,-2)</f>
        <v>18787000</v>
      </c>
      <c r="E14" s="598" t="s">
        <v>267</v>
      </c>
      <c r="F14" s="2359">
        <f>F13/F8</f>
        <v>0.5394417582400346</v>
      </c>
      <c r="G14" s="2360"/>
      <c r="H14" s="2361"/>
      <c r="I14" s="599"/>
      <c r="J14" s="2281"/>
      <c r="K14" s="600"/>
      <c r="L14" s="601" t="s">
        <v>45</v>
      </c>
      <c r="M14" s="602"/>
      <c r="N14" s="603" t="s">
        <v>346</v>
      </c>
      <c r="O14" s="604">
        <f>'収支計算表（リスク値・購入時)計画3'!$K$43/('収支計算表（リスク値・購入時)計画3'!$J$43+'収支計算表（リスク値・購入時)計画3'!$K$43)*M13*8%</f>
        <v>63987001.435279988</v>
      </c>
      <c r="P14" s="605"/>
      <c r="Q14" s="2288" t="s">
        <v>347</v>
      </c>
      <c r="R14" s="2289"/>
      <c r="S14" s="2289"/>
      <c r="T14" s="2289"/>
      <c r="U14" s="2289"/>
      <c r="V14" s="2292">
        <f>M13/Q20</f>
        <v>4.0743989572564745</v>
      </c>
      <c r="W14" s="2292"/>
      <c r="X14" s="2293"/>
      <c r="Y14" s="596"/>
      <c r="Z14" s="606"/>
      <c r="AA14" s="606"/>
      <c r="AB14" s="606"/>
      <c r="AE14" s="553"/>
    </row>
    <row r="15" spans="1:43" ht="33" customHeight="1" thickBot="1">
      <c r="A15" s="2412"/>
      <c r="B15" s="607">
        <f t="shared" si="0"/>
        <v>7</v>
      </c>
      <c r="C15" s="608" t="s">
        <v>610</v>
      </c>
      <c r="D15" s="609">
        <v>0</v>
      </c>
      <c r="E15" s="610" t="s">
        <v>388</v>
      </c>
      <c r="F15" s="2362">
        <v>0</v>
      </c>
      <c r="G15" s="2363"/>
      <c r="H15" s="2364"/>
      <c r="I15" s="599"/>
      <c r="J15" s="2281"/>
      <c r="K15" s="611">
        <f>K13+1</f>
        <v>33</v>
      </c>
      <c r="L15" s="1480" t="s">
        <v>853</v>
      </c>
      <c r="M15" s="613">
        <f>ROUND(((M13*O15)+60000)*1,)</f>
        <v>113160000</v>
      </c>
      <c r="N15" s="614" t="s">
        <v>389</v>
      </c>
      <c r="O15" s="615">
        <v>0.03</v>
      </c>
      <c r="P15" s="616"/>
      <c r="Q15" s="2297" t="s">
        <v>348</v>
      </c>
      <c r="R15" s="2298"/>
      <c r="S15" s="2298"/>
      <c r="T15" s="2298"/>
      <c r="U15" s="2298"/>
      <c r="V15" s="2299">
        <f>M13/Q21</f>
        <v>4.5251475774256349</v>
      </c>
      <c r="W15" s="2299"/>
      <c r="X15" s="2300"/>
      <c r="Y15" s="606"/>
      <c r="Z15" s="606"/>
      <c r="AA15" s="606"/>
      <c r="AB15" s="606"/>
      <c r="AE15" s="553"/>
    </row>
    <row r="16" spans="1:43" ht="33" customHeight="1" thickBot="1">
      <c r="A16" s="2412"/>
      <c r="B16" s="607">
        <f t="shared" si="0"/>
        <v>8</v>
      </c>
      <c r="C16" s="575" t="s">
        <v>349</v>
      </c>
      <c r="D16" s="576">
        <v>0</v>
      </c>
      <c r="E16" s="617" t="s">
        <v>350</v>
      </c>
      <c r="F16" s="2365">
        <f>基本情報!E7+基本情報!E27</f>
        <v>4</v>
      </c>
      <c r="G16" s="2366"/>
      <c r="H16" s="2367"/>
      <c r="I16" s="599"/>
      <c r="J16" s="2281"/>
      <c r="K16" s="618">
        <f t="shared" ref="K16:K21" si="1">K15+1</f>
        <v>34</v>
      </c>
      <c r="L16" s="619" t="s">
        <v>390</v>
      </c>
      <c r="M16" s="613">
        <f>'収支計算表（見込）計画1'!C49</f>
        <v>171461520</v>
      </c>
      <c r="N16" s="620"/>
      <c r="O16" s="621">
        <f>'収支計算表（見込）計画1'!K28</f>
        <v>24336.556743387457</v>
      </c>
      <c r="P16" s="622"/>
      <c r="Q16" s="2304" t="s">
        <v>391</v>
      </c>
      <c r="R16" s="2305"/>
      <c r="S16" s="2305"/>
      <c r="T16" s="2305"/>
      <c r="U16" s="2305"/>
      <c r="V16" s="2306">
        <f>N12/Q21</f>
        <v>3.5650990875994153</v>
      </c>
      <c r="W16" s="2306"/>
      <c r="X16" s="2307"/>
      <c r="Y16" s="606"/>
      <c r="Z16" s="623"/>
      <c r="AA16" s="606"/>
      <c r="AB16" s="606"/>
      <c r="AE16" s="553"/>
    </row>
    <row r="17" spans="1:31" ht="33" customHeight="1" thickBot="1">
      <c r="A17" s="2412"/>
      <c r="B17" s="624">
        <f t="shared" si="0"/>
        <v>9</v>
      </c>
      <c r="C17" s="625" t="s">
        <v>351</v>
      </c>
      <c r="D17" s="626">
        <v>0</v>
      </c>
      <c r="E17" s="1460" t="s">
        <v>844</v>
      </c>
      <c r="F17" s="2413">
        <f>'収支計算表（リスク値・購入時)計画3'!C55</f>
        <v>0</v>
      </c>
      <c r="G17" s="2413"/>
      <c r="H17" s="2414"/>
      <c r="I17" s="599"/>
      <c r="J17" s="2281"/>
      <c r="K17" s="618">
        <f t="shared" si="1"/>
        <v>35</v>
      </c>
      <c r="L17" s="612" t="s">
        <v>392</v>
      </c>
      <c r="M17" s="613">
        <f>'収支計算表（見込）計画1'!G53</f>
        <v>153329389.59999999</v>
      </c>
      <c r="N17" s="620" t="s">
        <v>393</v>
      </c>
      <c r="O17" s="627">
        <f>'収支計算表（リスク値・購入時)計画3'!C49*M58/365</f>
        <v>102854044.93150684</v>
      </c>
      <c r="P17" s="628"/>
      <c r="Q17" s="851" t="s">
        <v>435</v>
      </c>
      <c r="S17" s="629"/>
      <c r="T17" s="630"/>
      <c r="U17" s="630"/>
      <c r="V17" s="630"/>
      <c r="W17" s="623"/>
      <c r="X17" s="623"/>
      <c r="Y17" s="623"/>
      <c r="Z17" s="623"/>
      <c r="AA17" s="606"/>
      <c r="AB17" s="606"/>
      <c r="AE17" s="553"/>
    </row>
    <row r="18" spans="1:31" ht="33" customHeight="1" thickBot="1">
      <c r="A18" s="2270" t="s">
        <v>394</v>
      </c>
      <c r="B18" s="2271"/>
      <c r="C18" s="2354"/>
      <c r="D18" s="631">
        <f>ROUND(SUM(D8:D17),)</f>
        <v>2475067800</v>
      </c>
      <c r="E18" s="632" t="s">
        <v>395</v>
      </c>
      <c r="F18" s="2355">
        <f>D62-F13-F17</f>
        <v>1683544720</v>
      </c>
      <c r="G18" s="2356"/>
      <c r="H18" s="2357"/>
      <c r="I18" s="580"/>
      <c r="J18" s="2281"/>
      <c r="K18" s="618">
        <f t="shared" si="1"/>
        <v>36</v>
      </c>
      <c r="L18" s="619" t="s">
        <v>396</v>
      </c>
      <c r="M18" s="633">
        <f>ROUND((M16/(O13)),4)</f>
        <v>4.4699999999999997E-2</v>
      </c>
      <c r="N18" s="634" t="s">
        <v>397</v>
      </c>
      <c r="O18" s="852" t="s">
        <v>352</v>
      </c>
      <c r="P18" s="635"/>
      <c r="Q18" s="2274">
        <f>'収支計算表（リスク値・購入時)計画3'!$J$43</f>
        <v>728981750</v>
      </c>
      <c r="R18" s="2275"/>
      <c r="S18" s="2275"/>
      <c r="T18" s="2275"/>
      <c r="U18" s="2275"/>
      <c r="V18" s="2275"/>
      <c r="W18" s="2276"/>
      <c r="X18" s="850"/>
      <c r="Y18" s="623"/>
      <c r="Z18" s="636"/>
      <c r="AB18" s="553"/>
      <c r="AE18" s="553"/>
    </row>
    <row r="19" spans="1:31" ht="33" customHeight="1" thickTop="1" thickBot="1">
      <c r="E19" s="637">
        <f>D8-F19</f>
        <v>1871266050</v>
      </c>
      <c r="F19" s="2358">
        <f>F9/8%</f>
        <v>498733950</v>
      </c>
      <c r="G19" s="2358"/>
      <c r="H19" s="2358"/>
      <c r="I19" s="638"/>
      <c r="J19" s="2281"/>
      <c r="K19" s="618">
        <f t="shared" si="1"/>
        <v>37</v>
      </c>
      <c r="L19" s="612" t="s">
        <v>398</v>
      </c>
      <c r="M19" s="639">
        <f>ROUND(M17/O13,4)</f>
        <v>0.04</v>
      </c>
      <c r="N19" s="640" t="s">
        <v>399</v>
      </c>
      <c r="O19" s="853">
        <f>M13/基本情報!E20</f>
        <v>35154792.987691164</v>
      </c>
      <c r="P19" s="641"/>
      <c r="Q19" s="2277">
        <f>'収支計算表（リスク値・購入時)計画3'!$K$43</f>
        <v>196308100</v>
      </c>
      <c r="R19" s="2278"/>
      <c r="S19" s="2278"/>
      <c r="T19" s="2278"/>
      <c r="U19" s="2278"/>
      <c r="V19" s="2278"/>
      <c r="W19" s="2279"/>
      <c r="X19" s="642"/>
      <c r="Y19" s="636"/>
      <c r="Z19" s="636"/>
      <c r="AB19" s="553"/>
      <c r="AE19" s="553"/>
    </row>
    <row r="20" spans="1:31" ht="33" customHeight="1">
      <c r="A20" s="2324" t="s">
        <v>353</v>
      </c>
      <c r="B20" s="643">
        <f>B17+1</f>
        <v>10</v>
      </c>
      <c r="C20" s="644" t="s">
        <v>354</v>
      </c>
      <c r="D20" s="848">
        <f>RN予算計画書!D38</f>
        <v>367000000</v>
      </c>
      <c r="E20" s="645" t="s">
        <v>400</v>
      </c>
      <c r="F20" s="2326">
        <f>D20/F21</f>
        <v>569054.00586110121</v>
      </c>
      <c r="G20" s="2327"/>
      <c r="H20" s="2328"/>
      <c r="I20" s="580"/>
      <c r="J20" s="2281"/>
      <c r="K20" s="646">
        <f t="shared" si="1"/>
        <v>38</v>
      </c>
      <c r="L20" s="647" t="s">
        <v>355</v>
      </c>
      <c r="M20" s="1353">
        <f>M13-D62</f>
        <v>786455280</v>
      </c>
      <c r="N20" s="648" t="s">
        <v>401</v>
      </c>
      <c r="O20" s="854" t="s">
        <v>356</v>
      </c>
      <c r="P20" s="635"/>
      <c r="Q20" s="2240">
        <f>SUM(Q18:Q19)</f>
        <v>925289850</v>
      </c>
      <c r="R20" s="2241"/>
      <c r="S20" s="2241"/>
      <c r="T20" s="2241"/>
      <c r="U20" s="2241"/>
      <c r="V20" s="2241"/>
      <c r="W20" s="2242"/>
      <c r="X20" s="676"/>
      <c r="Y20" s="636"/>
      <c r="Z20" s="636"/>
      <c r="AB20" s="553"/>
      <c r="AE20" s="553"/>
    </row>
    <row r="21" spans="1:31" ht="33" customHeight="1" thickBot="1">
      <c r="A21" s="2325"/>
      <c r="B21" s="649"/>
      <c r="C21" s="859" t="s">
        <v>436</v>
      </c>
      <c r="D21" s="650">
        <f>D20/D8</f>
        <v>0.15485232067510549</v>
      </c>
      <c r="E21" s="651" t="s">
        <v>402</v>
      </c>
      <c r="F21" s="2329">
        <f>'収支計算表（見込）計画1'!E10</f>
        <v>644.92999999999995</v>
      </c>
      <c r="G21" s="2330"/>
      <c r="H21" s="2331"/>
      <c r="I21" s="652"/>
      <c r="J21" s="2282"/>
      <c r="K21" s="653">
        <f t="shared" si="1"/>
        <v>39</v>
      </c>
      <c r="L21" s="860" t="s">
        <v>437</v>
      </c>
      <c r="M21" s="654">
        <f>ROUND(M20/D62,4)</f>
        <v>0.2636</v>
      </c>
      <c r="N21" s="655" t="s">
        <v>403</v>
      </c>
      <c r="O21" s="855">
        <f>M13/基本情報!E30</f>
        <v>5845595.646039105</v>
      </c>
      <c r="P21" s="656"/>
      <c r="Q21" s="2246">
        <f>'収支計算表（リスク値・購入時)計画3'!K52</f>
        <v>833122000</v>
      </c>
      <c r="R21" s="2247"/>
      <c r="S21" s="2247"/>
      <c r="T21" s="2247"/>
      <c r="U21" s="2247"/>
      <c r="V21" s="2247"/>
      <c r="W21" s="2248"/>
      <c r="X21" s="636"/>
      <c r="Y21" s="636"/>
      <c r="Z21" s="636"/>
      <c r="AB21" s="553"/>
      <c r="AE21" s="553"/>
    </row>
    <row r="22" spans="1:31" ht="33" customHeight="1" thickBot="1">
      <c r="A22" s="2325"/>
      <c r="B22" s="657"/>
      <c r="C22" s="658"/>
      <c r="D22" s="659"/>
      <c r="E22" s="660"/>
      <c r="F22" s="661"/>
      <c r="G22" s="662"/>
      <c r="H22" s="663"/>
      <c r="I22" s="652"/>
      <c r="J22" s="664"/>
      <c r="K22" s="665"/>
      <c r="N22" s="582">
        <f>M23-O22</f>
        <v>2702296369.6186657</v>
      </c>
      <c r="O22" s="583">
        <f>O24/8%</f>
        <v>727703630.38133407</v>
      </c>
      <c r="P22" s="666"/>
      <c r="Q22" s="667"/>
      <c r="R22" s="623"/>
      <c r="S22" s="623"/>
      <c r="T22" s="668"/>
      <c r="U22" s="668"/>
      <c r="V22" s="668"/>
      <c r="W22" s="636"/>
      <c r="X22" s="636"/>
      <c r="Y22" s="636"/>
      <c r="Z22" s="636"/>
      <c r="AB22" s="553"/>
      <c r="AE22" s="553"/>
    </row>
    <row r="23" spans="1:31" ht="33" customHeight="1">
      <c r="A23" s="2325"/>
      <c r="B23" s="669"/>
      <c r="C23" s="670"/>
      <c r="D23" s="671"/>
      <c r="E23" s="672"/>
      <c r="F23" s="673"/>
      <c r="G23" s="674"/>
      <c r="H23" s="675"/>
      <c r="I23" s="652"/>
      <c r="J23" s="2353" t="s">
        <v>404</v>
      </c>
      <c r="K23" s="589">
        <f>K21+1</f>
        <v>40</v>
      </c>
      <c r="L23" s="590" t="s">
        <v>343</v>
      </c>
      <c r="M23" s="591">
        <v>3430000000</v>
      </c>
      <c r="N23" s="592" t="s">
        <v>344</v>
      </c>
      <c r="O23" s="593">
        <f>M23+O24</f>
        <v>3488216290.4305067</v>
      </c>
      <c r="P23" s="594"/>
      <c r="Q23" s="595" t="s">
        <v>345</v>
      </c>
      <c r="R23" s="714"/>
      <c r="S23" s="714"/>
      <c r="T23" s="715"/>
      <c r="U23" s="716"/>
      <c r="V23" s="717"/>
      <c r="Y23" s="636"/>
      <c r="AB23" s="553"/>
      <c r="AE23" s="553"/>
    </row>
    <row r="24" spans="1:31" ht="33" customHeight="1">
      <c r="A24" s="2325"/>
      <c r="B24" s="669"/>
      <c r="C24" s="670"/>
      <c r="D24" s="671"/>
      <c r="E24" s="672"/>
      <c r="F24" s="673"/>
      <c r="G24" s="674"/>
      <c r="H24" s="675"/>
      <c r="I24" s="652"/>
      <c r="J24" s="2281"/>
      <c r="K24" s="600"/>
      <c r="L24" s="601" t="s">
        <v>45</v>
      </c>
      <c r="M24" s="602"/>
      <c r="N24" s="603" t="s">
        <v>346</v>
      </c>
      <c r="O24" s="604">
        <f>'収支計算表（リスク値・購入時)計画3'!$K$43/('収支計算表（リスク値・購入時)計画3'!$J$43+'収支計算表（リスク値・購入時)計画3'!$K$43)*M23*8%</f>
        <v>58216290.430506729</v>
      </c>
      <c r="P24" s="605"/>
      <c r="Q24" s="2288" t="s">
        <v>347</v>
      </c>
      <c r="R24" s="2289"/>
      <c r="S24" s="2289"/>
      <c r="T24" s="2289"/>
      <c r="U24" s="2289"/>
      <c r="V24" s="2292">
        <f>M23/Q30</f>
        <v>3.7069465314031058</v>
      </c>
      <c r="W24" s="2292"/>
      <c r="X24" s="2293"/>
      <c r="AB24" s="553"/>
      <c r="AE24" s="553"/>
    </row>
    <row r="25" spans="1:31" ht="33" customHeight="1">
      <c r="A25" s="2325"/>
      <c r="B25" s="669"/>
      <c r="C25" s="670"/>
      <c r="D25" s="671"/>
      <c r="E25" s="672"/>
      <c r="F25" s="673"/>
      <c r="G25" s="674"/>
      <c r="H25" s="675"/>
      <c r="I25" s="652"/>
      <c r="J25" s="2281"/>
      <c r="K25" s="646">
        <f>K23+1</f>
        <v>41</v>
      </c>
      <c r="L25" s="1480" t="s">
        <v>854</v>
      </c>
      <c r="M25" s="613">
        <f>ROUND(((M23*O25)+60000)*1,)</f>
        <v>102960000</v>
      </c>
      <c r="N25" s="614" t="s">
        <v>389</v>
      </c>
      <c r="O25" s="615">
        <v>0.03</v>
      </c>
      <c r="P25" s="616"/>
      <c r="Q25" s="2297" t="s">
        <v>348</v>
      </c>
      <c r="R25" s="2298"/>
      <c r="S25" s="2298"/>
      <c r="T25" s="2298"/>
      <c r="U25" s="2298"/>
      <c r="V25" s="2299">
        <f>M23/Q31</f>
        <v>4.1170440823792918</v>
      </c>
      <c r="W25" s="2299"/>
      <c r="X25" s="2300"/>
      <c r="AB25" s="553"/>
      <c r="AE25" s="553"/>
    </row>
    <row r="26" spans="1:31" ht="33" customHeight="1">
      <c r="A26" s="2325"/>
      <c r="B26" s="669"/>
      <c r="C26" s="670"/>
      <c r="D26" s="671"/>
      <c r="E26" s="672"/>
      <c r="F26" s="673"/>
      <c r="G26" s="674"/>
      <c r="H26" s="675"/>
      <c r="I26" s="652"/>
      <c r="J26" s="2281"/>
      <c r="K26" s="611">
        <f t="shared" ref="K26:K31" si="2">K25+1</f>
        <v>42</v>
      </c>
      <c r="L26" s="619" t="s">
        <v>390</v>
      </c>
      <c r="M26" s="613">
        <f>'収支計算表（下限）計画2'!C49</f>
        <v>164456400</v>
      </c>
      <c r="N26" s="620"/>
      <c r="O26" s="621">
        <f>'収支計算表（下限）計画2'!K28</f>
        <v>23336.5867430461</v>
      </c>
      <c r="P26" s="622"/>
      <c r="Q26" s="2304" t="s">
        <v>391</v>
      </c>
      <c r="R26" s="2305"/>
      <c r="S26" s="2305"/>
      <c r="T26" s="2305"/>
      <c r="U26" s="2305"/>
      <c r="V26" s="2306">
        <f>N22/Q31</f>
        <v>3.2435782149777173</v>
      </c>
      <c r="W26" s="2306"/>
      <c r="X26" s="2307"/>
      <c r="AB26" s="553"/>
      <c r="AE26" s="553"/>
    </row>
    <row r="27" spans="1:31" ht="33" customHeight="1" thickBot="1">
      <c r="A27" s="2325"/>
      <c r="B27" s="669"/>
      <c r="C27" s="670"/>
      <c r="D27" s="671"/>
      <c r="E27" s="672"/>
      <c r="F27" s="673"/>
      <c r="G27" s="674"/>
      <c r="H27" s="675"/>
      <c r="I27" s="652"/>
      <c r="J27" s="2281"/>
      <c r="K27" s="618">
        <f t="shared" si="2"/>
        <v>43</v>
      </c>
      <c r="L27" s="612" t="s">
        <v>392</v>
      </c>
      <c r="M27" s="613">
        <f>'収支計算表（下限）計画2'!G53</f>
        <v>146464372</v>
      </c>
      <c r="N27" s="620" t="s">
        <v>393</v>
      </c>
      <c r="O27" s="627">
        <f>'収支計算表（リスク値・購入時)計画3'!C49*N58/365</f>
        <v>102854044.93150684</v>
      </c>
      <c r="P27" s="628"/>
      <c r="Q27" s="851" t="s">
        <v>435</v>
      </c>
      <c r="S27" s="629"/>
      <c r="T27" s="630"/>
      <c r="U27" s="630"/>
      <c r="V27" s="630"/>
      <c r="W27" s="623"/>
      <c r="X27" s="623"/>
      <c r="Z27" s="636"/>
      <c r="AB27" s="553"/>
      <c r="AE27" s="553"/>
    </row>
    <row r="28" spans="1:31" ht="33" customHeight="1" thickBot="1">
      <c r="A28" s="2325"/>
      <c r="B28" s="669"/>
      <c r="C28" s="670"/>
      <c r="D28" s="671"/>
      <c r="E28" s="672"/>
      <c r="F28" s="673"/>
      <c r="G28" s="674"/>
      <c r="H28" s="675"/>
      <c r="I28" s="652"/>
      <c r="J28" s="2281"/>
      <c r="K28" s="618">
        <f t="shared" si="2"/>
        <v>44</v>
      </c>
      <c r="L28" s="619" t="s">
        <v>396</v>
      </c>
      <c r="M28" s="633">
        <f>ROUND((M26/(O23)),4)</f>
        <v>4.7100000000000003E-2</v>
      </c>
      <c r="N28" s="634" t="s">
        <v>405</v>
      </c>
      <c r="O28" s="852" t="s">
        <v>235</v>
      </c>
      <c r="P28" s="635"/>
      <c r="Q28" s="2274">
        <f>'収支計算表（リスク値・購入時)計画3'!$J$43</f>
        <v>728981750</v>
      </c>
      <c r="R28" s="2275"/>
      <c r="S28" s="2275"/>
      <c r="T28" s="2275"/>
      <c r="U28" s="2275"/>
      <c r="V28" s="2275"/>
      <c r="W28" s="2276"/>
      <c r="X28" s="850"/>
      <c r="Y28" s="636"/>
      <c r="Z28" s="636"/>
      <c r="AB28" s="553"/>
      <c r="AE28" s="553"/>
    </row>
    <row r="29" spans="1:31" ht="33" customHeight="1" thickTop="1" thickBot="1">
      <c r="A29" s="2325"/>
      <c r="B29" s="669"/>
      <c r="C29" s="670"/>
      <c r="D29" s="671"/>
      <c r="E29" s="672"/>
      <c r="F29" s="673"/>
      <c r="G29" s="674"/>
      <c r="H29" s="675"/>
      <c r="I29" s="652"/>
      <c r="J29" s="2281"/>
      <c r="K29" s="618">
        <f t="shared" si="2"/>
        <v>45</v>
      </c>
      <c r="L29" s="612" t="s">
        <v>398</v>
      </c>
      <c r="M29" s="639">
        <f>ROUND(M27/O23,4)</f>
        <v>4.2000000000000003E-2</v>
      </c>
      <c r="N29" s="640" t="s">
        <v>406</v>
      </c>
      <c r="O29" s="853">
        <f>O23/基本情報!E20</f>
        <v>32527194.054741766</v>
      </c>
      <c r="P29" s="641"/>
      <c r="Q29" s="2277">
        <f>'収支計算表（リスク値・購入時)計画3'!$K$43</f>
        <v>196308100</v>
      </c>
      <c r="R29" s="2278"/>
      <c r="S29" s="2278"/>
      <c r="T29" s="2278"/>
      <c r="U29" s="2278"/>
      <c r="V29" s="2278"/>
      <c r="W29" s="2279"/>
      <c r="X29" s="642"/>
      <c r="Y29" s="636"/>
      <c r="Z29" s="636"/>
      <c r="AB29" s="553"/>
      <c r="AE29" s="553"/>
    </row>
    <row r="30" spans="1:31" ht="33" customHeight="1" thickTop="1">
      <c r="A30" s="2325"/>
      <c r="B30" s="669"/>
      <c r="C30" s="670"/>
      <c r="D30" s="671"/>
      <c r="E30" s="672"/>
      <c r="F30" s="673"/>
      <c r="G30" s="674"/>
      <c r="H30" s="675"/>
      <c r="I30" s="652"/>
      <c r="J30" s="2281"/>
      <c r="K30" s="646">
        <f t="shared" si="2"/>
        <v>46</v>
      </c>
      <c r="L30" s="647" t="s">
        <v>355</v>
      </c>
      <c r="M30" s="1353">
        <f>M23-D63</f>
        <v>457818800</v>
      </c>
      <c r="N30" s="648" t="s">
        <v>407</v>
      </c>
      <c r="O30" s="854" t="s">
        <v>356</v>
      </c>
      <c r="P30" s="635"/>
      <c r="Q30" s="2240">
        <f>SUM(Q28:Q29)</f>
        <v>925289850</v>
      </c>
      <c r="R30" s="2241"/>
      <c r="S30" s="2241"/>
      <c r="T30" s="2241"/>
      <c r="U30" s="2241"/>
      <c r="V30" s="2241"/>
      <c r="W30" s="2242"/>
      <c r="X30" s="676"/>
      <c r="Y30" s="636"/>
      <c r="AB30" s="553"/>
      <c r="AE30" s="553"/>
    </row>
    <row r="31" spans="1:31" ht="33" customHeight="1" thickBot="1">
      <c r="A31" s="2325"/>
      <c r="B31" s="677"/>
      <c r="C31" s="678"/>
      <c r="D31" s="679"/>
      <c r="E31" s="680"/>
      <c r="F31" s="681"/>
      <c r="G31" s="682"/>
      <c r="H31" s="683"/>
      <c r="I31" s="652"/>
      <c r="J31" s="2282"/>
      <c r="K31" s="653">
        <f t="shared" si="2"/>
        <v>47</v>
      </c>
      <c r="L31" s="860" t="s">
        <v>437</v>
      </c>
      <c r="M31" s="654">
        <f>ROUND(M30/D63,4)</f>
        <v>0.154</v>
      </c>
      <c r="N31" s="655" t="s">
        <v>408</v>
      </c>
      <c r="O31" s="855">
        <f>O23/基本情報!E30</f>
        <v>5408674.2598894564</v>
      </c>
      <c r="P31" s="656"/>
      <c r="Q31" s="2246">
        <f>'収支計算表（見込）計画1'!$K$52</f>
        <v>833122000</v>
      </c>
      <c r="R31" s="2247"/>
      <c r="S31" s="2247"/>
      <c r="T31" s="2247"/>
      <c r="U31" s="2247"/>
      <c r="V31" s="2247"/>
      <c r="W31" s="2248"/>
      <c r="X31" s="636"/>
      <c r="AB31" s="553"/>
      <c r="AE31" s="553"/>
    </row>
    <row r="32" spans="1:31" ht="33" customHeight="1" thickBot="1">
      <c r="A32" s="2325"/>
      <c r="B32" s="687"/>
      <c r="C32" s="688"/>
      <c r="D32" s="689" t="s">
        <v>409</v>
      </c>
      <c r="E32" s="689" t="s">
        <v>410</v>
      </c>
      <c r="F32" s="2345" t="s">
        <v>411</v>
      </c>
      <c r="G32" s="2346"/>
      <c r="H32" s="2347"/>
      <c r="J32" s="690"/>
      <c r="K32" s="665"/>
      <c r="L32" s="691"/>
      <c r="M32" s="692"/>
      <c r="N32" s="582">
        <f>M33-O32</f>
        <v>2194138597.4892082</v>
      </c>
      <c r="O32" s="583">
        <f>O34/8%</f>
        <v>590861402.51079166</v>
      </c>
      <c r="P32" s="693"/>
      <c r="Q32" s="694"/>
      <c r="R32" s="606"/>
      <c r="S32" s="606"/>
      <c r="T32" s="695"/>
      <c r="U32" s="695"/>
      <c r="V32" s="695"/>
      <c r="AB32" s="553"/>
      <c r="AE32" s="553"/>
    </row>
    <row r="33" spans="1:31" ht="33" customHeight="1">
      <c r="A33" s="2325"/>
      <c r="B33" s="696">
        <f>B20+1</f>
        <v>11</v>
      </c>
      <c r="C33" s="697" t="s">
        <v>412</v>
      </c>
      <c r="D33" s="698">
        <v>0</v>
      </c>
      <c r="E33" s="698">
        <v>0</v>
      </c>
      <c r="F33" s="2348">
        <v>0</v>
      </c>
      <c r="G33" s="2349"/>
      <c r="H33" s="2350"/>
      <c r="J33" s="2587" t="s">
        <v>413</v>
      </c>
      <c r="K33" s="1790">
        <f>K31+1</f>
        <v>48</v>
      </c>
      <c r="L33" s="1791" t="s">
        <v>343</v>
      </c>
      <c r="M33" s="1792">
        <v>2785000000</v>
      </c>
      <c r="N33" s="1793" t="s">
        <v>344</v>
      </c>
      <c r="O33" s="1794">
        <f>M33+O34</f>
        <v>2832268912.2008634</v>
      </c>
      <c r="P33" s="594"/>
      <c r="Q33" s="595" t="s">
        <v>345</v>
      </c>
      <c r="R33" s="714"/>
      <c r="S33" s="714"/>
      <c r="T33" s="715"/>
      <c r="U33" s="716"/>
      <c r="V33" s="717"/>
      <c r="AB33" s="553"/>
      <c r="AE33" s="553"/>
    </row>
    <row r="34" spans="1:31" ht="33" customHeight="1">
      <c r="A34" s="2325"/>
      <c r="B34" s="696">
        <f t="shared" ref="B34:B41" si="3">B33+1</f>
        <v>12</v>
      </c>
      <c r="C34" s="697" t="s">
        <v>357</v>
      </c>
      <c r="D34" s="698">
        <v>0</v>
      </c>
      <c r="E34" s="698">
        <v>0</v>
      </c>
      <c r="F34" s="2348">
        <v>0</v>
      </c>
      <c r="G34" s="2349"/>
      <c r="H34" s="2350"/>
      <c r="J34" s="2588"/>
      <c r="K34" s="611"/>
      <c r="L34" s="1795" t="s">
        <v>45</v>
      </c>
      <c r="M34" s="834"/>
      <c r="N34" s="614" t="s">
        <v>346</v>
      </c>
      <c r="O34" s="1796">
        <f>'収支計算表（リスク値・購入時)計画3'!$K$43/('収支計算表（リスク値・購入時)計画3'!$J$43+'収支計算表（リスク値・購入時)計画3'!$K$43)*M33*8%</f>
        <v>47268912.200863332</v>
      </c>
      <c r="P34" s="605"/>
      <c r="Q34" s="2288" t="s">
        <v>347</v>
      </c>
      <c r="R34" s="2289"/>
      <c r="S34" s="2289"/>
      <c r="T34" s="2289"/>
      <c r="U34" s="2289"/>
      <c r="V34" s="2292">
        <f>M33/Q40</f>
        <v>3.009867664710685</v>
      </c>
      <c r="W34" s="2292"/>
      <c r="X34" s="2293"/>
      <c r="AB34" s="553"/>
      <c r="AE34" s="553"/>
    </row>
    <row r="35" spans="1:31" ht="33" customHeight="1">
      <c r="A35" s="2325"/>
      <c r="B35" s="696">
        <f t="shared" si="3"/>
        <v>13</v>
      </c>
      <c r="C35" s="697" t="s">
        <v>414</v>
      </c>
      <c r="D35" s="698">
        <v>0</v>
      </c>
      <c r="E35" s="698">
        <v>0</v>
      </c>
      <c r="F35" s="2348">
        <v>0</v>
      </c>
      <c r="G35" s="2349"/>
      <c r="H35" s="2350"/>
      <c r="J35" s="2588"/>
      <c r="K35" s="611">
        <f>K33+1</f>
        <v>49</v>
      </c>
      <c r="L35" s="1480" t="s">
        <v>855</v>
      </c>
      <c r="M35" s="613">
        <f>ROUND(((M33*O35)+60000)*1,)</f>
        <v>83610000</v>
      </c>
      <c r="N35" s="614" t="s">
        <v>389</v>
      </c>
      <c r="O35" s="615">
        <v>0.03</v>
      </c>
      <c r="P35" s="616"/>
      <c r="Q35" s="2297" t="s">
        <v>348</v>
      </c>
      <c r="R35" s="2298"/>
      <c r="S35" s="2298"/>
      <c r="T35" s="2298"/>
      <c r="U35" s="2298"/>
      <c r="V35" s="2299">
        <f>M33/Q41</f>
        <v>3.3428477461884332</v>
      </c>
      <c r="W35" s="2299"/>
      <c r="X35" s="2300"/>
      <c r="AB35" s="553"/>
      <c r="AE35" s="553"/>
    </row>
    <row r="36" spans="1:31" ht="33" customHeight="1">
      <c r="A36" s="2325"/>
      <c r="B36" s="699">
        <f t="shared" si="3"/>
        <v>14</v>
      </c>
      <c r="C36" s="700" t="s">
        <v>358</v>
      </c>
      <c r="D36" s="701">
        <v>0</v>
      </c>
      <c r="E36" s="701">
        <v>0</v>
      </c>
      <c r="F36" s="2339">
        <v>0</v>
      </c>
      <c r="G36" s="2340"/>
      <c r="H36" s="2341"/>
      <c r="I36" s="606"/>
      <c r="J36" s="2588"/>
      <c r="K36" s="611">
        <f t="shared" ref="K36:K41" si="4">K35+1</f>
        <v>50</v>
      </c>
      <c r="L36" s="612" t="s">
        <v>390</v>
      </c>
      <c r="M36" s="613">
        <f>'収支計算表（リスク値・購入時)計画3'!C49</f>
        <v>137013600</v>
      </c>
      <c r="N36" s="620"/>
      <c r="O36" s="1797">
        <f>'収支計算表（リスク値・購入時)計画3'!K28</f>
        <v>19998.202308289823</v>
      </c>
      <c r="P36" s="622"/>
      <c r="Q36" s="2304" t="s">
        <v>391</v>
      </c>
      <c r="R36" s="2305"/>
      <c r="S36" s="2305"/>
      <c r="T36" s="2305"/>
      <c r="U36" s="2305"/>
      <c r="V36" s="2306">
        <f>N32/Q41</f>
        <v>2.6336342066218492</v>
      </c>
      <c r="W36" s="2306"/>
      <c r="X36" s="2307"/>
      <c r="AB36" s="553"/>
      <c r="AE36" s="553"/>
    </row>
    <row r="37" spans="1:31" ht="33" customHeight="1" thickBot="1">
      <c r="A37" s="2325"/>
      <c r="B37" s="702">
        <f t="shared" si="3"/>
        <v>15</v>
      </c>
      <c r="C37" s="703" t="s">
        <v>359</v>
      </c>
      <c r="D37" s="846">
        <f>RN予算計画書!F25</f>
        <v>0</v>
      </c>
      <c r="E37" s="2342"/>
      <c r="F37" s="2343"/>
      <c r="G37" s="2343"/>
      <c r="H37" s="2344"/>
      <c r="I37" s="606"/>
      <c r="J37" s="2588"/>
      <c r="K37" s="611">
        <f t="shared" si="4"/>
        <v>51</v>
      </c>
      <c r="L37" s="612" t="s">
        <v>392</v>
      </c>
      <c r="M37" s="613">
        <f>'収支計算表（リスク値・購入時)計画3'!G53</f>
        <v>119000477.15000001</v>
      </c>
      <c r="N37" s="620" t="s">
        <v>393</v>
      </c>
      <c r="O37" s="627">
        <f>'収支計算表（リスク値・購入時)計画3'!C49*O58/365</f>
        <v>102854044.93150684</v>
      </c>
      <c r="P37" s="628"/>
      <c r="Q37" s="851" t="s">
        <v>435</v>
      </c>
      <c r="S37" s="629"/>
      <c r="T37" s="630"/>
      <c r="U37" s="630"/>
      <c r="V37" s="630"/>
      <c r="W37" s="623"/>
      <c r="X37" s="623"/>
      <c r="AB37" s="553"/>
      <c r="AE37" s="553"/>
    </row>
    <row r="38" spans="1:31" ht="33" customHeight="1" thickBot="1">
      <c r="A38" s="2325"/>
      <c r="B38" s="607">
        <f t="shared" si="3"/>
        <v>16</v>
      </c>
      <c r="C38" s="704" t="s">
        <v>360</v>
      </c>
      <c r="D38" s="576">
        <f>RN予算計画書!F26</f>
        <v>0</v>
      </c>
      <c r="E38" s="2332"/>
      <c r="F38" s="2262"/>
      <c r="G38" s="2262"/>
      <c r="H38" s="2263"/>
      <c r="I38" s="606"/>
      <c r="J38" s="2588"/>
      <c r="K38" s="611">
        <f t="shared" si="4"/>
        <v>52</v>
      </c>
      <c r="L38" s="612" t="s">
        <v>396</v>
      </c>
      <c r="M38" s="633">
        <f>ROUND((M36/(O33)),4)</f>
        <v>4.8399999999999999E-2</v>
      </c>
      <c r="N38" s="614" t="s">
        <v>415</v>
      </c>
      <c r="O38" s="1798" t="s">
        <v>352</v>
      </c>
      <c r="P38" s="635"/>
      <c r="Q38" s="2274">
        <f>'収支計算表（リスク値・購入時)計画3'!$J$43</f>
        <v>728981750</v>
      </c>
      <c r="R38" s="2275"/>
      <c r="S38" s="2275"/>
      <c r="T38" s="2275"/>
      <c r="U38" s="2275"/>
      <c r="V38" s="2275"/>
      <c r="W38" s="2276"/>
      <c r="X38" s="850"/>
      <c r="AB38" s="553"/>
      <c r="AE38" s="553"/>
    </row>
    <row r="39" spans="1:31" ht="33" customHeight="1" thickTop="1" thickBot="1">
      <c r="A39" s="2325"/>
      <c r="B39" s="607">
        <f t="shared" si="3"/>
        <v>17</v>
      </c>
      <c r="C39" s="704" t="s">
        <v>361</v>
      </c>
      <c r="D39" s="576">
        <f>RN予算計画書!F27</f>
        <v>0</v>
      </c>
      <c r="E39" s="2332"/>
      <c r="F39" s="2262"/>
      <c r="G39" s="2262"/>
      <c r="H39" s="2263"/>
      <c r="I39" s="606"/>
      <c r="J39" s="2588"/>
      <c r="K39" s="611">
        <f t="shared" si="4"/>
        <v>53</v>
      </c>
      <c r="L39" s="612" t="s">
        <v>398</v>
      </c>
      <c r="M39" s="639">
        <f>ROUND(M37/O33,4)</f>
        <v>4.2000000000000003E-2</v>
      </c>
      <c r="N39" s="1799" t="s">
        <v>416</v>
      </c>
      <c r="O39" s="1800">
        <f>O33/基本情報!E20</f>
        <v>26410564.268937554</v>
      </c>
      <c r="P39" s="641"/>
      <c r="Q39" s="2277">
        <f>'収支計算表（リスク値・購入時)計画3'!$K$43</f>
        <v>196308100</v>
      </c>
      <c r="R39" s="2278"/>
      <c r="S39" s="2278"/>
      <c r="T39" s="2278"/>
      <c r="U39" s="2278"/>
      <c r="V39" s="2278"/>
      <c r="W39" s="2279"/>
      <c r="X39" s="642"/>
      <c r="AB39" s="553"/>
      <c r="AE39" s="553"/>
    </row>
    <row r="40" spans="1:31" ht="33" customHeight="1" thickTop="1">
      <c r="A40" s="2325"/>
      <c r="B40" s="607">
        <f t="shared" si="3"/>
        <v>18</v>
      </c>
      <c r="C40" s="704" t="s">
        <v>362</v>
      </c>
      <c r="D40" s="576">
        <f>RN予算計画書!F28</f>
        <v>0</v>
      </c>
      <c r="E40" s="2333"/>
      <c r="F40" s="2334"/>
      <c r="G40" s="2334"/>
      <c r="H40" s="2335"/>
      <c r="I40" s="606"/>
      <c r="J40" s="2588"/>
      <c r="K40" s="611">
        <f t="shared" si="4"/>
        <v>54</v>
      </c>
      <c r="L40" s="1801" t="s">
        <v>355</v>
      </c>
      <c r="M40" s="1802">
        <f>M33-D64</f>
        <v>-163261400</v>
      </c>
      <c r="N40" s="1803" t="s">
        <v>417</v>
      </c>
      <c r="O40" s="1804" t="s">
        <v>356</v>
      </c>
      <c r="P40" s="635"/>
      <c r="Q40" s="2240">
        <f>SUM(Q38:Q39)</f>
        <v>925289850</v>
      </c>
      <c r="R40" s="2241"/>
      <c r="S40" s="2241"/>
      <c r="T40" s="2241"/>
      <c r="U40" s="2241"/>
      <c r="V40" s="2241"/>
      <c r="W40" s="2242"/>
      <c r="X40" s="676"/>
      <c r="Y40" s="636"/>
      <c r="AB40" s="553"/>
      <c r="AE40" s="553"/>
    </row>
    <row r="41" spans="1:31" ht="33" customHeight="1" thickBot="1">
      <c r="A41" s="2325"/>
      <c r="B41" s="705">
        <f t="shared" si="3"/>
        <v>19</v>
      </c>
      <c r="C41" s="1751" t="s">
        <v>1000</v>
      </c>
      <c r="D41" s="847">
        <v>0</v>
      </c>
      <c r="E41" s="2336">
        <f>D20+E33+E34+E35+E36+SUM(D37:D41)</f>
        <v>367000000</v>
      </c>
      <c r="F41" s="2337"/>
      <c r="G41" s="2337"/>
      <c r="H41" s="2338"/>
      <c r="I41" s="707" t="s">
        <v>440</v>
      </c>
      <c r="J41" s="2589"/>
      <c r="K41" s="1805">
        <f t="shared" si="4"/>
        <v>55</v>
      </c>
      <c r="L41" s="1806" t="s">
        <v>437</v>
      </c>
      <c r="M41" s="1807">
        <f>ROUND(M40/D64,4)</f>
        <v>-5.5399999999999998E-2</v>
      </c>
      <c r="N41" s="1808" t="s">
        <v>418</v>
      </c>
      <c r="O41" s="1809">
        <f>O33/基本情報!E30</f>
        <v>4391591.1993563082</v>
      </c>
      <c r="P41" s="656"/>
      <c r="Q41" s="2246">
        <f>'収支計算表（見込）計画1'!$K$52</f>
        <v>833122000</v>
      </c>
      <c r="R41" s="2247"/>
      <c r="S41" s="2247"/>
      <c r="T41" s="2247"/>
      <c r="U41" s="2247"/>
      <c r="V41" s="2247"/>
      <c r="W41" s="2248"/>
      <c r="X41" s="636"/>
      <c r="AB41" s="553"/>
      <c r="AE41" s="553"/>
    </row>
    <row r="42" spans="1:31" ht="33" customHeight="1" thickBot="1">
      <c r="A42" s="2270" t="s">
        <v>419</v>
      </c>
      <c r="B42" s="2271"/>
      <c r="C42" s="2271"/>
      <c r="D42" s="631">
        <f>D20+D33+D34+D35+D36+SUM(D37:D41)</f>
        <v>367000000</v>
      </c>
      <c r="E42" s="2272">
        <f>D20+F33+F34+F35+F36+SUM(D37:D41)</f>
        <v>367000000</v>
      </c>
      <c r="F42" s="2272"/>
      <c r="G42" s="2272"/>
      <c r="H42" s="2273"/>
      <c r="I42" s="729" t="s">
        <v>439</v>
      </c>
      <c r="J42" s="708"/>
      <c r="K42" s="709"/>
      <c r="L42" s="691"/>
      <c r="M42" s="692"/>
      <c r="N42" s="582">
        <f>M43-O42</f>
        <v>3230150179.4275599</v>
      </c>
      <c r="O42" s="583">
        <f>O44/8%</f>
        <v>869849820.57244015</v>
      </c>
      <c r="P42" s="693"/>
      <c r="Q42" s="694"/>
      <c r="R42" s="606"/>
      <c r="S42" s="606"/>
      <c r="T42" s="695"/>
      <c r="U42" s="695"/>
      <c r="V42" s="695"/>
      <c r="AB42" s="553"/>
      <c r="AE42" s="553"/>
    </row>
    <row r="43" spans="1:31" ht="33" customHeight="1" thickBot="1">
      <c r="A43" s="710"/>
      <c r="B43" s="711"/>
      <c r="C43" s="710"/>
      <c r="D43" s="712"/>
      <c r="E43" s="572"/>
      <c r="F43" s="712"/>
      <c r="G43" s="713"/>
      <c r="H43" s="713"/>
      <c r="I43" s="606"/>
      <c r="J43" s="2280" t="s">
        <v>420</v>
      </c>
      <c r="K43" s="589">
        <f>K41+1</f>
        <v>56</v>
      </c>
      <c r="L43" s="590" t="s">
        <v>343</v>
      </c>
      <c r="M43" s="591">
        <v>4100000000</v>
      </c>
      <c r="N43" s="592" t="s">
        <v>344</v>
      </c>
      <c r="O43" s="593">
        <f>M43+O44</f>
        <v>4169587985.6457953</v>
      </c>
      <c r="P43" s="594"/>
      <c r="Q43" s="595" t="s">
        <v>345</v>
      </c>
      <c r="R43" s="714"/>
      <c r="S43" s="714"/>
      <c r="T43" s="715"/>
      <c r="U43" s="716"/>
      <c r="V43" s="717"/>
      <c r="AB43" s="553"/>
      <c r="AE43" s="553"/>
    </row>
    <row r="44" spans="1:31" ht="33" customHeight="1">
      <c r="A44" s="2283" t="s">
        <v>363</v>
      </c>
      <c r="B44" s="718">
        <f>B41+1</f>
        <v>20</v>
      </c>
      <c r="C44" s="719" t="s">
        <v>364</v>
      </c>
      <c r="D44" s="720">
        <f>'収支計算表（見込）計画1'!F16*F44</f>
        <v>28316920</v>
      </c>
      <c r="E44" s="721" t="s">
        <v>365</v>
      </c>
      <c r="F44" s="2286">
        <v>2</v>
      </c>
      <c r="G44" s="2286"/>
      <c r="H44" s="2287"/>
      <c r="I44" s="606"/>
      <c r="J44" s="2281"/>
      <c r="K44" s="600"/>
      <c r="L44" s="601" t="s">
        <v>45</v>
      </c>
      <c r="M44" s="602"/>
      <c r="N44" s="603" t="s">
        <v>346</v>
      </c>
      <c r="O44" s="604">
        <f>'収支計算表（リスク値・購入時)計画3'!$K$43/('収支計算表（リスク値・購入時)計画3'!$J$43+'収支計算表（リスク値・購入時)計画3'!$K$43)*M43*8%</f>
        <v>69587985.645795211</v>
      </c>
      <c r="P44" s="605"/>
      <c r="Q44" s="2288" t="s">
        <v>347</v>
      </c>
      <c r="R44" s="2289"/>
      <c r="S44" s="2289"/>
      <c r="T44" s="2289"/>
      <c r="U44" s="2289"/>
      <c r="V44" s="2292">
        <f>M43/Q50</f>
        <v>4.4310439588200392</v>
      </c>
      <c r="W44" s="2292"/>
      <c r="X44" s="2293"/>
      <c r="AB44" s="553"/>
      <c r="AE44" s="553"/>
    </row>
    <row r="45" spans="1:31" ht="33" customHeight="1">
      <c r="A45" s="2284"/>
      <c r="B45" s="574">
        <f>B44+1</f>
        <v>21</v>
      </c>
      <c r="C45" s="722" t="s">
        <v>366</v>
      </c>
      <c r="D45" s="723">
        <v>0</v>
      </c>
      <c r="E45" s="724"/>
      <c r="F45" s="2294"/>
      <c r="G45" s="2295"/>
      <c r="H45" s="2296"/>
      <c r="I45" s="606"/>
      <c r="J45" s="2281"/>
      <c r="K45" s="611">
        <f>K43+1</f>
        <v>57</v>
      </c>
      <c r="L45" s="1480" t="s">
        <v>856</v>
      </c>
      <c r="M45" s="613">
        <f>ROUND(((M43*O45)+60000)*1,)</f>
        <v>123060000</v>
      </c>
      <c r="N45" s="614" t="s">
        <v>389</v>
      </c>
      <c r="O45" s="615">
        <v>0.03</v>
      </c>
      <c r="P45" s="616"/>
      <c r="Q45" s="2297" t="s">
        <v>348</v>
      </c>
      <c r="R45" s="2298"/>
      <c r="S45" s="2298"/>
      <c r="T45" s="2298"/>
      <c r="U45" s="2298"/>
      <c r="V45" s="2299">
        <f>M43/Q51</f>
        <v>4.9212480285000275</v>
      </c>
      <c r="W45" s="2299"/>
      <c r="X45" s="2300"/>
      <c r="AB45" s="553"/>
      <c r="AE45" s="553"/>
    </row>
    <row r="46" spans="1:31" ht="33" customHeight="1">
      <c r="A46" s="2284"/>
      <c r="B46" s="574">
        <f>B45+1</f>
        <v>22</v>
      </c>
      <c r="C46" s="725" t="s">
        <v>367</v>
      </c>
      <c r="D46" s="723">
        <v>0</v>
      </c>
      <c r="E46" s="2301">
        <f>'収支計算表（下限）計画2'!F16*F44+D45+D46+D47</f>
        <v>27153400</v>
      </c>
      <c r="F46" s="2302"/>
      <c r="G46" s="2302"/>
      <c r="H46" s="2303"/>
      <c r="I46" s="707" t="s">
        <v>270</v>
      </c>
      <c r="J46" s="2281"/>
      <c r="K46" s="618">
        <f t="shared" ref="K46:K51" si="5">K45+1</f>
        <v>58</v>
      </c>
      <c r="L46" s="619" t="s">
        <v>390</v>
      </c>
      <c r="M46" s="613">
        <f>'収支計算表（チャレンジ）計画4'!C49</f>
        <v>178442640</v>
      </c>
      <c r="N46" s="620"/>
      <c r="O46" s="621">
        <f>'収支計算表（チャレンジ）計画4'!K28</f>
        <v>25336.526743728813</v>
      </c>
      <c r="P46" s="622"/>
      <c r="Q46" s="2304" t="s">
        <v>391</v>
      </c>
      <c r="R46" s="2305"/>
      <c r="S46" s="2305"/>
      <c r="T46" s="2305"/>
      <c r="U46" s="2305"/>
      <c r="V46" s="2306">
        <f>N42/Q51</f>
        <v>3.8771634639675341</v>
      </c>
      <c r="W46" s="2306"/>
      <c r="X46" s="2307"/>
      <c r="Z46" s="636"/>
      <c r="AB46" s="553"/>
      <c r="AE46" s="553"/>
    </row>
    <row r="47" spans="1:31" ht="33" customHeight="1" thickBot="1">
      <c r="A47" s="2285"/>
      <c r="B47" s="726">
        <f>B46+1</f>
        <v>23</v>
      </c>
      <c r="C47" s="727" t="s">
        <v>368</v>
      </c>
      <c r="D47" s="728">
        <v>0</v>
      </c>
      <c r="E47" s="2267">
        <f>'収支計算表（リスク値・購入時)計画3'!F16*F44+D45+D46+D47</f>
        <v>22583600</v>
      </c>
      <c r="F47" s="2268"/>
      <c r="G47" s="2268"/>
      <c r="H47" s="2269"/>
      <c r="I47" s="729" t="s">
        <v>271</v>
      </c>
      <c r="J47" s="2281"/>
      <c r="K47" s="618">
        <f t="shared" si="5"/>
        <v>59</v>
      </c>
      <c r="L47" s="612" t="s">
        <v>392</v>
      </c>
      <c r="M47" s="613">
        <f>'収支計算表（チャレンジ）計画4'!G53</f>
        <v>159600936.34999999</v>
      </c>
      <c r="N47" s="620" t="s">
        <v>393</v>
      </c>
      <c r="O47" s="627">
        <f>'収支計算表（リスク値・購入時)計画3'!C49*P58/365</f>
        <v>0</v>
      </c>
      <c r="P47" s="628"/>
      <c r="Q47" s="851" t="s">
        <v>435</v>
      </c>
      <c r="S47" s="629"/>
      <c r="T47" s="630"/>
      <c r="U47" s="630"/>
      <c r="V47" s="630"/>
      <c r="W47" s="623"/>
      <c r="X47" s="623"/>
      <c r="Y47" s="636"/>
      <c r="Z47" s="636"/>
      <c r="AB47" s="553"/>
      <c r="AE47" s="553"/>
    </row>
    <row r="48" spans="1:31" ht="33" customHeight="1" thickBot="1">
      <c r="A48" s="2270" t="s">
        <v>421</v>
      </c>
      <c r="B48" s="2271"/>
      <c r="C48" s="2271"/>
      <c r="D48" s="730">
        <f>SUM(D44:D47)</f>
        <v>28316920</v>
      </c>
      <c r="E48" s="2272">
        <f>'収支計算表（チャレンジ）計画4'!F16*F44+D45+D47+D46</f>
        <v>29480440</v>
      </c>
      <c r="F48" s="2272"/>
      <c r="G48" s="2272"/>
      <c r="H48" s="2273"/>
      <c r="I48" s="729" t="s">
        <v>272</v>
      </c>
      <c r="J48" s="2281"/>
      <c r="K48" s="618">
        <f t="shared" si="5"/>
        <v>60</v>
      </c>
      <c r="L48" s="619" t="s">
        <v>396</v>
      </c>
      <c r="M48" s="633">
        <f>ROUND((M46/(O43)),4)</f>
        <v>4.2799999999999998E-2</v>
      </c>
      <c r="N48" s="634" t="s">
        <v>422</v>
      </c>
      <c r="O48" s="852" t="s">
        <v>352</v>
      </c>
      <c r="P48" s="635"/>
      <c r="Q48" s="2274">
        <f>'収支計算表（リスク値・購入時)計画3'!$J$43</f>
        <v>728981750</v>
      </c>
      <c r="R48" s="2275"/>
      <c r="S48" s="2275"/>
      <c r="T48" s="2275"/>
      <c r="U48" s="2275"/>
      <c r="V48" s="2275"/>
      <c r="W48" s="2276"/>
      <c r="X48" s="850"/>
      <c r="Y48" s="636"/>
      <c r="Z48" s="636"/>
      <c r="AB48" s="553"/>
      <c r="AE48" s="553"/>
    </row>
    <row r="49" spans="1:48" ht="33" customHeight="1" thickTop="1" thickBot="1">
      <c r="G49" s="553" t="s">
        <v>369</v>
      </c>
      <c r="I49" s="731"/>
      <c r="J49" s="2281"/>
      <c r="K49" s="618">
        <f t="shared" si="5"/>
        <v>61</v>
      </c>
      <c r="L49" s="612" t="s">
        <v>398</v>
      </c>
      <c r="M49" s="639">
        <f>ROUND(M47/O43,4)</f>
        <v>3.8300000000000001E-2</v>
      </c>
      <c r="N49" s="640" t="s">
        <v>423</v>
      </c>
      <c r="O49" s="853">
        <f>O43/基本情報!E20</f>
        <v>38880902.514414355</v>
      </c>
      <c r="P49" s="641"/>
      <c r="Q49" s="2277">
        <f>'収支計算表（リスク値・購入時)計画3'!$K$43</f>
        <v>196308100</v>
      </c>
      <c r="R49" s="2278"/>
      <c r="S49" s="2278"/>
      <c r="T49" s="2278"/>
      <c r="U49" s="2278"/>
      <c r="V49" s="2278"/>
      <c r="W49" s="2279"/>
      <c r="X49" s="642"/>
      <c r="Y49" s="636"/>
      <c r="Z49" s="636"/>
      <c r="AB49" s="553"/>
      <c r="AE49" s="553"/>
    </row>
    <row r="50" spans="1:48" ht="33" customHeight="1" thickTop="1">
      <c r="A50" s="2290" t="s">
        <v>370</v>
      </c>
      <c r="B50" s="732">
        <f>B47+1</f>
        <v>24</v>
      </c>
      <c r="C50" s="733" t="s">
        <v>371</v>
      </c>
      <c r="D50" s="734">
        <f>F13*F50/365*M58</f>
        <v>8783013.6986301374</v>
      </c>
      <c r="E50" s="735" t="s">
        <v>372</v>
      </c>
      <c r="F50" s="2322">
        <v>8.9999999999999993E-3</v>
      </c>
      <c r="G50" s="2322"/>
      <c r="H50" s="2323"/>
      <c r="I50" s="736"/>
      <c r="J50" s="2281"/>
      <c r="K50" s="646">
        <f t="shared" si="5"/>
        <v>62</v>
      </c>
      <c r="L50" s="647" t="s">
        <v>355</v>
      </c>
      <c r="M50" s="1353">
        <f>M43-D65</f>
        <v>1105391760</v>
      </c>
      <c r="N50" s="648" t="s">
        <v>424</v>
      </c>
      <c r="O50" s="854" t="s">
        <v>356</v>
      </c>
      <c r="P50" s="635"/>
      <c r="Q50" s="2240">
        <f>SUM(Q48:Q49)</f>
        <v>925289850</v>
      </c>
      <c r="R50" s="2241"/>
      <c r="S50" s="2241"/>
      <c r="T50" s="2241"/>
      <c r="U50" s="2241"/>
      <c r="V50" s="2241"/>
      <c r="W50" s="2242"/>
      <c r="X50" s="676"/>
      <c r="Y50" s="636"/>
      <c r="Z50" s="636"/>
      <c r="AB50" s="553"/>
      <c r="AE50" s="553"/>
    </row>
    <row r="51" spans="1:48" ht="33" customHeight="1" thickBot="1">
      <c r="A51" s="2291"/>
      <c r="B51" s="624">
        <f t="shared" ref="B51:B57" si="6">B50+1</f>
        <v>25</v>
      </c>
      <c r="C51" s="737" t="s">
        <v>373</v>
      </c>
      <c r="D51" s="738">
        <f>E51*12*M58/365</f>
        <v>0</v>
      </c>
      <c r="E51" s="739">
        <v>0</v>
      </c>
      <c r="F51" s="2243"/>
      <c r="G51" s="2244"/>
      <c r="H51" s="2245"/>
      <c r="I51" s="736"/>
      <c r="J51" s="2282"/>
      <c r="K51" s="653">
        <f t="shared" si="5"/>
        <v>63</v>
      </c>
      <c r="L51" s="860" t="s">
        <v>437</v>
      </c>
      <c r="M51" s="654">
        <f>ROUND(M50/D65,4)</f>
        <v>0.36909999999999998</v>
      </c>
      <c r="N51" s="655" t="s">
        <v>425</v>
      </c>
      <c r="O51" s="855">
        <f>O43/基本情報!E30</f>
        <v>6465179.1444742773</v>
      </c>
      <c r="P51" s="656"/>
      <c r="Q51" s="2246">
        <f>'収支計算表（見込）計画1'!$K$52</f>
        <v>833122000</v>
      </c>
      <c r="R51" s="2247"/>
      <c r="S51" s="2247"/>
      <c r="T51" s="2247"/>
      <c r="U51" s="2247"/>
      <c r="V51" s="2247"/>
      <c r="W51" s="2248"/>
      <c r="X51" s="636"/>
      <c r="Y51" s="636"/>
      <c r="Z51" s="636"/>
      <c r="AB51" s="553"/>
      <c r="AC51" s="685"/>
      <c r="AD51" s="597"/>
      <c r="AE51" s="686"/>
      <c r="AF51" s="686"/>
    </row>
    <row r="52" spans="1:48" ht="33" customHeight="1" thickBot="1">
      <c r="A52" s="2291"/>
      <c r="B52" s="740">
        <f t="shared" si="6"/>
        <v>26</v>
      </c>
      <c r="C52" s="741" t="str">
        <f>'収支計算表（見込）計画1'!E43</f>
        <v xml:space="preserve">   ビルメンテナンス費用（清掃・設備）</v>
      </c>
      <c r="D52" s="742">
        <f>'収支計算表（見込）計画1'!G43/365*$M$58</f>
        <v>3152876.7123287674</v>
      </c>
      <c r="E52" s="2249"/>
      <c r="F52" s="2249"/>
      <c r="G52" s="2249"/>
      <c r="H52" s="2250"/>
      <c r="I52" s="736"/>
      <c r="J52" s="743"/>
      <c r="K52" s="709"/>
      <c r="L52" s="691"/>
      <c r="M52" s="692"/>
      <c r="N52" s="691"/>
      <c r="O52" s="744"/>
      <c r="P52" s="745"/>
      <c r="Q52" s="745"/>
      <c r="R52" s="745"/>
      <c r="S52" s="745"/>
      <c r="T52" s="745"/>
      <c r="U52" s="745"/>
      <c r="V52" s="745"/>
      <c r="W52" s="745"/>
      <c r="X52" s="745"/>
      <c r="Y52" s="745"/>
      <c r="Z52" s="745"/>
      <c r="AA52" s="745"/>
      <c r="AB52" s="684"/>
      <c r="AC52" s="606"/>
      <c r="AD52" s="606"/>
      <c r="AE52" s="695"/>
      <c r="AF52" s="695"/>
    </row>
    <row r="53" spans="1:48" ht="33" customHeight="1">
      <c r="A53" s="2291"/>
      <c r="B53" s="607">
        <f t="shared" si="6"/>
        <v>27</v>
      </c>
      <c r="C53" s="746" t="str">
        <f>'収支計算表（見込）計画1'!E44</f>
        <v>ビル運営管理費用（PM）</v>
      </c>
      <c r="D53" s="747">
        <v>0</v>
      </c>
      <c r="E53" s="2251" t="s">
        <v>426</v>
      </c>
      <c r="F53" s="2251"/>
      <c r="G53" s="2251"/>
      <c r="H53" s="2252"/>
      <c r="I53" s="736"/>
      <c r="J53" s="2253" t="s">
        <v>374</v>
      </c>
      <c r="K53" s="2254"/>
      <c r="L53" s="861"/>
      <c r="M53" s="748" t="s">
        <v>427</v>
      </c>
      <c r="N53" s="749" t="s">
        <v>428</v>
      </c>
      <c r="O53" s="750" t="s">
        <v>429</v>
      </c>
      <c r="P53" s="2259" t="s">
        <v>430</v>
      </c>
      <c r="Q53" s="2260"/>
      <c r="R53" s="2260"/>
      <c r="S53" s="2260"/>
      <c r="T53" s="2260"/>
      <c r="U53" s="2261"/>
      <c r="V53" s="751"/>
      <c r="W53" s="752"/>
      <c r="X53" s="752"/>
      <c r="Y53" s="752"/>
      <c r="Z53" s="752"/>
      <c r="AA53" s="752"/>
      <c r="AB53" s="752"/>
      <c r="AC53" s="606"/>
      <c r="AD53" s="606"/>
      <c r="AE53" s="715"/>
      <c r="AF53" s="716"/>
      <c r="AR53" s="753"/>
      <c r="AS53" s="753"/>
      <c r="AT53" s="753"/>
      <c r="AU53" s="753"/>
      <c r="AV53" s="753"/>
    </row>
    <row r="54" spans="1:48" s="753" customFormat="1" ht="33" customHeight="1">
      <c r="A54" s="2291"/>
      <c r="B54" s="607">
        <f t="shared" si="6"/>
        <v>28</v>
      </c>
      <c r="C54" s="746" t="str">
        <f>'収支計算表（見込）計画1'!E45</f>
        <v>固定資産税・都市計画税等</v>
      </c>
      <c r="D54" s="747">
        <f>'収支計算表（見込）計画1'!G45/365*$M$58</f>
        <v>7659163.2876712335</v>
      </c>
      <c r="E54" s="2262"/>
      <c r="F54" s="2262"/>
      <c r="G54" s="2262"/>
      <c r="H54" s="2263"/>
      <c r="I54" s="606"/>
      <c r="J54" s="2255"/>
      <c r="K54" s="2256"/>
      <c r="L54" s="754" t="s">
        <v>375</v>
      </c>
      <c r="M54" s="912">
        <v>43555</v>
      </c>
      <c r="N54" s="913">
        <f t="shared" ref="N54:O57" si="7">M54</f>
        <v>43555</v>
      </c>
      <c r="O54" s="914">
        <f t="shared" si="7"/>
        <v>43555</v>
      </c>
      <c r="P54" s="2264">
        <f>O54</f>
        <v>43555</v>
      </c>
      <c r="Q54" s="2265"/>
      <c r="R54" s="2265"/>
      <c r="S54" s="2265"/>
      <c r="T54" s="2265"/>
      <c r="U54" s="2266"/>
      <c r="V54" s="755"/>
      <c r="W54" s="756"/>
      <c r="X54" s="756"/>
      <c r="Y54" s="756"/>
      <c r="Z54" s="756"/>
      <c r="AA54" s="756"/>
      <c r="AB54" s="756"/>
      <c r="AC54" s="553"/>
      <c r="AE54" s="757"/>
      <c r="AF54" s="573"/>
      <c r="AH54" s="553"/>
      <c r="AI54" s="553"/>
      <c r="AJ54" s="553"/>
      <c r="AK54" s="553"/>
      <c r="AL54" s="553"/>
      <c r="AM54" s="553"/>
      <c r="AN54" s="553"/>
      <c r="AO54" s="553"/>
      <c r="AP54" s="553"/>
      <c r="AQ54" s="553"/>
      <c r="AR54" s="553"/>
      <c r="AS54" s="553"/>
      <c r="AT54" s="553"/>
      <c r="AU54" s="553"/>
      <c r="AV54" s="553"/>
    </row>
    <row r="55" spans="1:48" ht="33" customHeight="1">
      <c r="A55" s="2291"/>
      <c r="B55" s="758">
        <f t="shared" si="6"/>
        <v>29</v>
      </c>
      <c r="C55" s="746" t="str">
        <f>'収支計算表（見込）計画1'!E46</f>
        <v>火災保険料・賠責保険料</v>
      </c>
      <c r="D55" s="747">
        <f>'収支計算表（見込）計画1'!G46/365*$M$58</f>
        <v>225205.47945205477</v>
      </c>
      <c r="E55" s="2308"/>
      <c r="F55" s="2308"/>
      <c r="G55" s="2308"/>
      <c r="H55" s="2309"/>
      <c r="I55" s="729"/>
      <c r="J55" s="2255"/>
      <c r="K55" s="2256"/>
      <c r="L55" s="759" t="s">
        <v>376</v>
      </c>
      <c r="M55" s="915">
        <v>43738</v>
      </c>
      <c r="N55" s="916">
        <f t="shared" si="7"/>
        <v>43738</v>
      </c>
      <c r="O55" s="917">
        <f t="shared" si="7"/>
        <v>43738</v>
      </c>
      <c r="P55" s="2310">
        <f>O55</f>
        <v>43738</v>
      </c>
      <c r="Q55" s="2311"/>
      <c r="R55" s="2311"/>
      <c r="S55" s="2311"/>
      <c r="T55" s="2311"/>
      <c r="U55" s="2312"/>
      <c r="V55" s="755"/>
      <c r="W55" s="756"/>
      <c r="X55" s="756"/>
      <c r="Y55" s="756"/>
      <c r="Z55" s="756"/>
      <c r="AA55" s="756"/>
      <c r="AB55" s="756"/>
      <c r="AF55" s="573"/>
    </row>
    <row r="56" spans="1:48" ht="33" customHeight="1">
      <c r="A56" s="2291"/>
      <c r="B56" s="607">
        <f t="shared" si="6"/>
        <v>30</v>
      </c>
      <c r="C56" s="746" t="str">
        <f>'収支計算表（見込）計画1'!E47</f>
        <v>その他（道路占有料等）</v>
      </c>
      <c r="D56" s="760">
        <f>'収支計算表（見込）計画1'!G47/365*$M$58</f>
        <v>0</v>
      </c>
      <c r="E56" s="2313">
        <f>SUM(D50:D57)*N58/365</f>
        <v>14878769.903546633</v>
      </c>
      <c r="F56" s="2314"/>
      <c r="G56" s="2314"/>
      <c r="H56" s="2315"/>
      <c r="I56" s="729" t="s">
        <v>268</v>
      </c>
      <c r="J56" s="2255"/>
      <c r="K56" s="2256"/>
      <c r="L56" s="761" t="s">
        <v>377</v>
      </c>
      <c r="M56" s="918">
        <v>43982</v>
      </c>
      <c r="N56" s="918">
        <f t="shared" si="7"/>
        <v>43982</v>
      </c>
      <c r="O56" s="919">
        <f t="shared" si="7"/>
        <v>43982</v>
      </c>
      <c r="P56" s="2264">
        <f>O56</f>
        <v>43982</v>
      </c>
      <c r="Q56" s="2265"/>
      <c r="R56" s="2265"/>
      <c r="S56" s="2265"/>
      <c r="T56" s="2265"/>
      <c r="U56" s="2266"/>
      <c r="V56" s="755"/>
      <c r="W56" s="756"/>
      <c r="X56" s="756"/>
      <c r="Y56" s="756"/>
      <c r="Z56" s="756"/>
      <c r="AA56" s="756"/>
      <c r="AB56" s="756"/>
      <c r="AN56" s="753"/>
      <c r="AO56" s="753"/>
      <c r="AP56" s="753"/>
      <c r="AQ56" s="753"/>
    </row>
    <row r="57" spans="1:48" ht="33" customHeight="1">
      <c r="A57" s="2291"/>
      <c r="B57" s="624">
        <f t="shared" si="6"/>
        <v>31</v>
      </c>
      <c r="C57" s="762" t="str">
        <f>'収支計算表（見込）計画1'!E48</f>
        <v>水道光熱費</v>
      </c>
      <c r="D57" s="763">
        <v>0</v>
      </c>
      <c r="E57" s="2316">
        <f>SUM(D50:D57)*O58/365</f>
        <v>14878769.903546633</v>
      </c>
      <c r="F57" s="2317"/>
      <c r="G57" s="2317"/>
      <c r="H57" s="2318"/>
      <c r="I57" s="729" t="s">
        <v>269</v>
      </c>
      <c r="J57" s="2255"/>
      <c r="K57" s="2256"/>
      <c r="L57" s="759" t="s">
        <v>378</v>
      </c>
      <c r="M57" s="920">
        <v>44012</v>
      </c>
      <c r="N57" s="921">
        <f t="shared" si="7"/>
        <v>44012</v>
      </c>
      <c r="O57" s="922">
        <f t="shared" si="7"/>
        <v>44012</v>
      </c>
      <c r="P57" s="2319">
        <v>43738</v>
      </c>
      <c r="Q57" s="2320"/>
      <c r="R57" s="2320"/>
      <c r="S57" s="2320"/>
      <c r="T57" s="2320"/>
      <c r="U57" s="2321"/>
      <c r="V57" s="764"/>
      <c r="W57" s="765"/>
      <c r="X57" s="765"/>
      <c r="Y57" s="765"/>
      <c r="Z57" s="765"/>
      <c r="AA57" s="765"/>
      <c r="AB57" s="765"/>
      <c r="AH57" s="753"/>
      <c r="AI57" s="753"/>
      <c r="AJ57" s="753"/>
    </row>
    <row r="58" spans="1:48" ht="33" customHeight="1" thickBot="1">
      <c r="A58" s="2212" t="s">
        <v>431</v>
      </c>
      <c r="B58" s="2213"/>
      <c r="C58" s="2213"/>
      <c r="D58" s="766">
        <f>SUM(D50:D57)*M58/365</f>
        <v>14878769.903546633</v>
      </c>
      <c r="E58" s="2214">
        <f>SUM(D50:D57)*P58/365</f>
        <v>0</v>
      </c>
      <c r="F58" s="2215"/>
      <c r="G58" s="2215"/>
      <c r="H58" s="2216"/>
      <c r="I58" s="729" t="s">
        <v>273</v>
      </c>
      <c r="J58" s="2257"/>
      <c r="K58" s="2258"/>
      <c r="L58" s="856" t="s">
        <v>379</v>
      </c>
      <c r="M58" s="857">
        <f>M57-M55</f>
        <v>274</v>
      </c>
      <c r="N58" s="858">
        <f>N57-N55</f>
        <v>274</v>
      </c>
      <c r="O58" s="857">
        <f>O57-O55</f>
        <v>274</v>
      </c>
      <c r="P58" s="2217">
        <f>P57-P55</f>
        <v>0</v>
      </c>
      <c r="Q58" s="2218"/>
      <c r="R58" s="2218"/>
      <c r="S58" s="2218"/>
      <c r="T58" s="2218"/>
      <c r="U58" s="2219"/>
      <c r="V58" s="755"/>
      <c r="W58" s="756"/>
      <c r="X58" s="756"/>
      <c r="Y58" s="756"/>
      <c r="Z58" s="756"/>
      <c r="AB58" s="553"/>
      <c r="AE58" s="553"/>
    </row>
    <row r="59" spans="1:48" ht="18" customHeight="1" thickBot="1">
      <c r="A59" s="767"/>
      <c r="B59" s="768"/>
      <c r="C59" s="767"/>
      <c r="D59" s="769"/>
      <c r="E59" s="770"/>
      <c r="F59" s="771"/>
      <c r="G59" s="772"/>
      <c r="H59" s="773"/>
      <c r="I59" s="774"/>
      <c r="J59" s="775"/>
      <c r="K59" s="775"/>
      <c r="L59" s="770"/>
      <c r="M59" s="770"/>
      <c r="N59" s="774"/>
      <c r="O59" s="776"/>
      <c r="P59" s="776"/>
      <c r="Q59" s="776"/>
      <c r="R59" s="776"/>
      <c r="S59" s="776"/>
      <c r="T59" s="776"/>
      <c r="U59" s="776"/>
      <c r="V59" s="776"/>
      <c r="W59" s="776"/>
      <c r="X59" s="776"/>
      <c r="Y59" s="776"/>
      <c r="Z59" s="1482"/>
      <c r="AB59" s="753"/>
      <c r="AC59" s="753"/>
      <c r="AD59" s="753"/>
      <c r="AE59" s="553"/>
    </row>
    <row r="60" spans="1:48" ht="18" customHeight="1" thickTop="1" thickBot="1">
      <c r="A60" s="777"/>
      <c r="B60" s="711"/>
      <c r="C60" s="777"/>
      <c r="D60" s="778"/>
      <c r="E60" s="606"/>
      <c r="F60" s="779"/>
      <c r="G60" s="780"/>
      <c r="H60" s="781"/>
      <c r="I60" s="736"/>
      <c r="J60" s="782"/>
      <c r="K60" s="782"/>
      <c r="O60" s="784"/>
      <c r="P60" s="784"/>
      <c r="Q60" s="784"/>
      <c r="R60" s="784"/>
      <c r="S60" s="784"/>
      <c r="T60" s="784"/>
      <c r="U60" s="784"/>
      <c r="V60" s="784"/>
      <c r="W60" s="784"/>
      <c r="X60" s="784"/>
      <c r="Y60" s="784"/>
      <c r="Z60" s="1482"/>
      <c r="AB60" s="553"/>
      <c r="AE60" s="553"/>
    </row>
    <row r="61" spans="1:48" ht="33" customHeight="1">
      <c r="A61" s="2220" t="s">
        <v>380</v>
      </c>
      <c r="B61" s="785"/>
      <c r="C61" s="786" t="s">
        <v>381</v>
      </c>
      <c r="D61" s="1479" t="s">
        <v>858</v>
      </c>
      <c r="E61" s="787" t="s">
        <v>382</v>
      </c>
      <c r="F61" s="2223" t="s">
        <v>438</v>
      </c>
      <c r="G61" s="2224"/>
      <c r="H61" s="2224"/>
      <c r="I61" s="788"/>
      <c r="J61" s="789"/>
      <c r="K61" s="790"/>
      <c r="L61" s="786" t="s">
        <v>381</v>
      </c>
      <c r="M61" s="1479" t="s">
        <v>859</v>
      </c>
      <c r="N61" s="787" t="s">
        <v>432</v>
      </c>
      <c r="O61" s="791" t="s">
        <v>383</v>
      </c>
      <c r="P61" s="2225" t="s">
        <v>433</v>
      </c>
      <c r="Q61" s="2226"/>
      <c r="R61" s="2226"/>
      <c r="S61" s="2226"/>
      <c r="T61" s="2227"/>
      <c r="U61" s="2228" t="s">
        <v>434</v>
      </c>
      <c r="V61" s="2226"/>
      <c r="W61" s="2226"/>
      <c r="X61" s="2226"/>
      <c r="Y61" s="2229"/>
      <c r="Z61" s="1749"/>
      <c r="AB61" s="553"/>
      <c r="AE61" s="553"/>
    </row>
    <row r="62" spans="1:48" ht="33" customHeight="1">
      <c r="A62" s="2221"/>
      <c r="B62" s="702">
        <f>K51+1</f>
        <v>64</v>
      </c>
      <c r="C62" s="793" t="s">
        <v>845</v>
      </c>
      <c r="D62" s="794">
        <f>D18+D48+D42+M15</f>
        <v>2983544720</v>
      </c>
      <c r="E62" s="795">
        <f>M13-D62</f>
        <v>786455280</v>
      </c>
      <c r="F62" s="2230">
        <f>E62/D62</f>
        <v>0.26359761753462169</v>
      </c>
      <c r="G62" s="2230"/>
      <c r="H62" s="2230"/>
      <c r="I62" s="796"/>
      <c r="J62" s="797"/>
      <c r="K62" s="702">
        <f>B65+1</f>
        <v>68</v>
      </c>
      <c r="L62" s="798" t="s">
        <v>849</v>
      </c>
      <c r="M62" s="799">
        <f>D62+D58</f>
        <v>2998423489.9035468</v>
      </c>
      <c r="N62" s="800">
        <f>M13-M62+O17</f>
        <v>874430555.02796006</v>
      </c>
      <c r="O62" s="801">
        <f>N62/M62</f>
        <v>0.29163010427726094</v>
      </c>
      <c r="P62" s="2231">
        <f>M16/D62</f>
        <v>5.746906317529573E-2</v>
      </c>
      <c r="Q62" s="2232"/>
      <c r="R62" s="2232"/>
      <c r="S62" s="2232"/>
      <c r="T62" s="2233"/>
      <c r="U62" s="2234">
        <f>M17/D62</f>
        <v>5.1391684720582968E-2</v>
      </c>
      <c r="V62" s="2232"/>
      <c r="W62" s="2232"/>
      <c r="X62" s="2232"/>
      <c r="Y62" s="2232"/>
      <c r="Z62" s="1750"/>
      <c r="AB62" s="553"/>
      <c r="AE62" s="553"/>
    </row>
    <row r="63" spans="1:48" ht="33" customHeight="1">
      <c r="A63" s="2221"/>
      <c r="B63" s="607">
        <f>B62+1</f>
        <v>65</v>
      </c>
      <c r="C63" s="803" t="s">
        <v>846</v>
      </c>
      <c r="D63" s="804">
        <f>D18+E41+E46+M25</f>
        <v>2972181200</v>
      </c>
      <c r="E63" s="805">
        <f>M23-D63</f>
        <v>457818800</v>
      </c>
      <c r="F63" s="2207">
        <f>E63/D63</f>
        <v>0.15403461942360716</v>
      </c>
      <c r="G63" s="2207"/>
      <c r="H63" s="2207"/>
      <c r="I63" s="796"/>
      <c r="J63" s="797"/>
      <c r="K63" s="607">
        <f>K62+1</f>
        <v>69</v>
      </c>
      <c r="L63" s="806" t="s">
        <v>850</v>
      </c>
      <c r="M63" s="807">
        <f>D63+E56</f>
        <v>2987059969.9035468</v>
      </c>
      <c r="N63" s="808">
        <f>M23-M63+O27</f>
        <v>545794075.02796006</v>
      </c>
      <c r="O63" s="809">
        <f>N63/M63</f>
        <v>0.18271949024364045</v>
      </c>
      <c r="P63" s="2208">
        <f>M26/D63</f>
        <v>5.5331888917136009E-2</v>
      </c>
      <c r="Q63" s="2209"/>
      <c r="R63" s="2209"/>
      <c r="S63" s="2209"/>
      <c r="T63" s="2210"/>
      <c r="U63" s="2211">
        <f>M27/D63</f>
        <v>4.9278412769719421E-2</v>
      </c>
      <c r="V63" s="2209"/>
      <c r="W63" s="2209"/>
      <c r="X63" s="2209"/>
      <c r="Y63" s="2209"/>
      <c r="Z63" s="1750"/>
      <c r="AB63" s="553"/>
      <c r="AE63" s="553"/>
    </row>
    <row r="64" spans="1:48" ht="33" customHeight="1">
      <c r="A64" s="2221"/>
      <c r="B64" s="607">
        <f>B63+1</f>
        <v>66</v>
      </c>
      <c r="C64" s="803" t="s">
        <v>847</v>
      </c>
      <c r="D64" s="804">
        <f>D18+D20+E47+M35+D41</f>
        <v>2948261400</v>
      </c>
      <c r="E64" s="805">
        <f>M33-D64</f>
        <v>-163261400</v>
      </c>
      <c r="F64" s="2207">
        <f>E64/D64</f>
        <v>-5.5375483327224646E-2</v>
      </c>
      <c r="G64" s="2207"/>
      <c r="H64" s="2207"/>
      <c r="I64" s="796"/>
      <c r="J64" s="797"/>
      <c r="K64" s="607">
        <f>K63+1</f>
        <v>70</v>
      </c>
      <c r="L64" s="806" t="s">
        <v>851</v>
      </c>
      <c r="M64" s="807">
        <f>D64+E57</f>
        <v>2963140169.9035468</v>
      </c>
      <c r="N64" s="808">
        <f>M33-M64+O37</f>
        <v>-75286124.972039968</v>
      </c>
      <c r="O64" s="809">
        <f>N64/M64</f>
        <v>-2.540754762016223E-2</v>
      </c>
      <c r="P64" s="2208">
        <f>M36/D64</f>
        <v>4.6472677083517766E-2</v>
      </c>
      <c r="Q64" s="2209"/>
      <c r="R64" s="2209"/>
      <c r="S64" s="2209"/>
      <c r="T64" s="2210"/>
      <c r="U64" s="2211">
        <f>M37/D64</f>
        <v>4.0362932930573935E-2</v>
      </c>
      <c r="V64" s="2209"/>
      <c r="W64" s="2209"/>
      <c r="X64" s="2209"/>
      <c r="Y64" s="2209"/>
      <c r="Z64" s="1750"/>
      <c r="AB64" s="553"/>
      <c r="AE64" s="553"/>
    </row>
    <row r="65" spans="1:31" ht="33" customHeight="1" thickBot="1">
      <c r="A65" s="2222"/>
      <c r="B65" s="810">
        <f>B64+1</f>
        <v>67</v>
      </c>
      <c r="C65" s="811" t="s">
        <v>848</v>
      </c>
      <c r="D65" s="812">
        <f>D18+E42+E48+M45</f>
        <v>2994608240</v>
      </c>
      <c r="E65" s="813">
        <f>M43-D65</f>
        <v>1105391760</v>
      </c>
      <c r="F65" s="2235">
        <f>E65/D65</f>
        <v>0.36912733533385322</v>
      </c>
      <c r="G65" s="2235"/>
      <c r="H65" s="2235"/>
      <c r="I65" s="814"/>
      <c r="J65" s="815"/>
      <c r="K65" s="810">
        <f>K64+1</f>
        <v>71</v>
      </c>
      <c r="L65" s="816" t="s">
        <v>852</v>
      </c>
      <c r="M65" s="817">
        <f>+D65+E58</f>
        <v>2994608240</v>
      </c>
      <c r="N65" s="818">
        <f>M43-M65+O47</f>
        <v>1105391760</v>
      </c>
      <c r="O65" s="819">
        <f>N65/M65</f>
        <v>0.36912733533385322</v>
      </c>
      <c r="P65" s="2236">
        <f>M46/D65</f>
        <v>5.958797468613123E-2</v>
      </c>
      <c r="Q65" s="2237"/>
      <c r="R65" s="2237"/>
      <c r="S65" s="2237"/>
      <c r="T65" s="2238"/>
      <c r="U65" s="2239">
        <f>M47/D65</f>
        <v>5.3296098707722783E-2</v>
      </c>
      <c r="V65" s="2237"/>
      <c r="W65" s="2237"/>
      <c r="X65" s="2237"/>
      <c r="Y65" s="2237"/>
      <c r="Z65" s="1750"/>
      <c r="AB65" s="553"/>
      <c r="AE65" s="553"/>
    </row>
    <row r="66" spans="1:31" ht="19.5" customHeight="1">
      <c r="A66" s="1481" t="s">
        <v>857</v>
      </c>
      <c r="H66" s="606"/>
      <c r="Z66" s="636"/>
      <c r="AB66" s="553"/>
      <c r="AE66" s="553"/>
    </row>
    <row r="67" spans="1:31" ht="33" customHeight="1">
      <c r="C67" s="753"/>
      <c r="D67" s="820"/>
      <c r="E67" s="753"/>
      <c r="H67" s="606"/>
      <c r="U67" s="821"/>
      <c r="V67" s="821"/>
      <c r="W67" s="821"/>
      <c r="X67" s="821"/>
      <c r="Y67" s="821"/>
      <c r="Z67" s="821"/>
      <c r="AB67" s="553"/>
      <c r="AE67" s="553"/>
    </row>
    <row r="68" spans="1:31" ht="30" customHeight="1">
      <c r="H68" s="606"/>
      <c r="Q68" s="822"/>
      <c r="R68" s="822"/>
      <c r="S68" s="822"/>
      <c r="T68" s="822"/>
      <c r="U68" s="823"/>
      <c r="V68" s="823"/>
      <c r="W68" s="823"/>
      <c r="X68" s="823"/>
      <c r="Y68" s="823"/>
      <c r="Z68" s="823"/>
      <c r="AB68" s="553"/>
      <c r="AE68" s="553"/>
    </row>
    <row r="69" spans="1:31" ht="30" customHeight="1">
      <c r="H69" s="606"/>
      <c r="U69" s="822"/>
      <c r="V69" s="822"/>
      <c r="W69" s="822"/>
      <c r="X69" s="822"/>
      <c r="Y69" s="822"/>
      <c r="Z69" s="822"/>
      <c r="AB69" s="553"/>
      <c r="AE69" s="553"/>
    </row>
    <row r="70" spans="1:31" ht="30" customHeight="1">
      <c r="H70" s="606"/>
      <c r="J70" s="753"/>
      <c r="K70" s="753"/>
      <c r="U70" s="824"/>
      <c r="V70" s="824"/>
      <c r="W70" s="824"/>
      <c r="X70" s="824"/>
      <c r="Y70" s="824"/>
      <c r="Z70" s="824"/>
      <c r="AB70" s="553"/>
      <c r="AE70" s="553"/>
    </row>
    <row r="71" spans="1:31" ht="30" customHeight="1">
      <c r="U71" s="825"/>
      <c r="V71" s="825"/>
      <c r="W71" s="825"/>
      <c r="X71" s="825"/>
      <c r="Y71" s="825"/>
      <c r="Z71" s="825"/>
      <c r="AB71" s="553"/>
      <c r="AE71" s="553"/>
    </row>
    <row r="72" spans="1:31" ht="30" customHeight="1">
      <c r="U72" s="826"/>
      <c r="V72" s="826"/>
      <c r="W72" s="826"/>
      <c r="X72" s="826"/>
      <c r="Y72" s="826"/>
      <c r="Z72" s="826"/>
      <c r="AB72" s="553"/>
      <c r="AE72" s="553"/>
    </row>
    <row r="73" spans="1:31" ht="30" customHeight="1">
      <c r="U73" s="827"/>
      <c r="V73" s="827"/>
      <c r="W73" s="827"/>
      <c r="X73" s="827"/>
      <c r="Y73" s="827"/>
      <c r="Z73" s="827"/>
      <c r="AB73" s="553"/>
      <c r="AE73" s="553"/>
    </row>
    <row r="74" spans="1:31" ht="30" customHeight="1">
      <c r="U74" s="827"/>
      <c r="V74" s="827"/>
      <c r="W74" s="827"/>
      <c r="X74" s="827"/>
      <c r="Y74" s="827"/>
      <c r="Z74" s="827"/>
      <c r="AB74" s="553"/>
      <c r="AE74" s="553"/>
    </row>
    <row r="75" spans="1:31" ht="30" customHeight="1">
      <c r="U75" s="827"/>
      <c r="V75" s="827"/>
      <c r="W75" s="827"/>
      <c r="X75" s="827"/>
      <c r="Y75" s="827"/>
      <c r="Z75" s="827"/>
      <c r="AB75" s="553"/>
      <c r="AE75" s="553"/>
    </row>
    <row r="76" spans="1:31" ht="30" customHeight="1">
      <c r="U76" s="827"/>
      <c r="V76" s="827"/>
      <c r="W76" s="827"/>
      <c r="X76" s="827"/>
      <c r="Y76" s="827"/>
      <c r="Z76" s="827"/>
      <c r="AB76" s="553"/>
      <c r="AE76" s="553"/>
    </row>
    <row r="77" spans="1:31" ht="30" customHeight="1">
      <c r="AB77" s="553"/>
      <c r="AE77" s="553"/>
    </row>
    <row r="78" spans="1:31" ht="30" customHeight="1">
      <c r="AA78" s="824"/>
      <c r="AB78" s="829"/>
      <c r="AC78" s="2206"/>
      <c r="AD78" s="2206"/>
    </row>
    <row r="79" spans="1:31" ht="30" customHeight="1">
      <c r="AA79" s="825"/>
      <c r="AB79" s="829"/>
    </row>
    <row r="80" spans="1:31" ht="30" customHeight="1">
      <c r="N80" s="833"/>
      <c r="O80" s="606"/>
      <c r="P80" s="606"/>
      <c r="Q80" s="606"/>
      <c r="R80" s="606"/>
      <c r="S80" s="606"/>
      <c r="T80" s="606"/>
      <c r="AA80" s="826"/>
      <c r="AB80" s="829"/>
    </row>
    <row r="81" spans="10:31" ht="30" customHeight="1">
      <c r="J81" s="835"/>
      <c r="K81" s="836"/>
      <c r="N81" s="736"/>
      <c r="O81" s="606"/>
      <c r="P81" s="606"/>
      <c r="Q81" s="606"/>
      <c r="R81" s="606"/>
      <c r="S81" s="606"/>
      <c r="T81" s="606"/>
      <c r="AA81" s="827"/>
      <c r="AB81" s="829"/>
    </row>
    <row r="82" spans="10:31" ht="30" customHeight="1">
      <c r="J82" s="835"/>
      <c r="K82" s="836"/>
      <c r="N82" s="736"/>
      <c r="O82" s="606"/>
      <c r="P82" s="606"/>
      <c r="Q82" s="606"/>
      <c r="R82" s="606"/>
      <c r="S82" s="606"/>
      <c r="T82" s="606"/>
      <c r="AA82" s="827"/>
      <c r="AB82" s="829"/>
    </row>
    <row r="83" spans="10:31" ht="30" customHeight="1">
      <c r="J83" s="606"/>
      <c r="K83" s="839"/>
      <c r="N83" s="553"/>
      <c r="AA83" s="827"/>
      <c r="AB83" s="830"/>
    </row>
    <row r="84" spans="10:31" ht="30" customHeight="1">
      <c r="J84" s="606"/>
      <c r="K84" s="839"/>
      <c r="N84" s="553"/>
      <c r="AA84" s="827"/>
    </row>
    <row r="85" spans="10:31" ht="30" customHeight="1">
      <c r="AB85" s="828"/>
    </row>
    <row r="86" spans="10:31" ht="30" customHeight="1">
      <c r="AB86" s="831"/>
      <c r="AE86" s="540"/>
    </row>
    <row r="87" spans="10:31" ht="30" customHeight="1">
      <c r="AB87" s="831"/>
      <c r="AE87" s="832"/>
    </row>
    <row r="88" spans="10:31" ht="30" customHeight="1">
      <c r="AB88" s="834"/>
      <c r="AE88" s="832"/>
    </row>
    <row r="89" spans="10:31" ht="30" customHeight="1">
      <c r="U89" s="606"/>
      <c r="V89" s="606"/>
      <c r="W89" s="606"/>
      <c r="X89" s="606"/>
      <c r="Y89" s="606"/>
      <c r="Z89" s="606"/>
      <c r="AB89" s="837"/>
      <c r="AE89" s="838"/>
    </row>
    <row r="90" spans="10:31" ht="30" customHeight="1">
      <c r="U90" s="606"/>
      <c r="V90" s="606"/>
      <c r="W90" s="606"/>
      <c r="X90" s="606"/>
      <c r="Y90" s="606"/>
      <c r="Z90" s="606"/>
      <c r="AB90" s="837"/>
      <c r="AE90" s="832"/>
    </row>
    <row r="91" spans="10:31" ht="30" customHeight="1">
      <c r="U91" s="606"/>
      <c r="V91" s="606"/>
      <c r="W91" s="606"/>
      <c r="X91" s="606"/>
      <c r="Y91" s="606"/>
      <c r="Z91" s="606"/>
      <c r="AB91" s="837"/>
    </row>
    <row r="92" spans="10:31" ht="30" customHeight="1">
      <c r="AB92" s="837"/>
    </row>
    <row r="93" spans="10:31" ht="30" customHeight="1">
      <c r="AB93" s="837"/>
    </row>
    <row r="94" spans="10:31" ht="30" customHeight="1">
      <c r="AB94" s="837"/>
    </row>
    <row r="95" spans="10:31" ht="30" customHeight="1">
      <c r="AB95" s="837"/>
    </row>
    <row r="96" spans="10:31" ht="30" customHeight="1">
      <c r="AB96" s="837"/>
    </row>
    <row r="97" spans="27:28" ht="30" customHeight="1">
      <c r="AA97" s="606"/>
      <c r="AB97" s="840"/>
    </row>
    <row r="98" spans="27:28" ht="30" customHeight="1">
      <c r="AA98" s="606"/>
      <c r="AB98" s="841"/>
    </row>
    <row r="99" spans="27:28" ht="30" customHeight="1">
      <c r="AA99" s="606"/>
      <c r="AB99" s="842"/>
    </row>
    <row r="100" spans="27:28" ht="30" customHeight="1">
      <c r="AB100" s="843"/>
    </row>
    <row r="101" spans="27:28" ht="30" customHeight="1">
      <c r="AB101" s="844"/>
    </row>
    <row r="102" spans="27:28" ht="30" customHeight="1"/>
    <row r="103" spans="27:28" ht="30" customHeight="1"/>
    <row r="104" spans="27:28" ht="30" customHeight="1"/>
    <row r="105" spans="27:28" ht="30" customHeight="1"/>
    <row r="106" spans="27:28" ht="30" customHeight="1">
      <c r="AB106" s="828"/>
    </row>
    <row r="107" spans="27:28" ht="30" customHeight="1">
      <c r="AB107" s="831"/>
    </row>
    <row r="108" spans="27:28" ht="30" customHeight="1">
      <c r="AB108" s="831"/>
    </row>
    <row r="109" spans="27:28" ht="30" customHeight="1">
      <c r="AB109" s="834"/>
    </row>
    <row r="110" spans="27:28" ht="30" customHeight="1">
      <c r="AB110" s="834"/>
    </row>
    <row r="111" spans="27:28" ht="30" customHeight="1">
      <c r="AB111" s="834"/>
    </row>
    <row r="112" spans="27:28" ht="30" customHeight="1"/>
    <row r="113" ht="30" customHeight="1"/>
    <row r="114" ht="30" customHeight="1"/>
    <row r="115" ht="30" customHeight="1"/>
    <row r="141" spans="28:28">
      <c r="AB141" s="845"/>
    </row>
  </sheetData>
  <mergeCells count="125">
    <mergeCell ref="Q40:W40"/>
    <mergeCell ref="Q41:W41"/>
    <mergeCell ref="Q48:W48"/>
    <mergeCell ref="Q49:W49"/>
    <mergeCell ref="V44:X44"/>
    <mergeCell ref="V45:X45"/>
    <mergeCell ref="G5:H5"/>
    <mergeCell ref="Q35:U35"/>
    <mergeCell ref="V35:X35"/>
    <mergeCell ref="Q36:U36"/>
    <mergeCell ref="V36:X36"/>
    <mergeCell ref="Q46:U46"/>
    <mergeCell ref="V46:X46"/>
    <mergeCell ref="J3:N11"/>
    <mergeCell ref="O3:X11"/>
    <mergeCell ref="V34:X34"/>
    <mergeCell ref="V15:X15"/>
    <mergeCell ref="Q14:U14"/>
    <mergeCell ref="Q15:U15"/>
    <mergeCell ref="Q16:U16"/>
    <mergeCell ref="V14:X14"/>
    <mergeCell ref="V16:X16"/>
    <mergeCell ref="V26:X26"/>
    <mergeCell ref="Q30:W30"/>
    <mergeCell ref="Q28:W28"/>
    <mergeCell ref="Q34:U34"/>
    <mergeCell ref="A8:A17"/>
    <mergeCell ref="F51:H51"/>
    <mergeCell ref="A50:A57"/>
    <mergeCell ref="F34:H34"/>
    <mergeCell ref="E38:H38"/>
    <mergeCell ref="E39:H39"/>
    <mergeCell ref="E53:H53"/>
    <mergeCell ref="A48:C48"/>
    <mergeCell ref="F20:H20"/>
    <mergeCell ref="F21:H21"/>
    <mergeCell ref="E42:H42"/>
    <mergeCell ref="F32:H32"/>
    <mergeCell ref="F33:H33"/>
    <mergeCell ref="F36:H36"/>
    <mergeCell ref="E37:H37"/>
    <mergeCell ref="F18:H18"/>
    <mergeCell ref="A44:A47"/>
    <mergeCell ref="F44:H44"/>
    <mergeCell ref="F13:H13"/>
    <mergeCell ref="F16:H16"/>
    <mergeCell ref="F15:H15"/>
    <mergeCell ref="F17:H17"/>
    <mergeCell ref="F14:H14"/>
    <mergeCell ref="F50:H50"/>
    <mergeCell ref="F65:H65"/>
    <mergeCell ref="E58:H58"/>
    <mergeCell ref="E57:H57"/>
    <mergeCell ref="E54:H54"/>
    <mergeCell ref="E55:H55"/>
    <mergeCell ref="F62:H62"/>
    <mergeCell ref="F63:H63"/>
    <mergeCell ref="F64:H64"/>
    <mergeCell ref="F61:H61"/>
    <mergeCell ref="P64:T64"/>
    <mergeCell ref="P65:T65"/>
    <mergeCell ref="U64:Y64"/>
    <mergeCell ref="U65:Y65"/>
    <mergeCell ref="P61:T61"/>
    <mergeCell ref="U61:Y61"/>
    <mergeCell ref="P62:T62"/>
    <mergeCell ref="J43:J51"/>
    <mergeCell ref="J53:K58"/>
    <mergeCell ref="U62:Y62"/>
    <mergeCell ref="P63:T63"/>
    <mergeCell ref="U63:Y63"/>
    <mergeCell ref="P56:U56"/>
    <mergeCell ref="Q50:W50"/>
    <mergeCell ref="P54:U54"/>
    <mergeCell ref="P55:U55"/>
    <mergeCell ref="Q45:U45"/>
    <mergeCell ref="Q44:U44"/>
    <mergeCell ref="A58:C58"/>
    <mergeCell ref="E52:H52"/>
    <mergeCell ref="E56:H56"/>
    <mergeCell ref="E48:H48"/>
    <mergeCell ref="AC78:AD78"/>
    <mergeCell ref="J13:J21"/>
    <mergeCell ref="A1:H1"/>
    <mergeCell ref="A3:D3"/>
    <mergeCell ref="A5:D5"/>
    <mergeCell ref="F6:H6"/>
    <mergeCell ref="P57:U57"/>
    <mergeCell ref="P58:U58"/>
    <mergeCell ref="Q31:W31"/>
    <mergeCell ref="Q21:W21"/>
    <mergeCell ref="E41:H41"/>
    <mergeCell ref="A7:C7"/>
    <mergeCell ref="E7:H7"/>
    <mergeCell ref="F8:H8"/>
    <mergeCell ref="F9:H9"/>
    <mergeCell ref="F10:H10"/>
    <mergeCell ref="F11:H11"/>
    <mergeCell ref="A20:A41"/>
    <mergeCell ref="F12:H12"/>
    <mergeCell ref="A18:C18"/>
    <mergeCell ref="Q1:X1"/>
    <mergeCell ref="Q18:W18"/>
    <mergeCell ref="Q19:W19"/>
    <mergeCell ref="Q20:W20"/>
    <mergeCell ref="A61:A65"/>
    <mergeCell ref="Q24:U24"/>
    <mergeCell ref="V24:X24"/>
    <mergeCell ref="Q25:U25"/>
    <mergeCell ref="V25:X25"/>
    <mergeCell ref="Q26:U26"/>
    <mergeCell ref="Q29:W29"/>
    <mergeCell ref="Q51:W51"/>
    <mergeCell ref="Q38:W38"/>
    <mergeCell ref="Q39:W39"/>
    <mergeCell ref="F45:H45"/>
    <mergeCell ref="E47:H47"/>
    <mergeCell ref="E46:H46"/>
    <mergeCell ref="F35:H35"/>
    <mergeCell ref="A42:C42"/>
    <mergeCell ref="F19:H19"/>
    <mergeCell ref="J33:J41"/>
    <mergeCell ref="J23:J31"/>
    <mergeCell ref="P53:U53"/>
    <mergeCell ref="E40:H40"/>
  </mergeCells>
  <phoneticPr fontId="133"/>
  <printOptions horizontalCentered="1"/>
  <pageMargins left="0.39370078740157483" right="0.39370078740157483" top="0.39370078740157483" bottom="0.39370078740157483" header="0.39370078740157483" footer="0.39370078740157483"/>
  <pageSetup paperSize="8" scale="41" orientation="landscape"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FF6600"/>
  </sheetPr>
  <dimension ref="A1:T80"/>
  <sheetViews>
    <sheetView view="pageBreakPreview" topLeftCell="A13" zoomScale="85" zoomScaleNormal="85" zoomScaleSheetLayoutView="85" workbookViewId="0">
      <selection activeCell="F35" sqref="F35"/>
    </sheetView>
  </sheetViews>
  <sheetFormatPr defaultColWidth="9" defaultRowHeight="13.5"/>
  <cols>
    <col min="1" max="1" width="10.625" customWidth="1"/>
    <col min="2" max="2" width="11.625" customWidth="1"/>
    <col min="3" max="3" width="18.75" customWidth="1"/>
    <col min="4" max="12" width="12.5" customWidth="1"/>
    <col min="13" max="16" width="10.625" customWidth="1"/>
    <col min="17" max="18" width="6.875" customWidth="1"/>
    <col min="19" max="19" width="22.25" bestFit="1" customWidth="1"/>
    <col min="20" max="20" width="9" style="143"/>
  </cols>
  <sheetData>
    <row r="1" spans="1:19" ht="21">
      <c r="A1" s="34" t="str">
        <f>基本情報!C5</f>
        <v>MAMIYAビル</v>
      </c>
      <c r="B1" s="34"/>
      <c r="C1" s="35"/>
      <c r="D1" s="35"/>
      <c r="E1" s="36"/>
      <c r="F1" s="2594" t="s">
        <v>998</v>
      </c>
      <c r="G1" s="2594"/>
      <c r="H1" s="2594"/>
      <c r="I1" s="2594"/>
      <c r="J1" s="2594"/>
      <c r="K1" s="2594"/>
      <c r="L1" s="2594"/>
      <c r="M1" s="35"/>
      <c r="N1" s="35"/>
      <c r="O1" s="35"/>
      <c r="P1" s="35"/>
      <c r="Q1" s="35"/>
      <c r="R1" s="35"/>
      <c r="S1" s="35"/>
    </row>
    <row r="2" spans="1:19" ht="23.25" customHeight="1" thickBot="1">
      <c r="A2" s="35"/>
      <c r="B2" s="35"/>
      <c r="C2" s="35"/>
      <c r="D2" s="35"/>
      <c r="E2" s="35"/>
      <c r="F2" s="35"/>
      <c r="G2" s="35"/>
      <c r="H2" s="35"/>
      <c r="I2" s="35"/>
      <c r="J2" s="35"/>
      <c r="K2" s="35"/>
      <c r="L2" s="35"/>
      <c r="M2" s="35"/>
      <c r="N2" s="35"/>
      <c r="O2" s="35"/>
      <c r="P2" s="35"/>
      <c r="Q2" s="35"/>
      <c r="R2" s="35"/>
      <c r="S2" s="35"/>
    </row>
    <row r="3" spans="1:19">
      <c r="A3" s="37" t="s">
        <v>86</v>
      </c>
      <c r="B3" s="38" t="str">
        <f>基本情報!C6</f>
        <v>東京都千代田区神田錦町3-18</v>
      </c>
      <c r="C3" s="39"/>
      <c r="D3" s="39"/>
      <c r="E3" s="39"/>
      <c r="F3" s="39"/>
      <c r="G3" s="432"/>
      <c r="H3" s="40"/>
      <c r="I3" s="40"/>
      <c r="J3" s="40"/>
      <c r="K3" s="40"/>
      <c r="L3" s="41"/>
      <c r="M3" s="41"/>
      <c r="N3" s="41"/>
      <c r="O3" s="41"/>
      <c r="P3" s="41"/>
      <c r="Q3" s="41"/>
      <c r="R3" s="41"/>
      <c r="S3" s="41"/>
    </row>
    <row r="4" spans="1:19">
      <c r="A4" s="2595" t="s">
        <v>87</v>
      </c>
      <c r="B4" s="1773" t="str">
        <f>基本情報!C10</f>
        <v>都営新宿線・都営三田線・東京メトロ半蔵門線</v>
      </c>
      <c r="C4" s="1774"/>
      <c r="D4" s="42"/>
      <c r="E4" s="43" t="str">
        <f>基本情報!D10</f>
        <v>『神保町 』駅</v>
      </c>
      <c r="F4" s="43" t="str">
        <f>基本情報!F10</f>
        <v>徒歩3分</v>
      </c>
      <c r="G4" s="436"/>
      <c r="H4" s="44"/>
      <c r="I4" s="40"/>
      <c r="J4" s="40"/>
      <c r="K4" s="40"/>
      <c r="L4" s="41"/>
      <c r="M4" s="41"/>
      <c r="N4" s="45"/>
      <c r="O4" s="45"/>
      <c r="P4" s="45"/>
      <c r="Q4" s="45"/>
      <c r="R4" s="45"/>
      <c r="S4" s="41"/>
    </row>
    <row r="5" spans="1:19">
      <c r="A5" s="2596"/>
      <c r="B5" s="1775" t="str">
        <f>基本情報!C11</f>
        <v>都営新宿線</v>
      </c>
      <c r="C5" s="1776"/>
      <c r="D5" s="29"/>
      <c r="E5" s="46" t="str">
        <f>基本情報!D11</f>
        <v>『小川町』駅</v>
      </c>
      <c r="F5" s="46" t="str">
        <f>基本情報!F11</f>
        <v>徒歩5分</v>
      </c>
      <c r="G5" s="437"/>
      <c r="H5" s="44"/>
      <c r="I5" s="40"/>
      <c r="J5" s="40"/>
      <c r="K5" s="40"/>
      <c r="L5" s="41"/>
      <c r="M5" s="41"/>
      <c r="N5" s="45"/>
      <c r="O5" s="45"/>
      <c r="P5" s="45"/>
      <c r="Q5" s="45"/>
      <c r="R5" s="45"/>
      <c r="S5" s="41"/>
    </row>
    <row r="6" spans="1:19">
      <c r="A6" s="2597"/>
      <c r="B6" s="1777" t="str">
        <f>基本情報!C12</f>
        <v>東京メトロ千代田線</v>
      </c>
      <c r="C6" s="1778"/>
      <c r="D6" s="47"/>
      <c r="E6" s="48" t="str">
        <f>基本情報!D12</f>
        <v>『新御茶ノ水』駅</v>
      </c>
      <c r="F6" s="48" t="str">
        <f>基本情報!F12</f>
        <v>徒歩5分</v>
      </c>
      <c r="G6" s="438"/>
      <c r="H6" s="49"/>
      <c r="I6" s="44"/>
      <c r="J6" s="44"/>
      <c r="K6" s="44"/>
      <c r="L6" s="50"/>
      <c r="M6" s="45"/>
      <c r="N6" s="45"/>
      <c r="O6" s="45"/>
      <c r="P6" s="45"/>
      <c r="Q6" s="45"/>
      <c r="R6" s="45"/>
      <c r="S6" s="41"/>
    </row>
    <row r="7" spans="1:19">
      <c r="A7" s="2595" t="s">
        <v>72</v>
      </c>
      <c r="B7" s="51" t="s">
        <v>88</v>
      </c>
      <c r="C7" s="52" t="str">
        <f>基本情報!C17</f>
        <v>宅地</v>
      </c>
      <c r="D7" s="52"/>
      <c r="E7" s="52"/>
      <c r="F7" s="52"/>
      <c r="G7" s="439"/>
      <c r="H7" s="44"/>
      <c r="I7" s="44"/>
      <c r="J7" s="44"/>
      <c r="K7" s="44"/>
      <c r="L7" s="53"/>
      <c r="M7" s="45"/>
      <c r="N7" s="45"/>
      <c r="O7" s="45"/>
      <c r="P7" s="45"/>
      <c r="Q7" s="45"/>
      <c r="R7" s="45"/>
      <c r="S7" s="41"/>
    </row>
    <row r="8" spans="1:19">
      <c r="A8" s="2597"/>
      <c r="B8" s="54" t="s">
        <v>89</v>
      </c>
      <c r="C8" s="1016">
        <f>基本情報!C20</f>
        <v>354.52</v>
      </c>
      <c r="D8" s="55" t="s">
        <v>44</v>
      </c>
      <c r="E8" s="55">
        <f>ROUNDDOWN(C8*0.3025,2)</f>
        <v>107.24</v>
      </c>
      <c r="F8" s="91" t="s">
        <v>29</v>
      </c>
      <c r="G8" s="440"/>
      <c r="H8" s="44"/>
      <c r="I8" s="56"/>
      <c r="J8" s="56"/>
      <c r="K8" s="44"/>
      <c r="L8" s="53"/>
      <c r="M8" s="45"/>
      <c r="N8" s="45"/>
      <c r="O8" s="45"/>
      <c r="P8" s="45"/>
      <c r="Q8" s="45"/>
      <c r="R8" s="45"/>
      <c r="S8" s="41"/>
    </row>
    <row r="9" spans="1:19">
      <c r="A9" s="2595" t="s">
        <v>38</v>
      </c>
      <c r="B9" s="57" t="s">
        <v>90</v>
      </c>
      <c r="C9" s="2599" t="str">
        <f>基本情報!C28</f>
        <v>鉄骨鉄筋コンクリート造陸屋根7階建</v>
      </c>
      <c r="D9" s="2599"/>
      <c r="E9" s="2599"/>
      <c r="F9" s="2599"/>
      <c r="G9" s="59"/>
      <c r="H9" s="44"/>
      <c r="I9" s="56"/>
      <c r="J9" s="56"/>
      <c r="K9" s="44"/>
      <c r="L9" s="53"/>
      <c r="M9" s="45"/>
      <c r="N9" s="45"/>
      <c r="O9" s="45"/>
      <c r="P9" s="45"/>
      <c r="Q9" s="45"/>
      <c r="R9" s="45"/>
      <c r="S9" s="41"/>
    </row>
    <row r="10" spans="1:19">
      <c r="A10" s="2596"/>
      <c r="B10" s="57" t="s">
        <v>91</v>
      </c>
      <c r="C10" s="1014">
        <f>基本情報!C30</f>
        <v>2132.0300000000002</v>
      </c>
      <c r="D10" s="58" t="s">
        <v>44</v>
      </c>
      <c r="E10" s="430">
        <f>ROUNDDOWN(C10*0.3025,2)</f>
        <v>644.92999999999995</v>
      </c>
      <c r="F10" s="65" t="s">
        <v>29</v>
      </c>
      <c r="G10" s="433"/>
      <c r="H10" s="44"/>
      <c r="I10" s="56"/>
      <c r="J10" s="56"/>
      <c r="K10" s="44"/>
      <c r="L10" s="45"/>
      <c r="M10" s="45"/>
      <c r="N10" s="45"/>
      <c r="O10" s="45"/>
      <c r="P10" s="45"/>
      <c r="Q10" s="45"/>
      <c r="R10" s="45"/>
      <c r="S10" s="41"/>
    </row>
    <row r="11" spans="1:19">
      <c r="A11" s="2596"/>
      <c r="B11" s="57" t="s">
        <v>92</v>
      </c>
      <c r="C11" s="1015">
        <f>D28</f>
        <v>1923.2312500000003</v>
      </c>
      <c r="D11" s="58" t="s">
        <v>44</v>
      </c>
      <c r="E11" s="429">
        <f>E28</f>
        <v>581.77745312500008</v>
      </c>
      <c r="F11" s="65" t="s">
        <v>29</v>
      </c>
      <c r="G11" s="434">
        <f>E11/E10</f>
        <v>0.90207844746716714</v>
      </c>
      <c r="H11" s="56"/>
      <c r="I11" s="44"/>
      <c r="J11" s="44"/>
      <c r="K11" s="44"/>
      <c r="L11" s="45"/>
      <c r="M11" s="45"/>
      <c r="N11" s="45"/>
      <c r="O11" s="45"/>
      <c r="P11" s="45"/>
      <c r="Q11" s="45"/>
      <c r="R11" s="45"/>
      <c r="S11" s="41"/>
    </row>
    <row r="12" spans="1:19">
      <c r="A12" s="2596"/>
      <c r="B12" s="57" t="s">
        <v>93</v>
      </c>
      <c r="C12" s="1718">
        <f>D38</f>
        <v>2</v>
      </c>
      <c r="D12" s="58" t="s">
        <v>73</v>
      </c>
      <c r="E12" s="58"/>
      <c r="F12" s="65"/>
      <c r="G12" s="59"/>
      <c r="H12" s="44"/>
      <c r="I12" s="44"/>
      <c r="J12" s="44"/>
      <c r="K12" s="44"/>
      <c r="L12" s="45"/>
      <c r="M12" s="45"/>
      <c r="N12" s="41"/>
      <c r="O12" s="41"/>
      <c r="P12" s="41"/>
      <c r="Q12" s="41"/>
      <c r="R12" s="41"/>
      <c r="S12" s="41"/>
    </row>
    <row r="13" spans="1:19" ht="14.25" thickBot="1">
      <c r="A13" s="2598"/>
      <c r="B13" s="61" t="s">
        <v>94</v>
      </c>
      <c r="C13" s="2600">
        <f>基本情報!C33</f>
        <v>30749</v>
      </c>
      <c r="D13" s="2600"/>
      <c r="E13" s="62"/>
      <c r="F13" s="431">
        <f ca="1">基本情報!E33</f>
        <v>34.895890410958906</v>
      </c>
      <c r="G13" s="435"/>
      <c r="H13" s="40"/>
      <c r="I13" s="40"/>
      <c r="J13" s="40"/>
      <c r="K13" s="40"/>
      <c r="L13" s="41"/>
      <c r="M13" s="41"/>
      <c r="N13" s="41"/>
      <c r="O13" s="41"/>
      <c r="P13" s="41"/>
      <c r="Q13" s="41"/>
      <c r="R13" s="41"/>
      <c r="S13" s="41"/>
    </row>
    <row r="14" spans="1:19" ht="39" customHeight="1">
      <c r="A14" s="63"/>
      <c r="B14" s="63"/>
      <c r="C14" s="64"/>
      <c r="D14" s="64"/>
      <c r="E14" s="65"/>
      <c r="F14" s="65"/>
      <c r="G14" s="65"/>
      <c r="H14" s="41"/>
      <c r="I14" s="66"/>
      <c r="J14" s="41"/>
      <c r="K14" s="41"/>
      <c r="L14" s="41"/>
      <c r="M14" s="35"/>
      <c r="N14" s="35"/>
      <c r="O14" s="41"/>
      <c r="P14" s="41"/>
      <c r="Q14" s="41"/>
      <c r="R14" s="41"/>
      <c r="S14" s="41"/>
    </row>
    <row r="15" spans="1:19" ht="14.25" thickBot="1">
      <c r="A15" s="67" t="s">
        <v>95</v>
      </c>
      <c r="B15" s="67"/>
      <c r="C15" s="41"/>
      <c r="D15" s="41"/>
      <c r="E15" s="41"/>
      <c r="F15" s="41"/>
      <c r="G15" s="66"/>
      <c r="H15" s="41"/>
      <c r="I15" s="41"/>
      <c r="J15" s="68"/>
      <c r="K15" s="41"/>
      <c r="L15" s="41"/>
      <c r="M15" s="41"/>
      <c r="N15" s="41"/>
      <c r="O15" s="41"/>
      <c r="P15" s="41"/>
      <c r="Q15" s="41"/>
      <c r="R15" s="41"/>
      <c r="S15" s="180">
        <f ca="1">TODAY()</f>
        <v>43486</v>
      </c>
    </row>
    <row r="16" spans="1:19" ht="14.25" thickBot="1">
      <c r="A16" s="355" t="s">
        <v>228</v>
      </c>
      <c r="B16" s="69"/>
      <c r="C16" s="70" t="s">
        <v>97</v>
      </c>
      <c r="D16" s="356">
        <f>D27/D28</f>
        <v>0</v>
      </c>
      <c r="E16" s="41"/>
      <c r="F16" s="280">
        <f>F28-F27</f>
        <v>14158460</v>
      </c>
      <c r="G16" s="71"/>
      <c r="H16" s="41"/>
      <c r="I16" s="41"/>
      <c r="J16" s="41"/>
      <c r="K16" s="41"/>
      <c r="L16" s="41"/>
      <c r="M16" s="41"/>
      <c r="N16" s="41"/>
      <c r="O16" s="41"/>
      <c r="P16" s="41"/>
      <c r="Q16" s="41"/>
      <c r="R16" s="41"/>
      <c r="S16" s="41"/>
    </row>
    <row r="17" spans="1:20" ht="12" customHeight="1">
      <c r="A17" s="69"/>
      <c r="B17" s="69"/>
      <c r="C17" s="41"/>
      <c r="D17" s="41"/>
      <c r="E17" s="41"/>
      <c r="F17" s="41"/>
      <c r="G17" s="41"/>
      <c r="H17" s="41"/>
      <c r="I17" s="41"/>
      <c r="J17" s="41"/>
      <c r="K17" s="41"/>
      <c r="L17" s="41"/>
      <c r="M17" s="41"/>
      <c r="N17" s="41"/>
      <c r="O17" s="41"/>
      <c r="P17" s="41"/>
      <c r="Q17" s="41"/>
      <c r="R17" s="41"/>
    </row>
    <row r="18" spans="1:20">
      <c r="A18" s="2590" t="s">
        <v>98</v>
      </c>
      <c r="B18" s="2605" t="s">
        <v>99</v>
      </c>
      <c r="C18" s="2606"/>
      <c r="D18" s="2592" t="s">
        <v>100</v>
      </c>
      <c r="E18" s="2593"/>
      <c r="F18" s="2592" t="s">
        <v>74</v>
      </c>
      <c r="G18" s="2593"/>
      <c r="H18" s="2592" t="s">
        <v>75</v>
      </c>
      <c r="I18" s="2593"/>
      <c r="J18" s="2592" t="s">
        <v>101</v>
      </c>
      <c r="K18" s="2593"/>
      <c r="L18" s="2590" t="s">
        <v>102</v>
      </c>
      <c r="M18" s="2590" t="s">
        <v>103</v>
      </c>
      <c r="N18" s="2555" t="s">
        <v>76</v>
      </c>
      <c r="O18" s="2556"/>
      <c r="P18" s="2557"/>
      <c r="Q18" s="73" t="s">
        <v>104</v>
      </c>
      <c r="R18" s="73" t="s">
        <v>105</v>
      </c>
      <c r="S18" s="2590" t="s">
        <v>43</v>
      </c>
    </row>
    <row r="19" spans="1:20">
      <c r="A19" s="2591"/>
      <c r="B19" s="2607"/>
      <c r="C19" s="2608"/>
      <c r="D19" s="2609"/>
      <c r="E19" s="2610"/>
      <c r="F19" s="327"/>
      <c r="G19" s="326" t="s">
        <v>106</v>
      </c>
      <c r="H19" s="340"/>
      <c r="I19" s="341" t="s">
        <v>106</v>
      </c>
      <c r="J19" s="340"/>
      <c r="K19" s="341" t="s">
        <v>106</v>
      </c>
      <c r="L19" s="2591"/>
      <c r="M19" s="2591"/>
      <c r="N19" s="341" t="s">
        <v>226</v>
      </c>
      <c r="O19" s="342" t="s">
        <v>77</v>
      </c>
      <c r="P19" s="342" t="s">
        <v>78</v>
      </c>
      <c r="Q19" s="342" t="s">
        <v>107</v>
      </c>
      <c r="R19" s="74" t="s">
        <v>108</v>
      </c>
      <c r="S19" s="2591"/>
    </row>
    <row r="20" spans="1:20" s="1785" customFormat="1" ht="18" customHeight="1">
      <c r="A20" s="1814" t="s">
        <v>227</v>
      </c>
      <c r="B20" s="1815" t="s">
        <v>96</v>
      </c>
      <c r="C20" s="1816" t="s">
        <v>45</v>
      </c>
      <c r="D20" s="1817">
        <v>166.79124999999999</v>
      </c>
      <c r="E20" s="1818">
        <f>ROUNDDOWN(D20*0.3025,2)</f>
        <v>50.45</v>
      </c>
      <c r="F20" s="1819">
        <f t="shared" ref="F20:F26" si="0">G20*E20</f>
        <v>1210800</v>
      </c>
      <c r="G20" s="1820">
        <v>24000</v>
      </c>
      <c r="H20" s="1821">
        <v>0</v>
      </c>
      <c r="I20" s="1820">
        <f>H20/E20</f>
        <v>0</v>
      </c>
      <c r="J20" s="1822">
        <f t="shared" ref="J20:K26" si="1">SUM(F20,H20)</f>
        <v>1210800</v>
      </c>
      <c r="K20" s="1822">
        <f t="shared" si="1"/>
        <v>24000</v>
      </c>
      <c r="L20" s="1821">
        <f>M20*F20</f>
        <v>0</v>
      </c>
      <c r="M20" s="1823">
        <v>0</v>
      </c>
      <c r="N20" s="1824"/>
      <c r="O20" s="1825"/>
      <c r="P20" s="1825"/>
      <c r="Q20" s="1826">
        <v>2</v>
      </c>
      <c r="R20" s="1827" t="s">
        <v>45</v>
      </c>
      <c r="S20" s="2662" t="s">
        <v>1191</v>
      </c>
    </row>
    <row r="21" spans="1:20" s="1785" customFormat="1" ht="18" customHeight="1">
      <c r="A21" s="1828" t="s">
        <v>983</v>
      </c>
      <c r="B21" s="1816" t="s">
        <v>96</v>
      </c>
      <c r="C21" s="1816" t="s">
        <v>45</v>
      </c>
      <c r="D21" s="1829">
        <v>286.42</v>
      </c>
      <c r="E21" s="1830">
        <f>ROUNDDOWN(D21*0.3025,2)</f>
        <v>86.64</v>
      </c>
      <c r="F21" s="1819">
        <f t="shared" si="0"/>
        <v>2079360</v>
      </c>
      <c r="G21" s="1820">
        <v>24000</v>
      </c>
      <c r="H21" s="1819">
        <v>0</v>
      </c>
      <c r="I21" s="1820">
        <f>H21/E21</f>
        <v>0</v>
      </c>
      <c r="J21" s="1820">
        <f t="shared" si="1"/>
        <v>2079360</v>
      </c>
      <c r="K21" s="1820">
        <f t="shared" si="1"/>
        <v>24000</v>
      </c>
      <c r="L21" s="1819">
        <f>M21*F21</f>
        <v>0</v>
      </c>
      <c r="M21" s="1823">
        <v>0</v>
      </c>
      <c r="N21" s="1831"/>
      <c r="O21" s="1832"/>
      <c r="P21" s="1832"/>
      <c r="Q21" s="1833">
        <v>2</v>
      </c>
      <c r="R21" s="1834" t="s">
        <v>45</v>
      </c>
      <c r="S21" s="2663"/>
    </row>
    <row r="22" spans="1:20" s="1785" customFormat="1" ht="18" customHeight="1">
      <c r="A22" s="1828" t="s">
        <v>984</v>
      </c>
      <c r="B22" s="1816" t="s">
        <v>96</v>
      </c>
      <c r="C22" s="1816" t="s">
        <v>45</v>
      </c>
      <c r="D22" s="1829">
        <v>286.42</v>
      </c>
      <c r="E22" s="1830">
        <f>ROUNDDOWN(D22*0.3025,2)</f>
        <v>86.64</v>
      </c>
      <c r="F22" s="1819">
        <f t="shared" si="0"/>
        <v>2079360</v>
      </c>
      <c r="G22" s="1820">
        <v>24000</v>
      </c>
      <c r="H22" s="1819">
        <v>0</v>
      </c>
      <c r="I22" s="1820">
        <f t="shared" ref="I22:I26" si="2">H22/E22</f>
        <v>0</v>
      </c>
      <c r="J22" s="1820">
        <f t="shared" si="1"/>
        <v>2079360</v>
      </c>
      <c r="K22" s="1820">
        <f t="shared" si="1"/>
        <v>24000</v>
      </c>
      <c r="L22" s="1819">
        <f t="shared" ref="L22:L25" si="3">M22*F22</f>
        <v>0</v>
      </c>
      <c r="M22" s="1823">
        <v>0</v>
      </c>
      <c r="N22" s="1831"/>
      <c r="O22" s="1832"/>
      <c r="P22" s="1832"/>
      <c r="Q22" s="1833">
        <v>2</v>
      </c>
      <c r="R22" s="1834" t="s">
        <v>45</v>
      </c>
      <c r="S22" s="2663"/>
    </row>
    <row r="23" spans="1:20" s="1785" customFormat="1" ht="18" customHeight="1">
      <c r="A23" s="1828" t="s">
        <v>985</v>
      </c>
      <c r="B23" s="1816" t="s">
        <v>96</v>
      </c>
      <c r="C23" s="1816" t="s">
        <v>45</v>
      </c>
      <c r="D23" s="1829">
        <v>286.42</v>
      </c>
      <c r="E23" s="1830">
        <f t="shared" ref="E23" si="4">ROUNDDOWN(D23*0.3025,2)</f>
        <v>86.64</v>
      </c>
      <c r="F23" s="1819">
        <f t="shared" si="0"/>
        <v>2079360</v>
      </c>
      <c r="G23" s="1820">
        <v>24000</v>
      </c>
      <c r="H23" s="1819">
        <f>I23*E23</f>
        <v>0</v>
      </c>
      <c r="I23" s="1820">
        <v>0</v>
      </c>
      <c r="J23" s="1820">
        <f t="shared" si="1"/>
        <v>2079360</v>
      </c>
      <c r="K23" s="1820">
        <f t="shared" si="1"/>
        <v>24000</v>
      </c>
      <c r="L23" s="1819">
        <f t="shared" si="3"/>
        <v>0</v>
      </c>
      <c r="M23" s="1823">
        <v>0</v>
      </c>
      <c r="N23" s="1831"/>
      <c r="O23" s="1832"/>
      <c r="P23" s="1832"/>
      <c r="Q23" s="1833">
        <v>2</v>
      </c>
      <c r="R23" s="1834" t="s">
        <v>45</v>
      </c>
      <c r="S23" s="2663"/>
    </row>
    <row r="24" spans="1:20" s="1785" customFormat="1" ht="18" customHeight="1">
      <c r="A24" s="1828" t="s">
        <v>986</v>
      </c>
      <c r="B24" s="1816" t="s">
        <v>96</v>
      </c>
      <c r="C24" s="1816" t="s">
        <v>45</v>
      </c>
      <c r="D24" s="1829">
        <v>286.42</v>
      </c>
      <c r="E24" s="1830">
        <f>ROUNDDOWN(D24*0.3025,2)</f>
        <v>86.64</v>
      </c>
      <c r="F24" s="1819">
        <f t="shared" si="0"/>
        <v>2079360</v>
      </c>
      <c r="G24" s="1820">
        <v>24000</v>
      </c>
      <c r="H24" s="1819">
        <f>I24*E24</f>
        <v>0</v>
      </c>
      <c r="I24" s="1820">
        <v>0</v>
      </c>
      <c r="J24" s="1820">
        <f t="shared" si="1"/>
        <v>2079360</v>
      </c>
      <c r="K24" s="1820">
        <f t="shared" si="1"/>
        <v>24000</v>
      </c>
      <c r="L24" s="1819">
        <f t="shared" si="3"/>
        <v>0</v>
      </c>
      <c r="M24" s="1823">
        <v>0</v>
      </c>
      <c r="N24" s="1831"/>
      <c r="O24" s="1832"/>
      <c r="P24" s="1832"/>
      <c r="Q24" s="1833">
        <v>2</v>
      </c>
      <c r="R24" s="1834" t="s">
        <v>45</v>
      </c>
      <c r="S24" s="2663"/>
    </row>
    <row r="25" spans="1:20" s="1785" customFormat="1" ht="18" customHeight="1">
      <c r="A25" s="1828" t="s">
        <v>324</v>
      </c>
      <c r="B25" s="1835" t="s">
        <v>96</v>
      </c>
      <c r="C25" s="1816" t="s">
        <v>45</v>
      </c>
      <c r="D25" s="1829">
        <v>286.42</v>
      </c>
      <c r="E25" s="1836">
        <f>ROUNDDOWN(D25*0.3025,2)</f>
        <v>86.64</v>
      </c>
      <c r="F25" s="1819">
        <f t="shared" si="0"/>
        <v>2079360</v>
      </c>
      <c r="G25" s="1820">
        <v>24000</v>
      </c>
      <c r="H25" s="1819">
        <v>0</v>
      </c>
      <c r="I25" s="1820">
        <f>H25/E25</f>
        <v>0</v>
      </c>
      <c r="J25" s="1820">
        <f t="shared" si="1"/>
        <v>2079360</v>
      </c>
      <c r="K25" s="1820">
        <f t="shared" si="1"/>
        <v>24000</v>
      </c>
      <c r="L25" s="1819">
        <f t="shared" si="3"/>
        <v>0</v>
      </c>
      <c r="M25" s="1823">
        <v>0</v>
      </c>
      <c r="N25" s="1831"/>
      <c r="O25" s="1832"/>
      <c r="P25" s="1832"/>
      <c r="Q25" s="1837">
        <v>2</v>
      </c>
      <c r="R25" s="1838" t="s">
        <v>45</v>
      </c>
      <c r="S25" s="2663"/>
    </row>
    <row r="26" spans="1:20" s="2659" customFormat="1" ht="18" customHeight="1" thickBot="1">
      <c r="A26" s="1839" t="s">
        <v>1201</v>
      </c>
      <c r="B26" s="1840" t="s">
        <v>96</v>
      </c>
      <c r="C26" s="1840" t="s">
        <v>45</v>
      </c>
      <c r="D26" s="1841">
        <f>286.42+37.92</f>
        <v>324.34000000000003</v>
      </c>
      <c r="E26" s="1842">
        <f>ROUNDDOWN(D26*0.3025,2)</f>
        <v>98.11</v>
      </c>
      <c r="F26" s="1843">
        <f>G26*E26</f>
        <v>2550860</v>
      </c>
      <c r="G26" s="1844">
        <v>26000</v>
      </c>
      <c r="H26" s="1843">
        <v>0</v>
      </c>
      <c r="I26" s="1844">
        <f t="shared" si="2"/>
        <v>0</v>
      </c>
      <c r="J26" s="1844">
        <f t="shared" si="1"/>
        <v>2550860</v>
      </c>
      <c r="K26" s="1844">
        <f t="shared" si="1"/>
        <v>26000</v>
      </c>
      <c r="L26" s="1843">
        <f>M26*F26</f>
        <v>0</v>
      </c>
      <c r="M26" s="1845">
        <v>0</v>
      </c>
      <c r="N26" s="1846"/>
      <c r="O26" s="1847"/>
      <c r="P26" s="1847"/>
      <c r="Q26" s="1848">
        <v>2</v>
      </c>
      <c r="R26" s="1849" t="s">
        <v>45</v>
      </c>
      <c r="S26" s="2664"/>
    </row>
    <row r="27" spans="1:20" ht="14.25" thickTop="1">
      <c r="A27" s="328"/>
      <c r="B27" s="1463" t="s">
        <v>110</v>
      </c>
      <c r="C27" s="2654" t="s">
        <v>112</v>
      </c>
      <c r="D27" s="329">
        <f>D28-SUMIF(C20:C26,"-",D20:D26)</f>
        <v>0</v>
      </c>
      <c r="E27" s="330">
        <f>ROUNDDOWN(D27*0.3025,2)</f>
        <v>0</v>
      </c>
      <c r="F27" s="331">
        <f>F28-SUMIF(C20:C26,"-",F20:F26)</f>
        <v>0</v>
      </c>
      <c r="G27" s="2655" t="e">
        <f>F27/E27</f>
        <v>#DIV/0!</v>
      </c>
      <c r="H27" s="331">
        <f>H28-SUMIF(C20:C26,"-",H20:H26)</f>
        <v>0</v>
      </c>
      <c r="I27" s="2655" t="e">
        <f>H27/E27</f>
        <v>#DIV/0!</v>
      </c>
      <c r="J27" s="331">
        <f>SUM(F27,H27)</f>
        <v>0</v>
      </c>
      <c r="K27" s="331" t="e">
        <f>SUM(G27,I27)</f>
        <v>#DIV/0!</v>
      </c>
      <c r="L27" s="331">
        <f>L28-SUMIF(C20:C26,"-",L20:L26)</f>
        <v>0</v>
      </c>
      <c r="M27" s="1350"/>
      <c r="N27" s="337"/>
      <c r="O27" s="338"/>
      <c r="P27" s="2656"/>
      <c r="Q27" s="2657"/>
      <c r="R27" s="2658"/>
      <c r="S27" s="339"/>
    </row>
    <row r="28" spans="1:20">
      <c r="A28" s="332"/>
      <c r="B28" s="1464" t="s">
        <v>111</v>
      </c>
      <c r="C28" s="333" t="s">
        <v>112</v>
      </c>
      <c r="D28" s="334">
        <f>SUM(D20:D26)</f>
        <v>1923.2312500000003</v>
      </c>
      <c r="E28" s="335">
        <f>D28*0.3025</f>
        <v>581.77745312500008</v>
      </c>
      <c r="F28" s="336">
        <f>SUM(F20:F26)</f>
        <v>14158460</v>
      </c>
      <c r="G28" s="336">
        <f>F28/E28</f>
        <v>24336.556743387457</v>
      </c>
      <c r="H28" s="336">
        <f>SUM(H20:H26)</f>
        <v>0</v>
      </c>
      <c r="I28" s="336">
        <f>H28/E28</f>
        <v>0</v>
      </c>
      <c r="J28" s="336">
        <f>SUM(J20:J26)</f>
        <v>14158460</v>
      </c>
      <c r="K28" s="336">
        <f>SUM(G28,I28)</f>
        <v>24336.556743387457</v>
      </c>
      <c r="L28" s="336">
        <f>SUM(L20:L26)</f>
        <v>0</v>
      </c>
      <c r="M28" s="1350"/>
      <c r="N28" s="337"/>
      <c r="O28" s="338"/>
      <c r="P28" s="338"/>
      <c r="Q28" s="338"/>
      <c r="R28" s="338"/>
      <c r="S28" s="339"/>
    </row>
    <row r="29" spans="1:20" s="372" customFormat="1" ht="32.25" customHeight="1">
      <c r="A29" s="86"/>
      <c r="B29" s="86"/>
      <c r="C29" s="87"/>
      <c r="D29" s="88"/>
      <c r="E29" s="88"/>
      <c r="F29" s="88"/>
      <c r="G29" s="88"/>
      <c r="H29" s="88"/>
      <c r="I29" s="88"/>
      <c r="J29" s="88"/>
      <c r="K29" s="88"/>
      <c r="L29" s="88"/>
      <c r="M29" s="88"/>
      <c r="N29" s="88"/>
      <c r="O29" s="89"/>
      <c r="P29" s="89"/>
      <c r="Q29" s="89"/>
      <c r="R29" s="89"/>
      <c r="S29" s="86"/>
      <c r="T29" s="1365"/>
    </row>
    <row r="30" spans="1:20" ht="14.25" thickBot="1">
      <c r="A30" s="41"/>
      <c r="B30" s="41"/>
      <c r="C30" s="81"/>
      <c r="D30" s="79"/>
      <c r="E30" s="79"/>
      <c r="F30" s="79"/>
      <c r="G30" s="79"/>
      <c r="H30" s="79"/>
      <c r="I30" s="79"/>
      <c r="J30" s="79"/>
      <c r="K30" s="79"/>
      <c r="L30" s="79"/>
      <c r="M30" s="79"/>
      <c r="N30" s="80"/>
      <c r="O30" s="80"/>
      <c r="P30" s="80"/>
      <c r="Q30" s="80"/>
      <c r="R30" s="40"/>
      <c r="S30" s="41"/>
    </row>
    <row r="31" spans="1:20" ht="14.25" thickBot="1">
      <c r="A31" s="82" t="s">
        <v>113</v>
      </c>
      <c r="C31" s="83" t="s">
        <v>97</v>
      </c>
      <c r="D31" s="356">
        <f>D37/D38</f>
        <v>0</v>
      </c>
      <c r="E31" s="45"/>
      <c r="F31" s="84"/>
      <c r="G31" s="84"/>
      <c r="H31" s="84"/>
      <c r="I31" s="45"/>
      <c r="J31" s="84"/>
      <c r="K31" s="45"/>
      <c r="L31" s="45"/>
      <c r="M31" s="45"/>
      <c r="N31" s="80"/>
      <c r="O31" s="80"/>
      <c r="P31" s="45"/>
      <c r="Q31" s="45"/>
      <c r="R31" s="45"/>
      <c r="S31" s="45"/>
    </row>
    <row r="32" spans="1:20">
      <c r="A32" s="85"/>
      <c r="B32" s="85"/>
      <c r="C32" s="85"/>
      <c r="D32" s="45"/>
      <c r="E32" s="45"/>
      <c r="F32" s="45"/>
      <c r="G32" s="45"/>
      <c r="H32" s="45"/>
      <c r="I32" s="45"/>
      <c r="J32" s="45"/>
      <c r="K32" s="45"/>
      <c r="L32" s="45"/>
      <c r="M32" s="45"/>
      <c r="N32" s="45"/>
      <c r="O32" s="80"/>
      <c r="P32" s="80"/>
      <c r="Q32" s="45"/>
      <c r="R32" s="45"/>
      <c r="S32" s="45"/>
      <c r="T32" s="45"/>
    </row>
    <row r="33" spans="1:20">
      <c r="A33" s="2592" t="s">
        <v>233</v>
      </c>
      <c r="B33" s="2593"/>
      <c r="C33" s="2611" t="s">
        <v>114</v>
      </c>
      <c r="D33" s="2611" t="s">
        <v>115</v>
      </c>
      <c r="E33" s="343" t="s">
        <v>116</v>
      </c>
      <c r="F33" s="344" t="s">
        <v>117</v>
      </c>
      <c r="G33" s="2613" t="s">
        <v>118</v>
      </c>
      <c r="H33" s="2614"/>
      <c r="I33" s="2615" t="s">
        <v>76</v>
      </c>
      <c r="J33" s="2616"/>
      <c r="K33" s="2601" t="s">
        <v>43</v>
      </c>
      <c r="L33" s="2602"/>
      <c r="M33" s="45"/>
      <c r="N33" s="45"/>
      <c r="O33" s="80"/>
      <c r="P33" s="80"/>
      <c r="Q33" s="45"/>
      <c r="R33" s="45"/>
      <c r="S33" s="45"/>
      <c r="T33" s="45"/>
    </row>
    <row r="34" spans="1:20">
      <c r="A34" s="2609"/>
      <c r="B34" s="2610"/>
      <c r="C34" s="2612"/>
      <c r="D34" s="2612"/>
      <c r="E34" s="346"/>
      <c r="F34" s="347" t="s">
        <v>119</v>
      </c>
      <c r="G34" s="348"/>
      <c r="H34" s="349" t="s">
        <v>120</v>
      </c>
      <c r="I34" s="350" t="s">
        <v>77</v>
      </c>
      <c r="J34" s="350" t="s">
        <v>78</v>
      </c>
      <c r="K34" s="2603"/>
      <c r="L34" s="2604"/>
      <c r="M34" s="45"/>
      <c r="N34" s="45"/>
      <c r="O34" s="80"/>
      <c r="P34" s="80"/>
      <c r="Q34" s="45"/>
      <c r="R34" s="45"/>
      <c r="S34" s="45"/>
      <c r="T34" s="45"/>
    </row>
    <row r="35" spans="1:20" s="1719" customFormat="1">
      <c r="A35" s="2634">
        <v>1</v>
      </c>
      <c r="B35" s="2635" t="s">
        <v>987</v>
      </c>
      <c r="C35" s="2636" t="s">
        <v>45</v>
      </c>
      <c r="D35" s="2637">
        <v>1</v>
      </c>
      <c r="E35" s="2638">
        <f>F35*D35</f>
        <v>50000</v>
      </c>
      <c r="F35" s="2638">
        <v>50000</v>
      </c>
      <c r="G35" s="2639">
        <f>H35*E35</f>
        <v>0</v>
      </c>
      <c r="H35" s="2640">
        <v>0</v>
      </c>
      <c r="I35" s="2641" t="s">
        <v>988</v>
      </c>
      <c r="J35" s="2641" t="s">
        <v>988</v>
      </c>
      <c r="K35" s="2642"/>
      <c r="L35" s="2643"/>
      <c r="M35" s="1720"/>
      <c r="N35" s="1720"/>
      <c r="O35" s="1721"/>
      <c r="P35" s="1721"/>
      <c r="Q35" s="1720"/>
      <c r="R35" s="1720"/>
      <c r="S35" s="1720"/>
      <c r="T35" s="1720"/>
    </row>
    <row r="36" spans="1:20" s="1719" customFormat="1" ht="14.25" thickBot="1">
      <c r="A36" s="2644">
        <v>2</v>
      </c>
      <c r="B36" s="2644" t="s">
        <v>987</v>
      </c>
      <c r="C36" s="2645" t="s">
        <v>988</v>
      </c>
      <c r="D36" s="2646">
        <v>1</v>
      </c>
      <c r="E36" s="2647">
        <f>F36*D36</f>
        <v>50000</v>
      </c>
      <c r="F36" s="2648">
        <v>50000</v>
      </c>
      <c r="G36" s="2649">
        <f>H36*E36</f>
        <v>0</v>
      </c>
      <c r="H36" s="2650">
        <v>0</v>
      </c>
      <c r="I36" s="2651" t="s">
        <v>1200</v>
      </c>
      <c r="J36" s="2651" t="s">
        <v>1200</v>
      </c>
      <c r="K36" s="2652"/>
      <c r="L36" s="2653"/>
      <c r="M36" s="1720"/>
      <c r="N36" s="1720"/>
      <c r="O36" s="1721"/>
      <c r="P36" s="1721"/>
      <c r="Q36" s="1720"/>
      <c r="R36" s="1720"/>
      <c r="S36" s="1720"/>
      <c r="T36" s="1720"/>
    </row>
    <row r="37" spans="1:20" ht="14.25" thickTop="1">
      <c r="A37" s="1461"/>
      <c r="B37" s="1462" t="s">
        <v>121</v>
      </c>
      <c r="C37" s="351" t="s">
        <v>112</v>
      </c>
      <c r="D37" s="352">
        <f>D38-SUMIF(C35:C36,"-",D35:D36)</f>
        <v>0</v>
      </c>
      <c r="E37" s="353">
        <f>E38-SUMIF(C35:C36,"-",E35:E36)</f>
        <v>0</v>
      </c>
      <c r="F37" s="353" t="e">
        <f>E37/D37</f>
        <v>#DIV/0!</v>
      </c>
      <c r="G37" s="353">
        <f>G38-SUMIF(C35:C36,"-",G35:G36)</f>
        <v>0</v>
      </c>
      <c r="H37" s="1343"/>
      <c r="I37" s="345"/>
      <c r="J37" s="345"/>
      <c r="K37" s="345"/>
      <c r="L37" s="345"/>
      <c r="M37" s="45"/>
      <c r="N37" s="45"/>
      <c r="O37" s="45"/>
      <c r="P37" s="45"/>
      <c r="Q37" s="45"/>
      <c r="R37" s="45"/>
      <c r="S37" s="45"/>
      <c r="T37" s="45"/>
    </row>
    <row r="38" spans="1:20">
      <c r="A38" s="1461"/>
      <c r="B38" s="1462" t="s">
        <v>122</v>
      </c>
      <c r="C38" s="351" t="s">
        <v>112</v>
      </c>
      <c r="D38" s="354">
        <f>SUM(D35:D36)</f>
        <v>2</v>
      </c>
      <c r="E38" s="353">
        <f>SUM(E35:E36)</f>
        <v>100000</v>
      </c>
      <c r="F38" s="353">
        <f>E38/D38</f>
        <v>50000</v>
      </c>
      <c r="G38" s="353">
        <f>SUM(G35:G36)</f>
        <v>0</v>
      </c>
      <c r="H38" s="1350"/>
      <c r="I38" s="345"/>
      <c r="J38" s="345"/>
      <c r="K38" s="345"/>
      <c r="L38" s="345"/>
      <c r="M38" s="44"/>
      <c r="N38" s="44"/>
      <c r="O38" s="44"/>
      <c r="P38" s="44"/>
      <c r="Q38" s="44"/>
      <c r="R38" s="56"/>
      <c r="S38" s="44"/>
      <c r="T38" s="45"/>
    </row>
    <row r="39" spans="1:20" s="361" customFormat="1" ht="23.25" customHeight="1">
      <c r="A39" s="357"/>
      <c r="B39" s="357"/>
      <c r="C39" s="357"/>
      <c r="D39" s="358"/>
      <c r="E39" s="359"/>
      <c r="F39" s="359"/>
      <c r="G39" s="359"/>
      <c r="H39" s="359"/>
      <c r="I39" s="359"/>
      <c r="J39" s="359"/>
      <c r="K39" s="359"/>
      <c r="L39" s="359"/>
      <c r="M39" s="359"/>
      <c r="N39" s="359"/>
      <c r="O39" s="360"/>
      <c r="P39" s="360"/>
      <c r="Q39" s="357"/>
      <c r="R39" s="357"/>
      <c r="S39" s="357"/>
      <c r="T39" s="357"/>
    </row>
    <row r="40" spans="1:20" s="366" customFormat="1" ht="27.75" customHeight="1">
      <c r="A40" s="362"/>
      <c r="B40" s="362"/>
      <c r="C40" s="363"/>
      <c r="D40" s="364"/>
      <c r="E40" s="364"/>
      <c r="F40" s="364"/>
      <c r="G40" s="364"/>
      <c r="H40" s="364"/>
      <c r="I40" s="364"/>
      <c r="J40" s="364"/>
      <c r="K40" s="364"/>
      <c r="L40" s="364"/>
      <c r="M40" s="364"/>
      <c r="N40" s="365"/>
      <c r="O40" s="365"/>
      <c r="P40" s="362"/>
      <c r="Q40" s="362"/>
      <c r="R40" s="362"/>
      <c r="S40" s="362"/>
      <c r="T40" s="1366"/>
    </row>
    <row r="41" spans="1:20">
      <c r="A41" s="67" t="s">
        <v>123</v>
      </c>
      <c r="B41" s="67"/>
      <c r="C41" s="41"/>
      <c r="D41" s="41"/>
      <c r="E41" s="67" t="s">
        <v>124</v>
      </c>
      <c r="F41" s="41"/>
      <c r="G41" s="41"/>
      <c r="H41" s="41"/>
      <c r="I41" s="90" t="s">
        <v>1176</v>
      </c>
      <c r="J41" s="91"/>
      <c r="K41" s="41"/>
      <c r="L41" s="41"/>
      <c r="M41" s="92" t="s">
        <v>125</v>
      </c>
      <c r="N41" s="93"/>
      <c r="O41" s="93"/>
      <c r="P41" s="35"/>
      <c r="Q41" s="41"/>
      <c r="R41" s="41"/>
      <c r="S41" s="41"/>
      <c r="T41" s="41"/>
    </row>
    <row r="42" spans="1:20">
      <c r="A42" s="2622" t="s">
        <v>49</v>
      </c>
      <c r="B42" s="2623"/>
      <c r="C42" s="72" t="s">
        <v>126</v>
      </c>
      <c r="D42" s="94"/>
      <c r="E42" s="2622" t="s">
        <v>49</v>
      </c>
      <c r="F42" s="2623"/>
      <c r="G42" s="72" t="s">
        <v>79</v>
      </c>
      <c r="H42" s="376"/>
      <c r="I42" s="95"/>
      <c r="J42" s="96" t="s">
        <v>72</v>
      </c>
      <c r="K42" s="96" t="s">
        <v>127</v>
      </c>
      <c r="L42" s="41"/>
      <c r="M42" s="97" t="s">
        <v>129</v>
      </c>
      <c r="N42" s="2628" t="s">
        <v>130</v>
      </c>
      <c r="O42" s="2629"/>
      <c r="P42" s="97" t="s">
        <v>131</v>
      </c>
      <c r="Q42" s="98"/>
      <c r="R42" s="41"/>
      <c r="S42" s="41"/>
      <c r="T42" s="41"/>
    </row>
    <row r="43" spans="1:20">
      <c r="A43" s="99" t="s">
        <v>132</v>
      </c>
      <c r="B43" s="100"/>
      <c r="C43" s="75">
        <f>F28*12</f>
        <v>169901520</v>
      </c>
      <c r="D43" s="94"/>
      <c r="E43" s="2630" t="s">
        <v>997</v>
      </c>
      <c r="F43" s="2631"/>
      <c r="G43" s="1722">
        <f>H43*12</f>
        <v>4200000</v>
      </c>
      <c r="H43" s="1723">
        <v>350000</v>
      </c>
      <c r="I43" s="101" t="s">
        <v>80</v>
      </c>
      <c r="J43" s="1789">
        <f>K52*7/8</f>
        <v>728981750</v>
      </c>
      <c r="K43" s="1789">
        <v>196308100</v>
      </c>
      <c r="L43" s="41" t="s">
        <v>1177</v>
      </c>
      <c r="M43" s="381">
        <v>0.05</v>
      </c>
      <c r="N43" s="2620">
        <f>C49/M43</f>
        <v>3429230400</v>
      </c>
      <c r="O43" s="2621"/>
      <c r="P43" s="102">
        <f>G53/N43</f>
        <v>4.4712478228351178E-2</v>
      </c>
      <c r="Q43" s="98"/>
      <c r="R43" s="41"/>
      <c r="S43" s="41"/>
      <c r="T43" s="41"/>
    </row>
    <row r="44" spans="1:20">
      <c r="A44" s="103" t="s">
        <v>133</v>
      </c>
      <c r="B44" s="104"/>
      <c r="C44" s="75">
        <f>H28*12</f>
        <v>0</v>
      </c>
      <c r="D44" s="94"/>
      <c r="E44" s="103" t="s">
        <v>265</v>
      </c>
      <c r="G44" s="1724">
        <f>C49*H44</f>
        <v>3429230.4</v>
      </c>
      <c r="H44" s="1725">
        <v>0.02</v>
      </c>
      <c r="I44" s="105" t="s">
        <v>81</v>
      </c>
      <c r="J44" s="1786">
        <f>J43*0.6</f>
        <v>437389050</v>
      </c>
      <c r="K44" s="1786">
        <f>K43</f>
        <v>196308100</v>
      </c>
      <c r="L44" s="106" t="s">
        <v>999</v>
      </c>
      <c r="M44" s="102">
        <f>M43-0.25%</f>
        <v>4.7500000000000001E-2</v>
      </c>
      <c r="N44" s="2620">
        <f>C49/M44</f>
        <v>3609716210.5263157</v>
      </c>
      <c r="O44" s="2621"/>
      <c r="P44" s="102">
        <f>G53/N44</f>
        <v>4.247685431693362E-2</v>
      </c>
      <c r="Q44" s="98"/>
      <c r="R44" s="41"/>
      <c r="S44" s="41"/>
      <c r="T44" s="41"/>
    </row>
    <row r="45" spans="1:20">
      <c r="A45" s="107" t="s">
        <v>134</v>
      </c>
      <c r="B45" s="108"/>
      <c r="C45" s="109">
        <f>E38*12</f>
        <v>1200000</v>
      </c>
      <c r="D45" s="41"/>
      <c r="E45" s="103" t="s">
        <v>266</v>
      </c>
      <c r="F45" s="367"/>
      <c r="G45" s="1724">
        <v>10202900</v>
      </c>
      <c r="H45" s="1726" t="s">
        <v>1177</v>
      </c>
      <c r="I45" s="110" t="s">
        <v>82</v>
      </c>
      <c r="J45" s="1787">
        <f>J44</f>
        <v>437389050</v>
      </c>
      <c r="K45" s="1787">
        <f>K43</f>
        <v>196308100</v>
      </c>
      <c r="L45" s="106" t="s">
        <v>999</v>
      </c>
      <c r="M45" s="102">
        <f t="shared" ref="M45:M52" si="5">M44-0.25%</f>
        <v>4.4999999999999998E-2</v>
      </c>
      <c r="N45" s="2620">
        <f>C49/M45</f>
        <v>3810256000</v>
      </c>
      <c r="O45" s="2621"/>
      <c r="P45" s="102">
        <f>G53/N45</f>
        <v>4.0241230405516061E-2</v>
      </c>
      <c r="Q45" s="41"/>
      <c r="R45" s="41"/>
      <c r="S45" s="41"/>
      <c r="T45" s="41"/>
    </row>
    <row r="46" spans="1:20">
      <c r="A46" s="107" t="s">
        <v>136</v>
      </c>
      <c r="B46" s="108"/>
      <c r="C46" s="111">
        <f>D46*12</f>
        <v>360000</v>
      </c>
      <c r="D46" s="379">
        <v>30000</v>
      </c>
      <c r="E46" s="368" t="s">
        <v>135</v>
      </c>
      <c r="F46" s="369"/>
      <c r="G46" s="1724">
        <v>300000</v>
      </c>
      <c r="H46" s="1726" t="s">
        <v>1177</v>
      </c>
      <c r="I46" s="110" t="s">
        <v>83</v>
      </c>
      <c r="J46" s="1787">
        <f>J44*0.014</f>
        <v>6123446.7000000002</v>
      </c>
      <c r="K46" s="1787">
        <f>K44*0.014</f>
        <v>2748313.4</v>
      </c>
      <c r="L46" s="106" t="s">
        <v>999</v>
      </c>
      <c r="M46" s="382">
        <f t="shared" si="5"/>
        <v>4.2499999999999996E-2</v>
      </c>
      <c r="N46" s="2624">
        <f>C49/M46</f>
        <v>4034388705.8823533</v>
      </c>
      <c r="O46" s="2625"/>
      <c r="P46" s="382">
        <f>G53/N46</f>
        <v>3.8005606494098496E-2</v>
      </c>
      <c r="Q46" s="98" t="s">
        <v>137</v>
      </c>
      <c r="R46" s="41"/>
      <c r="S46" s="41"/>
      <c r="T46" s="41"/>
    </row>
    <row r="47" spans="1:20">
      <c r="A47" s="107" t="s">
        <v>230</v>
      </c>
      <c r="B47" s="108"/>
      <c r="C47" s="111">
        <f>D47*12</f>
        <v>0</v>
      </c>
      <c r="D47" s="379">
        <v>0</v>
      </c>
      <c r="E47" s="103" t="s">
        <v>234</v>
      </c>
      <c r="F47" s="374"/>
      <c r="G47" s="1724">
        <f>H47*12</f>
        <v>0</v>
      </c>
      <c r="H47" s="1723">
        <v>0</v>
      </c>
      <c r="I47" s="113" t="s">
        <v>84</v>
      </c>
      <c r="J47" s="1788">
        <f>J45*0.003</f>
        <v>1312167.1500000001</v>
      </c>
      <c r="K47" s="1788">
        <f>K45*0.003</f>
        <v>588924.30000000005</v>
      </c>
      <c r="L47" s="106" t="s">
        <v>999</v>
      </c>
      <c r="M47" s="102">
        <f t="shared" si="5"/>
        <v>3.9999999999999994E-2</v>
      </c>
      <c r="N47" s="2620">
        <f>C49/M47</f>
        <v>4286538000.0000005</v>
      </c>
      <c r="O47" s="2621"/>
      <c r="P47" s="102">
        <f>G53/N47</f>
        <v>3.5769982582680937E-2</v>
      </c>
      <c r="Q47" s="98"/>
      <c r="R47" s="41"/>
      <c r="S47" s="41"/>
      <c r="T47" s="41"/>
    </row>
    <row r="48" spans="1:20">
      <c r="A48" s="114" t="s">
        <v>229</v>
      </c>
      <c r="B48" s="115"/>
      <c r="C48" s="112" t="s">
        <v>232</v>
      </c>
      <c r="D48" s="70" t="s">
        <v>138</v>
      </c>
      <c r="E48" s="370" t="s">
        <v>231</v>
      </c>
      <c r="F48" s="371"/>
      <c r="G48" s="375" t="s">
        <v>232</v>
      </c>
      <c r="H48" s="377"/>
      <c r="I48" s="117" t="s">
        <v>85</v>
      </c>
      <c r="J48" s="118">
        <f>SUM(J46:J47)</f>
        <v>7435613.8500000006</v>
      </c>
      <c r="K48" s="118">
        <f>ROUNDDOWN(SUM(K46:K47),0)</f>
        <v>3337237</v>
      </c>
      <c r="L48" s="106" t="s">
        <v>999</v>
      </c>
      <c r="M48" s="383">
        <f t="shared" si="5"/>
        <v>3.7499999999999992E-2</v>
      </c>
      <c r="N48" s="2626">
        <f>C49/M48</f>
        <v>4572307200.000001</v>
      </c>
      <c r="O48" s="2627"/>
      <c r="P48" s="383">
        <f>G53/N48</f>
        <v>3.3534358671263371E-2</v>
      </c>
      <c r="Q48" s="119" t="s">
        <v>140</v>
      </c>
      <c r="R48" s="41"/>
      <c r="S48" s="41"/>
      <c r="T48" s="41"/>
    </row>
    <row r="49" spans="1:20">
      <c r="A49" s="41"/>
      <c r="B49" s="76" t="s">
        <v>141</v>
      </c>
      <c r="C49" s="78">
        <f>SUM(C43:C48)</f>
        <v>171461520</v>
      </c>
      <c r="D49" s="120">
        <f>C49/12</f>
        <v>14288460</v>
      </c>
      <c r="E49" s="41"/>
      <c r="F49" s="76" t="s">
        <v>139</v>
      </c>
      <c r="G49" s="77">
        <f>SUM(G43:G48)</f>
        <v>18132130.399999999</v>
      </c>
      <c r="H49" s="378"/>
      <c r="I49" s="121"/>
      <c r="J49" s="79"/>
      <c r="K49" s="41"/>
      <c r="L49" s="41"/>
      <c r="M49" s="102">
        <f t="shared" si="5"/>
        <v>3.4999999999999989E-2</v>
      </c>
      <c r="N49" s="2620">
        <f>C49/M49</f>
        <v>4898900571.4285727</v>
      </c>
      <c r="O49" s="2621"/>
      <c r="P49" s="102">
        <f>G53/N49</f>
        <v>3.1298734759845813E-2</v>
      </c>
      <c r="Q49" s="35"/>
      <c r="R49" s="41"/>
      <c r="S49" s="41"/>
      <c r="T49" s="122"/>
    </row>
    <row r="50" spans="1:20" ht="14.25" thickBot="1">
      <c r="A50" s="41"/>
      <c r="B50" s="41"/>
      <c r="C50" s="52"/>
      <c r="D50" s="41"/>
      <c r="E50" s="41"/>
      <c r="F50" s="41"/>
      <c r="G50" s="41"/>
      <c r="H50" s="41"/>
      <c r="I50" s="121"/>
      <c r="J50" s="79"/>
      <c r="K50" s="41"/>
      <c r="L50" s="41"/>
      <c r="M50" s="102">
        <f t="shared" si="5"/>
        <v>3.2499999999999987E-2</v>
      </c>
      <c r="N50" s="2620">
        <f>C49/M50</f>
        <v>5275739076.9230785</v>
      </c>
      <c r="O50" s="2621"/>
      <c r="P50" s="102">
        <f>G53/N50</f>
        <v>2.9063110848428254E-2</v>
      </c>
      <c r="Q50" s="35"/>
      <c r="R50" s="41"/>
      <c r="S50" s="66"/>
      <c r="T50" s="41"/>
    </row>
    <row r="51" spans="1:20" ht="14.25" thickBot="1">
      <c r="A51" s="67" t="s">
        <v>143</v>
      </c>
      <c r="B51" s="41"/>
      <c r="C51" s="41"/>
      <c r="D51" s="41"/>
      <c r="E51" s="41"/>
      <c r="F51" s="123" t="s">
        <v>142</v>
      </c>
      <c r="G51" s="373">
        <f>G43/E10/12</f>
        <v>542.69455599832543</v>
      </c>
      <c r="H51" s="41"/>
      <c r="I51" s="124" t="s">
        <v>1178</v>
      </c>
      <c r="J51" s="323"/>
      <c r="K51" s="325">
        <v>2350000</v>
      </c>
      <c r="L51" s="125" t="s">
        <v>145</v>
      </c>
      <c r="M51" s="102">
        <f t="shared" si="5"/>
        <v>2.9999999999999988E-2</v>
      </c>
      <c r="N51" s="2620">
        <f>C49/M51</f>
        <v>5715384000.0000019</v>
      </c>
      <c r="O51" s="2621"/>
      <c r="P51" s="102">
        <f>G53/N51</f>
        <v>2.6827486937010696E-2</v>
      </c>
      <c r="Q51" s="35"/>
      <c r="R51" s="40"/>
      <c r="S51" s="66"/>
      <c r="T51" s="41"/>
    </row>
    <row r="52" spans="1:20" ht="14.25" thickBot="1">
      <c r="A52" s="2622" t="s">
        <v>49</v>
      </c>
      <c r="B52" s="2623"/>
      <c r="C52" s="72" t="s">
        <v>126</v>
      </c>
      <c r="D52" s="41"/>
      <c r="E52" s="41"/>
      <c r="F52" s="41"/>
      <c r="G52" s="41"/>
      <c r="H52" s="70" t="s">
        <v>144</v>
      </c>
      <c r="I52" s="128" t="s">
        <v>147</v>
      </c>
      <c r="J52" s="324"/>
      <c r="K52" s="322">
        <f>K51*C8</f>
        <v>833122000</v>
      </c>
      <c r="L52" s="321">
        <f>K52/E8</f>
        <v>7768761.656098471</v>
      </c>
      <c r="M52" s="102">
        <f t="shared" si="5"/>
        <v>2.749999999999999E-2</v>
      </c>
      <c r="N52" s="2620">
        <f>C49/M52</f>
        <v>6234964363.6363659</v>
      </c>
      <c r="O52" s="2621"/>
      <c r="P52" s="102">
        <f>G53/N52</f>
        <v>2.4591863025593137E-2</v>
      </c>
      <c r="Q52" s="129"/>
      <c r="R52" s="129"/>
      <c r="S52" s="129"/>
      <c r="T52" s="40"/>
    </row>
    <row r="53" spans="1:20" ht="15" thickBot="1">
      <c r="A53" s="130" t="s">
        <v>148</v>
      </c>
      <c r="B53" s="130"/>
      <c r="C53" s="131">
        <f>L28</f>
        <v>0</v>
      </c>
      <c r="D53" s="41"/>
      <c r="E53" s="41"/>
      <c r="F53" s="126" t="s">
        <v>146</v>
      </c>
      <c r="G53" s="127">
        <f>C49-G49</f>
        <v>153329389.59999999</v>
      </c>
      <c r="H53" s="120">
        <f>G53/12</f>
        <v>12777449.133333333</v>
      </c>
      <c r="I53" s="132" t="s">
        <v>149</v>
      </c>
      <c r="J53" s="323"/>
      <c r="K53" s="285">
        <v>129000</v>
      </c>
      <c r="L53" s="125" t="s">
        <v>150</v>
      </c>
      <c r="M53" s="133"/>
      <c r="N53" s="60"/>
      <c r="O53" s="60"/>
      <c r="P53" s="129"/>
      <c r="Q53" s="129"/>
      <c r="R53" s="129"/>
      <c r="S53" s="129"/>
      <c r="T53" s="40"/>
    </row>
    <row r="54" spans="1:20" ht="14.25" thickBot="1">
      <c r="A54" s="134" t="s">
        <v>151</v>
      </c>
      <c r="B54" s="134"/>
      <c r="C54" s="116">
        <f>G38</f>
        <v>0</v>
      </c>
      <c r="D54" s="41"/>
      <c r="E54" s="41"/>
      <c r="F54" s="41"/>
      <c r="G54" s="41"/>
      <c r="H54" s="41"/>
      <c r="I54" s="137" t="s">
        <v>69</v>
      </c>
      <c r="J54" s="324"/>
      <c r="K54" s="322">
        <f>C10*K53</f>
        <v>275031870</v>
      </c>
      <c r="L54" s="321">
        <f ca="1">K54*(49-F13)/49</f>
        <v>79164890.50936538</v>
      </c>
      <c r="M54" s="41"/>
      <c r="N54" s="41"/>
      <c r="O54" s="41"/>
      <c r="P54" s="41"/>
      <c r="Q54" s="41"/>
      <c r="R54" s="129"/>
      <c r="S54" s="40"/>
    </row>
    <row r="55" spans="1:20" ht="14.25" thickBot="1">
      <c r="A55" s="41"/>
      <c r="B55" s="76" t="s">
        <v>70</v>
      </c>
      <c r="C55" s="77">
        <f>SUM(C53:C54)</f>
        <v>0</v>
      </c>
      <c r="D55" s="41"/>
      <c r="E55" s="41"/>
      <c r="F55" s="135" t="s">
        <v>152</v>
      </c>
      <c r="G55" s="136">
        <f>G49/C49</f>
        <v>0.10575043543297644</v>
      </c>
      <c r="H55" s="41"/>
      <c r="I55" s="41"/>
      <c r="J55" s="41"/>
      <c r="K55" s="41"/>
      <c r="L55" s="41"/>
      <c r="M55" s="41"/>
      <c r="N55" s="41"/>
      <c r="O55" s="41"/>
      <c r="P55" s="41"/>
      <c r="Q55" s="41"/>
      <c r="R55" s="41"/>
      <c r="S55" s="41"/>
    </row>
    <row r="56" spans="1:20">
      <c r="A56" s="41"/>
      <c r="B56" s="81"/>
      <c r="C56" s="164"/>
      <c r="D56" s="41"/>
      <c r="E56" s="41"/>
      <c r="F56" s="41"/>
      <c r="G56" s="41"/>
      <c r="H56" s="41"/>
      <c r="I56" s="41"/>
      <c r="J56" s="41"/>
      <c r="K56" s="41"/>
      <c r="L56" s="41"/>
      <c r="M56" s="41"/>
      <c r="N56" s="41"/>
      <c r="O56" s="41"/>
      <c r="P56" s="41"/>
      <c r="Q56" s="41"/>
      <c r="R56" s="41"/>
      <c r="S56" s="41"/>
    </row>
    <row r="57" spans="1:20">
      <c r="A57" s="41"/>
      <c r="B57" s="41"/>
      <c r="C57" s="41"/>
      <c r="D57" s="41"/>
      <c r="E57" s="41"/>
      <c r="F57" s="41"/>
      <c r="G57" s="41"/>
      <c r="H57" s="41"/>
      <c r="I57" s="165"/>
      <c r="J57" s="174" t="s">
        <v>80</v>
      </c>
      <c r="K57" s="175" t="s">
        <v>81</v>
      </c>
      <c r="L57" s="175" t="s">
        <v>82</v>
      </c>
      <c r="M57" s="175" t="s">
        <v>83</v>
      </c>
      <c r="N57" s="175" t="s">
        <v>84</v>
      </c>
      <c r="O57" s="35"/>
      <c r="P57" s="35"/>
      <c r="Q57" s="35"/>
      <c r="R57" s="35"/>
      <c r="S57" s="35"/>
    </row>
    <row r="58" spans="1:20">
      <c r="A58" s="35"/>
      <c r="B58" s="35"/>
      <c r="C58" s="35"/>
      <c r="D58" s="35"/>
      <c r="E58" s="35"/>
      <c r="F58" s="35"/>
      <c r="G58" s="65"/>
      <c r="H58" s="35" t="s">
        <v>153</v>
      </c>
      <c r="I58" s="168" t="s">
        <v>164</v>
      </c>
      <c r="J58" s="169">
        <v>669893720</v>
      </c>
      <c r="K58" s="169">
        <v>182412561</v>
      </c>
      <c r="L58" s="169">
        <v>257848161</v>
      </c>
      <c r="M58" s="169">
        <v>2377648</v>
      </c>
      <c r="N58" s="169">
        <v>509495</v>
      </c>
      <c r="O58" s="35"/>
      <c r="P58" s="35"/>
      <c r="Q58" s="35"/>
      <c r="R58" s="35"/>
      <c r="S58" s="35"/>
    </row>
    <row r="59" spans="1:20">
      <c r="A59" s="35"/>
      <c r="B59" s="35"/>
      <c r="C59" s="35"/>
      <c r="D59" s="35"/>
      <c r="E59" s="35"/>
      <c r="F59" s="35"/>
      <c r="G59" s="65"/>
      <c r="H59" s="35"/>
      <c r="I59" s="170"/>
      <c r="J59" s="171"/>
      <c r="K59" s="171"/>
      <c r="L59" s="171"/>
      <c r="M59" s="171"/>
      <c r="N59" s="171"/>
      <c r="O59" s="35"/>
      <c r="P59" s="35"/>
      <c r="Q59" s="35"/>
      <c r="R59" s="35"/>
      <c r="S59" s="35"/>
    </row>
    <row r="60" spans="1:20">
      <c r="A60" s="35"/>
      <c r="B60" s="35"/>
      <c r="C60" s="35"/>
      <c r="D60" s="35"/>
      <c r="E60" s="35"/>
      <c r="F60" s="35"/>
      <c r="G60" s="65"/>
      <c r="H60" s="35"/>
      <c r="I60" s="170"/>
      <c r="J60" s="171"/>
      <c r="K60" s="171"/>
      <c r="L60" s="171"/>
      <c r="M60" s="171"/>
      <c r="N60" s="171"/>
      <c r="O60" s="35"/>
      <c r="P60" s="35"/>
      <c r="Q60" s="35"/>
      <c r="R60" s="35"/>
      <c r="S60" s="35"/>
    </row>
    <row r="61" spans="1:20">
      <c r="A61" s="35"/>
      <c r="B61" s="35"/>
      <c r="C61" s="35"/>
      <c r="D61" s="35"/>
      <c r="E61" s="35"/>
      <c r="F61" s="35"/>
      <c r="G61" s="65"/>
      <c r="H61" s="35"/>
      <c r="I61" s="170"/>
      <c r="J61" s="171"/>
      <c r="K61" s="171"/>
      <c r="L61" s="171"/>
      <c r="M61" s="171"/>
      <c r="N61" s="171"/>
      <c r="O61" s="35"/>
      <c r="P61" s="35"/>
      <c r="Q61" s="35"/>
      <c r="R61" s="35"/>
      <c r="S61" s="35"/>
    </row>
    <row r="62" spans="1:20">
      <c r="A62" s="35"/>
      <c r="B62" s="35"/>
      <c r="C62" s="35"/>
      <c r="D62" s="35"/>
      <c r="E62" s="35"/>
      <c r="F62" s="35"/>
      <c r="G62" s="65"/>
      <c r="H62" s="35"/>
      <c r="I62" s="170"/>
      <c r="J62" s="171"/>
      <c r="K62" s="171"/>
      <c r="L62" s="171"/>
      <c r="M62" s="171"/>
      <c r="N62" s="171"/>
      <c r="O62" s="35"/>
      <c r="P62" s="35"/>
      <c r="Q62" s="35"/>
      <c r="R62" s="35"/>
      <c r="S62" s="35"/>
    </row>
    <row r="63" spans="1:20">
      <c r="A63" s="35"/>
      <c r="B63" s="35"/>
      <c r="C63" s="35"/>
      <c r="D63" s="35"/>
      <c r="E63" s="35"/>
      <c r="F63" s="35"/>
      <c r="G63" s="65"/>
      <c r="H63" s="35"/>
      <c r="I63" s="170"/>
      <c r="J63" s="171"/>
      <c r="K63" s="171"/>
      <c r="L63" s="171"/>
      <c r="M63" s="171"/>
      <c r="N63" s="171"/>
      <c r="O63" s="35"/>
      <c r="P63" s="35"/>
      <c r="Q63" s="35"/>
      <c r="R63" s="35"/>
      <c r="S63" s="35"/>
    </row>
    <row r="64" spans="1:20">
      <c r="A64" s="35"/>
      <c r="B64" s="35"/>
      <c r="C64" s="35"/>
      <c r="D64" s="35"/>
      <c r="E64" s="35"/>
      <c r="F64" s="35"/>
      <c r="G64" s="65"/>
      <c r="H64" s="35"/>
      <c r="I64" s="170"/>
      <c r="J64" s="171"/>
      <c r="K64" s="171"/>
      <c r="L64" s="171"/>
      <c r="M64" s="171"/>
      <c r="N64" s="171"/>
      <c r="O64" s="35"/>
      <c r="P64" s="35"/>
      <c r="Q64" s="35"/>
      <c r="R64" s="35"/>
      <c r="S64" s="35"/>
    </row>
    <row r="65" spans="1:19" ht="14.25" thickBot="1">
      <c r="A65" s="35"/>
      <c r="B65" s="35"/>
      <c r="C65" s="35"/>
      <c r="D65" s="35"/>
      <c r="E65" s="35"/>
      <c r="F65" s="35"/>
      <c r="G65" s="65"/>
      <c r="H65" s="35"/>
      <c r="I65" s="172"/>
      <c r="J65" s="173"/>
      <c r="K65" s="173"/>
      <c r="L65" s="173"/>
      <c r="M65" s="173"/>
      <c r="N65" s="173"/>
      <c r="O65" s="35"/>
      <c r="P65" s="35"/>
      <c r="Q65" s="35"/>
      <c r="R65" s="35"/>
      <c r="S65" s="35"/>
    </row>
    <row r="66" spans="1:19" ht="14.25" thickTop="1">
      <c r="A66" s="35"/>
      <c r="B66" s="35"/>
      <c r="C66" s="35"/>
      <c r="D66" s="35"/>
      <c r="E66" s="35"/>
      <c r="F66" s="35"/>
      <c r="G66" s="65"/>
      <c r="H66" s="35"/>
      <c r="I66" s="166" t="s">
        <v>156</v>
      </c>
      <c r="J66" s="167">
        <f>SUM(J58:J65)</f>
        <v>669893720</v>
      </c>
      <c r="K66" s="167">
        <f>SUM(K58:K65)</f>
        <v>182412561</v>
      </c>
      <c r="L66" s="167">
        <f>SUM(L58:L65)</f>
        <v>257848161</v>
      </c>
      <c r="M66" s="167">
        <f>SUM(M58:M65)</f>
        <v>2377648</v>
      </c>
      <c r="N66" s="167">
        <f>SUM(N58:N65)</f>
        <v>509495</v>
      </c>
      <c r="O66" s="35"/>
      <c r="P66" s="35"/>
      <c r="Q66" s="35"/>
      <c r="R66" s="35"/>
      <c r="S66" s="35"/>
    </row>
    <row r="67" spans="1:19">
      <c r="A67" s="35"/>
      <c r="B67" s="35"/>
      <c r="C67" s="35"/>
      <c r="D67" s="35"/>
      <c r="E67" s="35"/>
      <c r="F67" s="35"/>
      <c r="G67" s="65"/>
      <c r="H67" s="35"/>
      <c r="I67" s="35"/>
      <c r="J67" s="138"/>
      <c r="K67" s="138"/>
      <c r="L67" s="138"/>
      <c r="M67" s="138"/>
      <c r="N67" s="138"/>
      <c r="O67" s="35"/>
      <c r="P67" s="35"/>
      <c r="Q67" s="35"/>
      <c r="R67" s="35"/>
      <c r="S67" s="35"/>
    </row>
    <row r="68" spans="1:19">
      <c r="A68" s="35"/>
      <c r="B68" s="35"/>
      <c r="C68" s="35"/>
      <c r="D68" s="35"/>
      <c r="E68" s="35"/>
      <c r="F68" s="35"/>
      <c r="G68" s="65"/>
      <c r="H68" s="35"/>
      <c r="I68" s="176"/>
      <c r="J68" s="177" t="s">
        <v>80</v>
      </c>
      <c r="K68" s="178" t="s">
        <v>81</v>
      </c>
      <c r="L68" s="178" t="s">
        <v>82</v>
      </c>
      <c r="M68" s="178" t="s">
        <v>83</v>
      </c>
      <c r="N68" s="178" t="s">
        <v>84</v>
      </c>
      <c r="O68" s="35"/>
      <c r="P68" s="35"/>
      <c r="Q68" s="35"/>
      <c r="R68" s="35"/>
      <c r="S68" s="35"/>
    </row>
    <row r="69" spans="1:19">
      <c r="A69" s="35"/>
      <c r="B69" s="35"/>
      <c r="C69" s="35"/>
      <c r="D69" s="35"/>
      <c r="E69" s="35"/>
      <c r="F69" s="35"/>
      <c r="G69" s="65"/>
      <c r="H69" s="35" t="s">
        <v>154</v>
      </c>
      <c r="I69" s="168" t="s">
        <v>164</v>
      </c>
      <c r="J69" s="169">
        <v>164021500</v>
      </c>
      <c r="K69" s="169">
        <v>164021500</v>
      </c>
      <c r="L69" s="169">
        <v>164021500</v>
      </c>
      <c r="M69" s="169">
        <v>2296301</v>
      </c>
      <c r="N69" s="169">
        <v>492064</v>
      </c>
      <c r="O69" s="35"/>
      <c r="P69" s="35"/>
      <c r="Q69" s="35"/>
      <c r="R69" s="35"/>
      <c r="S69" s="35"/>
    </row>
    <row r="70" spans="1:19">
      <c r="A70" s="35"/>
      <c r="B70" s="35"/>
      <c r="C70" s="35"/>
      <c r="D70" s="35"/>
      <c r="E70" s="35"/>
      <c r="F70" s="35"/>
      <c r="G70" s="65"/>
      <c r="H70" s="35"/>
      <c r="I70" s="170"/>
      <c r="J70" s="171"/>
      <c r="K70" s="171"/>
      <c r="L70" s="171"/>
      <c r="M70" s="171"/>
      <c r="N70" s="171"/>
      <c r="O70" s="35"/>
      <c r="P70" s="35"/>
      <c r="Q70" s="35"/>
      <c r="R70" s="35"/>
      <c r="S70" s="35"/>
    </row>
    <row r="71" spans="1:19" ht="14.25" thickBot="1">
      <c r="A71" s="35"/>
      <c r="B71" s="35"/>
      <c r="C71" s="35"/>
      <c r="D71" s="35"/>
      <c r="E71" s="35"/>
      <c r="F71" s="35"/>
      <c r="G71" s="65"/>
      <c r="H71" s="35"/>
      <c r="I71" s="172"/>
      <c r="J71" s="173"/>
      <c r="K71" s="173"/>
      <c r="L71" s="173"/>
      <c r="M71" s="173"/>
      <c r="N71" s="173"/>
      <c r="O71" s="35"/>
      <c r="P71" s="35"/>
      <c r="Q71" s="35"/>
      <c r="R71" s="35"/>
      <c r="S71" s="35"/>
    </row>
    <row r="72" spans="1:19" ht="14.25" thickTop="1">
      <c r="A72" s="35"/>
      <c r="B72" s="35"/>
      <c r="C72" s="35"/>
      <c r="D72" s="35"/>
      <c r="E72" s="35"/>
      <c r="F72" s="35"/>
      <c r="G72" s="65"/>
      <c r="H72" s="35"/>
      <c r="I72" s="166"/>
      <c r="J72" s="179" t="s">
        <v>45</v>
      </c>
      <c r="K72" s="167">
        <f>SUM(K69:K71)</f>
        <v>164021500</v>
      </c>
      <c r="L72" s="167">
        <f>SUM(L69:L71)</f>
        <v>164021500</v>
      </c>
      <c r="M72" s="167">
        <f>SUM(M69:M71)</f>
        <v>2296301</v>
      </c>
      <c r="N72" s="167">
        <f>SUM(N69:N71)</f>
        <v>492064</v>
      </c>
      <c r="O72" s="35"/>
      <c r="P72" s="35"/>
      <c r="Q72" s="35"/>
      <c r="R72" s="35"/>
      <c r="S72" s="35"/>
    </row>
    <row r="73" spans="1:19">
      <c r="A73" s="35"/>
      <c r="B73" s="35"/>
      <c r="C73" s="35"/>
      <c r="D73" s="35"/>
      <c r="E73" s="35"/>
      <c r="F73" s="35"/>
      <c r="G73" s="65"/>
      <c r="H73" s="35"/>
      <c r="I73" s="58"/>
      <c r="J73" s="139"/>
      <c r="K73" s="139"/>
      <c r="L73" s="139"/>
      <c r="M73" s="139"/>
      <c r="N73" s="138"/>
      <c r="O73" s="35"/>
      <c r="P73" s="35"/>
      <c r="Q73" s="35"/>
      <c r="R73" s="35"/>
      <c r="S73" s="35"/>
    </row>
    <row r="74" spans="1:19">
      <c r="A74" s="35"/>
      <c r="B74" s="35"/>
      <c r="C74" s="35"/>
      <c r="D74" s="35"/>
      <c r="E74" s="35"/>
      <c r="F74" s="35"/>
      <c r="G74" s="65"/>
      <c r="H74" s="35"/>
      <c r="I74" s="176"/>
      <c r="J74" s="177"/>
      <c r="K74" s="178"/>
      <c r="L74" s="178"/>
      <c r="M74" s="178" t="s">
        <v>128</v>
      </c>
      <c r="N74" s="178"/>
      <c r="O74" s="35"/>
      <c r="P74" s="35"/>
      <c r="Q74" s="35"/>
      <c r="R74" s="35"/>
      <c r="S74" s="35"/>
    </row>
    <row r="75" spans="1:19">
      <c r="A75" s="35"/>
      <c r="B75" s="35"/>
      <c r="C75" s="35"/>
      <c r="D75" s="35"/>
      <c r="E75" s="35"/>
      <c r="F75" s="35"/>
      <c r="G75" s="65"/>
      <c r="H75" s="35" t="s">
        <v>155</v>
      </c>
      <c r="I75" s="168"/>
      <c r="J75" s="169"/>
      <c r="K75" s="169"/>
      <c r="L75" s="169"/>
      <c r="M75" s="169"/>
      <c r="N75" s="169"/>
      <c r="O75" s="35"/>
      <c r="P75" s="35"/>
      <c r="Q75" s="35"/>
      <c r="R75" s="35"/>
      <c r="S75" s="35"/>
    </row>
    <row r="76" spans="1:19" ht="14.25" thickBot="1">
      <c r="A76" s="35"/>
      <c r="B76" s="35"/>
      <c r="C76" s="35"/>
      <c r="D76" s="35"/>
      <c r="E76" s="35"/>
      <c r="F76" s="35"/>
      <c r="G76" s="65"/>
      <c r="H76" s="35"/>
      <c r="I76" s="281"/>
      <c r="J76" s="282"/>
      <c r="K76" s="282"/>
      <c r="L76" s="282"/>
      <c r="M76" s="282"/>
      <c r="N76" s="282"/>
      <c r="O76" s="35"/>
      <c r="P76" s="35"/>
      <c r="Q76" s="35"/>
      <c r="R76" s="35"/>
      <c r="S76" s="35"/>
    </row>
    <row r="77" spans="1:19" ht="14.25" thickTop="1">
      <c r="A77" s="35"/>
      <c r="B77" s="35"/>
      <c r="C77" s="35"/>
      <c r="D77" s="35"/>
      <c r="E77" s="35"/>
      <c r="F77" s="35"/>
      <c r="G77" s="65"/>
      <c r="H77" s="35"/>
      <c r="I77" s="283"/>
      <c r="J77" s="284">
        <f>SUM(J75:J76)</f>
        <v>0</v>
      </c>
      <c r="K77" s="284">
        <f>SUM(K75:K76)</f>
        <v>0</v>
      </c>
      <c r="L77" s="284">
        <f>SUM(L75:L76)</f>
        <v>0</v>
      </c>
      <c r="M77" s="284">
        <f>SUM(M75:M76)</f>
        <v>0</v>
      </c>
      <c r="N77" s="284"/>
      <c r="O77" s="35"/>
      <c r="P77" s="35"/>
      <c r="Q77" s="35"/>
      <c r="R77" s="35"/>
      <c r="S77" s="35"/>
    </row>
    <row r="78" spans="1:19">
      <c r="A78" s="35"/>
      <c r="B78" s="35"/>
      <c r="C78" s="35"/>
      <c r="D78" s="35"/>
      <c r="E78" s="35"/>
      <c r="F78" s="35"/>
      <c r="G78" s="65"/>
      <c r="H78" s="35"/>
      <c r="I78" s="35"/>
      <c r="J78" s="35"/>
      <c r="K78" s="35"/>
      <c r="L78" s="35"/>
      <c r="M78" s="35"/>
      <c r="N78" s="35"/>
      <c r="O78" s="35"/>
      <c r="P78" s="35"/>
      <c r="Q78" s="35"/>
      <c r="R78" s="35"/>
      <c r="S78" s="35"/>
    </row>
    <row r="79" spans="1:19">
      <c r="A79" s="41"/>
      <c r="B79" s="41"/>
      <c r="C79" s="41"/>
      <c r="D79" s="41"/>
      <c r="E79" s="35"/>
      <c r="F79" s="35"/>
      <c r="G79" s="35"/>
      <c r="H79" s="35"/>
      <c r="I79" s="41"/>
      <c r="J79" s="41"/>
      <c r="K79" s="41"/>
      <c r="L79" s="41"/>
      <c r="M79" s="41"/>
      <c r="N79" s="41"/>
      <c r="O79" s="41"/>
      <c r="P79" s="41"/>
      <c r="Q79" s="41"/>
      <c r="R79" s="41"/>
      <c r="S79" s="41"/>
    </row>
    <row r="80" spans="1:19">
      <c r="E80" s="41"/>
      <c r="F80" s="41"/>
      <c r="G80" s="41"/>
      <c r="H80" s="41"/>
    </row>
  </sheetData>
  <mergeCells count="40">
    <mergeCell ref="S20:S26"/>
    <mergeCell ref="N50:O50"/>
    <mergeCell ref="N51:O51"/>
    <mergeCell ref="A52:B52"/>
    <mergeCell ref="N52:O52"/>
    <mergeCell ref="N45:O45"/>
    <mergeCell ref="N46:O46"/>
    <mergeCell ref="N47:O47"/>
    <mergeCell ref="N48:O48"/>
    <mergeCell ref="N49:O49"/>
    <mergeCell ref="A42:B42"/>
    <mergeCell ref="E42:F42"/>
    <mergeCell ref="N42:O42"/>
    <mergeCell ref="N43:O43"/>
    <mergeCell ref="N44:O44"/>
    <mergeCell ref="E43:F43"/>
    <mergeCell ref="K33:L34"/>
    <mergeCell ref="K36:L36"/>
    <mergeCell ref="K35:L35"/>
    <mergeCell ref="A18:A19"/>
    <mergeCell ref="B18:C19"/>
    <mergeCell ref="D18:E19"/>
    <mergeCell ref="A33:B34"/>
    <mergeCell ref="C33:C34"/>
    <mergeCell ref="D33:D34"/>
    <mergeCell ref="G33:H33"/>
    <mergeCell ref="I33:J33"/>
    <mergeCell ref="A4:A6"/>
    <mergeCell ref="A7:A8"/>
    <mergeCell ref="A9:A13"/>
    <mergeCell ref="C9:F9"/>
    <mergeCell ref="C13:D13"/>
    <mergeCell ref="S18:S19"/>
    <mergeCell ref="F18:G18"/>
    <mergeCell ref="H18:I18"/>
    <mergeCell ref="J18:K18"/>
    <mergeCell ref="F1:L1"/>
    <mergeCell ref="N18:P18"/>
    <mergeCell ref="L18:L19"/>
    <mergeCell ref="M18:M19"/>
  </mergeCells>
  <phoneticPr fontId="3"/>
  <conditionalFormatting sqref="B53:B54 A52:A56 B50:B51 A42:A50 B43:B48">
    <cfRule type="cellIs" dxfId="55" priority="35" stopIfTrue="1" operator="equal">
      <formula>"空"</formula>
    </cfRule>
  </conditionalFormatting>
  <conditionalFormatting sqref="C32 B29:B30 B40 C39">
    <cfRule type="cellIs" dxfId="54" priority="36" stopIfTrue="1" operator="equal">
      <formula>"空室"</formula>
    </cfRule>
  </conditionalFormatting>
  <conditionalFormatting sqref="C20:C26">
    <cfRule type="cellIs" dxfId="53" priority="11" stopIfTrue="1" operator="equal">
      <formula>"空室"</formula>
    </cfRule>
  </conditionalFormatting>
  <conditionalFormatting sqref="B27:B28">
    <cfRule type="cellIs" dxfId="52" priority="34" stopIfTrue="1" operator="equal">
      <formula>"空室"</formula>
    </cfRule>
  </conditionalFormatting>
  <conditionalFormatting sqref="B25">
    <cfRule type="cellIs" dxfId="51" priority="10" stopIfTrue="1" operator="equal">
      <formula>"空室"</formula>
    </cfRule>
  </conditionalFormatting>
  <conditionalFormatting sqref="B24">
    <cfRule type="cellIs" dxfId="50" priority="8" stopIfTrue="1" operator="equal">
      <formula>"空室"</formula>
    </cfRule>
  </conditionalFormatting>
  <conditionalFormatting sqref="B22">
    <cfRule type="cellIs" dxfId="49" priority="7" stopIfTrue="1" operator="equal">
      <formula>"空室"</formula>
    </cfRule>
  </conditionalFormatting>
  <conditionalFormatting sqref="B26">
    <cfRule type="cellIs" dxfId="48" priority="5" stopIfTrue="1" operator="equal">
      <formula>"空室"</formula>
    </cfRule>
  </conditionalFormatting>
  <conditionalFormatting sqref="B20:B21">
    <cfRule type="cellIs" dxfId="47" priority="9" stopIfTrue="1" operator="equal">
      <formula>"空室"</formula>
    </cfRule>
  </conditionalFormatting>
  <conditionalFormatting sqref="B23">
    <cfRule type="cellIs" dxfId="46" priority="6" stopIfTrue="1" operator="equal">
      <formula>"空室"</formula>
    </cfRule>
  </conditionalFormatting>
  <conditionalFormatting sqref="A35:A36">
    <cfRule type="cellIs" dxfId="45" priority="3" stopIfTrue="1" operator="equal">
      <formula>"空室"</formula>
    </cfRule>
  </conditionalFormatting>
  <conditionalFormatting sqref="B35:B36">
    <cfRule type="cellIs" dxfId="44" priority="4" stopIfTrue="1" operator="equal">
      <formula>"空室"</formula>
    </cfRule>
  </conditionalFormatting>
  <conditionalFormatting sqref="C36">
    <cfRule type="cellIs" dxfId="43" priority="2" stopIfTrue="1" operator="equal">
      <formula>"空"</formula>
    </cfRule>
  </conditionalFormatting>
  <conditionalFormatting sqref="C35">
    <cfRule type="cellIs" dxfId="42" priority="1" stopIfTrue="1" operator="equal">
      <formula>"空室"</formula>
    </cfRule>
  </conditionalFormatting>
  <pageMargins left="0.70866141732283472" right="0.70866141732283472" top="0.74803149606299213" bottom="0.74803149606299213" header="0.47244094488188981" footer="0.31496062992125984"/>
  <pageSetup paperSize="9" scale="57" orientation="landscape" r:id="rId1"/>
  <rowBreaks count="1" manualBreakCount="1">
    <brk id="55" max="18" man="1"/>
  </rowBreaks>
  <colBreaks count="1" manualBreakCount="1">
    <brk id="19" max="1048575" man="1"/>
  </colBreaks>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rgb="FF99FFCC"/>
  </sheetPr>
  <dimension ref="A1:T80"/>
  <sheetViews>
    <sheetView view="pageBreakPreview" zoomScale="85" zoomScaleNormal="100" zoomScaleSheetLayoutView="85" workbookViewId="0">
      <selection activeCell="D20" sqref="D20:D26"/>
    </sheetView>
  </sheetViews>
  <sheetFormatPr defaultColWidth="9" defaultRowHeight="13.5"/>
  <cols>
    <col min="1" max="1" width="10.625" customWidth="1"/>
    <col min="2" max="2" width="11.625" customWidth="1"/>
    <col min="3" max="3" width="18.75" customWidth="1"/>
    <col min="4" max="12" width="12.5" customWidth="1"/>
    <col min="13" max="16" width="10.625" customWidth="1"/>
    <col min="17" max="18" width="6.875" customWidth="1"/>
    <col min="19" max="19" width="22.25" bestFit="1" customWidth="1"/>
    <col min="20" max="20" width="9" style="143"/>
  </cols>
  <sheetData>
    <row r="1" spans="1:19" ht="21">
      <c r="A1" s="34" t="str">
        <f>基本情報!C5</f>
        <v>MAMIYAビル</v>
      </c>
      <c r="B1" s="34"/>
      <c r="C1" s="35"/>
      <c r="D1" s="35"/>
      <c r="E1" s="36"/>
      <c r="F1" s="2594" t="s">
        <v>1186</v>
      </c>
      <c r="G1" s="2594"/>
      <c r="H1" s="2594"/>
      <c r="I1" s="2594"/>
      <c r="J1" s="2594"/>
      <c r="K1" s="2594"/>
      <c r="L1" s="2594"/>
      <c r="M1" s="35"/>
      <c r="N1" s="35"/>
      <c r="O1" s="35"/>
      <c r="P1" s="35"/>
      <c r="Q1" s="35"/>
      <c r="R1" s="35"/>
      <c r="S1" s="35"/>
    </row>
    <row r="2" spans="1:19" ht="23.25" customHeight="1" thickBot="1">
      <c r="A2" s="35"/>
      <c r="B2" s="35"/>
      <c r="C2" s="35"/>
      <c r="D2" s="35"/>
      <c r="E2" s="35"/>
      <c r="F2" s="35"/>
      <c r="G2" s="35"/>
      <c r="H2" s="35"/>
      <c r="I2" s="35"/>
      <c r="J2" s="35"/>
      <c r="K2" s="35"/>
      <c r="L2" s="35"/>
      <c r="M2" s="35"/>
      <c r="N2" s="35"/>
      <c r="O2" s="35"/>
      <c r="P2" s="35"/>
      <c r="Q2" s="35"/>
      <c r="R2" s="35"/>
      <c r="S2" s="35"/>
    </row>
    <row r="3" spans="1:19">
      <c r="A3" s="37" t="s">
        <v>86</v>
      </c>
      <c r="B3" s="38" t="str">
        <f>基本情報!C6</f>
        <v>東京都千代田区神田錦町3-18</v>
      </c>
      <c r="C3" s="39"/>
      <c r="D3" s="39"/>
      <c r="E3" s="39"/>
      <c r="F3" s="39"/>
      <c r="G3" s="432"/>
      <c r="H3" s="40"/>
      <c r="I3" s="40"/>
      <c r="J3" s="40"/>
      <c r="K3" s="40"/>
      <c r="L3" s="41"/>
      <c r="M3" s="41"/>
      <c r="N3" s="41"/>
      <c r="O3" s="41"/>
      <c r="P3" s="41"/>
      <c r="Q3" s="41"/>
      <c r="R3" s="41"/>
      <c r="S3" s="41"/>
    </row>
    <row r="4" spans="1:19">
      <c r="A4" s="2595" t="s">
        <v>87</v>
      </c>
      <c r="B4" s="1773" t="str">
        <f>基本情報!C10</f>
        <v>都営新宿線・都営三田線・東京メトロ半蔵門線</v>
      </c>
      <c r="C4" s="1774"/>
      <c r="D4" s="42"/>
      <c r="E4" s="43" t="str">
        <f>基本情報!D10</f>
        <v>『神保町 』駅</v>
      </c>
      <c r="F4" s="43" t="str">
        <f>基本情報!F10</f>
        <v>徒歩3分</v>
      </c>
      <c r="G4" s="436"/>
      <c r="H4" s="44"/>
      <c r="I4" s="40"/>
      <c r="J4" s="40"/>
      <c r="K4" s="40"/>
      <c r="L4" s="41"/>
      <c r="M4" s="41"/>
      <c r="N4" s="45"/>
      <c r="O4" s="45"/>
      <c r="P4" s="45"/>
      <c r="Q4" s="45"/>
      <c r="R4" s="45"/>
      <c r="S4" s="41"/>
    </row>
    <row r="5" spans="1:19">
      <c r="A5" s="2596"/>
      <c r="B5" s="1775" t="str">
        <f>基本情報!C11</f>
        <v>都営新宿線</v>
      </c>
      <c r="C5" s="1776"/>
      <c r="D5" s="29"/>
      <c r="E5" s="46" t="str">
        <f>基本情報!D11</f>
        <v>『小川町』駅</v>
      </c>
      <c r="F5" s="46" t="str">
        <f>基本情報!F11</f>
        <v>徒歩5分</v>
      </c>
      <c r="G5" s="437"/>
      <c r="H5" s="44"/>
      <c r="I5" s="40"/>
      <c r="J5" s="40"/>
      <c r="K5" s="40"/>
      <c r="L5" s="41"/>
      <c r="M5" s="41"/>
      <c r="N5" s="45"/>
      <c r="O5" s="45"/>
      <c r="P5" s="45"/>
      <c r="Q5" s="45"/>
      <c r="R5" s="45"/>
      <c r="S5" s="41"/>
    </row>
    <row r="6" spans="1:19">
      <c r="A6" s="2597"/>
      <c r="B6" s="1777" t="str">
        <f>基本情報!C12</f>
        <v>東京メトロ千代田線</v>
      </c>
      <c r="C6" s="1778"/>
      <c r="D6" s="47"/>
      <c r="E6" s="48" t="str">
        <f>基本情報!D12</f>
        <v>『新御茶ノ水』駅</v>
      </c>
      <c r="F6" s="48" t="str">
        <f>基本情報!F12</f>
        <v>徒歩5分</v>
      </c>
      <c r="G6" s="438"/>
      <c r="H6" s="49"/>
      <c r="I6" s="44"/>
      <c r="J6" s="44"/>
      <c r="K6" s="44"/>
      <c r="L6" s="50"/>
      <c r="M6" s="45"/>
      <c r="N6" s="45"/>
      <c r="O6" s="45"/>
      <c r="P6" s="45"/>
      <c r="Q6" s="45"/>
      <c r="R6" s="45"/>
      <c r="S6" s="41"/>
    </row>
    <row r="7" spans="1:19">
      <c r="A7" s="2595" t="s">
        <v>72</v>
      </c>
      <c r="B7" s="51" t="s">
        <v>88</v>
      </c>
      <c r="C7" s="52" t="str">
        <f>基本情報!C17</f>
        <v>宅地</v>
      </c>
      <c r="D7" s="52"/>
      <c r="E7" s="52"/>
      <c r="F7" s="52"/>
      <c r="G7" s="439"/>
      <c r="H7" s="44"/>
      <c r="I7" s="44"/>
      <c r="J7" s="44"/>
      <c r="K7" s="44"/>
      <c r="L7" s="53"/>
      <c r="M7" s="45"/>
      <c r="N7" s="45"/>
      <c r="O7" s="45"/>
      <c r="P7" s="45"/>
      <c r="Q7" s="45"/>
      <c r="R7" s="45"/>
      <c r="S7" s="41"/>
    </row>
    <row r="8" spans="1:19">
      <c r="A8" s="2597"/>
      <c r="B8" s="54" t="s">
        <v>89</v>
      </c>
      <c r="C8" s="1016">
        <f>基本情報!C20</f>
        <v>354.52</v>
      </c>
      <c r="D8" s="55" t="s">
        <v>44</v>
      </c>
      <c r="E8" s="55">
        <f>ROUNDDOWN(C8*0.3025,2)</f>
        <v>107.24</v>
      </c>
      <c r="F8" s="91" t="s">
        <v>29</v>
      </c>
      <c r="G8" s="440"/>
      <c r="H8" s="44"/>
      <c r="I8" s="56"/>
      <c r="J8" s="56"/>
      <c r="K8" s="44"/>
      <c r="L8" s="53"/>
      <c r="M8" s="45"/>
      <c r="N8" s="45"/>
      <c r="O8" s="45"/>
      <c r="P8" s="45"/>
      <c r="Q8" s="45"/>
      <c r="R8" s="45"/>
      <c r="S8" s="41"/>
    </row>
    <row r="9" spans="1:19">
      <c r="A9" s="2595" t="s">
        <v>38</v>
      </c>
      <c r="B9" s="57" t="s">
        <v>90</v>
      </c>
      <c r="C9" s="2599" t="str">
        <f>基本情報!C28</f>
        <v>鉄骨鉄筋コンクリート造陸屋根7階建</v>
      </c>
      <c r="D9" s="2599"/>
      <c r="E9" s="2599"/>
      <c r="F9" s="2599"/>
      <c r="G9" s="59"/>
      <c r="H9" s="44"/>
      <c r="I9" s="56"/>
      <c r="J9" s="56"/>
      <c r="K9" s="44"/>
      <c r="L9" s="53"/>
      <c r="M9" s="45"/>
      <c r="N9" s="45"/>
      <c r="O9" s="45"/>
      <c r="P9" s="45"/>
      <c r="Q9" s="45"/>
      <c r="R9" s="45"/>
      <c r="S9" s="41"/>
    </row>
    <row r="10" spans="1:19">
      <c r="A10" s="2596"/>
      <c r="B10" s="57" t="s">
        <v>91</v>
      </c>
      <c r="C10" s="1014">
        <f>基本情報!C30</f>
        <v>2132.0300000000002</v>
      </c>
      <c r="D10" s="58" t="s">
        <v>44</v>
      </c>
      <c r="E10" s="430">
        <f>ROUNDDOWN(C10*0.3025,2)</f>
        <v>644.92999999999995</v>
      </c>
      <c r="F10" s="65" t="s">
        <v>29</v>
      </c>
      <c r="G10" s="433"/>
      <c r="H10" s="44"/>
      <c r="I10" s="56"/>
      <c r="J10" s="56"/>
      <c r="K10" s="44"/>
      <c r="L10" s="45"/>
      <c r="M10" s="45"/>
      <c r="N10" s="45"/>
      <c r="O10" s="45"/>
      <c r="P10" s="45"/>
      <c r="Q10" s="45"/>
      <c r="R10" s="45"/>
      <c r="S10" s="41"/>
    </row>
    <row r="11" spans="1:19">
      <c r="A11" s="2596"/>
      <c r="B11" s="57" t="s">
        <v>92</v>
      </c>
      <c r="C11" s="1015">
        <f>D28</f>
        <v>1923.2312500000003</v>
      </c>
      <c r="D11" s="58" t="s">
        <v>44</v>
      </c>
      <c r="E11" s="429">
        <f>E28</f>
        <v>581.77745312500008</v>
      </c>
      <c r="F11" s="65" t="s">
        <v>29</v>
      </c>
      <c r="G11" s="434">
        <f>E11/E10</f>
        <v>0.90207844746716714</v>
      </c>
      <c r="H11" s="56"/>
      <c r="I11" s="44"/>
      <c r="J11" s="44"/>
      <c r="K11" s="44"/>
      <c r="L11" s="45"/>
      <c r="M11" s="45"/>
      <c r="N11" s="45"/>
      <c r="O11" s="45"/>
      <c r="P11" s="45"/>
      <c r="Q11" s="45"/>
      <c r="R11" s="45"/>
      <c r="S11" s="41"/>
    </row>
    <row r="12" spans="1:19">
      <c r="A12" s="2596"/>
      <c r="B12" s="57" t="s">
        <v>93</v>
      </c>
      <c r="C12" s="1718">
        <f>D38</f>
        <v>2</v>
      </c>
      <c r="D12" s="58" t="s">
        <v>73</v>
      </c>
      <c r="E12" s="58"/>
      <c r="F12" s="65"/>
      <c r="G12" s="59"/>
      <c r="H12" s="44"/>
      <c r="I12" s="44"/>
      <c r="J12" s="44"/>
      <c r="K12" s="44"/>
      <c r="L12" s="45"/>
      <c r="M12" s="45"/>
      <c r="N12" s="41"/>
      <c r="O12" s="41"/>
      <c r="P12" s="41"/>
      <c r="Q12" s="41"/>
      <c r="R12" s="41"/>
      <c r="S12" s="41"/>
    </row>
    <row r="13" spans="1:19" ht="14.25" thickBot="1">
      <c r="A13" s="2598"/>
      <c r="B13" s="61" t="s">
        <v>94</v>
      </c>
      <c r="C13" s="2600">
        <f>基本情報!C33</f>
        <v>30749</v>
      </c>
      <c r="D13" s="2600"/>
      <c r="E13" s="62"/>
      <c r="F13" s="431">
        <f ca="1">基本情報!E33</f>
        <v>34.895890410958906</v>
      </c>
      <c r="G13" s="435"/>
      <c r="H13" s="40"/>
      <c r="I13" s="40"/>
      <c r="J13" s="40"/>
      <c r="K13" s="40"/>
      <c r="L13" s="41"/>
      <c r="M13" s="41"/>
      <c r="N13" s="41"/>
      <c r="O13" s="41"/>
      <c r="P13" s="41"/>
      <c r="Q13" s="41"/>
      <c r="R13" s="41"/>
      <c r="S13" s="41"/>
    </row>
    <row r="14" spans="1:19" ht="39" customHeight="1">
      <c r="A14" s="63"/>
      <c r="B14" s="63"/>
      <c r="C14" s="64"/>
      <c r="D14" s="64"/>
      <c r="E14" s="65"/>
      <c r="F14" s="65"/>
      <c r="G14" s="65"/>
      <c r="H14" s="41"/>
      <c r="I14" s="66"/>
      <c r="J14" s="41"/>
      <c r="K14" s="41"/>
      <c r="L14" s="41"/>
      <c r="M14" s="35"/>
      <c r="N14" s="35"/>
      <c r="O14" s="41"/>
      <c r="P14" s="41"/>
      <c r="Q14" s="41"/>
      <c r="R14" s="41"/>
      <c r="S14" s="41"/>
    </row>
    <row r="15" spans="1:19" ht="14.25" thickBot="1">
      <c r="A15" s="67" t="s">
        <v>95</v>
      </c>
      <c r="B15" s="67"/>
      <c r="C15" s="41"/>
      <c r="D15" s="41"/>
      <c r="E15" s="41"/>
      <c r="F15" s="41"/>
      <c r="G15" s="66"/>
      <c r="H15" s="41"/>
      <c r="I15" s="41"/>
      <c r="J15" s="68"/>
      <c r="K15" s="41"/>
      <c r="L15" s="41"/>
      <c r="M15" s="41"/>
      <c r="N15" s="41"/>
      <c r="O15" s="41"/>
      <c r="P15" s="41"/>
      <c r="Q15" s="41"/>
      <c r="R15" s="41"/>
      <c r="S15" s="180">
        <f ca="1">TODAY()</f>
        <v>43486</v>
      </c>
    </row>
    <row r="16" spans="1:19" ht="14.25" thickBot="1">
      <c r="A16" s="355" t="s">
        <v>96</v>
      </c>
      <c r="B16" s="69"/>
      <c r="C16" s="70" t="s">
        <v>97</v>
      </c>
      <c r="D16" s="356">
        <f>D27/D28</f>
        <v>0</v>
      </c>
      <c r="E16" s="41"/>
      <c r="F16" s="280">
        <f>F28-F27</f>
        <v>13576700</v>
      </c>
      <c r="G16" s="71"/>
      <c r="H16" s="41"/>
      <c r="I16" s="41"/>
      <c r="J16" s="41"/>
      <c r="K16" s="41"/>
      <c r="L16" s="41"/>
      <c r="M16" s="41"/>
      <c r="N16" s="41"/>
      <c r="O16" s="41"/>
      <c r="P16" s="41"/>
      <c r="Q16" s="41"/>
      <c r="R16" s="41"/>
      <c r="S16" s="41"/>
    </row>
    <row r="17" spans="1:20" ht="12" customHeight="1">
      <c r="A17" s="69"/>
      <c r="B17" s="69"/>
      <c r="C17" s="41"/>
      <c r="D17" s="41"/>
      <c r="E17" s="41"/>
      <c r="F17" s="41"/>
      <c r="G17" s="41"/>
      <c r="H17" s="41"/>
      <c r="I17" s="41"/>
      <c r="J17" s="41"/>
      <c r="K17" s="41"/>
      <c r="L17" s="41"/>
      <c r="M17" s="41"/>
      <c r="N17" s="41"/>
      <c r="O17" s="41"/>
      <c r="P17" s="41"/>
      <c r="Q17" s="41"/>
      <c r="R17" s="41"/>
    </row>
    <row r="18" spans="1:20">
      <c r="A18" s="2590" t="s">
        <v>98</v>
      </c>
      <c r="B18" s="2605" t="s">
        <v>99</v>
      </c>
      <c r="C18" s="2606"/>
      <c r="D18" s="2592" t="s">
        <v>100</v>
      </c>
      <c r="E18" s="2593"/>
      <c r="F18" s="2592" t="s">
        <v>74</v>
      </c>
      <c r="G18" s="2593"/>
      <c r="H18" s="2592" t="s">
        <v>75</v>
      </c>
      <c r="I18" s="2593"/>
      <c r="J18" s="2592" t="s">
        <v>101</v>
      </c>
      <c r="K18" s="2593"/>
      <c r="L18" s="2590" t="s">
        <v>102</v>
      </c>
      <c r="M18" s="2590" t="s">
        <v>103</v>
      </c>
      <c r="N18" s="2555" t="s">
        <v>76</v>
      </c>
      <c r="O18" s="2556"/>
      <c r="P18" s="2557"/>
      <c r="Q18" s="73" t="s">
        <v>104</v>
      </c>
      <c r="R18" s="73" t="s">
        <v>105</v>
      </c>
      <c r="S18" s="2590" t="s">
        <v>43</v>
      </c>
    </row>
    <row r="19" spans="1:20">
      <c r="A19" s="2591"/>
      <c r="B19" s="2607"/>
      <c r="C19" s="2608"/>
      <c r="D19" s="2609"/>
      <c r="E19" s="2610"/>
      <c r="F19" s="1853"/>
      <c r="G19" s="326" t="s">
        <v>106</v>
      </c>
      <c r="H19" s="340"/>
      <c r="I19" s="341" t="s">
        <v>106</v>
      </c>
      <c r="J19" s="340"/>
      <c r="K19" s="341" t="s">
        <v>106</v>
      </c>
      <c r="L19" s="2591"/>
      <c r="M19" s="2591"/>
      <c r="N19" s="341" t="s">
        <v>226</v>
      </c>
      <c r="O19" s="342" t="s">
        <v>77</v>
      </c>
      <c r="P19" s="342" t="s">
        <v>78</v>
      </c>
      <c r="Q19" s="342" t="s">
        <v>107</v>
      </c>
      <c r="R19" s="74" t="s">
        <v>108</v>
      </c>
      <c r="S19" s="2591"/>
    </row>
    <row r="20" spans="1:20" s="1785" customFormat="1" ht="18" customHeight="1">
      <c r="A20" s="1814" t="s">
        <v>227</v>
      </c>
      <c r="B20" s="1815" t="s">
        <v>96</v>
      </c>
      <c r="C20" s="1816" t="s">
        <v>45</v>
      </c>
      <c r="D20" s="1817">
        <v>166.79124999999999</v>
      </c>
      <c r="E20" s="1818">
        <f>ROUNDDOWN(D20*0.3025,2)</f>
        <v>50.45</v>
      </c>
      <c r="F20" s="1819">
        <f t="shared" ref="F20:F25" si="0">G20*E20</f>
        <v>1160350</v>
      </c>
      <c r="G20" s="1820">
        <v>23000</v>
      </c>
      <c r="H20" s="1821">
        <v>0</v>
      </c>
      <c r="I20" s="1820">
        <f>H20/E20</f>
        <v>0</v>
      </c>
      <c r="J20" s="1822">
        <f t="shared" ref="J20:K26" si="1">SUM(F20,H20)</f>
        <v>1160350</v>
      </c>
      <c r="K20" s="1822">
        <f t="shared" si="1"/>
        <v>23000</v>
      </c>
      <c r="L20" s="1821">
        <f>M20*F20</f>
        <v>0</v>
      </c>
      <c r="M20" s="1823">
        <v>0</v>
      </c>
      <c r="N20" s="1824"/>
      <c r="O20" s="1825"/>
      <c r="P20" s="1825"/>
      <c r="Q20" s="1826" t="s">
        <v>1194</v>
      </c>
      <c r="R20" s="1827" t="s">
        <v>45</v>
      </c>
      <c r="S20" s="2662" t="s">
        <v>1192</v>
      </c>
    </row>
    <row r="21" spans="1:20" s="1785" customFormat="1" ht="18" customHeight="1">
      <c r="A21" s="1828" t="s">
        <v>983</v>
      </c>
      <c r="B21" s="1816" t="s">
        <v>96</v>
      </c>
      <c r="C21" s="1816" t="s">
        <v>45</v>
      </c>
      <c r="D21" s="1829">
        <v>286.42</v>
      </c>
      <c r="E21" s="1830">
        <f>ROUNDDOWN(D21*0.3025,2)</f>
        <v>86.64</v>
      </c>
      <c r="F21" s="1819">
        <f t="shared" si="0"/>
        <v>1992720</v>
      </c>
      <c r="G21" s="1820">
        <v>23000</v>
      </c>
      <c r="H21" s="1819">
        <v>0</v>
      </c>
      <c r="I21" s="1820">
        <f>H21/E21</f>
        <v>0</v>
      </c>
      <c r="J21" s="1820">
        <f t="shared" si="1"/>
        <v>1992720</v>
      </c>
      <c r="K21" s="1820">
        <f t="shared" si="1"/>
        <v>23000</v>
      </c>
      <c r="L21" s="1819">
        <f>M21*F21</f>
        <v>0</v>
      </c>
      <c r="M21" s="1823">
        <v>0</v>
      </c>
      <c r="N21" s="1831"/>
      <c r="O21" s="1832"/>
      <c r="P21" s="1832"/>
      <c r="Q21" s="1833" t="s">
        <v>1194</v>
      </c>
      <c r="R21" s="1834" t="s">
        <v>45</v>
      </c>
      <c r="S21" s="2663"/>
    </row>
    <row r="22" spans="1:20" s="1785" customFormat="1" ht="18" customHeight="1">
      <c r="A22" s="1828" t="s">
        <v>984</v>
      </c>
      <c r="B22" s="1816" t="s">
        <v>96</v>
      </c>
      <c r="C22" s="1816" t="s">
        <v>45</v>
      </c>
      <c r="D22" s="1829">
        <v>286.42</v>
      </c>
      <c r="E22" s="1830">
        <f>ROUNDDOWN(D22*0.3025,2)</f>
        <v>86.64</v>
      </c>
      <c r="F22" s="1819">
        <f t="shared" si="0"/>
        <v>1992720</v>
      </c>
      <c r="G22" s="1820">
        <v>23000</v>
      </c>
      <c r="H22" s="1819">
        <v>0</v>
      </c>
      <c r="I22" s="1820">
        <f t="shared" ref="I22:I26" si="2">H22/E22</f>
        <v>0</v>
      </c>
      <c r="J22" s="1820">
        <f t="shared" si="1"/>
        <v>1992720</v>
      </c>
      <c r="K22" s="1820">
        <f t="shared" si="1"/>
        <v>23000</v>
      </c>
      <c r="L22" s="1819">
        <f t="shared" ref="L22:L25" si="3">M22*F22</f>
        <v>0</v>
      </c>
      <c r="M22" s="1823">
        <v>0</v>
      </c>
      <c r="N22" s="1831"/>
      <c r="O22" s="1832"/>
      <c r="P22" s="1832"/>
      <c r="Q22" s="1833" t="s">
        <v>1194</v>
      </c>
      <c r="R22" s="1834" t="s">
        <v>45</v>
      </c>
      <c r="S22" s="2663"/>
    </row>
    <row r="23" spans="1:20" s="1785" customFormat="1" ht="18" customHeight="1">
      <c r="A23" s="1828" t="s">
        <v>985</v>
      </c>
      <c r="B23" s="1816" t="s">
        <v>96</v>
      </c>
      <c r="C23" s="1816" t="s">
        <v>45</v>
      </c>
      <c r="D23" s="1829">
        <v>286.42</v>
      </c>
      <c r="E23" s="1830">
        <f t="shared" ref="E23" si="4">ROUNDDOWN(D23*0.3025,2)</f>
        <v>86.64</v>
      </c>
      <c r="F23" s="1819">
        <f t="shared" si="0"/>
        <v>1992720</v>
      </c>
      <c r="G23" s="1820">
        <v>23000</v>
      </c>
      <c r="H23" s="1819">
        <f>I23*E23</f>
        <v>0</v>
      </c>
      <c r="I23" s="1820">
        <v>0</v>
      </c>
      <c r="J23" s="1820">
        <f t="shared" si="1"/>
        <v>1992720</v>
      </c>
      <c r="K23" s="1820">
        <f t="shared" si="1"/>
        <v>23000</v>
      </c>
      <c r="L23" s="1819">
        <f t="shared" si="3"/>
        <v>0</v>
      </c>
      <c r="M23" s="1823">
        <v>0</v>
      </c>
      <c r="N23" s="1831"/>
      <c r="O23" s="1832"/>
      <c r="P23" s="1832"/>
      <c r="Q23" s="1833" t="s">
        <v>1194</v>
      </c>
      <c r="R23" s="1834" t="s">
        <v>45</v>
      </c>
      <c r="S23" s="2663"/>
    </row>
    <row r="24" spans="1:20" s="1785" customFormat="1" ht="18" customHeight="1">
      <c r="A24" s="1828" t="s">
        <v>986</v>
      </c>
      <c r="B24" s="1816" t="s">
        <v>96</v>
      </c>
      <c r="C24" s="1816" t="s">
        <v>45</v>
      </c>
      <c r="D24" s="1829">
        <v>286.42</v>
      </c>
      <c r="E24" s="1830">
        <f>ROUNDDOWN(D24*0.3025,2)</f>
        <v>86.64</v>
      </c>
      <c r="F24" s="1819">
        <f t="shared" si="0"/>
        <v>1992720</v>
      </c>
      <c r="G24" s="1820">
        <v>23000</v>
      </c>
      <c r="H24" s="1819">
        <f>I24*E24</f>
        <v>0</v>
      </c>
      <c r="I24" s="1820">
        <v>0</v>
      </c>
      <c r="J24" s="1820">
        <f t="shared" si="1"/>
        <v>1992720</v>
      </c>
      <c r="K24" s="1820">
        <f t="shared" si="1"/>
        <v>23000</v>
      </c>
      <c r="L24" s="1819">
        <f t="shared" si="3"/>
        <v>0</v>
      </c>
      <c r="M24" s="1823">
        <v>0</v>
      </c>
      <c r="N24" s="1831"/>
      <c r="O24" s="1832"/>
      <c r="P24" s="1832"/>
      <c r="Q24" s="1833" t="s">
        <v>1194</v>
      </c>
      <c r="R24" s="1834" t="s">
        <v>45</v>
      </c>
      <c r="S24" s="2663"/>
    </row>
    <row r="25" spans="1:20" s="1785" customFormat="1" ht="18" customHeight="1">
      <c r="A25" s="1828" t="s">
        <v>324</v>
      </c>
      <c r="B25" s="1835" t="s">
        <v>96</v>
      </c>
      <c r="C25" s="1816" t="s">
        <v>45</v>
      </c>
      <c r="D25" s="1829">
        <v>286.42</v>
      </c>
      <c r="E25" s="1836">
        <f>ROUNDDOWN(D25*0.3025,2)</f>
        <v>86.64</v>
      </c>
      <c r="F25" s="1819">
        <f t="shared" si="0"/>
        <v>1992720</v>
      </c>
      <c r="G25" s="1820">
        <v>23000</v>
      </c>
      <c r="H25" s="1819">
        <v>0</v>
      </c>
      <c r="I25" s="1820">
        <f>H25/E25</f>
        <v>0</v>
      </c>
      <c r="J25" s="1820">
        <f t="shared" si="1"/>
        <v>1992720</v>
      </c>
      <c r="K25" s="1820">
        <f t="shared" si="1"/>
        <v>23000</v>
      </c>
      <c r="L25" s="1819">
        <f t="shared" si="3"/>
        <v>0</v>
      </c>
      <c r="M25" s="1823">
        <v>0</v>
      </c>
      <c r="N25" s="1831"/>
      <c r="O25" s="1832"/>
      <c r="P25" s="1832"/>
      <c r="Q25" s="1833" t="s">
        <v>1194</v>
      </c>
      <c r="R25" s="1838" t="s">
        <v>45</v>
      </c>
      <c r="S25" s="2663"/>
    </row>
    <row r="26" spans="1:20" s="2659" customFormat="1" ht="18" customHeight="1" thickBot="1">
      <c r="A26" s="1839" t="s">
        <v>1201</v>
      </c>
      <c r="B26" s="1840" t="s">
        <v>96</v>
      </c>
      <c r="C26" s="1840" t="s">
        <v>45</v>
      </c>
      <c r="D26" s="1841">
        <f>286.42+37.92</f>
        <v>324.34000000000003</v>
      </c>
      <c r="E26" s="1842">
        <f>ROUNDDOWN(D26*0.3025,2)</f>
        <v>98.11</v>
      </c>
      <c r="F26" s="1843">
        <f>G26*E26</f>
        <v>2452750</v>
      </c>
      <c r="G26" s="1844">
        <v>25000</v>
      </c>
      <c r="H26" s="1843">
        <v>0</v>
      </c>
      <c r="I26" s="1844">
        <f t="shared" si="2"/>
        <v>0</v>
      </c>
      <c r="J26" s="1844">
        <f t="shared" si="1"/>
        <v>2452750</v>
      </c>
      <c r="K26" s="1844">
        <f t="shared" si="1"/>
        <v>25000</v>
      </c>
      <c r="L26" s="1843">
        <f>M26*F26</f>
        <v>0</v>
      </c>
      <c r="M26" s="1845">
        <v>0</v>
      </c>
      <c r="N26" s="1846"/>
      <c r="O26" s="1847"/>
      <c r="P26" s="1847"/>
      <c r="Q26" s="1848" t="s">
        <v>1194</v>
      </c>
      <c r="R26" s="1849" t="s">
        <v>45</v>
      </c>
      <c r="S26" s="2664"/>
    </row>
    <row r="27" spans="1:20" ht="14.25" thickTop="1">
      <c r="A27" s="328"/>
      <c r="B27" s="1463" t="s">
        <v>110</v>
      </c>
      <c r="C27" s="2654" t="s">
        <v>112</v>
      </c>
      <c r="D27" s="329">
        <f>D28-SUMIF(C20:C26,"-",D20:D26)</f>
        <v>0</v>
      </c>
      <c r="E27" s="330">
        <f>ROUNDDOWN(D27*0.3025,2)</f>
        <v>0</v>
      </c>
      <c r="F27" s="331">
        <f>F28-SUMIF(C20:C26,"-",F20:F26)</f>
        <v>0</v>
      </c>
      <c r="G27" s="2655" t="e">
        <f>F27/E27</f>
        <v>#DIV/0!</v>
      </c>
      <c r="H27" s="331">
        <f>H28-SUMIF(C20:C26,"-",H20:H26)</f>
        <v>0</v>
      </c>
      <c r="I27" s="2655" t="e">
        <f>H27/E27</f>
        <v>#DIV/0!</v>
      </c>
      <c r="J27" s="331">
        <f>SUM(F27,H27)</f>
        <v>0</v>
      </c>
      <c r="K27" s="331" t="e">
        <f>SUM(G27,I27)</f>
        <v>#DIV/0!</v>
      </c>
      <c r="L27" s="331">
        <f>L28-SUMIF(C20:C26,"-",L20:L26)</f>
        <v>0</v>
      </c>
      <c r="M27" s="1350"/>
      <c r="N27" s="337"/>
      <c r="O27" s="338"/>
      <c r="P27" s="2656"/>
      <c r="Q27" s="2657"/>
      <c r="R27" s="2658"/>
      <c r="S27" s="339"/>
    </row>
    <row r="28" spans="1:20">
      <c r="A28" s="332"/>
      <c r="B28" s="1464" t="s">
        <v>111</v>
      </c>
      <c r="C28" s="333" t="s">
        <v>112</v>
      </c>
      <c r="D28" s="334">
        <f>SUM(D20:D26)</f>
        <v>1923.2312500000003</v>
      </c>
      <c r="E28" s="335">
        <f>D28*0.3025</f>
        <v>581.77745312500008</v>
      </c>
      <c r="F28" s="336">
        <f>SUM(F20:F26)</f>
        <v>13576700</v>
      </c>
      <c r="G28" s="336">
        <f>F28/E28</f>
        <v>23336.5867430461</v>
      </c>
      <c r="H28" s="336">
        <f>SUM(H20:H26)</f>
        <v>0</v>
      </c>
      <c r="I28" s="336">
        <f>H28/E28</f>
        <v>0</v>
      </c>
      <c r="J28" s="336">
        <f>SUM(J20:J26)</f>
        <v>13576700</v>
      </c>
      <c r="K28" s="336">
        <f>SUM(G28,I28)</f>
        <v>23336.5867430461</v>
      </c>
      <c r="L28" s="336">
        <f>SUM(L20:L26)</f>
        <v>0</v>
      </c>
      <c r="M28" s="1350"/>
      <c r="N28" s="337"/>
      <c r="O28" s="338"/>
      <c r="P28" s="338"/>
      <c r="Q28" s="338"/>
      <c r="R28" s="338"/>
      <c r="S28" s="339"/>
    </row>
    <row r="29" spans="1:20" s="372" customFormat="1" ht="32.25" customHeight="1">
      <c r="A29" s="86"/>
      <c r="B29" s="86"/>
      <c r="C29" s="87"/>
      <c r="D29" s="88"/>
      <c r="E29" s="88"/>
      <c r="F29" s="88"/>
      <c r="G29" s="88"/>
      <c r="H29" s="88"/>
      <c r="I29" s="88"/>
      <c r="J29" s="88"/>
      <c r="K29" s="88"/>
      <c r="L29" s="88"/>
      <c r="M29" s="88"/>
      <c r="N29" s="88"/>
      <c r="O29" s="89"/>
      <c r="P29" s="89"/>
      <c r="Q29" s="89"/>
      <c r="R29" s="89"/>
      <c r="S29" s="86"/>
      <c r="T29" s="1365"/>
    </row>
    <row r="30" spans="1:20" ht="14.25" thickBot="1">
      <c r="A30" s="41"/>
      <c r="B30" s="41"/>
      <c r="C30" s="81"/>
      <c r="D30" s="79"/>
      <c r="E30" s="79"/>
      <c r="F30" s="79"/>
      <c r="G30" s="79"/>
      <c r="H30" s="79"/>
      <c r="I30" s="79"/>
      <c r="J30" s="79"/>
      <c r="K30" s="79"/>
      <c r="L30" s="79"/>
      <c r="M30" s="79"/>
      <c r="N30" s="80"/>
      <c r="O30" s="80"/>
      <c r="P30" s="80"/>
      <c r="Q30" s="80"/>
      <c r="R30" s="40"/>
      <c r="S30" s="41"/>
    </row>
    <row r="31" spans="1:20" ht="14.25" thickBot="1">
      <c r="A31" s="82" t="s">
        <v>113</v>
      </c>
      <c r="C31" s="83" t="s">
        <v>97</v>
      </c>
      <c r="D31" s="356">
        <f>D37/D38</f>
        <v>0</v>
      </c>
      <c r="E31" s="45"/>
      <c r="F31" s="84"/>
      <c r="G31" s="84"/>
      <c r="H31" s="84"/>
      <c r="I31" s="45"/>
      <c r="J31" s="84"/>
      <c r="K31" s="45"/>
      <c r="L31" s="45"/>
      <c r="M31" s="45"/>
      <c r="N31" s="80"/>
      <c r="O31" s="80"/>
      <c r="P31" s="45"/>
      <c r="Q31" s="45"/>
      <c r="R31" s="45"/>
      <c r="S31" s="45"/>
    </row>
    <row r="32" spans="1:20">
      <c r="A32" s="85"/>
      <c r="B32" s="85"/>
      <c r="C32" s="85"/>
      <c r="D32" s="45"/>
      <c r="E32" s="45"/>
      <c r="F32" s="45"/>
      <c r="G32" s="45"/>
      <c r="H32" s="45"/>
      <c r="I32" s="45"/>
      <c r="J32" s="45"/>
      <c r="K32" s="45"/>
      <c r="L32" s="45"/>
      <c r="M32" s="45"/>
      <c r="N32" s="45"/>
      <c r="O32" s="80"/>
      <c r="P32" s="80"/>
      <c r="Q32" s="45"/>
      <c r="R32" s="45"/>
      <c r="S32" s="45"/>
      <c r="T32" s="45"/>
    </row>
    <row r="33" spans="1:20">
      <c r="A33" s="2592" t="s">
        <v>233</v>
      </c>
      <c r="B33" s="2593"/>
      <c r="C33" s="2611" t="s">
        <v>114</v>
      </c>
      <c r="D33" s="2611" t="s">
        <v>115</v>
      </c>
      <c r="E33" s="1850" t="s">
        <v>116</v>
      </c>
      <c r="F33" s="1851" t="s">
        <v>117</v>
      </c>
      <c r="G33" s="2613" t="s">
        <v>118</v>
      </c>
      <c r="H33" s="2614"/>
      <c r="I33" s="2615" t="s">
        <v>76</v>
      </c>
      <c r="J33" s="2616"/>
      <c r="K33" s="2601" t="s">
        <v>43</v>
      </c>
      <c r="L33" s="2602"/>
      <c r="M33" s="45"/>
      <c r="N33" s="45"/>
      <c r="O33" s="80"/>
      <c r="P33" s="80"/>
      <c r="Q33" s="45"/>
      <c r="R33" s="45"/>
      <c r="S33" s="45"/>
      <c r="T33" s="45"/>
    </row>
    <row r="34" spans="1:20">
      <c r="A34" s="2609"/>
      <c r="B34" s="2610"/>
      <c r="C34" s="2612"/>
      <c r="D34" s="2612"/>
      <c r="E34" s="1852"/>
      <c r="F34" s="347" t="s">
        <v>119</v>
      </c>
      <c r="G34" s="348"/>
      <c r="H34" s="349" t="s">
        <v>120</v>
      </c>
      <c r="I34" s="350" t="s">
        <v>77</v>
      </c>
      <c r="J34" s="350" t="s">
        <v>78</v>
      </c>
      <c r="K34" s="2603"/>
      <c r="L34" s="2604"/>
      <c r="M34" s="45"/>
      <c r="N34" s="45"/>
      <c r="O34" s="80"/>
      <c r="P34" s="80"/>
      <c r="Q34" s="45"/>
      <c r="R34" s="45"/>
      <c r="S34" s="45"/>
      <c r="T34" s="45"/>
    </row>
    <row r="35" spans="1:20" s="1719" customFormat="1">
      <c r="A35" s="2634">
        <v>1</v>
      </c>
      <c r="B35" s="2635" t="s">
        <v>987</v>
      </c>
      <c r="C35" s="2636" t="s">
        <v>45</v>
      </c>
      <c r="D35" s="2637">
        <v>1</v>
      </c>
      <c r="E35" s="2638">
        <f>F35*D35</f>
        <v>49000</v>
      </c>
      <c r="F35" s="2638">
        <v>49000</v>
      </c>
      <c r="G35" s="2639">
        <f>H35*E35</f>
        <v>0</v>
      </c>
      <c r="H35" s="2640">
        <v>0</v>
      </c>
      <c r="I35" s="2641" t="s">
        <v>988</v>
      </c>
      <c r="J35" s="2641" t="s">
        <v>988</v>
      </c>
      <c r="K35" s="2642"/>
      <c r="L35" s="2643"/>
      <c r="M35" s="1720"/>
      <c r="N35" s="1720"/>
      <c r="O35" s="1721"/>
      <c r="P35" s="1721"/>
      <c r="Q35" s="1720"/>
      <c r="R35" s="1720"/>
      <c r="S35" s="1720"/>
      <c r="T35" s="1720"/>
    </row>
    <row r="36" spans="1:20" s="1719" customFormat="1" ht="14.25" thickBot="1">
      <c r="A36" s="2644">
        <v>2</v>
      </c>
      <c r="B36" s="2644" t="s">
        <v>987</v>
      </c>
      <c r="C36" s="2645" t="s">
        <v>1196</v>
      </c>
      <c r="D36" s="2646">
        <v>1</v>
      </c>
      <c r="E36" s="2647">
        <f>F36*D36</f>
        <v>49000</v>
      </c>
      <c r="F36" s="2648">
        <v>49000</v>
      </c>
      <c r="G36" s="2649">
        <f t="shared" ref="G36" si="5">H36*E36</f>
        <v>0</v>
      </c>
      <c r="H36" s="2650">
        <v>0</v>
      </c>
      <c r="I36" s="2651" t="s">
        <v>1199</v>
      </c>
      <c r="J36" s="2651" t="s">
        <v>1199</v>
      </c>
      <c r="K36" s="2652"/>
      <c r="L36" s="2653"/>
      <c r="M36" s="1720"/>
      <c r="N36" s="1720"/>
      <c r="O36" s="1721"/>
      <c r="P36" s="1721"/>
      <c r="Q36" s="1720"/>
      <c r="R36" s="1720"/>
      <c r="S36" s="1720"/>
      <c r="T36" s="1720"/>
    </row>
    <row r="37" spans="1:20" ht="14.25" thickTop="1">
      <c r="A37" s="1461"/>
      <c r="B37" s="1462" t="s">
        <v>121</v>
      </c>
      <c r="C37" s="351" t="s">
        <v>112</v>
      </c>
      <c r="D37" s="352">
        <f>D38-SUMIF(C35:C36,"-",D35:D36)</f>
        <v>0</v>
      </c>
      <c r="E37" s="353">
        <f>E38-SUMIF(C35:C36,"-",E35:E36)</f>
        <v>0</v>
      </c>
      <c r="F37" s="353" t="e">
        <f>E37/D37</f>
        <v>#DIV/0!</v>
      </c>
      <c r="G37" s="353">
        <f>G38-SUMIF(C35:C36,"-",G35:G36)</f>
        <v>0</v>
      </c>
      <c r="H37" s="1343"/>
      <c r="I37" s="345"/>
      <c r="J37" s="345"/>
      <c r="K37" s="345"/>
      <c r="L37" s="345"/>
      <c r="M37" s="45"/>
      <c r="N37" s="45"/>
      <c r="O37" s="45"/>
      <c r="P37" s="45"/>
      <c r="Q37" s="45"/>
      <c r="R37" s="45"/>
      <c r="S37" s="45"/>
      <c r="T37" s="45"/>
    </row>
    <row r="38" spans="1:20">
      <c r="A38" s="1461"/>
      <c r="B38" s="1462" t="s">
        <v>122</v>
      </c>
      <c r="C38" s="351" t="s">
        <v>112</v>
      </c>
      <c r="D38" s="354">
        <f>SUM(D35:D36)</f>
        <v>2</v>
      </c>
      <c r="E38" s="353">
        <f>SUM(E35:E36)</f>
        <v>98000</v>
      </c>
      <c r="F38" s="353">
        <f>E38/D38</f>
        <v>49000</v>
      </c>
      <c r="G38" s="353">
        <f>SUM(G35:G36)</f>
        <v>0</v>
      </c>
      <c r="H38" s="1350"/>
      <c r="I38" s="345"/>
      <c r="J38" s="345"/>
      <c r="K38" s="345"/>
      <c r="L38" s="345"/>
      <c r="M38" s="44"/>
      <c r="N38" s="44"/>
      <c r="O38" s="44"/>
      <c r="P38" s="44"/>
      <c r="Q38" s="44"/>
      <c r="R38" s="56"/>
      <c r="S38" s="44"/>
      <c r="T38" s="45"/>
    </row>
    <row r="39" spans="1:20" s="361" customFormat="1" ht="23.25" customHeight="1">
      <c r="A39" s="357"/>
      <c r="B39" s="357"/>
      <c r="C39" s="357"/>
      <c r="D39" s="358"/>
      <c r="E39" s="359"/>
      <c r="F39" s="359"/>
      <c r="G39" s="359"/>
      <c r="H39" s="359"/>
      <c r="I39" s="359"/>
      <c r="J39" s="359"/>
      <c r="K39" s="359"/>
      <c r="L39" s="359"/>
      <c r="M39" s="359"/>
      <c r="N39" s="359"/>
      <c r="O39" s="360"/>
      <c r="P39" s="360"/>
      <c r="Q39" s="357"/>
      <c r="R39" s="357"/>
      <c r="S39" s="357"/>
      <c r="T39" s="357"/>
    </row>
    <row r="40" spans="1:20" s="366" customFormat="1" ht="27.75" customHeight="1">
      <c r="A40" s="362"/>
      <c r="B40" s="362"/>
      <c r="C40" s="363"/>
      <c r="D40" s="364"/>
      <c r="E40" s="364"/>
      <c r="F40" s="364"/>
      <c r="G40" s="364"/>
      <c r="H40" s="364"/>
      <c r="I40" s="364"/>
      <c r="J40" s="364"/>
      <c r="K40" s="364"/>
      <c r="L40" s="364"/>
      <c r="M40" s="364"/>
      <c r="N40" s="365"/>
      <c r="O40" s="365"/>
      <c r="P40" s="362"/>
      <c r="Q40" s="362"/>
      <c r="R40" s="362"/>
      <c r="S40" s="362"/>
      <c r="T40" s="1366"/>
    </row>
    <row r="41" spans="1:20">
      <c r="A41" s="67" t="s">
        <v>123</v>
      </c>
      <c r="B41" s="67"/>
      <c r="C41" s="41"/>
      <c r="D41" s="41"/>
      <c r="E41" s="67" t="s">
        <v>124</v>
      </c>
      <c r="F41" s="41"/>
      <c r="G41" s="41"/>
      <c r="H41" s="41"/>
      <c r="I41" s="90" t="s">
        <v>1176</v>
      </c>
      <c r="J41" s="91"/>
      <c r="K41" s="41"/>
      <c r="L41" s="41"/>
      <c r="M41" s="92" t="s">
        <v>125</v>
      </c>
      <c r="N41" s="93"/>
      <c r="O41" s="93"/>
      <c r="P41" s="35"/>
      <c r="Q41" s="41"/>
      <c r="R41" s="41"/>
      <c r="S41" s="41"/>
      <c r="T41" s="41"/>
    </row>
    <row r="42" spans="1:20">
      <c r="A42" s="2622" t="s">
        <v>49</v>
      </c>
      <c r="B42" s="2623"/>
      <c r="C42" s="72" t="s">
        <v>126</v>
      </c>
      <c r="D42" s="94"/>
      <c r="E42" s="2622" t="s">
        <v>49</v>
      </c>
      <c r="F42" s="2623"/>
      <c r="G42" s="72" t="s">
        <v>79</v>
      </c>
      <c r="H42" s="376"/>
      <c r="I42" s="95"/>
      <c r="J42" s="96" t="s">
        <v>72</v>
      </c>
      <c r="K42" s="96" t="s">
        <v>127</v>
      </c>
      <c r="L42" s="41"/>
      <c r="M42" s="97" t="s">
        <v>129</v>
      </c>
      <c r="N42" s="2628" t="s">
        <v>130</v>
      </c>
      <c r="O42" s="2629"/>
      <c r="P42" s="97" t="s">
        <v>131</v>
      </c>
      <c r="Q42" s="98"/>
      <c r="R42" s="41"/>
      <c r="S42" s="41"/>
      <c r="T42" s="41"/>
    </row>
    <row r="43" spans="1:20">
      <c r="A43" s="99" t="s">
        <v>132</v>
      </c>
      <c r="B43" s="100"/>
      <c r="C43" s="75">
        <f>F28*12</f>
        <v>162920400</v>
      </c>
      <c r="D43" s="94"/>
      <c r="E43" s="2630" t="s">
        <v>997</v>
      </c>
      <c r="F43" s="2631"/>
      <c r="G43" s="1722">
        <f>H43*12</f>
        <v>4200000</v>
      </c>
      <c r="H43" s="1723">
        <v>350000</v>
      </c>
      <c r="I43" s="101" t="s">
        <v>80</v>
      </c>
      <c r="J43" s="1789">
        <f>K52*7/8</f>
        <v>728981750</v>
      </c>
      <c r="K43" s="1789">
        <v>196308100</v>
      </c>
      <c r="L43" s="41" t="s">
        <v>1177</v>
      </c>
      <c r="M43" s="381">
        <v>0.05</v>
      </c>
      <c r="N43" s="2620">
        <f>C49/M43</f>
        <v>3289128000</v>
      </c>
      <c r="O43" s="2621"/>
      <c r="P43" s="102">
        <f>G53/N43</f>
        <v>4.4529848640733956E-2</v>
      </c>
      <c r="Q43" s="98"/>
      <c r="R43" s="41"/>
      <c r="S43" s="41"/>
      <c r="T43" s="41"/>
    </row>
    <row r="44" spans="1:20">
      <c r="A44" s="103" t="s">
        <v>133</v>
      </c>
      <c r="B44" s="104"/>
      <c r="C44" s="75">
        <f>H28*12</f>
        <v>0</v>
      </c>
      <c r="D44" s="94"/>
      <c r="E44" s="103" t="s">
        <v>265</v>
      </c>
      <c r="G44" s="1724">
        <f>C49*H44</f>
        <v>3289128</v>
      </c>
      <c r="H44" s="1725">
        <v>0.02</v>
      </c>
      <c r="I44" s="105" t="s">
        <v>81</v>
      </c>
      <c r="J44" s="1786">
        <f>J43*0.6</f>
        <v>437389050</v>
      </c>
      <c r="K44" s="1786">
        <f>K43</f>
        <v>196308100</v>
      </c>
      <c r="L44" s="106" t="s">
        <v>954</v>
      </c>
      <c r="M44" s="102">
        <f>M43-0.25%</f>
        <v>4.7500000000000001E-2</v>
      </c>
      <c r="N44" s="2620">
        <f>C49/M44</f>
        <v>3462240000</v>
      </c>
      <c r="O44" s="2621"/>
      <c r="P44" s="102">
        <f>G53/N44</f>
        <v>4.2303356208697261E-2</v>
      </c>
      <c r="Q44" s="98"/>
      <c r="R44" s="41"/>
      <c r="S44" s="41"/>
      <c r="T44" s="41"/>
    </row>
    <row r="45" spans="1:20">
      <c r="A45" s="107" t="s">
        <v>134</v>
      </c>
      <c r="B45" s="108"/>
      <c r="C45" s="109">
        <f>E38*12</f>
        <v>1176000</v>
      </c>
      <c r="D45" s="41"/>
      <c r="E45" s="103" t="s">
        <v>266</v>
      </c>
      <c r="F45" s="367"/>
      <c r="G45" s="1724">
        <v>10202900</v>
      </c>
      <c r="H45" s="1726" t="s">
        <v>1177</v>
      </c>
      <c r="I45" s="110" t="s">
        <v>82</v>
      </c>
      <c r="J45" s="1787">
        <f>J44</f>
        <v>437389050</v>
      </c>
      <c r="K45" s="1787">
        <f>K43</f>
        <v>196308100</v>
      </c>
      <c r="L45" s="106" t="s">
        <v>954</v>
      </c>
      <c r="M45" s="102">
        <f t="shared" ref="M45:M52" si="6">M44-0.25%</f>
        <v>4.4999999999999998E-2</v>
      </c>
      <c r="N45" s="2620">
        <f>C49/M45</f>
        <v>3654586666.666667</v>
      </c>
      <c r="O45" s="2621"/>
      <c r="P45" s="102">
        <f>G53/N45</f>
        <v>4.007686377666056E-2</v>
      </c>
      <c r="Q45" s="41"/>
      <c r="R45" s="41"/>
      <c r="S45" s="41"/>
      <c r="T45" s="41"/>
    </row>
    <row r="46" spans="1:20">
      <c r="A46" s="107" t="s">
        <v>136</v>
      </c>
      <c r="B46" s="108"/>
      <c r="C46" s="111">
        <f>D46*12</f>
        <v>360000</v>
      </c>
      <c r="D46" s="379">
        <v>30000</v>
      </c>
      <c r="E46" s="368" t="s">
        <v>135</v>
      </c>
      <c r="F46" s="369"/>
      <c r="G46" s="1724">
        <v>300000</v>
      </c>
      <c r="H46" s="1726" t="s">
        <v>1177</v>
      </c>
      <c r="I46" s="110" t="s">
        <v>83</v>
      </c>
      <c r="J46" s="1787">
        <f>J44*0.014</f>
        <v>6123446.7000000002</v>
      </c>
      <c r="K46" s="1787">
        <f>K44*0.014</f>
        <v>2748313.4</v>
      </c>
      <c r="L46" s="106" t="s">
        <v>954</v>
      </c>
      <c r="M46" s="382">
        <f t="shared" si="6"/>
        <v>4.2499999999999996E-2</v>
      </c>
      <c r="N46" s="2624">
        <f>C49/M46</f>
        <v>3869562352.9411769</v>
      </c>
      <c r="O46" s="2625"/>
      <c r="P46" s="382">
        <f>G53/N46</f>
        <v>3.7850371344623858E-2</v>
      </c>
      <c r="Q46" s="98" t="s">
        <v>137</v>
      </c>
      <c r="R46" s="41"/>
      <c r="S46" s="41"/>
      <c r="T46" s="41"/>
    </row>
    <row r="47" spans="1:20">
      <c r="A47" s="107" t="s">
        <v>230</v>
      </c>
      <c r="B47" s="108"/>
      <c r="C47" s="111">
        <f>D47*12</f>
        <v>0</v>
      </c>
      <c r="D47" s="379">
        <v>0</v>
      </c>
      <c r="E47" s="103" t="s">
        <v>234</v>
      </c>
      <c r="F47" s="374"/>
      <c r="G47" s="1724">
        <f>H47*12</f>
        <v>0</v>
      </c>
      <c r="H47" s="1723">
        <v>0</v>
      </c>
      <c r="I47" s="113" t="s">
        <v>84</v>
      </c>
      <c r="J47" s="1788">
        <f>J45*0.003</f>
        <v>1312167.1500000001</v>
      </c>
      <c r="K47" s="1788">
        <f>K45*0.003</f>
        <v>588924.30000000005</v>
      </c>
      <c r="L47" s="106" t="s">
        <v>954</v>
      </c>
      <c r="M47" s="102">
        <f t="shared" si="6"/>
        <v>3.9999999999999994E-2</v>
      </c>
      <c r="N47" s="2620">
        <f>C49/M47</f>
        <v>4111410000.0000005</v>
      </c>
      <c r="O47" s="2621"/>
      <c r="P47" s="102">
        <f>G53/N47</f>
        <v>3.5623878912587163E-2</v>
      </c>
      <c r="Q47" s="98"/>
      <c r="R47" s="41"/>
      <c r="S47" s="41"/>
      <c r="T47" s="41"/>
    </row>
    <row r="48" spans="1:20">
      <c r="A48" s="114" t="s">
        <v>229</v>
      </c>
      <c r="B48" s="115"/>
      <c r="C48" s="112" t="s">
        <v>45</v>
      </c>
      <c r="D48" s="70" t="s">
        <v>138</v>
      </c>
      <c r="E48" s="370" t="s">
        <v>231</v>
      </c>
      <c r="F48" s="371"/>
      <c r="G48" s="375" t="s">
        <v>45</v>
      </c>
      <c r="H48" s="377"/>
      <c r="I48" s="117" t="s">
        <v>85</v>
      </c>
      <c r="J48" s="118">
        <f>SUM(J46:J47)</f>
        <v>7435613.8500000006</v>
      </c>
      <c r="K48" s="118">
        <f>ROUNDDOWN(SUM(K46:K47),0)</f>
        <v>3337237</v>
      </c>
      <c r="L48" s="106" t="s">
        <v>954</v>
      </c>
      <c r="M48" s="383">
        <f t="shared" si="6"/>
        <v>3.7499999999999992E-2</v>
      </c>
      <c r="N48" s="2626">
        <f>C49/M48</f>
        <v>4385504000.000001</v>
      </c>
      <c r="O48" s="2627"/>
      <c r="P48" s="383">
        <f>G53/N48</f>
        <v>3.3397386480550462E-2</v>
      </c>
      <c r="Q48" s="119" t="s">
        <v>140</v>
      </c>
      <c r="R48" s="41"/>
      <c r="S48" s="41"/>
      <c r="T48" s="41"/>
    </row>
    <row r="49" spans="1:20">
      <c r="A49" s="41"/>
      <c r="B49" s="76" t="s">
        <v>141</v>
      </c>
      <c r="C49" s="78">
        <f>SUM(C43:C48)</f>
        <v>164456400</v>
      </c>
      <c r="D49" s="120">
        <f>C49/12</f>
        <v>13704700</v>
      </c>
      <c r="E49" s="41"/>
      <c r="F49" s="76" t="s">
        <v>139</v>
      </c>
      <c r="G49" s="77">
        <f>SUM(G43:G48)</f>
        <v>17992028</v>
      </c>
      <c r="H49" s="378"/>
      <c r="I49" s="121"/>
      <c r="J49" s="79"/>
      <c r="K49" s="41"/>
      <c r="L49" s="41"/>
      <c r="M49" s="102">
        <f t="shared" si="6"/>
        <v>3.4999999999999989E-2</v>
      </c>
      <c r="N49" s="2620">
        <f>C49/M49</f>
        <v>4698754285.7142868</v>
      </c>
      <c r="O49" s="2621"/>
      <c r="P49" s="102">
        <f>G53/N49</f>
        <v>3.1170894048513764E-2</v>
      </c>
      <c r="Q49" s="35"/>
      <c r="R49" s="41"/>
      <c r="S49" s="41"/>
      <c r="T49" s="122"/>
    </row>
    <row r="50" spans="1:20" ht="14.25" thickBot="1">
      <c r="A50" s="41"/>
      <c r="B50" s="41"/>
      <c r="C50" s="52"/>
      <c r="D50" s="41"/>
      <c r="E50" s="41"/>
      <c r="F50" s="41"/>
      <c r="G50" s="41"/>
      <c r="H50" s="41"/>
      <c r="I50" s="121"/>
      <c r="J50" s="79"/>
      <c r="K50" s="41"/>
      <c r="L50" s="41"/>
      <c r="M50" s="102">
        <f t="shared" si="6"/>
        <v>3.2499999999999987E-2</v>
      </c>
      <c r="N50" s="2620">
        <f>C49/M50</f>
        <v>5060196923.0769253</v>
      </c>
      <c r="O50" s="2621"/>
      <c r="P50" s="102">
        <f>G53/N50</f>
        <v>2.8944401616477058E-2</v>
      </c>
      <c r="Q50" s="35"/>
      <c r="R50" s="41"/>
      <c r="S50" s="66"/>
      <c r="T50" s="41"/>
    </row>
    <row r="51" spans="1:20" ht="14.25" thickBot="1">
      <c r="A51" s="67" t="s">
        <v>143</v>
      </c>
      <c r="B51" s="41"/>
      <c r="C51" s="41"/>
      <c r="D51" s="41"/>
      <c r="E51" s="41"/>
      <c r="F51" s="123" t="s">
        <v>142</v>
      </c>
      <c r="G51" s="373">
        <f>G43/E10/12</f>
        <v>542.69455599832543</v>
      </c>
      <c r="H51" s="41"/>
      <c r="I51" s="124" t="s">
        <v>1178</v>
      </c>
      <c r="J51" s="323"/>
      <c r="K51" s="325">
        <v>2350000</v>
      </c>
      <c r="L51" s="125" t="s">
        <v>145</v>
      </c>
      <c r="M51" s="102">
        <f t="shared" si="6"/>
        <v>2.9999999999999988E-2</v>
      </c>
      <c r="N51" s="2620">
        <f>C49/M51</f>
        <v>5481880000.0000019</v>
      </c>
      <c r="O51" s="2621"/>
      <c r="P51" s="102">
        <f>G53/N51</f>
        <v>2.6717909184440364E-2</v>
      </c>
      <c r="Q51" s="35"/>
      <c r="R51" s="40"/>
      <c r="S51" s="66"/>
      <c r="T51" s="41"/>
    </row>
    <row r="52" spans="1:20" ht="14.25" thickBot="1">
      <c r="A52" s="2622" t="s">
        <v>49</v>
      </c>
      <c r="B52" s="2623"/>
      <c r="C52" s="72" t="s">
        <v>126</v>
      </c>
      <c r="D52" s="41"/>
      <c r="E52" s="41"/>
      <c r="F52" s="41"/>
      <c r="G52" s="41"/>
      <c r="H52" s="70" t="s">
        <v>144</v>
      </c>
      <c r="I52" s="128" t="s">
        <v>147</v>
      </c>
      <c r="J52" s="324"/>
      <c r="K52" s="322">
        <f>K51*C8</f>
        <v>833122000</v>
      </c>
      <c r="L52" s="321">
        <f>K52/E8</f>
        <v>7768761.656098471</v>
      </c>
      <c r="M52" s="102">
        <f t="shared" si="6"/>
        <v>2.749999999999999E-2</v>
      </c>
      <c r="N52" s="2620">
        <f>C49/M52</f>
        <v>5980232727.2727299</v>
      </c>
      <c r="O52" s="2621"/>
      <c r="P52" s="102">
        <f>G53/N52</f>
        <v>2.4491416752403666E-2</v>
      </c>
      <c r="Q52" s="129"/>
      <c r="R52" s="129"/>
      <c r="S52" s="129"/>
      <c r="T52" s="40"/>
    </row>
    <row r="53" spans="1:20" ht="15" thickBot="1">
      <c r="A53" s="130" t="s">
        <v>148</v>
      </c>
      <c r="B53" s="130"/>
      <c r="C53" s="131">
        <f>L28</f>
        <v>0</v>
      </c>
      <c r="D53" s="41"/>
      <c r="E53" s="41"/>
      <c r="F53" s="126" t="s">
        <v>146</v>
      </c>
      <c r="G53" s="127">
        <f>C49-G49</f>
        <v>146464372</v>
      </c>
      <c r="H53" s="120">
        <f>G53/12</f>
        <v>12205364.333333334</v>
      </c>
      <c r="I53" s="132" t="s">
        <v>149</v>
      </c>
      <c r="J53" s="323"/>
      <c r="K53" s="285">
        <v>129000</v>
      </c>
      <c r="L53" s="125" t="s">
        <v>150</v>
      </c>
      <c r="M53" s="133"/>
      <c r="N53" s="60"/>
      <c r="O53" s="60"/>
      <c r="P53" s="129"/>
      <c r="Q53" s="129"/>
      <c r="R53" s="129"/>
      <c r="S53" s="129"/>
      <c r="T53" s="40"/>
    </row>
    <row r="54" spans="1:20" ht="14.25" thickBot="1">
      <c r="A54" s="134" t="s">
        <v>151</v>
      </c>
      <c r="B54" s="134"/>
      <c r="C54" s="116">
        <f>G38</f>
        <v>0</v>
      </c>
      <c r="D54" s="41"/>
      <c r="E54" s="41"/>
      <c r="F54" s="41"/>
      <c r="G54" s="41"/>
      <c r="H54" s="41"/>
      <c r="I54" s="137" t="s">
        <v>69</v>
      </c>
      <c r="J54" s="324"/>
      <c r="K54" s="322">
        <f>C10*K53</f>
        <v>275031870</v>
      </c>
      <c r="L54" s="321">
        <f ca="1">K54*(49-F13)/49</f>
        <v>79164890.50936538</v>
      </c>
      <c r="M54" s="41"/>
      <c r="N54" s="41"/>
      <c r="O54" s="41"/>
      <c r="P54" s="41"/>
      <c r="Q54" s="41"/>
      <c r="R54" s="129"/>
      <c r="S54" s="40"/>
    </row>
    <row r="55" spans="1:20" ht="14.25" thickBot="1">
      <c r="A55" s="41"/>
      <c r="B55" s="76" t="s">
        <v>70</v>
      </c>
      <c r="C55" s="77">
        <f>SUM(C53:C54)</f>
        <v>0</v>
      </c>
      <c r="D55" s="41"/>
      <c r="E55" s="41"/>
      <c r="F55" s="135" t="s">
        <v>152</v>
      </c>
      <c r="G55" s="136">
        <f>G49/C49</f>
        <v>0.10940302718532086</v>
      </c>
      <c r="H55" s="41"/>
      <c r="I55" s="41"/>
      <c r="J55" s="41"/>
      <c r="K55" s="41"/>
      <c r="L55" s="41"/>
      <c r="M55" s="41"/>
      <c r="N55" s="41"/>
      <c r="O55" s="41"/>
      <c r="P55" s="41"/>
      <c r="Q55" s="41"/>
      <c r="R55" s="41"/>
      <c r="S55" s="41"/>
    </row>
    <row r="56" spans="1:20">
      <c r="A56" s="41"/>
      <c r="B56" s="81"/>
      <c r="C56" s="164"/>
      <c r="D56" s="41"/>
      <c r="E56" s="41"/>
      <c r="F56" s="41"/>
      <c r="G56" s="41"/>
      <c r="H56" s="41"/>
      <c r="I56" s="41"/>
      <c r="J56" s="41"/>
      <c r="K56" s="41"/>
      <c r="L56" s="41"/>
      <c r="M56" s="41"/>
      <c r="N56" s="41"/>
      <c r="O56" s="41"/>
      <c r="P56" s="41"/>
      <c r="Q56" s="41"/>
      <c r="R56" s="41"/>
      <c r="S56" s="41"/>
    </row>
    <row r="57" spans="1:20">
      <c r="A57" s="41"/>
      <c r="B57" s="41"/>
      <c r="C57" s="41"/>
      <c r="D57" s="41"/>
      <c r="E57" s="41"/>
      <c r="F57" s="41"/>
      <c r="G57" s="41"/>
      <c r="H57" s="41"/>
      <c r="I57" s="165"/>
      <c r="J57" s="174" t="s">
        <v>80</v>
      </c>
      <c r="K57" s="175" t="s">
        <v>81</v>
      </c>
      <c r="L57" s="175" t="s">
        <v>82</v>
      </c>
      <c r="M57" s="175" t="s">
        <v>83</v>
      </c>
      <c r="N57" s="175" t="s">
        <v>84</v>
      </c>
      <c r="O57" s="35"/>
      <c r="P57" s="35"/>
      <c r="Q57" s="35"/>
      <c r="R57" s="35"/>
      <c r="S57" s="35"/>
    </row>
    <row r="58" spans="1:20">
      <c r="A58" s="35"/>
      <c r="B58" s="35"/>
      <c r="C58" s="35"/>
      <c r="D58" s="35"/>
      <c r="E58" s="35"/>
      <c r="F58" s="35"/>
      <c r="G58" s="65"/>
      <c r="H58" s="35" t="s">
        <v>153</v>
      </c>
      <c r="I58" s="168" t="s">
        <v>164</v>
      </c>
      <c r="J58" s="169">
        <v>669893720</v>
      </c>
      <c r="K58" s="169">
        <v>182412561</v>
      </c>
      <c r="L58" s="169">
        <v>257848161</v>
      </c>
      <c r="M58" s="169">
        <v>2377648</v>
      </c>
      <c r="N58" s="169">
        <v>509495</v>
      </c>
      <c r="O58" s="35"/>
      <c r="P58" s="35"/>
      <c r="Q58" s="35"/>
      <c r="R58" s="35"/>
      <c r="S58" s="35"/>
    </row>
    <row r="59" spans="1:20">
      <c r="A59" s="35"/>
      <c r="B59" s="35"/>
      <c r="C59" s="35"/>
      <c r="D59" s="35"/>
      <c r="E59" s="35"/>
      <c r="F59" s="35"/>
      <c r="G59" s="65"/>
      <c r="H59" s="35"/>
      <c r="I59" s="170"/>
      <c r="J59" s="171"/>
      <c r="K59" s="171"/>
      <c r="L59" s="171"/>
      <c r="M59" s="171"/>
      <c r="N59" s="171"/>
      <c r="O59" s="35"/>
      <c r="P59" s="35"/>
      <c r="Q59" s="35"/>
      <c r="R59" s="35"/>
      <c r="S59" s="35"/>
    </row>
    <row r="60" spans="1:20">
      <c r="A60" s="35"/>
      <c r="B60" s="35"/>
      <c r="C60" s="35"/>
      <c r="D60" s="35"/>
      <c r="E60" s="35"/>
      <c r="F60" s="35"/>
      <c r="G60" s="65"/>
      <c r="H60" s="35"/>
      <c r="I60" s="170"/>
      <c r="J60" s="171"/>
      <c r="K60" s="171"/>
      <c r="L60" s="171"/>
      <c r="M60" s="171"/>
      <c r="N60" s="171"/>
      <c r="O60" s="35"/>
      <c r="P60" s="35"/>
      <c r="Q60" s="35"/>
      <c r="R60" s="35"/>
      <c r="S60" s="35"/>
    </row>
    <row r="61" spans="1:20">
      <c r="A61" s="35"/>
      <c r="B61" s="35"/>
      <c r="C61" s="35"/>
      <c r="D61" s="35"/>
      <c r="E61" s="35"/>
      <c r="F61" s="35"/>
      <c r="G61" s="65"/>
      <c r="H61" s="35"/>
      <c r="I61" s="170"/>
      <c r="J61" s="171"/>
      <c r="K61" s="171"/>
      <c r="L61" s="171"/>
      <c r="M61" s="171"/>
      <c r="N61" s="171"/>
      <c r="O61" s="35"/>
      <c r="P61" s="35"/>
      <c r="Q61" s="35"/>
      <c r="R61" s="35"/>
      <c r="S61" s="35"/>
    </row>
    <row r="62" spans="1:20">
      <c r="A62" s="35"/>
      <c r="B62" s="35"/>
      <c r="C62" s="35"/>
      <c r="D62" s="35"/>
      <c r="E62" s="35"/>
      <c r="F62" s="35"/>
      <c r="G62" s="65"/>
      <c r="H62" s="35"/>
      <c r="I62" s="170"/>
      <c r="J62" s="171"/>
      <c r="K62" s="171"/>
      <c r="L62" s="171"/>
      <c r="M62" s="171"/>
      <c r="N62" s="171"/>
      <c r="O62" s="35"/>
      <c r="P62" s="35"/>
      <c r="Q62" s="35"/>
      <c r="R62" s="35"/>
      <c r="S62" s="35"/>
    </row>
    <row r="63" spans="1:20">
      <c r="A63" s="35"/>
      <c r="B63" s="35"/>
      <c r="C63" s="35"/>
      <c r="D63" s="35"/>
      <c r="E63" s="35"/>
      <c r="F63" s="35"/>
      <c r="G63" s="65"/>
      <c r="H63" s="35"/>
      <c r="I63" s="170"/>
      <c r="J63" s="171"/>
      <c r="K63" s="171"/>
      <c r="L63" s="171"/>
      <c r="M63" s="171"/>
      <c r="N63" s="171"/>
      <c r="O63" s="35"/>
      <c r="P63" s="35"/>
      <c r="Q63" s="35"/>
      <c r="R63" s="35"/>
      <c r="S63" s="35"/>
    </row>
    <row r="64" spans="1:20">
      <c r="A64" s="35"/>
      <c r="B64" s="35"/>
      <c r="C64" s="35"/>
      <c r="D64" s="35"/>
      <c r="E64" s="35"/>
      <c r="F64" s="35"/>
      <c r="G64" s="65"/>
      <c r="H64" s="35"/>
      <c r="I64" s="170"/>
      <c r="J64" s="171"/>
      <c r="K64" s="171"/>
      <c r="L64" s="171"/>
      <c r="M64" s="171"/>
      <c r="N64" s="171"/>
      <c r="O64" s="35"/>
      <c r="P64" s="35"/>
      <c r="Q64" s="35"/>
      <c r="R64" s="35"/>
      <c r="S64" s="35"/>
    </row>
    <row r="65" spans="1:19" ht="14.25" thickBot="1">
      <c r="A65" s="35"/>
      <c r="B65" s="35"/>
      <c r="C65" s="35"/>
      <c r="D65" s="35"/>
      <c r="E65" s="35"/>
      <c r="F65" s="35"/>
      <c r="G65" s="65"/>
      <c r="H65" s="35"/>
      <c r="I65" s="172"/>
      <c r="J65" s="173"/>
      <c r="K65" s="173"/>
      <c r="L65" s="173"/>
      <c r="M65" s="173"/>
      <c r="N65" s="173"/>
      <c r="O65" s="35"/>
      <c r="P65" s="35"/>
      <c r="Q65" s="35"/>
      <c r="R65" s="35"/>
      <c r="S65" s="35"/>
    </row>
    <row r="66" spans="1:19" ht="14.25" thickTop="1">
      <c r="A66" s="35"/>
      <c r="B66" s="35"/>
      <c r="C66" s="35"/>
      <c r="D66" s="35"/>
      <c r="E66" s="35"/>
      <c r="F66" s="35"/>
      <c r="G66" s="65"/>
      <c r="H66" s="35"/>
      <c r="I66" s="166" t="s">
        <v>39</v>
      </c>
      <c r="J66" s="167">
        <f>SUM(J58:J65)</f>
        <v>669893720</v>
      </c>
      <c r="K66" s="167">
        <f>SUM(K58:K65)</f>
        <v>182412561</v>
      </c>
      <c r="L66" s="167">
        <f>SUM(L58:L65)</f>
        <v>257848161</v>
      </c>
      <c r="M66" s="167">
        <f>SUM(M58:M65)</f>
        <v>2377648</v>
      </c>
      <c r="N66" s="167">
        <f>SUM(N58:N65)</f>
        <v>509495</v>
      </c>
      <c r="O66" s="35"/>
      <c r="P66" s="35"/>
      <c r="Q66" s="35"/>
      <c r="R66" s="35"/>
      <c r="S66" s="35"/>
    </row>
    <row r="67" spans="1:19">
      <c r="A67" s="35"/>
      <c r="B67" s="35"/>
      <c r="C67" s="35"/>
      <c r="D67" s="35"/>
      <c r="E67" s="35"/>
      <c r="F67" s="35"/>
      <c r="G67" s="65"/>
      <c r="H67" s="35"/>
      <c r="I67" s="35"/>
      <c r="J67" s="138"/>
      <c r="K67" s="138"/>
      <c r="L67" s="138"/>
      <c r="M67" s="138"/>
      <c r="N67" s="138"/>
      <c r="O67" s="35"/>
      <c r="P67" s="35"/>
      <c r="Q67" s="35"/>
      <c r="R67" s="35"/>
      <c r="S67" s="35"/>
    </row>
    <row r="68" spans="1:19">
      <c r="A68" s="35"/>
      <c r="B68" s="35"/>
      <c r="C68" s="35"/>
      <c r="D68" s="35"/>
      <c r="E68" s="35"/>
      <c r="F68" s="35"/>
      <c r="G68" s="65"/>
      <c r="H68" s="35"/>
      <c r="I68" s="176"/>
      <c r="J68" s="177" t="s">
        <v>80</v>
      </c>
      <c r="K68" s="178" t="s">
        <v>81</v>
      </c>
      <c r="L68" s="178" t="s">
        <v>82</v>
      </c>
      <c r="M68" s="178" t="s">
        <v>83</v>
      </c>
      <c r="N68" s="178" t="s">
        <v>84</v>
      </c>
      <c r="O68" s="35"/>
      <c r="P68" s="35"/>
      <c r="Q68" s="35"/>
      <c r="R68" s="35"/>
      <c r="S68" s="35"/>
    </row>
    <row r="69" spans="1:19">
      <c r="A69" s="35"/>
      <c r="B69" s="35"/>
      <c r="C69" s="35"/>
      <c r="D69" s="35"/>
      <c r="E69" s="35"/>
      <c r="F69" s="35"/>
      <c r="G69" s="65"/>
      <c r="H69" s="35" t="s">
        <v>154</v>
      </c>
      <c r="I69" s="168" t="s">
        <v>164</v>
      </c>
      <c r="J69" s="169">
        <v>164021500</v>
      </c>
      <c r="K69" s="169">
        <v>164021500</v>
      </c>
      <c r="L69" s="169">
        <v>164021500</v>
      </c>
      <c r="M69" s="169">
        <v>2296301</v>
      </c>
      <c r="N69" s="169">
        <v>492064</v>
      </c>
      <c r="O69" s="35"/>
      <c r="P69" s="35"/>
      <c r="Q69" s="35"/>
      <c r="R69" s="35"/>
      <c r="S69" s="35"/>
    </row>
    <row r="70" spans="1:19">
      <c r="A70" s="35"/>
      <c r="B70" s="35"/>
      <c r="C70" s="35"/>
      <c r="D70" s="35"/>
      <c r="E70" s="35"/>
      <c r="F70" s="35"/>
      <c r="G70" s="65"/>
      <c r="H70" s="35"/>
      <c r="I70" s="170"/>
      <c r="J70" s="171"/>
      <c r="K70" s="171"/>
      <c r="L70" s="171"/>
      <c r="M70" s="171"/>
      <c r="N70" s="171"/>
      <c r="O70" s="35"/>
      <c r="P70" s="35"/>
      <c r="Q70" s="35"/>
      <c r="R70" s="35"/>
      <c r="S70" s="35"/>
    </row>
    <row r="71" spans="1:19" ht="14.25" thickBot="1">
      <c r="A71" s="35"/>
      <c r="B71" s="35"/>
      <c r="C71" s="35"/>
      <c r="D71" s="35"/>
      <c r="E71" s="35"/>
      <c r="F71" s="35"/>
      <c r="G71" s="65"/>
      <c r="H71" s="35"/>
      <c r="I71" s="172"/>
      <c r="J71" s="173"/>
      <c r="K71" s="173"/>
      <c r="L71" s="173"/>
      <c r="M71" s="173"/>
      <c r="N71" s="173"/>
      <c r="O71" s="35"/>
      <c r="P71" s="35"/>
      <c r="Q71" s="35"/>
      <c r="R71" s="35"/>
      <c r="S71" s="35"/>
    </row>
    <row r="72" spans="1:19" ht="14.25" thickTop="1">
      <c r="A72" s="35"/>
      <c r="B72" s="35"/>
      <c r="C72" s="35"/>
      <c r="D72" s="35"/>
      <c r="E72" s="35"/>
      <c r="F72" s="35"/>
      <c r="G72" s="65"/>
      <c r="H72" s="35"/>
      <c r="I72" s="166"/>
      <c r="J72" s="179" t="s">
        <v>45</v>
      </c>
      <c r="K72" s="167">
        <f>SUM(K69:K71)</f>
        <v>164021500</v>
      </c>
      <c r="L72" s="167">
        <f>SUM(L69:L71)</f>
        <v>164021500</v>
      </c>
      <c r="M72" s="167">
        <f>SUM(M69:M71)</f>
        <v>2296301</v>
      </c>
      <c r="N72" s="167">
        <f>SUM(N69:N71)</f>
        <v>492064</v>
      </c>
      <c r="O72" s="35"/>
      <c r="P72" s="35"/>
      <c r="Q72" s="35"/>
      <c r="R72" s="35"/>
      <c r="S72" s="35"/>
    </row>
    <row r="73" spans="1:19">
      <c r="A73" s="35"/>
      <c r="B73" s="35"/>
      <c r="C73" s="35"/>
      <c r="D73" s="35"/>
      <c r="E73" s="35"/>
      <c r="F73" s="35"/>
      <c r="G73" s="65"/>
      <c r="H73" s="35"/>
      <c r="I73" s="58"/>
      <c r="J73" s="139"/>
      <c r="K73" s="139"/>
      <c r="L73" s="139"/>
      <c r="M73" s="139"/>
      <c r="N73" s="138"/>
      <c r="O73" s="35"/>
      <c r="P73" s="35"/>
      <c r="Q73" s="35"/>
      <c r="R73" s="35"/>
      <c r="S73" s="35"/>
    </row>
    <row r="74" spans="1:19">
      <c r="A74" s="35"/>
      <c r="B74" s="35"/>
      <c r="C74" s="35"/>
      <c r="D74" s="35"/>
      <c r="E74" s="35"/>
      <c r="F74" s="35"/>
      <c r="G74" s="65"/>
      <c r="H74" s="35"/>
      <c r="I74" s="176"/>
      <c r="J74" s="177"/>
      <c r="K74" s="178"/>
      <c r="L74" s="178"/>
      <c r="M74" s="178" t="s">
        <v>128</v>
      </c>
      <c r="N74" s="178"/>
      <c r="O74" s="35"/>
      <c r="P74" s="35"/>
      <c r="Q74" s="35"/>
      <c r="R74" s="35"/>
      <c r="S74" s="35"/>
    </row>
    <row r="75" spans="1:19">
      <c r="A75" s="35"/>
      <c r="B75" s="35"/>
      <c r="C75" s="35"/>
      <c r="D75" s="35"/>
      <c r="E75" s="35"/>
      <c r="F75" s="35"/>
      <c r="G75" s="65"/>
      <c r="H75" s="35" t="s">
        <v>155</v>
      </c>
      <c r="I75" s="168"/>
      <c r="J75" s="169"/>
      <c r="K75" s="169"/>
      <c r="L75" s="169"/>
      <c r="M75" s="169"/>
      <c r="N75" s="169"/>
      <c r="O75" s="35"/>
      <c r="P75" s="35"/>
      <c r="Q75" s="35"/>
      <c r="R75" s="35"/>
      <c r="S75" s="35"/>
    </row>
    <row r="76" spans="1:19" ht="14.25" thickBot="1">
      <c r="A76" s="35"/>
      <c r="B76" s="35"/>
      <c r="C76" s="35"/>
      <c r="D76" s="35"/>
      <c r="E76" s="35"/>
      <c r="F76" s="35"/>
      <c r="G76" s="65"/>
      <c r="H76" s="35"/>
      <c r="I76" s="281"/>
      <c r="J76" s="282"/>
      <c r="K76" s="282"/>
      <c r="L76" s="282"/>
      <c r="M76" s="282"/>
      <c r="N76" s="282"/>
      <c r="O76" s="35"/>
      <c r="P76" s="35"/>
      <c r="Q76" s="35"/>
      <c r="R76" s="35"/>
      <c r="S76" s="35"/>
    </row>
    <row r="77" spans="1:19" ht="14.25" thickTop="1">
      <c r="A77" s="35"/>
      <c r="B77" s="35"/>
      <c r="C77" s="35"/>
      <c r="D77" s="35"/>
      <c r="E77" s="35"/>
      <c r="F77" s="35"/>
      <c r="G77" s="65"/>
      <c r="H77" s="35"/>
      <c r="I77" s="283"/>
      <c r="J77" s="284">
        <f>SUM(J75:J76)</f>
        <v>0</v>
      </c>
      <c r="K77" s="284">
        <f>SUM(K75:K76)</f>
        <v>0</v>
      </c>
      <c r="L77" s="284">
        <f>SUM(L75:L76)</f>
        <v>0</v>
      </c>
      <c r="M77" s="284">
        <f>SUM(M75:M76)</f>
        <v>0</v>
      </c>
      <c r="N77" s="284"/>
      <c r="O77" s="35"/>
      <c r="P77" s="35"/>
      <c r="Q77" s="35"/>
      <c r="R77" s="35"/>
      <c r="S77" s="35"/>
    </row>
    <row r="78" spans="1:19">
      <c r="A78" s="35"/>
      <c r="B78" s="35"/>
      <c r="C78" s="35"/>
      <c r="D78" s="35"/>
      <c r="E78" s="35"/>
      <c r="F78" s="35"/>
      <c r="G78" s="65"/>
      <c r="H78" s="35"/>
      <c r="I78" s="35"/>
      <c r="J78" s="35"/>
      <c r="K78" s="35"/>
      <c r="L78" s="35"/>
      <c r="M78" s="35"/>
      <c r="N78" s="35"/>
      <c r="O78" s="35"/>
      <c r="P78" s="35"/>
      <c r="Q78" s="35"/>
      <c r="R78" s="35"/>
      <c r="S78" s="35"/>
    </row>
    <row r="79" spans="1:19">
      <c r="A79" s="41"/>
      <c r="B79" s="41"/>
      <c r="C79" s="41"/>
      <c r="D79" s="41"/>
      <c r="E79" s="35"/>
      <c r="F79" s="35"/>
      <c r="G79" s="35"/>
      <c r="H79" s="35"/>
      <c r="I79" s="41"/>
      <c r="J79" s="41"/>
      <c r="K79" s="41"/>
      <c r="L79" s="41"/>
      <c r="M79" s="41"/>
      <c r="N79" s="41"/>
      <c r="O79" s="41"/>
      <c r="P79" s="41"/>
      <c r="Q79" s="41"/>
      <c r="R79" s="41"/>
      <c r="S79" s="41"/>
    </row>
    <row r="80" spans="1:19">
      <c r="E80" s="41"/>
      <c r="F80" s="41"/>
      <c r="G80" s="41"/>
      <c r="H80" s="41"/>
    </row>
  </sheetData>
  <mergeCells count="40">
    <mergeCell ref="E43:F43"/>
    <mergeCell ref="A52:B52"/>
    <mergeCell ref="I33:J33"/>
    <mergeCell ref="N18:P18"/>
    <mergeCell ref="A42:B42"/>
    <mergeCell ref="E42:F42"/>
    <mergeCell ref="A33:B34"/>
    <mergeCell ref="D33:D34"/>
    <mergeCell ref="G33:H33"/>
    <mergeCell ref="A18:A19"/>
    <mergeCell ref="B18:C19"/>
    <mergeCell ref="D18:E19"/>
    <mergeCell ref="F18:G18"/>
    <mergeCell ref="C33:C34"/>
    <mergeCell ref="K33:L34"/>
    <mergeCell ref="K35:L35"/>
    <mergeCell ref="H18:I18"/>
    <mergeCell ref="F1:L1"/>
    <mergeCell ref="A4:A6"/>
    <mergeCell ref="A7:A8"/>
    <mergeCell ref="A9:A13"/>
    <mergeCell ref="C9:F9"/>
    <mergeCell ref="C13:D13"/>
    <mergeCell ref="J18:K18"/>
    <mergeCell ref="L18:L19"/>
    <mergeCell ref="K36:L36"/>
    <mergeCell ref="N42:O42"/>
    <mergeCell ref="N43:O43"/>
    <mergeCell ref="M18:M19"/>
    <mergeCell ref="S18:S19"/>
    <mergeCell ref="S20:S26"/>
    <mergeCell ref="N44:O44"/>
    <mergeCell ref="N51:O51"/>
    <mergeCell ref="N52:O52"/>
    <mergeCell ref="N45:O45"/>
    <mergeCell ref="N46:O46"/>
    <mergeCell ref="N47:O47"/>
    <mergeCell ref="N48:O48"/>
    <mergeCell ref="N49:O49"/>
    <mergeCell ref="N50:O50"/>
  </mergeCells>
  <phoneticPr fontId="3"/>
  <conditionalFormatting sqref="B53:B54 A52:A56 B50:B51 A42:A50 B43:B48">
    <cfRule type="cellIs" dxfId="41" priority="13" stopIfTrue="1" operator="equal">
      <formula>"空"</formula>
    </cfRule>
  </conditionalFormatting>
  <conditionalFormatting sqref="C32 B29:B30 B40 C39">
    <cfRule type="cellIs" dxfId="40" priority="14" stopIfTrue="1" operator="equal">
      <formula>"空室"</formula>
    </cfRule>
  </conditionalFormatting>
  <conditionalFormatting sqref="C20:C26">
    <cfRule type="cellIs" dxfId="39" priority="11" stopIfTrue="1" operator="equal">
      <formula>"空室"</formula>
    </cfRule>
  </conditionalFormatting>
  <conditionalFormatting sqref="B27:B28">
    <cfRule type="cellIs" dxfId="38" priority="12" stopIfTrue="1" operator="equal">
      <formula>"空室"</formula>
    </cfRule>
  </conditionalFormatting>
  <conditionalFormatting sqref="B25">
    <cfRule type="cellIs" dxfId="37" priority="10" stopIfTrue="1" operator="equal">
      <formula>"空室"</formula>
    </cfRule>
  </conditionalFormatting>
  <conditionalFormatting sqref="B24">
    <cfRule type="cellIs" dxfId="36" priority="8" stopIfTrue="1" operator="equal">
      <formula>"空室"</formula>
    </cfRule>
  </conditionalFormatting>
  <conditionalFormatting sqref="B22">
    <cfRule type="cellIs" dxfId="35" priority="7" stopIfTrue="1" operator="equal">
      <formula>"空室"</formula>
    </cfRule>
  </conditionalFormatting>
  <conditionalFormatting sqref="B26">
    <cfRule type="cellIs" dxfId="34" priority="5" stopIfTrue="1" operator="equal">
      <formula>"空室"</formula>
    </cfRule>
  </conditionalFormatting>
  <conditionalFormatting sqref="B20:B21">
    <cfRule type="cellIs" dxfId="33" priority="9" stopIfTrue="1" operator="equal">
      <formula>"空室"</formula>
    </cfRule>
  </conditionalFormatting>
  <conditionalFormatting sqref="B23">
    <cfRule type="cellIs" dxfId="32" priority="6" stopIfTrue="1" operator="equal">
      <formula>"空室"</formula>
    </cfRule>
  </conditionalFormatting>
  <conditionalFormatting sqref="A35:A36">
    <cfRule type="cellIs" dxfId="31" priority="3" stopIfTrue="1" operator="equal">
      <formula>"空室"</formula>
    </cfRule>
  </conditionalFormatting>
  <conditionalFormatting sqref="B35:B36">
    <cfRule type="cellIs" dxfId="30" priority="4" stopIfTrue="1" operator="equal">
      <formula>"空室"</formula>
    </cfRule>
  </conditionalFormatting>
  <conditionalFormatting sqref="C36">
    <cfRule type="cellIs" dxfId="29" priority="2" stopIfTrue="1" operator="equal">
      <formula>"空"</formula>
    </cfRule>
  </conditionalFormatting>
  <conditionalFormatting sqref="C35">
    <cfRule type="cellIs" dxfId="28" priority="1" stopIfTrue="1" operator="equal">
      <formula>"空室"</formula>
    </cfRule>
  </conditionalFormatting>
  <pageMargins left="0.70866141732283472" right="0.70866141732283472" top="0.74803149606299213" bottom="0.74803149606299213" header="0.47244094488188981" footer="0.31496062992125984"/>
  <pageSetup paperSize="9" scale="57" orientation="landscape" r:id="rId1"/>
  <colBreaks count="1" manualBreakCount="1">
    <brk id="19" max="1048575" man="1"/>
  </colBreaks>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9FFCC"/>
  </sheetPr>
  <dimension ref="A1:T80"/>
  <sheetViews>
    <sheetView view="pageBreakPreview" topLeftCell="A19" zoomScale="85" zoomScaleNormal="100" zoomScaleSheetLayoutView="85" workbookViewId="0">
      <selection activeCell="D24" sqref="D24"/>
    </sheetView>
  </sheetViews>
  <sheetFormatPr defaultColWidth="9" defaultRowHeight="13.5"/>
  <cols>
    <col min="1" max="1" width="10.625" customWidth="1"/>
    <col min="2" max="2" width="11.625" customWidth="1"/>
    <col min="3" max="3" width="18.75" customWidth="1"/>
    <col min="4" max="12" width="12.5" customWidth="1"/>
    <col min="13" max="16" width="10.625" customWidth="1"/>
    <col min="17" max="18" width="6.875" customWidth="1"/>
    <col min="19" max="19" width="22.25" bestFit="1" customWidth="1"/>
    <col min="20" max="20" width="9" style="143"/>
  </cols>
  <sheetData>
    <row r="1" spans="1:19" ht="21">
      <c r="A1" s="34" t="str">
        <f>基本情報!C5</f>
        <v>MAMIYAビル</v>
      </c>
      <c r="B1" s="34"/>
      <c r="C1" s="35"/>
      <c r="D1" s="35"/>
      <c r="E1" s="36"/>
      <c r="F1" s="2594" t="s">
        <v>1187</v>
      </c>
      <c r="G1" s="2594"/>
      <c r="H1" s="2594"/>
      <c r="I1" s="2594"/>
      <c r="J1" s="2594"/>
      <c r="K1" s="2594"/>
      <c r="L1" s="2594"/>
      <c r="M1" s="35"/>
      <c r="N1" s="35"/>
      <c r="O1" s="35"/>
      <c r="P1" s="35"/>
      <c r="Q1" s="35"/>
      <c r="R1" s="35"/>
      <c r="S1" s="35"/>
    </row>
    <row r="2" spans="1:19" ht="23.25" customHeight="1" thickBot="1">
      <c r="A2" s="35"/>
      <c r="B2" s="35"/>
      <c r="C2" s="35"/>
      <c r="D2" s="35"/>
      <c r="E2" s="35"/>
      <c r="F2" s="35"/>
      <c r="G2" s="35"/>
      <c r="H2" s="35"/>
      <c r="I2" s="35"/>
      <c r="J2" s="35"/>
      <c r="K2" s="35"/>
      <c r="L2" s="35"/>
      <c r="M2" s="35"/>
      <c r="N2" s="35"/>
      <c r="O2" s="35"/>
      <c r="P2" s="35"/>
      <c r="Q2" s="35"/>
      <c r="R2" s="35"/>
      <c r="S2" s="35"/>
    </row>
    <row r="3" spans="1:19">
      <c r="A3" s="37" t="s">
        <v>86</v>
      </c>
      <c r="B3" s="38" t="str">
        <f>基本情報!C6</f>
        <v>東京都千代田区神田錦町3-18</v>
      </c>
      <c r="C3" s="39"/>
      <c r="D3" s="39"/>
      <c r="E3" s="39"/>
      <c r="F3" s="39"/>
      <c r="G3" s="432"/>
      <c r="H3" s="40"/>
      <c r="I3" s="40"/>
      <c r="J3" s="40"/>
      <c r="K3" s="40"/>
      <c r="L3" s="41"/>
      <c r="M3" s="41"/>
      <c r="N3" s="41"/>
      <c r="O3" s="41"/>
      <c r="P3" s="41"/>
      <c r="Q3" s="41"/>
      <c r="R3" s="41"/>
      <c r="S3" s="41"/>
    </row>
    <row r="4" spans="1:19">
      <c r="A4" s="2595" t="s">
        <v>87</v>
      </c>
      <c r="B4" s="1773" t="str">
        <f>基本情報!C10</f>
        <v>都営新宿線・都営三田線・東京メトロ半蔵門線</v>
      </c>
      <c r="C4" s="1774"/>
      <c r="D4" s="42"/>
      <c r="E4" s="43" t="str">
        <f>基本情報!D10</f>
        <v>『神保町 』駅</v>
      </c>
      <c r="F4" s="43" t="str">
        <f>基本情報!F10</f>
        <v>徒歩3分</v>
      </c>
      <c r="G4" s="436"/>
      <c r="H4" s="44"/>
      <c r="I4" s="40"/>
      <c r="J4" s="40"/>
      <c r="K4" s="40"/>
      <c r="L4" s="41"/>
      <c r="M4" s="41"/>
      <c r="N4" s="45"/>
      <c r="O4" s="45"/>
      <c r="P4" s="45"/>
      <c r="Q4" s="45"/>
      <c r="R4" s="45"/>
      <c r="S4" s="41"/>
    </row>
    <row r="5" spans="1:19">
      <c r="A5" s="2596"/>
      <c r="B5" s="1775" t="str">
        <f>基本情報!C11</f>
        <v>都営新宿線</v>
      </c>
      <c r="C5" s="1776"/>
      <c r="D5" s="29"/>
      <c r="E5" s="46" t="str">
        <f>基本情報!D11</f>
        <v>『小川町』駅</v>
      </c>
      <c r="F5" s="46" t="str">
        <f>基本情報!F11</f>
        <v>徒歩5分</v>
      </c>
      <c r="G5" s="437"/>
      <c r="H5" s="44"/>
      <c r="I5" s="40"/>
      <c r="J5" s="40"/>
      <c r="K5" s="40"/>
      <c r="L5" s="41"/>
      <c r="M5" s="41"/>
      <c r="N5" s="45"/>
      <c r="O5" s="45"/>
      <c r="P5" s="45"/>
      <c r="Q5" s="45"/>
      <c r="R5" s="45"/>
      <c r="S5" s="41"/>
    </row>
    <row r="6" spans="1:19">
      <c r="A6" s="2597"/>
      <c r="B6" s="1777" t="str">
        <f>基本情報!C12</f>
        <v>東京メトロ千代田線</v>
      </c>
      <c r="C6" s="1778"/>
      <c r="D6" s="47"/>
      <c r="E6" s="48" t="str">
        <f>基本情報!D12</f>
        <v>『新御茶ノ水』駅</v>
      </c>
      <c r="F6" s="48" t="str">
        <f>基本情報!F12</f>
        <v>徒歩5分</v>
      </c>
      <c r="G6" s="438"/>
      <c r="H6" s="49"/>
      <c r="I6" s="44"/>
      <c r="J6" s="44"/>
      <c r="K6" s="44"/>
      <c r="L6" s="50"/>
      <c r="M6" s="45"/>
      <c r="N6" s="45"/>
      <c r="O6" s="45"/>
      <c r="P6" s="45"/>
      <c r="Q6" s="45"/>
      <c r="R6" s="45"/>
      <c r="S6" s="41"/>
    </row>
    <row r="7" spans="1:19">
      <c r="A7" s="2595" t="s">
        <v>72</v>
      </c>
      <c r="B7" s="51" t="s">
        <v>88</v>
      </c>
      <c r="C7" s="52" t="str">
        <f>基本情報!C17</f>
        <v>宅地</v>
      </c>
      <c r="D7" s="52"/>
      <c r="E7" s="52"/>
      <c r="F7" s="52"/>
      <c r="G7" s="439"/>
      <c r="H7" s="44"/>
      <c r="I7" s="44"/>
      <c r="J7" s="44"/>
      <c r="K7" s="44"/>
      <c r="L7" s="53"/>
      <c r="M7" s="45"/>
      <c r="N7" s="45"/>
      <c r="O7" s="45"/>
      <c r="P7" s="45"/>
      <c r="Q7" s="45"/>
      <c r="R7" s="45"/>
      <c r="S7" s="41"/>
    </row>
    <row r="8" spans="1:19">
      <c r="A8" s="2597"/>
      <c r="B8" s="54" t="s">
        <v>89</v>
      </c>
      <c r="C8" s="1016">
        <f>基本情報!C20</f>
        <v>354.52</v>
      </c>
      <c r="D8" s="55" t="s">
        <v>44</v>
      </c>
      <c r="E8" s="55">
        <f>ROUNDDOWN(C8*0.3025,2)</f>
        <v>107.24</v>
      </c>
      <c r="F8" s="91" t="s">
        <v>29</v>
      </c>
      <c r="G8" s="440"/>
      <c r="H8" s="44"/>
      <c r="I8" s="56"/>
      <c r="J8" s="56"/>
      <c r="K8" s="44"/>
      <c r="L8" s="53"/>
      <c r="M8" s="45"/>
      <c r="N8" s="45"/>
      <c r="O8" s="45"/>
      <c r="P8" s="45"/>
      <c r="Q8" s="45"/>
      <c r="R8" s="45"/>
      <c r="S8" s="41"/>
    </row>
    <row r="9" spans="1:19">
      <c r="A9" s="2595" t="s">
        <v>38</v>
      </c>
      <c r="B9" s="57" t="s">
        <v>90</v>
      </c>
      <c r="C9" s="2599" t="str">
        <f>基本情報!C28</f>
        <v>鉄骨鉄筋コンクリート造陸屋根7階建</v>
      </c>
      <c r="D9" s="2599"/>
      <c r="E9" s="2599"/>
      <c r="F9" s="2599"/>
      <c r="G9" s="59"/>
      <c r="H9" s="44"/>
      <c r="I9" s="56"/>
      <c r="J9" s="56"/>
      <c r="K9" s="44"/>
      <c r="L9" s="53"/>
      <c r="M9" s="45"/>
      <c r="N9" s="45"/>
      <c r="O9" s="45"/>
      <c r="P9" s="45"/>
      <c r="Q9" s="45"/>
      <c r="R9" s="45"/>
      <c r="S9" s="41"/>
    </row>
    <row r="10" spans="1:19">
      <c r="A10" s="2596"/>
      <c r="B10" s="57" t="s">
        <v>91</v>
      </c>
      <c r="C10" s="1014">
        <f>基本情報!C30</f>
        <v>2132.0300000000002</v>
      </c>
      <c r="D10" s="58" t="s">
        <v>44</v>
      </c>
      <c r="E10" s="430">
        <f>ROUNDDOWN(C10*0.3025,2)</f>
        <v>644.92999999999995</v>
      </c>
      <c r="F10" s="65" t="s">
        <v>29</v>
      </c>
      <c r="G10" s="433"/>
      <c r="H10" s="44"/>
      <c r="I10" s="56"/>
      <c r="J10" s="56"/>
      <c r="K10" s="44"/>
      <c r="L10" s="45"/>
      <c r="M10" s="45"/>
      <c r="N10" s="45"/>
      <c r="O10" s="45"/>
      <c r="P10" s="45"/>
      <c r="Q10" s="45"/>
      <c r="R10" s="45"/>
      <c r="S10" s="41"/>
    </row>
    <row r="11" spans="1:19">
      <c r="A11" s="2596"/>
      <c r="B11" s="57" t="s">
        <v>92</v>
      </c>
      <c r="C11" s="1015">
        <f>D28</f>
        <v>1866.5809999999997</v>
      </c>
      <c r="D11" s="58" t="s">
        <v>44</v>
      </c>
      <c r="E11" s="429">
        <f>E28</f>
        <v>564.64075249999985</v>
      </c>
      <c r="F11" s="65" t="s">
        <v>29</v>
      </c>
      <c r="G11" s="434">
        <f>E11/E10</f>
        <v>0.87550703564727939</v>
      </c>
      <c r="H11" s="56"/>
      <c r="I11" s="44"/>
      <c r="J11" s="44"/>
      <c r="K11" s="44"/>
      <c r="L11" s="45"/>
      <c r="M11" s="45"/>
      <c r="N11" s="45"/>
      <c r="O11" s="45"/>
      <c r="P11" s="45"/>
      <c r="Q11" s="45"/>
      <c r="R11" s="45"/>
      <c r="S11" s="41"/>
    </row>
    <row r="12" spans="1:19">
      <c r="A12" s="2596"/>
      <c r="B12" s="57" t="s">
        <v>93</v>
      </c>
      <c r="C12" s="1718">
        <f>D38</f>
        <v>2</v>
      </c>
      <c r="D12" s="58" t="s">
        <v>73</v>
      </c>
      <c r="E12" s="58"/>
      <c r="F12" s="65"/>
      <c r="G12" s="59"/>
      <c r="H12" s="44"/>
      <c r="I12" s="44"/>
      <c r="J12" s="44"/>
      <c r="K12" s="44"/>
      <c r="L12" s="45"/>
      <c r="M12" s="45"/>
      <c r="N12" s="41"/>
      <c r="O12" s="41"/>
      <c r="P12" s="41"/>
      <c r="Q12" s="41"/>
      <c r="R12" s="41"/>
      <c r="S12" s="41"/>
    </row>
    <row r="13" spans="1:19" ht="14.25" thickBot="1">
      <c r="A13" s="2598"/>
      <c r="B13" s="61" t="s">
        <v>94</v>
      </c>
      <c r="C13" s="2600">
        <f>基本情報!C33</f>
        <v>30749</v>
      </c>
      <c r="D13" s="2600"/>
      <c r="E13" s="62"/>
      <c r="F13" s="431">
        <f ca="1">基本情報!E33</f>
        <v>34.895890410958906</v>
      </c>
      <c r="G13" s="435"/>
      <c r="H13" s="40"/>
      <c r="I13" s="40"/>
      <c r="J13" s="40"/>
      <c r="K13" s="40"/>
      <c r="L13" s="41"/>
      <c r="M13" s="41"/>
      <c r="N13" s="41"/>
      <c r="O13" s="41"/>
      <c r="P13" s="41"/>
      <c r="Q13" s="41"/>
      <c r="R13" s="41"/>
      <c r="S13" s="41"/>
    </row>
    <row r="14" spans="1:19" ht="39" customHeight="1">
      <c r="A14" s="63"/>
      <c r="B14" s="63"/>
      <c r="C14" s="64"/>
      <c r="D14" s="64"/>
      <c r="E14" s="65"/>
      <c r="F14" s="65"/>
      <c r="G14" s="65"/>
      <c r="H14" s="41"/>
      <c r="I14" s="66"/>
      <c r="J14" s="41"/>
      <c r="K14" s="41"/>
      <c r="L14" s="41"/>
      <c r="M14" s="35"/>
      <c r="N14" s="35"/>
      <c r="O14" s="41"/>
      <c r="P14" s="41"/>
      <c r="Q14" s="41"/>
      <c r="R14" s="41"/>
      <c r="S14" s="41"/>
    </row>
    <row r="15" spans="1:19" ht="14.25" thickBot="1">
      <c r="A15" s="67" t="s">
        <v>95</v>
      </c>
      <c r="B15" s="67"/>
      <c r="C15" s="41"/>
      <c r="D15" s="41"/>
      <c r="E15" s="41"/>
      <c r="F15" s="41"/>
      <c r="G15" s="66"/>
      <c r="H15" s="41"/>
      <c r="I15" s="41"/>
      <c r="J15" s="68"/>
      <c r="K15" s="41"/>
      <c r="L15" s="41"/>
      <c r="M15" s="41"/>
      <c r="N15" s="41"/>
      <c r="O15" s="41"/>
      <c r="P15" s="41"/>
      <c r="Q15" s="41"/>
      <c r="R15" s="41"/>
      <c r="S15" s="180">
        <f ca="1">TODAY()</f>
        <v>43486</v>
      </c>
    </row>
    <row r="16" spans="1:19" ht="14.25" thickBot="1">
      <c r="A16" s="355" t="s">
        <v>96</v>
      </c>
      <c r="B16" s="69"/>
      <c r="C16" s="70" t="s">
        <v>97</v>
      </c>
      <c r="D16" s="356">
        <f>D27/D28</f>
        <v>0</v>
      </c>
      <c r="E16" s="41"/>
      <c r="F16" s="280">
        <f>F28-F27</f>
        <v>11291800</v>
      </c>
      <c r="G16" s="71"/>
      <c r="H16" s="41"/>
      <c r="I16" s="41"/>
      <c r="J16" s="41"/>
      <c r="K16" s="41"/>
      <c r="L16" s="41"/>
      <c r="M16" s="41"/>
      <c r="N16" s="41"/>
      <c r="O16" s="41"/>
      <c r="P16" s="41"/>
      <c r="Q16" s="41"/>
      <c r="R16" s="41"/>
      <c r="S16" s="41"/>
    </row>
    <row r="17" spans="1:20" ht="12" customHeight="1">
      <c r="A17" s="69"/>
      <c r="B17" s="69"/>
      <c r="C17" s="41"/>
      <c r="D17" s="41"/>
      <c r="E17" s="41"/>
      <c r="F17" s="41"/>
      <c r="G17" s="41"/>
      <c r="H17" s="41"/>
      <c r="I17" s="41"/>
      <c r="J17" s="41"/>
      <c r="K17" s="41"/>
      <c r="L17" s="41"/>
      <c r="M17" s="41"/>
      <c r="N17" s="41"/>
      <c r="O17" s="41"/>
      <c r="P17" s="41"/>
      <c r="Q17" s="41"/>
      <c r="R17" s="41"/>
    </row>
    <row r="18" spans="1:20">
      <c r="A18" s="2590" t="s">
        <v>98</v>
      </c>
      <c r="B18" s="2605" t="s">
        <v>99</v>
      </c>
      <c r="C18" s="2606"/>
      <c r="D18" s="2592" t="s">
        <v>100</v>
      </c>
      <c r="E18" s="2593"/>
      <c r="F18" s="2592" t="s">
        <v>74</v>
      </c>
      <c r="G18" s="2593"/>
      <c r="H18" s="2592" t="s">
        <v>75</v>
      </c>
      <c r="I18" s="2593"/>
      <c r="J18" s="2592" t="s">
        <v>101</v>
      </c>
      <c r="K18" s="2593"/>
      <c r="L18" s="2590" t="s">
        <v>102</v>
      </c>
      <c r="M18" s="2590" t="s">
        <v>103</v>
      </c>
      <c r="N18" s="2555" t="s">
        <v>76</v>
      </c>
      <c r="O18" s="2556"/>
      <c r="P18" s="2557"/>
      <c r="Q18" s="73" t="s">
        <v>104</v>
      </c>
      <c r="R18" s="73" t="s">
        <v>105</v>
      </c>
      <c r="S18" s="2590" t="s">
        <v>43</v>
      </c>
    </row>
    <row r="19" spans="1:20">
      <c r="A19" s="2591"/>
      <c r="B19" s="2607"/>
      <c r="C19" s="2608"/>
      <c r="D19" s="2609"/>
      <c r="E19" s="2610"/>
      <c r="F19" s="1813"/>
      <c r="G19" s="326" t="s">
        <v>106</v>
      </c>
      <c r="H19" s="340"/>
      <c r="I19" s="341" t="s">
        <v>106</v>
      </c>
      <c r="J19" s="340"/>
      <c r="K19" s="341" t="s">
        <v>106</v>
      </c>
      <c r="L19" s="2591"/>
      <c r="M19" s="2591"/>
      <c r="N19" s="341" t="s">
        <v>226</v>
      </c>
      <c r="O19" s="342" t="s">
        <v>77</v>
      </c>
      <c r="P19" s="342" t="s">
        <v>78</v>
      </c>
      <c r="Q19" s="342" t="s">
        <v>107</v>
      </c>
      <c r="R19" s="74" t="s">
        <v>108</v>
      </c>
      <c r="S19" s="2591"/>
    </row>
    <row r="20" spans="1:20" s="1785" customFormat="1" ht="18" customHeight="1">
      <c r="A20" s="1814" t="s">
        <v>227</v>
      </c>
      <c r="B20" s="1815" t="s">
        <v>96</v>
      </c>
      <c r="C20" s="1816" t="s">
        <v>45</v>
      </c>
      <c r="D20" s="1817">
        <f>261.23*0.7</f>
        <v>182.86099999999999</v>
      </c>
      <c r="E20" s="1818">
        <f>ROUNDDOWN(D20*0.3025,2)</f>
        <v>55.31</v>
      </c>
      <c r="F20" s="1819">
        <f t="shared" ref="F20:F26" si="0">G20*E20</f>
        <v>1106200</v>
      </c>
      <c r="G20" s="1820">
        <v>20000</v>
      </c>
      <c r="H20" s="1821">
        <v>0</v>
      </c>
      <c r="I20" s="1820">
        <f>H20/E20</f>
        <v>0</v>
      </c>
      <c r="J20" s="1822">
        <f t="shared" ref="J20:K26" si="1">SUM(F20,H20)</f>
        <v>1106200</v>
      </c>
      <c r="K20" s="1822">
        <f t="shared" si="1"/>
        <v>20000</v>
      </c>
      <c r="L20" s="1821">
        <f>M20*F20</f>
        <v>0</v>
      </c>
      <c r="M20" s="1823">
        <v>0</v>
      </c>
      <c r="N20" s="1824"/>
      <c r="O20" s="1825"/>
      <c r="P20" s="1825"/>
      <c r="Q20" s="1826" t="s">
        <v>1194</v>
      </c>
      <c r="R20" s="1827" t="s">
        <v>45</v>
      </c>
      <c r="S20" s="2660" t="s">
        <v>1193</v>
      </c>
    </row>
    <row r="21" spans="1:20" s="1785" customFormat="1" ht="18" customHeight="1">
      <c r="A21" s="1828" t="s">
        <v>983</v>
      </c>
      <c r="B21" s="1816" t="s">
        <v>96</v>
      </c>
      <c r="C21" s="1816" t="s">
        <v>45</v>
      </c>
      <c r="D21" s="1829">
        <f>311.8*0.9</f>
        <v>280.62</v>
      </c>
      <c r="E21" s="1830">
        <f>ROUNDDOWN(D21*0.3025,2)</f>
        <v>84.88</v>
      </c>
      <c r="F21" s="1819">
        <f t="shared" si="0"/>
        <v>1697600</v>
      </c>
      <c r="G21" s="1820">
        <v>20000</v>
      </c>
      <c r="H21" s="1819">
        <v>0</v>
      </c>
      <c r="I21" s="1820">
        <f>H21/E21</f>
        <v>0</v>
      </c>
      <c r="J21" s="1820">
        <f t="shared" si="1"/>
        <v>1697600</v>
      </c>
      <c r="K21" s="1820">
        <f t="shared" si="1"/>
        <v>20000</v>
      </c>
      <c r="L21" s="1819">
        <f>M21*F21</f>
        <v>0</v>
      </c>
      <c r="M21" s="1823">
        <v>0</v>
      </c>
      <c r="N21" s="1831"/>
      <c r="O21" s="1832"/>
      <c r="P21" s="1832"/>
      <c r="Q21" s="1833" t="s">
        <v>1194</v>
      </c>
      <c r="R21" s="1834" t="s">
        <v>45</v>
      </c>
      <c r="S21" s="2661"/>
    </row>
    <row r="22" spans="1:20" s="1785" customFormat="1" ht="18" customHeight="1">
      <c r="A22" s="1828" t="s">
        <v>984</v>
      </c>
      <c r="B22" s="1816" t="s">
        <v>96</v>
      </c>
      <c r="C22" s="1816" t="s">
        <v>45</v>
      </c>
      <c r="D22" s="1829">
        <f t="shared" ref="D22:D26" si="2">311.8*0.9</f>
        <v>280.62</v>
      </c>
      <c r="E22" s="1830">
        <f>ROUNDDOWN(D22*0.3025,2)</f>
        <v>84.88</v>
      </c>
      <c r="F22" s="1819">
        <f t="shared" si="0"/>
        <v>1697600</v>
      </c>
      <c r="G22" s="1820">
        <v>20000</v>
      </c>
      <c r="H22" s="1819">
        <v>0</v>
      </c>
      <c r="I22" s="1820">
        <f t="shared" ref="I22:I26" si="3">H22/E22</f>
        <v>0</v>
      </c>
      <c r="J22" s="1820">
        <f t="shared" si="1"/>
        <v>1697600</v>
      </c>
      <c r="K22" s="1820">
        <f t="shared" si="1"/>
        <v>20000</v>
      </c>
      <c r="L22" s="1819">
        <f t="shared" ref="L22:L25" si="4">M22*F22</f>
        <v>0</v>
      </c>
      <c r="M22" s="1823">
        <v>0</v>
      </c>
      <c r="N22" s="1831"/>
      <c r="O22" s="1832"/>
      <c r="P22" s="1832"/>
      <c r="Q22" s="1833" t="s">
        <v>1194</v>
      </c>
      <c r="R22" s="1834" t="s">
        <v>45</v>
      </c>
      <c r="S22" s="2661"/>
    </row>
    <row r="23" spans="1:20" s="1785" customFormat="1" ht="18" customHeight="1">
      <c r="A23" s="1828" t="s">
        <v>985</v>
      </c>
      <c r="B23" s="1816" t="s">
        <v>96</v>
      </c>
      <c r="C23" s="1816" t="s">
        <v>45</v>
      </c>
      <c r="D23" s="1829">
        <f t="shared" si="2"/>
        <v>280.62</v>
      </c>
      <c r="E23" s="1830">
        <f t="shared" ref="E23" si="5">ROUNDDOWN(D23*0.3025,2)</f>
        <v>84.88</v>
      </c>
      <c r="F23" s="1819">
        <f t="shared" si="0"/>
        <v>1697600</v>
      </c>
      <c r="G23" s="1820">
        <v>20000</v>
      </c>
      <c r="H23" s="1819">
        <f>I23*E23</f>
        <v>0</v>
      </c>
      <c r="I23" s="1820">
        <v>0</v>
      </c>
      <c r="J23" s="1820">
        <f t="shared" si="1"/>
        <v>1697600</v>
      </c>
      <c r="K23" s="1820">
        <f t="shared" si="1"/>
        <v>20000</v>
      </c>
      <c r="L23" s="1819">
        <f t="shared" si="4"/>
        <v>0</v>
      </c>
      <c r="M23" s="1823">
        <v>0</v>
      </c>
      <c r="N23" s="1831"/>
      <c r="O23" s="1832"/>
      <c r="P23" s="1832"/>
      <c r="Q23" s="1833" t="s">
        <v>1194</v>
      </c>
      <c r="R23" s="1834" t="s">
        <v>45</v>
      </c>
      <c r="S23" s="2661"/>
    </row>
    <row r="24" spans="1:20" s="1785" customFormat="1" ht="18" customHeight="1">
      <c r="A24" s="1828" t="s">
        <v>986</v>
      </c>
      <c r="B24" s="1816" t="s">
        <v>96</v>
      </c>
      <c r="C24" s="1816" t="s">
        <v>45</v>
      </c>
      <c r="D24" s="1829">
        <f t="shared" si="2"/>
        <v>280.62</v>
      </c>
      <c r="E24" s="1830">
        <f>ROUNDDOWN(D24*0.3025,2)</f>
        <v>84.88</v>
      </c>
      <c r="F24" s="1819">
        <f t="shared" si="0"/>
        <v>1697600</v>
      </c>
      <c r="G24" s="1820">
        <v>20000</v>
      </c>
      <c r="H24" s="1819">
        <f>I24*E24</f>
        <v>0</v>
      </c>
      <c r="I24" s="1820">
        <v>0</v>
      </c>
      <c r="J24" s="1820">
        <f t="shared" si="1"/>
        <v>1697600</v>
      </c>
      <c r="K24" s="1820">
        <f t="shared" si="1"/>
        <v>20000</v>
      </c>
      <c r="L24" s="1819">
        <f t="shared" si="4"/>
        <v>0</v>
      </c>
      <c r="M24" s="1823">
        <v>0</v>
      </c>
      <c r="N24" s="1831"/>
      <c r="O24" s="1832"/>
      <c r="P24" s="1832"/>
      <c r="Q24" s="1833" t="s">
        <v>1194</v>
      </c>
      <c r="R24" s="1834" t="s">
        <v>45</v>
      </c>
      <c r="S24" s="2661"/>
    </row>
    <row r="25" spans="1:20" s="1785" customFormat="1" ht="18" customHeight="1">
      <c r="A25" s="1828" t="s">
        <v>324</v>
      </c>
      <c r="B25" s="1835" t="s">
        <v>96</v>
      </c>
      <c r="C25" s="1816" t="s">
        <v>45</v>
      </c>
      <c r="D25" s="1829">
        <f t="shared" si="2"/>
        <v>280.62</v>
      </c>
      <c r="E25" s="1836">
        <f>ROUNDDOWN(D25*0.3025,2)</f>
        <v>84.88</v>
      </c>
      <c r="F25" s="1819">
        <f t="shared" si="0"/>
        <v>1697600</v>
      </c>
      <c r="G25" s="1820">
        <v>20000</v>
      </c>
      <c r="H25" s="1819">
        <v>0</v>
      </c>
      <c r="I25" s="1820">
        <f>H25/E25</f>
        <v>0</v>
      </c>
      <c r="J25" s="1820">
        <f t="shared" si="1"/>
        <v>1697600</v>
      </c>
      <c r="K25" s="1820">
        <f t="shared" si="1"/>
        <v>20000</v>
      </c>
      <c r="L25" s="1819">
        <f t="shared" si="4"/>
        <v>0</v>
      </c>
      <c r="M25" s="1823">
        <v>0</v>
      </c>
      <c r="N25" s="1831"/>
      <c r="O25" s="1832"/>
      <c r="P25" s="1832"/>
      <c r="Q25" s="1833" t="s">
        <v>1194</v>
      </c>
      <c r="R25" s="1838" t="s">
        <v>45</v>
      </c>
      <c r="S25" s="2661"/>
    </row>
    <row r="26" spans="1:20" s="2659" customFormat="1" ht="18" customHeight="1" thickBot="1">
      <c r="A26" s="1839" t="s">
        <v>911</v>
      </c>
      <c r="B26" s="1840" t="s">
        <v>96</v>
      </c>
      <c r="C26" s="1840" t="s">
        <v>45</v>
      </c>
      <c r="D26" s="1841">
        <f t="shared" si="2"/>
        <v>280.62</v>
      </c>
      <c r="E26" s="1842">
        <f>ROUNDDOWN(D26*0.3025,2)</f>
        <v>84.88</v>
      </c>
      <c r="F26" s="1843">
        <f t="shared" si="0"/>
        <v>1697600</v>
      </c>
      <c r="G26" s="1844">
        <v>20000</v>
      </c>
      <c r="H26" s="1843">
        <v>0</v>
      </c>
      <c r="I26" s="1844">
        <f t="shared" si="3"/>
        <v>0</v>
      </c>
      <c r="J26" s="1844">
        <f t="shared" si="1"/>
        <v>1697600</v>
      </c>
      <c r="K26" s="1844">
        <f t="shared" si="1"/>
        <v>20000</v>
      </c>
      <c r="L26" s="1843">
        <f>M26*F26</f>
        <v>0</v>
      </c>
      <c r="M26" s="1845">
        <v>0</v>
      </c>
      <c r="N26" s="1846"/>
      <c r="O26" s="1847"/>
      <c r="P26" s="1847"/>
      <c r="Q26" s="1848" t="s">
        <v>1194</v>
      </c>
      <c r="R26" s="1849" t="s">
        <v>45</v>
      </c>
      <c r="S26" s="2661"/>
    </row>
    <row r="27" spans="1:20" ht="14.25" thickTop="1">
      <c r="A27" s="328"/>
      <c r="B27" s="1463" t="s">
        <v>110</v>
      </c>
      <c r="C27" s="2654" t="s">
        <v>112</v>
      </c>
      <c r="D27" s="329">
        <f>D28-SUMIF(C4:C26,"-",D4:D26)</f>
        <v>0</v>
      </c>
      <c r="E27" s="330">
        <f>ROUNDDOWN(D27*0.3025,2)</f>
        <v>0</v>
      </c>
      <c r="F27" s="331">
        <f>F28-SUMIF(C20:C26,"-",F20:F26)</f>
        <v>0</v>
      </c>
      <c r="G27" s="2655" t="e">
        <f>F27/E27</f>
        <v>#DIV/0!</v>
      </c>
      <c r="H27" s="331">
        <f>H28-SUMIF(C20:C26,"-",H20:H26)</f>
        <v>0</v>
      </c>
      <c r="I27" s="331" t="e">
        <f>H27/E27</f>
        <v>#DIV/0!</v>
      </c>
      <c r="J27" s="331">
        <f>SUM(F27,H27)</f>
        <v>0</v>
      </c>
      <c r="K27" s="331" t="e">
        <f>SUM(G27,I27)</f>
        <v>#DIV/0!</v>
      </c>
      <c r="L27" s="331">
        <f>L28-SUMIF(C20:C26,"-",L20:L26)</f>
        <v>0</v>
      </c>
      <c r="M27" s="1350"/>
      <c r="N27" s="337"/>
      <c r="O27" s="338"/>
      <c r="P27" s="2656"/>
      <c r="Q27" s="2657"/>
      <c r="R27" s="2658"/>
      <c r="S27" s="339"/>
    </row>
    <row r="28" spans="1:20">
      <c r="A28" s="332"/>
      <c r="B28" s="1464" t="s">
        <v>111</v>
      </c>
      <c r="C28" s="333" t="s">
        <v>112</v>
      </c>
      <c r="D28" s="334">
        <f>SUM(D20:D26)</f>
        <v>1866.5809999999997</v>
      </c>
      <c r="E28" s="335">
        <f>D28*0.3025</f>
        <v>564.64075249999985</v>
      </c>
      <c r="F28" s="336">
        <f>SUM(F20:F26)</f>
        <v>11291800</v>
      </c>
      <c r="G28" s="336">
        <f>F28/E28</f>
        <v>19998.202308289823</v>
      </c>
      <c r="H28" s="336">
        <f>SUM(H20:H26)</f>
        <v>0</v>
      </c>
      <c r="I28" s="336">
        <f>H28/E28</f>
        <v>0</v>
      </c>
      <c r="J28" s="336">
        <f>SUM(J20:J26)</f>
        <v>11291800</v>
      </c>
      <c r="K28" s="336">
        <f>SUM(G28,I28)</f>
        <v>19998.202308289823</v>
      </c>
      <c r="L28" s="336">
        <f>SUM(L20:L26)</f>
        <v>0</v>
      </c>
      <c r="M28" s="1350"/>
      <c r="N28" s="337"/>
      <c r="O28" s="338"/>
      <c r="P28" s="338"/>
      <c r="Q28" s="338"/>
      <c r="R28" s="338"/>
      <c r="S28" s="339"/>
    </row>
    <row r="29" spans="1:20" s="372" customFormat="1" ht="32.25" customHeight="1">
      <c r="A29" s="86"/>
      <c r="B29" s="86"/>
      <c r="C29" s="87"/>
      <c r="D29" s="88"/>
      <c r="E29" s="88"/>
      <c r="F29" s="88"/>
      <c r="G29" s="88"/>
      <c r="H29" s="88"/>
      <c r="I29" s="88"/>
      <c r="J29" s="88"/>
      <c r="K29" s="88"/>
      <c r="L29" s="88"/>
      <c r="M29" s="88"/>
      <c r="N29" s="88"/>
      <c r="O29" s="89"/>
      <c r="P29" s="89"/>
      <c r="Q29" s="89"/>
      <c r="R29" s="89"/>
      <c r="S29" s="86"/>
      <c r="T29" s="1365"/>
    </row>
    <row r="30" spans="1:20" ht="14.25" thickBot="1">
      <c r="A30" s="41"/>
      <c r="B30" s="41"/>
      <c r="C30" s="81"/>
      <c r="D30" s="79"/>
      <c r="E30" s="79"/>
      <c r="F30" s="79"/>
      <c r="G30" s="79"/>
      <c r="H30" s="79"/>
      <c r="I30" s="79"/>
      <c r="J30" s="79"/>
      <c r="K30" s="79"/>
      <c r="L30" s="79"/>
      <c r="M30" s="79"/>
      <c r="N30" s="80"/>
      <c r="O30" s="80"/>
      <c r="P30" s="80"/>
      <c r="Q30" s="80"/>
      <c r="R30" s="40"/>
      <c r="S30" s="41"/>
    </row>
    <row r="31" spans="1:20" ht="14.25" thickBot="1">
      <c r="A31" s="82" t="s">
        <v>113</v>
      </c>
      <c r="C31" s="83" t="s">
        <v>97</v>
      </c>
      <c r="D31" s="356">
        <f>D37/D38</f>
        <v>0</v>
      </c>
      <c r="E31" s="45"/>
      <c r="F31" s="84"/>
      <c r="G31" s="84"/>
      <c r="H31" s="84"/>
      <c r="I31" s="45"/>
      <c r="J31" s="84"/>
      <c r="K31" s="45"/>
      <c r="L31" s="45"/>
      <c r="M31" s="45"/>
      <c r="N31" s="80"/>
      <c r="O31" s="80"/>
      <c r="P31" s="45"/>
      <c r="Q31" s="45"/>
      <c r="R31" s="45"/>
      <c r="S31" s="45"/>
    </row>
    <row r="32" spans="1:20">
      <c r="A32" s="85"/>
      <c r="B32" s="85"/>
      <c r="C32" s="85"/>
      <c r="D32" s="45"/>
      <c r="E32" s="45"/>
      <c r="F32" s="45"/>
      <c r="G32" s="45"/>
      <c r="H32" s="45"/>
      <c r="I32" s="45"/>
      <c r="J32" s="45"/>
      <c r="K32" s="45"/>
      <c r="L32" s="45"/>
      <c r="M32" s="45"/>
      <c r="N32" s="45"/>
      <c r="O32" s="80"/>
      <c r="P32" s="80"/>
      <c r="Q32" s="45"/>
      <c r="R32" s="45"/>
      <c r="S32" s="45"/>
      <c r="T32" s="45"/>
    </row>
    <row r="33" spans="1:20">
      <c r="A33" s="2592" t="s">
        <v>233</v>
      </c>
      <c r="B33" s="2593"/>
      <c r="C33" s="2611" t="s">
        <v>114</v>
      </c>
      <c r="D33" s="2611" t="s">
        <v>115</v>
      </c>
      <c r="E33" s="1810" t="s">
        <v>116</v>
      </c>
      <c r="F33" s="1811" t="s">
        <v>117</v>
      </c>
      <c r="G33" s="2613" t="s">
        <v>118</v>
      </c>
      <c r="H33" s="2614"/>
      <c r="I33" s="2615" t="s">
        <v>76</v>
      </c>
      <c r="J33" s="2616"/>
      <c r="K33" s="2601" t="s">
        <v>43</v>
      </c>
      <c r="L33" s="2602"/>
      <c r="M33" s="45"/>
      <c r="N33" s="45"/>
      <c r="O33" s="80"/>
      <c r="P33" s="80"/>
      <c r="Q33" s="45"/>
      <c r="R33" s="45"/>
      <c r="S33" s="45"/>
      <c r="T33" s="45"/>
    </row>
    <row r="34" spans="1:20">
      <c r="A34" s="2609"/>
      <c r="B34" s="2610"/>
      <c r="C34" s="2612"/>
      <c r="D34" s="2612"/>
      <c r="E34" s="1812"/>
      <c r="F34" s="347" t="s">
        <v>119</v>
      </c>
      <c r="G34" s="348"/>
      <c r="H34" s="349" t="s">
        <v>120</v>
      </c>
      <c r="I34" s="350" t="s">
        <v>77</v>
      </c>
      <c r="J34" s="350" t="s">
        <v>78</v>
      </c>
      <c r="K34" s="2603"/>
      <c r="L34" s="2604"/>
      <c r="M34" s="45"/>
      <c r="N34" s="45"/>
      <c r="O34" s="80"/>
      <c r="P34" s="80"/>
      <c r="Q34" s="45"/>
      <c r="R34" s="45"/>
      <c r="S34" s="45"/>
      <c r="T34" s="45"/>
    </row>
    <row r="35" spans="1:20" s="1785" customFormat="1">
      <c r="A35" s="2634">
        <v>1</v>
      </c>
      <c r="B35" s="2635" t="s">
        <v>987</v>
      </c>
      <c r="C35" s="2636" t="s">
        <v>45</v>
      </c>
      <c r="D35" s="2637">
        <v>1</v>
      </c>
      <c r="E35" s="2638">
        <f>F35*D35</f>
        <v>48000</v>
      </c>
      <c r="F35" s="2638">
        <v>48000</v>
      </c>
      <c r="G35" s="2639">
        <f>H35*E35</f>
        <v>0</v>
      </c>
      <c r="H35" s="2640">
        <v>0</v>
      </c>
      <c r="I35" s="2641" t="s">
        <v>988</v>
      </c>
      <c r="J35" s="2641" t="s">
        <v>988</v>
      </c>
      <c r="K35" s="2642"/>
      <c r="L35" s="2643"/>
      <c r="M35" s="2632"/>
      <c r="N35" s="2632"/>
      <c r="O35" s="2633"/>
      <c r="P35" s="2633"/>
      <c r="Q35" s="2632"/>
      <c r="R35" s="2632"/>
      <c r="S35" s="2632"/>
      <c r="T35" s="2632"/>
    </row>
    <row r="36" spans="1:20" s="1719" customFormat="1" ht="14.25" thickBot="1">
      <c r="A36" s="2644">
        <v>2</v>
      </c>
      <c r="B36" s="2644" t="s">
        <v>987</v>
      </c>
      <c r="C36" s="2645" t="s">
        <v>1196</v>
      </c>
      <c r="D36" s="2646">
        <v>1</v>
      </c>
      <c r="E36" s="2647">
        <f>F36*D36</f>
        <v>48000</v>
      </c>
      <c r="F36" s="2648">
        <v>48000</v>
      </c>
      <c r="G36" s="2649">
        <f>H36*E36</f>
        <v>0</v>
      </c>
      <c r="H36" s="2650">
        <v>0</v>
      </c>
      <c r="I36" s="2651" t="s">
        <v>1197</v>
      </c>
      <c r="J36" s="2651" t="s">
        <v>1198</v>
      </c>
      <c r="K36" s="2652"/>
      <c r="L36" s="2653"/>
      <c r="M36" s="1720"/>
      <c r="N36" s="1720"/>
      <c r="O36" s="1721"/>
      <c r="P36" s="1721"/>
      <c r="Q36" s="1720"/>
      <c r="R36" s="1720"/>
      <c r="S36" s="1720"/>
      <c r="T36" s="1720"/>
    </row>
    <row r="37" spans="1:20" ht="14.25" thickTop="1">
      <c r="A37" s="1461"/>
      <c r="B37" s="1462" t="s">
        <v>121</v>
      </c>
      <c r="C37" s="351" t="s">
        <v>112</v>
      </c>
      <c r="D37" s="352">
        <f>D38-SUMIF(C35:C36,"-",D35:D36)</f>
        <v>0</v>
      </c>
      <c r="E37" s="353">
        <f>E38-SUMIF(C35:C36,"-",E35:E36)</f>
        <v>0</v>
      </c>
      <c r="F37" s="353" t="e">
        <f>E37/D37</f>
        <v>#DIV/0!</v>
      </c>
      <c r="G37" s="353">
        <f>G38-SUMIF(C35:C36,"-",G35:G36)</f>
        <v>0</v>
      </c>
      <c r="H37" s="1343"/>
      <c r="I37" s="345"/>
      <c r="J37" s="345"/>
      <c r="K37" s="345"/>
      <c r="L37" s="345"/>
      <c r="M37" s="45"/>
      <c r="N37" s="45"/>
      <c r="O37" s="45"/>
      <c r="P37" s="45"/>
      <c r="Q37" s="45"/>
      <c r="R37" s="45"/>
      <c r="S37" s="45"/>
      <c r="T37" s="45"/>
    </row>
    <row r="38" spans="1:20">
      <c r="A38" s="1461"/>
      <c r="B38" s="1462" t="s">
        <v>122</v>
      </c>
      <c r="C38" s="351" t="s">
        <v>112</v>
      </c>
      <c r="D38" s="354">
        <f>SUM(D35:D36)</f>
        <v>2</v>
      </c>
      <c r="E38" s="353">
        <f>SUM(E35:E36)</f>
        <v>96000</v>
      </c>
      <c r="F38" s="353">
        <f>E38/D38</f>
        <v>48000</v>
      </c>
      <c r="G38" s="353">
        <f>SUM(G35:G36)</f>
        <v>0</v>
      </c>
      <c r="H38" s="1350"/>
      <c r="I38" s="345"/>
      <c r="J38" s="345"/>
      <c r="K38" s="345"/>
      <c r="L38" s="345"/>
      <c r="M38" s="44"/>
      <c r="N38" s="44"/>
      <c r="O38" s="44"/>
      <c r="P38" s="44"/>
      <c r="Q38" s="44"/>
      <c r="R38" s="56"/>
      <c r="S38" s="44"/>
      <c r="T38" s="45"/>
    </row>
    <row r="39" spans="1:20" s="361" customFormat="1" ht="23.25" customHeight="1">
      <c r="A39" s="357"/>
      <c r="B39" s="357"/>
      <c r="C39" s="357"/>
      <c r="D39" s="358"/>
      <c r="E39" s="359"/>
      <c r="F39" s="359"/>
      <c r="G39" s="359"/>
      <c r="H39" s="359"/>
      <c r="I39" s="359"/>
      <c r="J39" s="359"/>
      <c r="K39" s="359"/>
      <c r="L39" s="359"/>
      <c r="M39" s="359"/>
      <c r="N39" s="359"/>
      <c r="O39" s="360"/>
      <c r="P39" s="360"/>
      <c r="Q39" s="357"/>
      <c r="R39" s="357"/>
      <c r="S39" s="357"/>
      <c r="T39" s="357"/>
    </row>
    <row r="40" spans="1:20" s="366" customFormat="1" ht="27.75" customHeight="1">
      <c r="A40" s="362"/>
      <c r="B40" s="362"/>
      <c r="C40" s="363"/>
      <c r="D40" s="364"/>
      <c r="E40" s="364"/>
      <c r="F40" s="364"/>
      <c r="G40" s="364"/>
      <c r="H40" s="364"/>
      <c r="I40" s="364"/>
      <c r="J40" s="364"/>
      <c r="K40" s="364"/>
      <c r="L40" s="364"/>
      <c r="M40" s="364"/>
      <c r="N40" s="365"/>
      <c r="O40" s="365"/>
      <c r="P40" s="362"/>
      <c r="Q40" s="362"/>
      <c r="R40" s="362"/>
      <c r="S40" s="362"/>
      <c r="T40" s="1366"/>
    </row>
    <row r="41" spans="1:20">
      <c r="A41" s="67" t="s">
        <v>123</v>
      </c>
      <c r="B41" s="67"/>
      <c r="C41" s="41"/>
      <c r="D41" s="41"/>
      <c r="E41" s="67" t="s">
        <v>124</v>
      </c>
      <c r="F41" s="41"/>
      <c r="G41" s="41"/>
      <c r="H41" s="41"/>
      <c r="I41" s="90" t="s">
        <v>1176</v>
      </c>
      <c r="J41" s="91"/>
      <c r="K41" s="41"/>
      <c r="L41" s="41"/>
      <c r="M41" s="92" t="s">
        <v>125</v>
      </c>
      <c r="N41" s="93"/>
      <c r="O41" s="93"/>
      <c r="P41" s="35"/>
      <c r="Q41" s="41"/>
      <c r="R41" s="41"/>
      <c r="S41" s="41"/>
      <c r="T41" s="41"/>
    </row>
    <row r="42" spans="1:20">
      <c r="A42" s="2622" t="s">
        <v>49</v>
      </c>
      <c r="B42" s="2623"/>
      <c r="C42" s="72" t="s">
        <v>126</v>
      </c>
      <c r="D42" s="94"/>
      <c r="E42" s="2622" t="s">
        <v>49</v>
      </c>
      <c r="F42" s="2623"/>
      <c r="G42" s="72" t="s">
        <v>79</v>
      </c>
      <c r="H42" s="376"/>
      <c r="I42" s="95"/>
      <c r="J42" s="96" t="s">
        <v>72</v>
      </c>
      <c r="K42" s="96" t="s">
        <v>127</v>
      </c>
      <c r="L42" s="41"/>
      <c r="M42" s="97" t="s">
        <v>129</v>
      </c>
      <c r="N42" s="2628" t="s">
        <v>130</v>
      </c>
      <c r="O42" s="2629"/>
      <c r="P42" s="97" t="s">
        <v>131</v>
      </c>
      <c r="Q42" s="98"/>
      <c r="R42" s="41"/>
      <c r="S42" s="41"/>
      <c r="T42" s="41"/>
    </row>
    <row r="43" spans="1:20">
      <c r="A43" s="99" t="s">
        <v>132</v>
      </c>
      <c r="B43" s="100"/>
      <c r="C43" s="75">
        <f>F28*12</f>
        <v>135501600</v>
      </c>
      <c r="D43" s="94"/>
      <c r="E43" s="2630" t="s">
        <v>997</v>
      </c>
      <c r="F43" s="2631"/>
      <c r="G43" s="1722">
        <f>H43*12</f>
        <v>4200000</v>
      </c>
      <c r="H43" s="1723">
        <v>350000</v>
      </c>
      <c r="I43" s="101" t="s">
        <v>80</v>
      </c>
      <c r="J43" s="1789">
        <f>K52*7/8</f>
        <v>728981750</v>
      </c>
      <c r="K43" s="1789">
        <v>196308100</v>
      </c>
      <c r="L43" s="41" t="s">
        <v>1177</v>
      </c>
      <c r="M43" s="381">
        <v>0.05</v>
      </c>
      <c r="N43" s="2620">
        <f>C49/M43</f>
        <v>2740272000</v>
      </c>
      <c r="O43" s="2621"/>
      <c r="P43" s="102">
        <f>G53/N43</f>
        <v>4.3426520122819924E-2</v>
      </c>
      <c r="Q43" s="98"/>
      <c r="R43" s="41"/>
      <c r="S43" s="41"/>
      <c r="T43" s="41"/>
    </row>
    <row r="44" spans="1:20">
      <c r="A44" s="103" t="s">
        <v>133</v>
      </c>
      <c r="B44" s="104"/>
      <c r="C44" s="75">
        <f>H28*12</f>
        <v>0</v>
      </c>
      <c r="D44" s="94"/>
      <c r="E44" s="103" t="s">
        <v>265</v>
      </c>
      <c r="G44" s="1724">
        <f>C49*H44</f>
        <v>2740272</v>
      </c>
      <c r="H44" s="1725">
        <v>0.02</v>
      </c>
      <c r="I44" s="105" t="s">
        <v>81</v>
      </c>
      <c r="J44" s="1786">
        <f>J43*0.6</f>
        <v>437389050</v>
      </c>
      <c r="K44" s="1786">
        <f>K43</f>
        <v>196308100</v>
      </c>
      <c r="L44" s="106" t="s">
        <v>954</v>
      </c>
      <c r="M44" s="102">
        <f>M43-0.25%</f>
        <v>4.7500000000000001E-2</v>
      </c>
      <c r="N44" s="2620">
        <f>C49/M44</f>
        <v>2884496842.1052632</v>
      </c>
      <c r="O44" s="2621"/>
      <c r="P44" s="102">
        <f>G53/N44</f>
        <v>4.1255194116678932E-2</v>
      </c>
      <c r="Q44" s="98"/>
      <c r="R44" s="41"/>
      <c r="S44" s="41"/>
      <c r="T44" s="41"/>
    </row>
    <row r="45" spans="1:20">
      <c r="A45" s="107" t="s">
        <v>134</v>
      </c>
      <c r="B45" s="108"/>
      <c r="C45" s="109">
        <f>E38*12</f>
        <v>1152000</v>
      </c>
      <c r="D45" s="41"/>
      <c r="E45" s="103" t="s">
        <v>266</v>
      </c>
      <c r="F45" s="367"/>
      <c r="G45" s="1724">
        <f>J48+K48</f>
        <v>10772850.850000001</v>
      </c>
      <c r="H45" s="1726" t="s">
        <v>1177</v>
      </c>
      <c r="I45" s="110" t="s">
        <v>82</v>
      </c>
      <c r="J45" s="1787">
        <f>J44</f>
        <v>437389050</v>
      </c>
      <c r="K45" s="1787">
        <f>K43</f>
        <v>196308100</v>
      </c>
      <c r="L45" s="106" t="s">
        <v>954</v>
      </c>
      <c r="M45" s="102">
        <f t="shared" ref="M45:M52" si="6">M44-0.25%</f>
        <v>4.4999999999999998E-2</v>
      </c>
      <c r="N45" s="2620">
        <f>C49/M45</f>
        <v>3044746666.666667</v>
      </c>
      <c r="O45" s="2621"/>
      <c r="P45" s="102">
        <f>G53/N45</f>
        <v>3.9083868110537927E-2</v>
      </c>
      <c r="Q45" s="41"/>
      <c r="R45" s="41"/>
      <c r="S45" s="41"/>
      <c r="T45" s="41"/>
    </row>
    <row r="46" spans="1:20">
      <c r="A46" s="107" t="s">
        <v>136</v>
      </c>
      <c r="B46" s="108"/>
      <c r="C46" s="111">
        <f>D46*12</f>
        <v>360000</v>
      </c>
      <c r="D46" s="379">
        <v>30000</v>
      </c>
      <c r="E46" s="368" t="s">
        <v>135</v>
      </c>
      <c r="F46" s="369"/>
      <c r="G46" s="1724">
        <v>300000</v>
      </c>
      <c r="H46" s="1726" t="s">
        <v>1177</v>
      </c>
      <c r="I46" s="110" t="s">
        <v>83</v>
      </c>
      <c r="J46" s="1787">
        <f>J44*0.014</f>
        <v>6123446.7000000002</v>
      </c>
      <c r="K46" s="1787">
        <f>K44*0.014</f>
        <v>2748313.4</v>
      </c>
      <c r="L46" s="106" t="s">
        <v>954</v>
      </c>
      <c r="M46" s="382">
        <f t="shared" si="6"/>
        <v>4.2499999999999996E-2</v>
      </c>
      <c r="N46" s="2624">
        <f>C49/M46</f>
        <v>3223849411.7647061</v>
      </c>
      <c r="O46" s="2625"/>
      <c r="P46" s="382">
        <f>G53/N46</f>
        <v>3.6912542104396935E-2</v>
      </c>
      <c r="Q46" s="98" t="s">
        <v>137</v>
      </c>
      <c r="R46" s="41"/>
      <c r="S46" s="41"/>
      <c r="T46" s="41"/>
    </row>
    <row r="47" spans="1:20">
      <c r="A47" s="107" t="s">
        <v>230</v>
      </c>
      <c r="B47" s="108"/>
      <c r="C47" s="111">
        <f>D47*12</f>
        <v>0</v>
      </c>
      <c r="D47" s="379">
        <v>0</v>
      </c>
      <c r="E47" s="103" t="s">
        <v>234</v>
      </c>
      <c r="F47" s="374"/>
      <c r="G47" s="1724">
        <f>H47*12</f>
        <v>0</v>
      </c>
      <c r="H47" s="1723">
        <v>0</v>
      </c>
      <c r="I47" s="113" t="s">
        <v>84</v>
      </c>
      <c r="J47" s="1788">
        <f>J45*0.003</f>
        <v>1312167.1500000001</v>
      </c>
      <c r="K47" s="1788">
        <f>K45*0.003</f>
        <v>588924.30000000005</v>
      </c>
      <c r="L47" s="106" t="s">
        <v>954</v>
      </c>
      <c r="M47" s="102">
        <f t="shared" si="6"/>
        <v>3.9999999999999994E-2</v>
      </c>
      <c r="N47" s="2620">
        <f>C49/M47</f>
        <v>3425340000.0000005</v>
      </c>
      <c r="O47" s="2621"/>
      <c r="P47" s="102">
        <f>G53/N47</f>
        <v>3.4741216098255936E-2</v>
      </c>
      <c r="Q47" s="98"/>
      <c r="R47" s="41"/>
      <c r="S47" s="41"/>
      <c r="T47" s="41"/>
    </row>
    <row r="48" spans="1:20">
      <c r="A48" s="114" t="s">
        <v>229</v>
      </c>
      <c r="B48" s="115"/>
      <c r="C48" s="112" t="s">
        <v>109</v>
      </c>
      <c r="D48" s="70" t="s">
        <v>138</v>
      </c>
      <c r="E48" s="370" t="s">
        <v>231</v>
      </c>
      <c r="F48" s="371"/>
      <c r="G48" s="375" t="s">
        <v>109</v>
      </c>
      <c r="H48" s="377"/>
      <c r="I48" s="117" t="s">
        <v>85</v>
      </c>
      <c r="J48" s="118">
        <f>SUM(J46:J47)</f>
        <v>7435613.8500000006</v>
      </c>
      <c r="K48" s="118">
        <f>ROUNDDOWN(SUM(K46:K47),0)</f>
        <v>3337237</v>
      </c>
      <c r="L48" s="106" t="s">
        <v>954</v>
      </c>
      <c r="M48" s="383">
        <f t="shared" si="6"/>
        <v>3.7499999999999992E-2</v>
      </c>
      <c r="N48" s="2626">
        <f>C49/M48</f>
        <v>3653696000.000001</v>
      </c>
      <c r="O48" s="2627"/>
      <c r="P48" s="383">
        <f>G53/N48</f>
        <v>3.2569890092114938E-2</v>
      </c>
      <c r="Q48" s="119" t="s">
        <v>140</v>
      </c>
      <c r="R48" s="41"/>
      <c r="S48" s="41"/>
      <c r="T48" s="41"/>
    </row>
    <row r="49" spans="1:20">
      <c r="A49" s="41"/>
      <c r="B49" s="76" t="s">
        <v>141</v>
      </c>
      <c r="C49" s="78">
        <f>SUM(C43:C48)</f>
        <v>137013600</v>
      </c>
      <c r="D49" s="120">
        <f>C49/12</f>
        <v>11417800</v>
      </c>
      <c r="E49" s="41"/>
      <c r="F49" s="76" t="s">
        <v>139</v>
      </c>
      <c r="G49" s="77">
        <f>SUM(G43:G48)</f>
        <v>18013122.850000001</v>
      </c>
      <c r="H49" s="378"/>
      <c r="I49" s="121"/>
      <c r="J49" s="79"/>
      <c r="K49" s="41"/>
      <c r="L49" s="41"/>
      <c r="M49" s="102">
        <f t="shared" si="6"/>
        <v>3.4999999999999989E-2</v>
      </c>
      <c r="N49" s="2620">
        <f>C49/M49</f>
        <v>3914674285.7142868</v>
      </c>
      <c r="O49" s="2621"/>
      <c r="P49" s="102">
        <f>G53/N49</f>
        <v>3.0398564085973939E-2</v>
      </c>
      <c r="Q49" s="35"/>
      <c r="R49" s="41"/>
      <c r="S49" s="41"/>
      <c r="T49" s="122"/>
    </row>
    <row r="50" spans="1:20" ht="14.25" thickBot="1">
      <c r="A50" s="41"/>
      <c r="B50" s="41"/>
      <c r="C50" s="52"/>
      <c r="D50" s="41"/>
      <c r="E50" s="41"/>
      <c r="F50" s="41"/>
      <c r="G50" s="41"/>
      <c r="H50" s="41"/>
      <c r="I50" s="121"/>
      <c r="J50" s="79"/>
      <c r="K50" s="41"/>
      <c r="L50" s="41"/>
      <c r="M50" s="102">
        <f t="shared" si="6"/>
        <v>3.2499999999999987E-2</v>
      </c>
      <c r="N50" s="2620">
        <f>C49/M50</f>
        <v>4215803076.9230785</v>
      </c>
      <c r="O50" s="2621"/>
      <c r="P50" s="102">
        <f>G53/N50</f>
        <v>2.8227238079832941E-2</v>
      </c>
      <c r="Q50" s="35"/>
      <c r="R50" s="41"/>
      <c r="S50" s="66"/>
      <c r="T50" s="41"/>
    </row>
    <row r="51" spans="1:20" ht="14.25" thickBot="1">
      <c r="A51" s="67" t="s">
        <v>143</v>
      </c>
      <c r="B51" s="41"/>
      <c r="C51" s="41"/>
      <c r="D51" s="41"/>
      <c r="E51" s="41"/>
      <c r="F51" s="123" t="s">
        <v>142</v>
      </c>
      <c r="G51" s="373">
        <f>G43/E10/12</f>
        <v>542.69455599832543</v>
      </c>
      <c r="H51" s="41"/>
      <c r="I51" s="124" t="s">
        <v>1178</v>
      </c>
      <c r="J51" s="323"/>
      <c r="K51" s="325">
        <v>2350000</v>
      </c>
      <c r="L51" s="125" t="s">
        <v>145</v>
      </c>
      <c r="M51" s="102">
        <f t="shared" si="6"/>
        <v>2.9999999999999988E-2</v>
      </c>
      <c r="N51" s="2620">
        <f>C49/M51</f>
        <v>4567120000.0000019</v>
      </c>
      <c r="O51" s="2621"/>
      <c r="P51" s="102">
        <f>G53/N51</f>
        <v>2.6055912073691945E-2</v>
      </c>
      <c r="Q51" s="35"/>
      <c r="R51" s="40"/>
      <c r="S51" s="66"/>
      <c r="T51" s="41"/>
    </row>
    <row r="52" spans="1:20" ht="14.25" thickBot="1">
      <c r="A52" s="2622" t="s">
        <v>49</v>
      </c>
      <c r="B52" s="2623"/>
      <c r="C52" s="72" t="s">
        <v>126</v>
      </c>
      <c r="D52" s="41"/>
      <c r="E52" s="41"/>
      <c r="F52" s="41"/>
      <c r="G52" s="41"/>
      <c r="H52" s="70" t="s">
        <v>144</v>
      </c>
      <c r="I52" s="128" t="s">
        <v>147</v>
      </c>
      <c r="J52" s="324"/>
      <c r="K52" s="322">
        <f>K51*C8</f>
        <v>833122000</v>
      </c>
      <c r="L52" s="321">
        <f>K52/E8</f>
        <v>7768761.656098471</v>
      </c>
      <c r="M52" s="102">
        <f t="shared" si="6"/>
        <v>2.749999999999999E-2</v>
      </c>
      <c r="N52" s="2620">
        <f>C49/M52</f>
        <v>4982312727.2727289</v>
      </c>
      <c r="O52" s="2621"/>
      <c r="P52" s="102">
        <f>G53/N52</f>
        <v>2.388458606755095E-2</v>
      </c>
      <c r="Q52" s="129"/>
      <c r="R52" s="129"/>
      <c r="S52" s="129"/>
      <c r="T52" s="40"/>
    </row>
    <row r="53" spans="1:20" ht="15" thickBot="1">
      <c r="A53" s="130" t="s">
        <v>148</v>
      </c>
      <c r="B53" s="130"/>
      <c r="C53" s="131">
        <f>L28</f>
        <v>0</v>
      </c>
      <c r="D53" s="41"/>
      <c r="E53" s="41"/>
      <c r="F53" s="126" t="s">
        <v>146</v>
      </c>
      <c r="G53" s="127">
        <f>C49-G49</f>
        <v>119000477.15000001</v>
      </c>
      <c r="H53" s="120">
        <f>G53/12</f>
        <v>9916706.4291666672</v>
      </c>
      <c r="I53" s="132" t="s">
        <v>149</v>
      </c>
      <c r="J53" s="323"/>
      <c r="K53" s="285">
        <v>129000</v>
      </c>
      <c r="L53" s="125" t="s">
        <v>150</v>
      </c>
      <c r="M53" s="133"/>
      <c r="N53" s="60"/>
      <c r="O53" s="60"/>
      <c r="P53" s="129"/>
      <c r="Q53" s="129"/>
      <c r="R53" s="129"/>
      <c r="S53" s="129"/>
      <c r="T53" s="40"/>
    </row>
    <row r="54" spans="1:20" ht="14.25" thickBot="1">
      <c r="A54" s="134" t="s">
        <v>151</v>
      </c>
      <c r="B54" s="134"/>
      <c r="C54" s="116">
        <f>G38</f>
        <v>0</v>
      </c>
      <c r="D54" s="41"/>
      <c r="E54" s="41"/>
      <c r="F54" s="41"/>
      <c r="G54" s="41"/>
      <c r="H54" s="41"/>
      <c r="I54" s="137" t="s">
        <v>69</v>
      </c>
      <c r="J54" s="324"/>
      <c r="K54" s="322">
        <f>C10*K53</f>
        <v>275031870</v>
      </c>
      <c r="L54" s="321">
        <f ca="1">K54*(49-F13)/49</f>
        <v>79164890.50936538</v>
      </c>
      <c r="M54" s="41"/>
      <c r="N54" s="41"/>
      <c r="O54" s="41"/>
      <c r="P54" s="41"/>
      <c r="Q54" s="41"/>
      <c r="R54" s="129"/>
      <c r="S54" s="40"/>
    </row>
    <row r="55" spans="1:20" ht="14.25" thickBot="1">
      <c r="A55" s="41"/>
      <c r="B55" s="76" t="s">
        <v>70</v>
      </c>
      <c r="C55" s="77">
        <f>SUM(C53:C54)</f>
        <v>0</v>
      </c>
      <c r="D55" s="41"/>
      <c r="E55" s="41"/>
      <c r="F55" s="135" t="s">
        <v>152</v>
      </c>
      <c r="G55" s="136">
        <f>G49/C49</f>
        <v>0.13146959754360152</v>
      </c>
      <c r="H55" s="41"/>
      <c r="I55" s="41"/>
      <c r="J55" s="41"/>
      <c r="K55" s="41"/>
      <c r="L55" s="41"/>
      <c r="M55" s="41"/>
      <c r="N55" s="41"/>
      <c r="O55" s="41"/>
      <c r="P55" s="41"/>
      <c r="Q55" s="41"/>
      <c r="R55" s="41"/>
      <c r="S55" s="41"/>
    </row>
    <row r="56" spans="1:20">
      <c r="A56" s="41"/>
      <c r="B56" s="81"/>
      <c r="C56" s="164"/>
      <c r="D56" s="41"/>
      <c r="E56" s="41"/>
      <c r="F56" s="41"/>
      <c r="G56" s="41"/>
      <c r="H56" s="41"/>
      <c r="I56" s="41"/>
      <c r="J56" s="41"/>
      <c r="K56" s="41"/>
      <c r="L56" s="41"/>
      <c r="M56" s="41"/>
      <c r="N56" s="41"/>
      <c r="O56" s="41"/>
      <c r="P56" s="41"/>
      <c r="Q56" s="41"/>
      <c r="R56" s="41"/>
      <c r="S56" s="41"/>
    </row>
    <row r="57" spans="1:20">
      <c r="A57" s="41"/>
      <c r="B57" s="41"/>
      <c r="C57" s="41"/>
      <c r="D57" s="41"/>
      <c r="E57" s="41"/>
      <c r="F57" s="41"/>
      <c r="G57" s="41"/>
      <c r="H57" s="41"/>
      <c r="I57" s="165"/>
      <c r="J57" s="174" t="s">
        <v>80</v>
      </c>
      <c r="K57" s="175" t="s">
        <v>81</v>
      </c>
      <c r="L57" s="175" t="s">
        <v>82</v>
      </c>
      <c r="M57" s="175" t="s">
        <v>83</v>
      </c>
      <c r="N57" s="175" t="s">
        <v>84</v>
      </c>
      <c r="O57" s="35"/>
      <c r="P57" s="35"/>
      <c r="Q57" s="35"/>
      <c r="R57" s="35"/>
      <c r="S57" s="35"/>
    </row>
    <row r="58" spans="1:20">
      <c r="A58" s="35"/>
      <c r="B58" s="35"/>
      <c r="C58" s="35"/>
      <c r="D58" s="35"/>
      <c r="E58" s="35"/>
      <c r="F58" s="35"/>
      <c r="G58" s="65"/>
      <c r="H58" s="35" t="s">
        <v>153</v>
      </c>
      <c r="I58" s="168" t="s">
        <v>164</v>
      </c>
      <c r="J58" s="169">
        <v>669893720</v>
      </c>
      <c r="K58" s="169">
        <v>182412561</v>
      </c>
      <c r="L58" s="169">
        <v>257848161</v>
      </c>
      <c r="M58" s="169">
        <v>2377648</v>
      </c>
      <c r="N58" s="169">
        <v>509495</v>
      </c>
      <c r="O58" s="35"/>
      <c r="P58" s="35"/>
      <c r="Q58" s="35"/>
      <c r="R58" s="35"/>
      <c r="S58" s="35"/>
    </row>
    <row r="59" spans="1:20">
      <c r="A59" s="35"/>
      <c r="B59" s="35"/>
      <c r="C59" s="35"/>
      <c r="D59" s="35"/>
      <c r="E59" s="35"/>
      <c r="F59" s="35"/>
      <c r="G59" s="65"/>
      <c r="H59" s="35"/>
      <c r="I59" s="170"/>
      <c r="J59" s="171"/>
      <c r="K59" s="171"/>
      <c r="L59" s="171"/>
      <c r="M59" s="171"/>
      <c r="N59" s="171"/>
      <c r="O59" s="35"/>
      <c r="P59" s="35"/>
      <c r="Q59" s="35"/>
      <c r="R59" s="35"/>
      <c r="S59" s="35"/>
    </row>
    <row r="60" spans="1:20">
      <c r="A60" s="35"/>
      <c r="B60" s="35"/>
      <c r="C60" s="35"/>
      <c r="D60" s="35"/>
      <c r="E60" s="35"/>
      <c r="F60" s="35"/>
      <c r="G60" s="65"/>
      <c r="H60" s="35"/>
      <c r="I60" s="170"/>
      <c r="J60" s="171"/>
      <c r="K60" s="171"/>
      <c r="L60" s="171"/>
      <c r="M60" s="171"/>
      <c r="N60" s="171"/>
      <c r="O60" s="35"/>
      <c r="P60" s="35"/>
      <c r="Q60" s="35"/>
      <c r="R60" s="35"/>
      <c r="S60" s="35"/>
    </row>
    <row r="61" spans="1:20">
      <c r="A61" s="35"/>
      <c r="B61" s="35"/>
      <c r="C61" s="35"/>
      <c r="D61" s="35"/>
      <c r="E61" s="35"/>
      <c r="F61" s="35"/>
      <c r="G61" s="65"/>
      <c r="H61" s="35"/>
      <c r="I61" s="170"/>
      <c r="J61" s="171"/>
      <c r="K61" s="171"/>
      <c r="L61" s="171"/>
      <c r="M61" s="171"/>
      <c r="N61" s="171"/>
      <c r="O61" s="35"/>
      <c r="P61" s="35"/>
      <c r="Q61" s="35"/>
      <c r="R61" s="35"/>
      <c r="S61" s="35"/>
    </row>
    <row r="62" spans="1:20">
      <c r="A62" s="35"/>
      <c r="B62" s="35"/>
      <c r="C62" s="35"/>
      <c r="D62" s="35"/>
      <c r="E62" s="35"/>
      <c r="F62" s="35"/>
      <c r="G62" s="65"/>
      <c r="H62" s="35"/>
      <c r="I62" s="170"/>
      <c r="J62" s="171"/>
      <c r="K62" s="171"/>
      <c r="L62" s="171"/>
      <c r="M62" s="171"/>
      <c r="N62" s="171"/>
      <c r="O62" s="35"/>
      <c r="P62" s="35"/>
      <c r="Q62" s="35"/>
      <c r="R62" s="35"/>
      <c r="S62" s="35"/>
    </row>
    <row r="63" spans="1:20">
      <c r="A63" s="35"/>
      <c r="B63" s="35"/>
      <c r="C63" s="35"/>
      <c r="D63" s="35"/>
      <c r="E63" s="35"/>
      <c r="F63" s="35"/>
      <c r="G63" s="65"/>
      <c r="H63" s="35"/>
      <c r="I63" s="170"/>
      <c r="J63" s="171"/>
      <c r="K63" s="171"/>
      <c r="L63" s="171"/>
      <c r="M63" s="171"/>
      <c r="N63" s="171"/>
      <c r="O63" s="35"/>
      <c r="P63" s="35"/>
      <c r="Q63" s="35"/>
      <c r="R63" s="35"/>
      <c r="S63" s="35"/>
    </row>
    <row r="64" spans="1:20">
      <c r="A64" s="35"/>
      <c r="B64" s="35"/>
      <c r="C64" s="35"/>
      <c r="D64" s="35"/>
      <c r="E64" s="35"/>
      <c r="F64" s="35"/>
      <c r="G64" s="65"/>
      <c r="H64" s="35"/>
      <c r="I64" s="170"/>
      <c r="J64" s="171"/>
      <c r="K64" s="171"/>
      <c r="L64" s="171"/>
      <c r="M64" s="171"/>
      <c r="N64" s="171"/>
      <c r="O64" s="35"/>
      <c r="P64" s="35"/>
      <c r="Q64" s="35"/>
      <c r="R64" s="35"/>
      <c r="S64" s="35"/>
    </row>
    <row r="65" spans="1:19" ht="14.25" thickBot="1">
      <c r="A65" s="35"/>
      <c r="B65" s="35"/>
      <c r="C65" s="35"/>
      <c r="D65" s="35"/>
      <c r="E65" s="35"/>
      <c r="F65" s="35"/>
      <c r="G65" s="65"/>
      <c r="H65" s="35"/>
      <c r="I65" s="172"/>
      <c r="J65" s="173"/>
      <c r="K65" s="173"/>
      <c r="L65" s="173"/>
      <c r="M65" s="173"/>
      <c r="N65" s="173"/>
      <c r="O65" s="35"/>
      <c r="P65" s="35"/>
      <c r="Q65" s="35"/>
      <c r="R65" s="35"/>
      <c r="S65" s="35"/>
    </row>
    <row r="66" spans="1:19" ht="14.25" thickTop="1">
      <c r="A66" s="35"/>
      <c r="B66" s="35"/>
      <c r="C66" s="35"/>
      <c r="D66" s="35"/>
      <c r="E66" s="35"/>
      <c r="F66" s="35"/>
      <c r="G66" s="65"/>
      <c r="H66" s="35"/>
      <c r="I66" s="166" t="s">
        <v>39</v>
      </c>
      <c r="J66" s="167">
        <f>SUM(J58:J65)</f>
        <v>669893720</v>
      </c>
      <c r="K66" s="167">
        <f>SUM(K58:K65)</f>
        <v>182412561</v>
      </c>
      <c r="L66" s="167">
        <f>SUM(L58:L65)</f>
        <v>257848161</v>
      </c>
      <c r="M66" s="167">
        <f>SUM(M58:M65)</f>
        <v>2377648</v>
      </c>
      <c r="N66" s="167">
        <f>SUM(N58:N65)</f>
        <v>509495</v>
      </c>
      <c r="O66" s="35"/>
      <c r="P66" s="35"/>
      <c r="Q66" s="35"/>
      <c r="R66" s="35"/>
      <c r="S66" s="35"/>
    </row>
    <row r="67" spans="1:19">
      <c r="A67" s="35"/>
      <c r="B67" s="35"/>
      <c r="C67" s="35"/>
      <c r="D67" s="35"/>
      <c r="E67" s="35"/>
      <c r="F67" s="35"/>
      <c r="G67" s="65"/>
      <c r="H67" s="35"/>
      <c r="I67" s="35"/>
      <c r="J67" s="138"/>
      <c r="K67" s="138"/>
      <c r="L67" s="138"/>
      <c r="M67" s="138"/>
      <c r="N67" s="138"/>
      <c r="O67" s="35"/>
      <c r="P67" s="35"/>
      <c r="Q67" s="35"/>
      <c r="R67" s="35"/>
      <c r="S67" s="35"/>
    </row>
    <row r="68" spans="1:19">
      <c r="A68" s="35"/>
      <c r="B68" s="35"/>
      <c r="C68" s="35"/>
      <c r="D68" s="35"/>
      <c r="E68" s="35"/>
      <c r="F68" s="35"/>
      <c r="G68" s="65"/>
      <c r="H68" s="35"/>
      <c r="I68" s="176"/>
      <c r="J68" s="177" t="s">
        <v>80</v>
      </c>
      <c r="K68" s="178" t="s">
        <v>81</v>
      </c>
      <c r="L68" s="178" t="s">
        <v>82</v>
      </c>
      <c r="M68" s="178" t="s">
        <v>83</v>
      </c>
      <c r="N68" s="178" t="s">
        <v>84</v>
      </c>
      <c r="O68" s="35"/>
      <c r="P68" s="35"/>
      <c r="Q68" s="35"/>
      <c r="R68" s="35"/>
      <c r="S68" s="35"/>
    </row>
    <row r="69" spans="1:19">
      <c r="A69" s="35"/>
      <c r="B69" s="35"/>
      <c r="C69" s="35"/>
      <c r="D69" s="35"/>
      <c r="E69" s="35"/>
      <c r="F69" s="35"/>
      <c r="G69" s="65"/>
      <c r="H69" s="35" t="s">
        <v>154</v>
      </c>
      <c r="I69" s="168" t="s">
        <v>164</v>
      </c>
      <c r="J69" s="169">
        <v>164021500</v>
      </c>
      <c r="K69" s="169">
        <v>164021500</v>
      </c>
      <c r="L69" s="169">
        <v>164021500</v>
      </c>
      <c r="M69" s="169">
        <v>2296301</v>
      </c>
      <c r="N69" s="169">
        <v>492064</v>
      </c>
      <c r="O69" s="35"/>
      <c r="P69" s="35"/>
      <c r="Q69" s="35"/>
      <c r="R69" s="35"/>
      <c r="S69" s="35"/>
    </row>
    <row r="70" spans="1:19">
      <c r="A70" s="35"/>
      <c r="B70" s="35"/>
      <c r="C70" s="35"/>
      <c r="D70" s="35"/>
      <c r="E70" s="35"/>
      <c r="F70" s="35"/>
      <c r="G70" s="65"/>
      <c r="H70" s="35"/>
      <c r="I70" s="170"/>
      <c r="J70" s="171"/>
      <c r="K70" s="171"/>
      <c r="L70" s="171"/>
      <c r="M70" s="171"/>
      <c r="N70" s="171"/>
      <c r="O70" s="35"/>
      <c r="P70" s="35"/>
      <c r="Q70" s="35"/>
      <c r="R70" s="35"/>
      <c r="S70" s="35"/>
    </row>
    <row r="71" spans="1:19" ht="14.25" thickBot="1">
      <c r="A71" s="35"/>
      <c r="B71" s="35"/>
      <c r="C71" s="35"/>
      <c r="D71" s="35"/>
      <c r="E71" s="35"/>
      <c r="F71" s="35"/>
      <c r="G71" s="65"/>
      <c r="H71" s="35"/>
      <c r="I71" s="172"/>
      <c r="J71" s="173"/>
      <c r="K71" s="173"/>
      <c r="L71" s="173"/>
      <c r="M71" s="173"/>
      <c r="N71" s="173"/>
      <c r="O71" s="35"/>
      <c r="P71" s="35"/>
      <c r="Q71" s="35"/>
      <c r="R71" s="35"/>
      <c r="S71" s="35"/>
    </row>
    <row r="72" spans="1:19" ht="14.25" thickTop="1">
      <c r="A72" s="35"/>
      <c r="B72" s="35"/>
      <c r="C72" s="35"/>
      <c r="D72" s="35"/>
      <c r="E72" s="35"/>
      <c r="F72" s="35"/>
      <c r="G72" s="65"/>
      <c r="H72" s="35"/>
      <c r="I72" s="166"/>
      <c r="J72" s="179" t="s">
        <v>45</v>
      </c>
      <c r="K72" s="167">
        <f>SUM(K69:K71)</f>
        <v>164021500</v>
      </c>
      <c r="L72" s="167">
        <f>SUM(L69:L71)</f>
        <v>164021500</v>
      </c>
      <c r="M72" s="167">
        <f>SUM(M69:M71)</f>
        <v>2296301</v>
      </c>
      <c r="N72" s="167">
        <f>SUM(N69:N71)</f>
        <v>492064</v>
      </c>
      <c r="O72" s="35"/>
      <c r="P72" s="35"/>
      <c r="Q72" s="35"/>
      <c r="R72" s="35"/>
      <c r="S72" s="35"/>
    </row>
    <row r="73" spans="1:19">
      <c r="A73" s="35"/>
      <c r="B73" s="35"/>
      <c r="C73" s="35"/>
      <c r="D73" s="35"/>
      <c r="E73" s="35"/>
      <c r="F73" s="35"/>
      <c r="G73" s="65"/>
      <c r="H73" s="35"/>
      <c r="I73" s="58"/>
      <c r="J73" s="139"/>
      <c r="K73" s="139"/>
      <c r="L73" s="139"/>
      <c r="M73" s="139"/>
      <c r="N73" s="138"/>
      <c r="O73" s="35"/>
      <c r="P73" s="35"/>
      <c r="Q73" s="35"/>
      <c r="R73" s="35"/>
      <c r="S73" s="35"/>
    </row>
    <row r="74" spans="1:19">
      <c r="A74" s="35"/>
      <c r="B74" s="35"/>
      <c r="C74" s="35"/>
      <c r="D74" s="35"/>
      <c r="E74" s="35"/>
      <c r="F74" s="35"/>
      <c r="G74" s="65"/>
      <c r="H74" s="35"/>
      <c r="I74" s="176"/>
      <c r="J74" s="177"/>
      <c r="K74" s="178"/>
      <c r="L74" s="178"/>
      <c r="M74" s="178" t="s">
        <v>128</v>
      </c>
      <c r="N74" s="178"/>
      <c r="O74" s="35"/>
      <c r="P74" s="35"/>
      <c r="Q74" s="35"/>
      <c r="R74" s="35"/>
      <c r="S74" s="35"/>
    </row>
    <row r="75" spans="1:19">
      <c r="A75" s="35"/>
      <c r="B75" s="35"/>
      <c r="C75" s="35"/>
      <c r="D75" s="35"/>
      <c r="E75" s="35"/>
      <c r="F75" s="35"/>
      <c r="G75" s="65"/>
      <c r="H75" s="35" t="s">
        <v>155</v>
      </c>
      <c r="I75" s="168"/>
      <c r="J75" s="169"/>
      <c r="K75" s="169"/>
      <c r="L75" s="169"/>
      <c r="M75" s="169"/>
      <c r="N75" s="169"/>
      <c r="O75" s="35"/>
      <c r="P75" s="35"/>
      <c r="Q75" s="35"/>
      <c r="R75" s="35"/>
      <c r="S75" s="35"/>
    </row>
    <row r="76" spans="1:19" ht="14.25" thickBot="1">
      <c r="A76" s="35"/>
      <c r="B76" s="35"/>
      <c r="C76" s="35"/>
      <c r="D76" s="35"/>
      <c r="E76" s="35"/>
      <c r="F76" s="35"/>
      <c r="G76" s="65"/>
      <c r="H76" s="35"/>
      <c r="I76" s="281"/>
      <c r="J76" s="282"/>
      <c r="K76" s="282"/>
      <c r="L76" s="282"/>
      <c r="M76" s="282"/>
      <c r="N76" s="282"/>
      <c r="O76" s="35"/>
      <c r="P76" s="35"/>
      <c r="Q76" s="35"/>
      <c r="R76" s="35"/>
      <c r="S76" s="35"/>
    </row>
    <row r="77" spans="1:19" ht="14.25" thickTop="1">
      <c r="A77" s="35"/>
      <c r="B77" s="35"/>
      <c r="C77" s="35"/>
      <c r="D77" s="35"/>
      <c r="E77" s="35"/>
      <c r="F77" s="35"/>
      <c r="G77" s="65"/>
      <c r="H77" s="35"/>
      <c r="I77" s="283"/>
      <c r="J77" s="284">
        <f>SUM(J75:J76)</f>
        <v>0</v>
      </c>
      <c r="K77" s="284">
        <f>SUM(K75:K76)</f>
        <v>0</v>
      </c>
      <c r="L77" s="284">
        <f>SUM(L75:L76)</f>
        <v>0</v>
      </c>
      <c r="M77" s="284">
        <f>SUM(M75:M76)</f>
        <v>0</v>
      </c>
      <c r="N77" s="284"/>
      <c r="O77" s="35"/>
      <c r="P77" s="35"/>
      <c r="Q77" s="35"/>
      <c r="R77" s="35"/>
      <c r="S77" s="35"/>
    </row>
    <row r="78" spans="1:19">
      <c r="A78" s="35"/>
      <c r="B78" s="35"/>
      <c r="C78" s="35"/>
      <c r="D78" s="35"/>
      <c r="E78" s="35"/>
      <c r="F78" s="35"/>
      <c r="G78" s="65"/>
      <c r="H78" s="35"/>
      <c r="I78" s="35"/>
      <c r="J78" s="35"/>
      <c r="K78" s="35"/>
      <c r="L78" s="35"/>
      <c r="M78" s="35"/>
      <c r="N78" s="35"/>
      <c r="O78" s="35"/>
      <c r="P78" s="35"/>
      <c r="Q78" s="35"/>
      <c r="R78" s="35"/>
      <c r="S78" s="35"/>
    </row>
    <row r="79" spans="1:19">
      <c r="A79" s="41"/>
      <c r="B79" s="41"/>
      <c r="C79" s="41"/>
      <c r="D79" s="41"/>
      <c r="E79" s="35"/>
      <c r="F79" s="35"/>
      <c r="G79" s="35"/>
      <c r="H79" s="35"/>
      <c r="I79" s="41"/>
      <c r="J79" s="41"/>
      <c r="K79" s="41"/>
      <c r="L79" s="41"/>
      <c r="M79" s="41"/>
      <c r="N79" s="41"/>
      <c r="O79" s="41"/>
      <c r="P79" s="41"/>
      <c r="Q79" s="41"/>
      <c r="R79" s="41"/>
      <c r="S79" s="41"/>
    </row>
    <row r="80" spans="1:19">
      <c r="E80" s="41"/>
      <c r="F80" s="41"/>
      <c r="G80" s="41"/>
      <c r="H80" s="41"/>
    </row>
  </sheetData>
  <mergeCells count="40">
    <mergeCell ref="S20:S26"/>
    <mergeCell ref="A33:B34"/>
    <mergeCell ref="C33:C34"/>
    <mergeCell ref="A18:A19"/>
    <mergeCell ref="B18:C19"/>
    <mergeCell ref="D18:E19"/>
    <mergeCell ref="F1:L1"/>
    <mergeCell ref="A4:A6"/>
    <mergeCell ref="A7:A8"/>
    <mergeCell ref="A9:A13"/>
    <mergeCell ref="C9:F9"/>
    <mergeCell ref="C13:D13"/>
    <mergeCell ref="S18:S19"/>
    <mergeCell ref="N48:O48"/>
    <mergeCell ref="N18:P18"/>
    <mergeCell ref="D33:D34"/>
    <mergeCell ref="G33:H33"/>
    <mergeCell ref="I33:J33"/>
    <mergeCell ref="K33:L34"/>
    <mergeCell ref="L18:L19"/>
    <mergeCell ref="E43:F43"/>
    <mergeCell ref="K35:L35"/>
    <mergeCell ref="K36:L36"/>
    <mergeCell ref="M18:M19"/>
    <mergeCell ref="F18:G18"/>
    <mergeCell ref="H18:I18"/>
    <mergeCell ref="J18:K18"/>
    <mergeCell ref="N49:O49"/>
    <mergeCell ref="N50:O50"/>
    <mergeCell ref="A52:B52"/>
    <mergeCell ref="N52:O52"/>
    <mergeCell ref="N42:O42"/>
    <mergeCell ref="N43:O43"/>
    <mergeCell ref="N44:O44"/>
    <mergeCell ref="N45:O45"/>
    <mergeCell ref="N46:O46"/>
    <mergeCell ref="N47:O47"/>
    <mergeCell ref="A42:B42"/>
    <mergeCell ref="E42:F42"/>
    <mergeCell ref="N51:O51"/>
  </mergeCells>
  <phoneticPr fontId="146"/>
  <conditionalFormatting sqref="B53:B54 A52:A56 B50:B51 A42:A50 B43:B48">
    <cfRule type="cellIs" dxfId="27" priority="13" stopIfTrue="1" operator="equal">
      <formula>"空"</formula>
    </cfRule>
  </conditionalFormatting>
  <conditionalFormatting sqref="C32 B29:B30 B40 C39">
    <cfRule type="cellIs" dxfId="26" priority="14" stopIfTrue="1" operator="equal">
      <formula>"空室"</formula>
    </cfRule>
  </conditionalFormatting>
  <conditionalFormatting sqref="C20:C26">
    <cfRule type="cellIs" dxfId="25" priority="11" stopIfTrue="1" operator="equal">
      <formula>"空室"</formula>
    </cfRule>
  </conditionalFormatting>
  <conditionalFormatting sqref="B27:B28">
    <cfRule type="cellIs" dxfId="24" priority="12" stopIfTrue="1" operator="equal">
      <formula>"空室"</formula>
    </cfRule>
  </conditionalFormatting>
  <conditionalFormatting sqref="B25">
    <cfRule type="cellIs" dxfId="23" priority="10" stopIfTrue="1" operator="equal">
      <formula>"空室"</formula>
    </cfRule>
  </conditionalFormatting>
  <conditionalFormatting sqref="B24">
    <cfRule type="cellIs" dxfId="22" priority="8" stopIfTrue="1" operator="equal">
      <formula>"空室"</formula>
    </cfRule>
  </conditionalFormatting>
  <conditionalFormatting sqref="B22">
    <cfRule type="cellIs" dxfId="21" priority="7" stopIfTrue="1" operator="equal">
      <formula>"空室"</formula>
    </cfRule>
  </conditionalFormatting>
  <conditionalFormatting sqref="B26">
    <cfRule type="cellIs" dxfId="20" priority="5" stopIfTrue="1" operator="equal">
      <formula>"空室"</formula>
    </cfRule>
  </conditionalFormatting>
  <conditionalFormatting sqref="B20:B21">
    <cfRule type="cellIs" dxfId="19" priority="9" stopIfTrue="1" operator="equal">
      <formula>"空室"</formula>
    </cfRule>
  </conditionalFormatting>
  <conditionalFormatting sqref="B23">
    <cfRule type="cellIs" dxfId="18" priority="6" stopIfTrue="1" operator="equal">
      <formula>"空室"</formula>
    </cfRule>
  </conditionalFormatting>
  <conditionalFormatting sqref="A35:A36">
    <cfRule type="cellIs" dxfId="17" priority="3" stopIfTrue="1" operator="equal">
      <formula>"空室"</formula>
    </cfRule>
  </conditionalFormatting>
  <conditionalFormatting sqref="B35:B36">
    <cfRule type="cellIs" dxfId="16" priority="4" stopIfTrue="1" operator="equal">
      <formula>"空室"</formula>
    </cfRule>
  </conditionalFormatting>
  <conditionalFormatting sqref="C36">
    <cfRule type="cellIs" dxfId="15" priority="2" stopIfTrue="1" operator="equal">
      <formula>"空"</formula>
    </cfRule>
  </conditionalFormatting>
  <conditionalFormatting sqref="C35">
    <cfRule type="cellIs" dxfId="14" priority="1" stopIfTrue="1" operator="equal">
      <formula>"空室"</formula>
    </cfRule>
  </conditionalFormatting>
  <pageMargins left="0.70866141732283472" right="0.70866141732283472" top="0.74803149606299213" bottom="0.74803149606299213" header="0.47244094488188981" footer="0.31496062992125984"/>
  <pageSetup paperSize="9" scale="57" orientation="landscape" r:id="rId1"/>
  <colBreaks count="1" manualBreakCount="1">
    <brk id="19" max="1048575" man="1"/>
  </colBreaks>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9FFCC"/>
  </sheetPr>
  <dimension ref="A1:T80"/>
  <sheetViews>
    <sheetView view="pageBreakPreview" topLeftCell="A22" zoomScale="85" zoomScaleNormal="85" zoomScaleSheetLayoutView="85" workbookViewId="0">
      <selection activeCell="C45" sqref="C45"/>
    </sheetView>
  </sheetViews>
  <sheetFormatPr defaultColWidth="9" defaultRowHeight="13.5"/>
  <cols>
    <col min="1" max="1" width="10.625" customWidth="1"/>
    <col min="2" max="2" width="11.625" customWidth="1"/>
    <col min="3" max="3" width="18.75" customWidth="1"/>
    <col min="4" max="12" width="12.5" customWidth="1"/>
    <col min="13" max="16" width="10.625" customWidth="1"/>
    <col min="17" max="18" width="6.875" customWidth="1"/>
    <col min="19" max="19" width="22.25" bestFit="1" customWidth="1"/>
    <col min="20" max="20" width="9" style="143"/>
  </cols>
  <sheetData>
    <row r="1" spans="1:19" ht="21">
      <c r="A1" s="34" t="str">
        <f>基本情報!C5</f>
        <v>MAMIYAビル</v>
      </c>
      <c r="B1" s="34"/>
      <c r="C1" s="35"/>
      <c r="D1" s="35"/>
      <c r="E1" s="36"/>
      <c r="F1" s="2594" t="s">
        <v>1188</v>
      </c>
      <c r="G1" s="2594"/>
      <c r="H1" s="2594"/>
      <c r="I1" s="2594"/>
      <c r="J1" s="2594"/>
      <c r="K1" s="2594"/>
      <c r="L1" s="2594"/>
      <c r="M1" s="35"/>
      <c r="N1" s="35"/>
      <c r="O1" s="35"/>
      <c r="P1" s="35"/>
      <c r="Q1" s="35"/>
      <c r="R1" s="35"/>
      <c r="S1" s="35"/>
    </row>
    <row r="2" spans="1:19" ht="23.25" customHeight="1" thickBot="1">
      <c r="A2" s="35"/>
      <c r="B2" s="35"/>
      <c r="C2" s="35"/>
      <c r="D2" s="35"/>
      <c r="E2" s="35"/>
      <c r="F2" s="35"/>
      <c r="G2" s="35"/>
      <c r="H2" s="35"/>
      <c r="I2" s="35"/>
      <c r="J2" s="35"/>
      <c r="K2" s="35"/>
      <c r="L2" s="35"/>
      <c r="M2" s="35"/>
      <c r="N2" s="35"/>
      <c r="O2" s="35"/>
      <c r="P2" s="35"/>
      <c r="Q2" s="35"/>
      <c r="R2" s="35"/>
      <c r="S2" s="35"/>
    </row>
    <row r="3" spans="1:19">
      <c r="A3" s="37" t="s">
        <v>86</v>
      </c>
      <c r="B3" s="38" t="str">
        <f>基本情報!C6</f>
        <v>東京都千代田区神田錦町3-18</v>
      </c>
      <c r="C3" s="39"/>
      <c r="D3" s="39"/>
      <c r="E3" s="39"/>
      <c r="F3" s="39"/>
      <c r="G3" s="432"/>
      <c r="H3" s="40"/>
      <c r="I3" s="40"/>
      <c r="J3" s="40"/>
      <c r="K3" s="40"/>
      <c r="L3" s="41"/>
      <c r="M3" s="41"/>
      <c r="N3" s="41"/>
      <c r="O3" s="41"/>
      <c r="P3" s="41"/>
      <c r="Q3" s="41"/>
      <c r="R3" s="41"/>
      <c r="S3" s="41"/>
    </row>
    <row r="4" spans="1:19">
      <c r="A4" s="2595" t="s">
        <v>87</v>
      </c>
      <c r="B4" s="1773" t="str">
        <f>基本情報!C10</f>
        <v>都営新宿線・都営三田線・東京メトロ半蔵門線</v>
      </c>
      <c r="C4" s="1774"/>
      <c r="D4" s="42"/>
      <c r="E4" s="43" t="str">
        <f>基本情報!D10</f>
        <v>『神保町 』駅</v>
      </c>
      <c r="F4" s="43" t="str">
        <f>基本情報!F10</f>
        <v>徒歩3分</v>
      </c>
      <c r="G4" s="436"/>
      <c r="H4" s="44"/>
      <c r="I4" s="40"/>
      <c r="J4" s="40"/>
      <c r="K4" s="40"/>
      <c r="L4" s="41"/>
      <c r="M4" s="41"/>
      <c r="N4" s="45"/>
      <c r="O4" s="45"/>
      <c r="P4" s="45"/>
      <c r="Q4" s="45"/>
      <c r="R4" s="45"/>
      <c r="S4" s="41"/>
    </row>
    <row r="5" spans="1:19">
      <c r="A5" s="2596"/>
      <c r="B5" s="1775" t="str">
        <f>基本情報!C11</f>
        <v>都営新宿線</v>
      </c>
      <c r="C5" s="1776"/>
      <c r="D5" s="29"/>
      <c r="E5" s="46" t="str">
        <f>基本情報!D11</f>
        <v>『小川町』駅</v>
      </c>
      <c r="F5" s="46" t="str">
        <f>基本情報!F11</f>
        <v>徒歩5分</v>
      </c>
      <c r="G5" s="437"/>
      <c r="H5" s="44"/>
      <c r="I5" s="40"/>
      <c r="J5" s="40"/>
      <c r="K5" s="40"/>
      <c r="L5" s="41"/>
      <c r="M5" s="41"/>
      <c r="N5" s="45"/>
      <c r="O5" s="45"/>
      <c r="P5" s="45"/>
      <c r="Q5" s="45"/>
      <c r="R5" s="45"/>
      <c r="S5" s="41"/>
    </row>
    <row r="6" spans="1:19">
      <c r="A6" s="2597"/>
      <c r="B6" s="1777" t="str">
        <f>基本情報!C12</f>
        <v>東京メトロ千代田線</v>
      </c>
      <c r="C6" s="1778"/>
      <c r="D6" s="47"/>
      <c r="E6" s="48" t="str">
        <f>基本情報!D12</f>
        <v>『新御茶ノ水』駅</v>
      </c>
      <c r="F6" s="48" t="str">
        <f>基本情報!F12</f>
        <v>徒歩5分</v>
      </c>
      <c r="G6" s="438"/>
      <c r="H6" s="49"/>
      <c r="I6" s="44"/>
      <c r="J6" s="44"/>
      <c r="K6" s="44"/>
      <c r="L6" s="50"/>
      <c r="M6" s="45"/>
      <c r="N6" s="45"/>
      <c r="O6" s="45"/>
      <c r="P6" s="45"/>
      <c r="Q6" s="45"/>
      <c r="R6" s="45"/>
      <c r="S6" s="41"/>
    </row>
    <row r="7" spans="1:19">
      <c r="A7" s="2595" t="s">
        <v>72</v>
      </c>
      <c r="B7" s="51" t="s">
        <v>88</v>
      </c>
      <c r="C7" s="52" t="str">
        <f>基本情報!C17</f>
        <v>宅地</v>
      </c>
      <c r="D7" s="52"/>
      <c r="E7" s="52"/>
      <c r="F7" s="52"/>
      <c r="G7" s="439"/>
      <c r="H7" s="44"/>
      <c r="I7" s="44"/>
      <c r="J7" s="44"/>
      <c r="K7" s="44"/>
      <c r="L7" s="53"/>
      <c r="M7" s="45"/>
      <c r="N7" s="45"/>
      <c r="O7" s="45"/>
      <c r="P7" s="45"/>
      <c r="Q7" s="45"/>
      <c r="R7" s="45"/>
      <c r="S7" s="41"/>
    </row>
    <row r="8" spans="1:19">
      <c r="A8" s="2597"/>
      <c r="B8" s="54" t="s">
        <v>89</v>
      </c>
      <c r="C8" s="1016">
        <f>基本情報!C20</f>
        <v>354.52</v>
      </c>
      <c r="D8" s="55" t="s">
        <v>44</v>
      </c>
      <c r="E8" s="55">
        <f>ROUNDDOWN(C8*0.3025,2)</f>
        <v>107.24</v>
      </c>
      <c r="F8" s="91" t="s">
        <v>29</v>
      </c>
      <c r="G8" s="440"/>
      <c r="H8" s="44"/>
      <c r="I8" s="56"/>
      <c r="J8" s="56"/>
      <c r="K8" s="44"/>
      <c r="L8" s="53"/>
      <c r="M8" s="45"/>
      <c r="N8" s="45"/>
      <c r="O8" s="45"/>
      <c r="P8" s="45"/>
      <c r="Q8" s="45"/>
      <c r="R8" s="45"/>
      <c r="S8" s="41"/>
    </row>
    <row r="9" spans="1:19">
      <c r="A9" s="2595" t="s">
        <v>38</v>
      </c>
      <c r="B9" s="57" t="s">
        <v>90</v>
      </c>
      <c r="C9" s="2599" t="str">
        <f>基本情報!C28</f>
        <v>鉄骨鉄筋コンクリート造陸屋根7階建</v>
      </c>
      <c r="D9" s="2599"/>
      <c r="E9" s="2599"/>
      <c r="F9" s="2599"/>
      <c r="G9" s="59"/>
      <c r="H9" s="44"/>
      <c r="I9" s="56"/>
      <c r="J9" s="56"/>
      <c r="K9" s="44"/>
      <c r="L9" s="53"/>
      <c r="M9" s="45"/>
      <c r="N9" s="45"/>
      <c r="O9" s="45"/>
      <c r="P9" s="45"/>
      <c r="Q9" s="45"/>
      <c r="R9" s="45"/>
      <c r="S9" s="41"/>
    </row>
    <row r="10" spans="1:19">
      <c r="A10" s="2596"/>
      <c r="B10" s="57" t="s">
        <v>91</v>
      </c>
      <c r="C10" s="1014">
        <f>基本情報!C30</f>
        <v>2132.0300000000002</v>
      </c>
      <c r="D10" s="58" t="s">
        <v>44</v>
      </c>
      <c r="E10" s="430">
        <f>ROUNDDOWN(C10*0.3025,2)</f>
        <v>644.92999999999995</v>
      </c>
      <c r="F10" s="65" t="s">
        <v>29</v>
      </c>
      <c r="G10" s="433"/>
      <c r="H10" s="44"/>
      <c r="I10" s="56"/>
      <c r="J10" s="56"/>
      <c r="K10" s="44"/>
      <c r="L10" s="45"/>
      <c r="M10" s="45"/>
      <c r="N10" s="45"/>
      <c r="O10" s="45"/>
      <c r="P10" s="45"/>
      <c r="Q10" s="45"/>
      <c r="R10" s="45"/>
      <c r="S10" s="41"/>
    </row>
    <row r="11" spans="1:19">
      <c r="A11" s="2596"/>
      <c r="B11" s="57" t="s">
        <v>92</v>
      </c>
      <c r="C11" s="1015">
        <f>D28</f>
        <v>1923.2312500000003</v>
      </c>
      <c r="D11" s="58" t="s">
        <v>44</v>
      </c>
      <c r="E11" s="429">
        <f>E28</f>
        <v>581.77745312500008</v>
      </c>
      <c r="F11" s="65" t="s">
        <v>29</v>
      </c>
      <c r="G11" s="434">
        <f>E11/E10</f>
        <v>0.90207844746716714</v>
      </c>
      <c r="H11" s="56"/>
      <c r="I11" s="44"/>
      <c r="J11" s="44"/>
      <c r="K11" s="44"/>
      <c r="L11" s="45"/>
      <c r="M11" s="45"/>
      <c r="N11" s="45"/>
      <c r="O11" s="45"/>
      <c r="P11" s="45"/>
      <c r="Q11" s="45"/>
      <c r="R11" s="45"/>
      <c r="S11" s="41"/>
    </row>
    <row r="12" spans="1:19">
      <c r="A12" s="2596"/>
      <c r="B12" s="57" t="s">
        <v>93</v>
      </c>
      <c r="C12" s="1718">
        <f>D38</f>
        <v>2</v>
      </c>
      <c r="D12" s="58" t="s">
        <v>73</v>
      </c>
      <c r="E12" s="58"/>
      <c r="F12" s="65"/>
      <c r="G12" s="59"/>
      <c r="H12" s="44"/>
      <c r="I12" s="44"/>
      <c r="J12" s="44"/>
      <c r="K12" s="44"/>
      <c r="L12" s="45"/>
      <c r="M12" s="45"/>
      <c r="N12" s="41"/>
      <c r="O12" s="41"/>
      <c r="P12" s="41"/>
      <c r="Q12" s="41"/>
      <c r="R12" s="41"/>
      <c r="S12" s="41"/>
    </row>
    <row r="13" spans="1:19" ht="14.25" thickBot="1">
      <c r="A13" s="2598"/>
      <c r="B13" s="61" t="s">
        <v>94</v>
      </c>
      <c r="C13" s="2600">
        <f>基本情報!C33</f>
        <v>30749</v>
      </c>
      <c r="D13" s="2600"/>
      <c r="E13" s="62"/>
      <c r="F13" s="431">
        <f ca="1">基本情報!E33</f>
        <v>34.895890410958906</v>
      </c>
      <c r="G13" s="435"/>
      <c r="H13" s="40"/>
      <c r="I13" s="40"/>
      <c r="J13" s="40"/>
      <c r="K13" s="40"/>
      <c r="L13" s="41"/>
      <c r="M13" s="41"/>
      <c r="N13" s="41"/>
      <c r="O13" s="41"/>
      <c r="P13" s="41"/>
      <c r="Q13" s="41"/>
      <c r="R13" s="41"/>
      <c r="S13" s="41"/>
    </row>
    <row r="14" spans="1:19" ht="39" customHeight="1">
      <c r="A14" s="63"/>
      <c r="B14" s="63"/>
      <c r="C14" s="64"/>
      <c r="D14" s="64"/>
      <c r="E14" s="65"/>
      <c r="F14" s="65"/>
      <c r="G14" s="65"/>
      <c r="H14" s="41"/>
      <c r="I14" s="66"/>
      <c r="J14" s="41"/>
      <c r="K14" s="41"/>
      <c r="L14" s="41"/>
      <c r="M14" s="35"/>
      <c r="N14" s="35"/>
      <c r="O14" s="41"/>
      <c r="P14" s="41"/>
      <c r="Q14" s="41"/>
      <c r="R14" s="41"/>
      <c r="S14" s="41"/>
    </row>
    <row r="15" spans="1:19" ht="14.25" thickBot="1">
      <c r="A15" s="67" t="s">
        <v>95</v>
      </c>
      <c r="B15" s="67"/>
      <c r="C15" s="41"/>
      <c r="D15" s="41"/>
      <c r="E15" s="41"/>
      <c r="F15" s="41"/>
      <c r="G15" s="66"/>
      <c r="H15" s="41"/>
      <c r="I15" s="41"/>
      <c r="J15" s="68"/>
      <c r="K15" s="41"/>
      <c r="L15" s="41"/>
      <c r="M15" s="41"/>
      <c r="N15" s="41"/>
      <c r="O15" s="41"/>
      <c r="P15" s="41"/>
      <c r="Q15" s="41"/>
      <c r="R15" s="41"/>
      <c r="S15" s="180">
        <f ca="1">TODAY()</f>
        <v>43486</v>
      </c>
    </row>
    <row r="16" spans="1:19" ht="14.25" thickBot="1">
      <c r="A16" s="355" t="s">
        <v>96</v>
      </c>
      <c r="B16" s="69"/>
      <c r="C16" s="70" t="s">
        <v>97</v>
      </c>
      <c r="D16" s="356">
        <f>D27/D28</f>
        <v>0</v>
      </c>
      <c r="E16" s="41"/>
      <c r="F16" s="280">
        <f>F28-F27</f>
        <v>14740220</v>
      </c>
      <c r="G16" s="71"/>
      <c r="H16" s="41"/>
      <c r="I16" s="41"/>
      <c r="J16" s="41"/>
      <c r="K16" s="41"/>
      <c r="L16" s="41"/>
      <c r="M16" s="41"/>
      <c r="N16" s="41"/>
      <c r="O16" s="41"/>
      <c r="P16" s="41"/>
      <c r="Q16" s="41"/>
      <c r="R16" s="41"/>
      <c r="S16" s="41"/>
    </row>
    <row r="17" spans="1:20" ht="12" customHeight="1">
      <c r="A17" s="69"/>
      <c r="B17" s="69"/>
      <c r="C17" s="41"/>
      <c r="D17" s="41"/>
      <c r="E17" s="41"/>
      <c r="F17" s="41"/>
      <c r="G17" s="41"/>
      <c r="H17" s="41"/>
      <c r="I17" s="41"/>
      <c r="J17" s="41"/>
      <c r="K17" s="41"/>
      <c r="L17" s="41"/>
      <c r="M17" s="41"/>
      <c r="N17" s="41"/>
      <c r="O17" s="41"/>
      <c r="P17" s="41"/>
      <c r="Q17" s="41"/>
      <c r="R17" s="41"/>
    </row>
    <row r="18" spans="1:20">
      <c r="A18" s="2590" t="s">
        <v>98</v>
      </c>
      <c r="B18" s="2605" t="s">
        <v>99</v>
      </c>
      <c r="C18" s="2606"/>
      <c r="D18" s="2592" t="s">
        <v>100</v>
      </c>
      <c r="E18" s="2593"/>
      <c r="F18" s="2592" t="s">
        <v>74</v>
      </c>
      <c r="G18" s="2593"/>
      <c r="H18" s="2592" t="s">
        <v>75</v>
      </c>
      <c r="I18" s="2593"/>
      <c r="J18" s="2592" t="s">
        <v>101</v>
      </c>
      <c r="K18" s="2593"/>
      <c r="L18" s="2590" t="s">
        <v>102</v>
      </c>
      <c r="M18" s="2590" t="s">
        <v>103</v>
      </c>
      <c r="N18" s="2555" t="s">
        <v>76</v>
      </c>
      <c r="O18" s="2556"/>
      <c r="P18" s="2557"/>
      <c r="Q18" s="73" t="s">
        <v>104</v>
      </c>
      <c r="R18" s="73" t="s">
        <v>105</v>
      </c>
      <c r="S18" s="2590" t="s">
        <v>43</v>
      </c>
    </row>
    <row r="19" spans="1:20">
      <c r="A19" s="2591"/>
      <c r="B19" s="2607"/>
      <c r="C19" s="2608"/>
      <c r="D19" s="2609"/>
      <c r="E19" s="2610"/>
      <c r="F19" s="1813"/>
      <c r="G19" s="326" t="s">
        <v>106</v>
      </c>
      <c r="H19" s="340"/>
      <c r="I19" s="341" t="s">
        <v>106</v>
      </c>
      <c r="J19" s="340"/>
      <c r="K19" s="341" t="s">
        <v>106</v>
      </c>
      <c r="L19" s="2591"/>
      <c r="M19" s="2591"/>
      <c r="N19" s="341" t="s">
        <v>226</v>
      </c>
      <c r="O19" s="342" t="s">
        <v>77</v>
      </c>
      <c r="P19" s="342" t="s">
        <v>78</v>
      </c>
      <c r="Q19" s="342" t="s">
        <v>107</v>
      </c>
      <c r="R19" s="74" t="s">
        <v>108</v>
      </c>
      <c r="S19" s="2591"/>
    </row>
    <row r="20" spans="1:20" s="1785" customFormat="1" ht="18" customHeight="1">
      <c r="A20" s="1814" t="s">
        <v>227</v>
      </c>
      <c r="B20" s="1815" t="s">
        <v>96</v>
      </c>
      <c r="C20" s="1816" t="s">
        <v>45</v>
      </c>
      <c r="D20" s="1817">
        <v>166.79124999999999</v>
      </c>
      <c r="E20" s="1818">
        <f>ROUNDDOWN(D20*0.3025,2)</f>
        <v>50.45</v>
      </c>
      <c r="F20" s="1819">
        <f t="shared" ref="F20:F26" si="0">G20*E20</f>
        <v>1261250</v>
      </c>
      <c r="G20" s="1820">
        <v>25000</v>
      </c>
      <c r="H20" s="1821">
        <v>0</v>
      </c>
      <c r="I20" s="1820">
        <f>H20/E20</f>
        <v>0</v>
      </c>
      <c r="J20" s="1822">
        <f t="shared" ref="J20:K26" si="1">SUM(F20,H20)</f>
        <v>1261250</v>
      </c>
      <c r="K20" s="1822">
        <f t="shared" si="1"/>
        <v>25000</v>
      </c>
      <c r="L20" s="1821">
        <f>M20*F20</f>
        <v>0</v>
      </c>
      <c r="M20" s="1823">
        <v>0</v>
      </c>
      <c r="N20" s="1824"/>
      <c r="O20" s="1825"/>
      <c r="P20" s="1825"/>
      <c r="Q20" s="1826" t="s">
        <v>1194</v>
      </c>
      <c r="R20" s="1827" t="s">
        <v>45</v>
      </c>
      <c r="S20" s="2617" t="s">
        <v>1193</v>
      </c>
    </row>
    <row r="21" spans="1:20" s="1785" customFormat="1" ht="18" customHeight="1">
      <c r="A21" s="1828" t="s">
        <v>983</v>
      </c>
      <c r="B21" s="1816" t="s">
        <v>96</v>
      </c>
      <c r="C21" s="1816" t="s">
        <v>45</v>
      </c>
      <c r="D21" s="1829">
        <v>286.42</v>
      </c>
      <c r="E21" s="1830">
        <f>ROUNDDOWN(D21*0.3025,2)</f>
        <v>86.64</v>
      </c>
      <c r="F21" s="1819">
        <f t="shared" si="0"/>
        <v>2166000</v>
      </c>
      <c r="G21" s="1820">
        <v>25000</v>
      </c>
      <c r="H21" s="1819">
        <v>0</v>
      </c>
      <c r="I21" s="1820">
        <f>H21/E21</f>
        <v>0</v>
      </c>
      <c r="J21" s="1820">
        <f t="shared" si="1"/>
        <v>2166000</v>
      </c>
      <c r="K21" s="1820">
        <f t="shared" si="1"/>
        <v>25000</v>
      </c>
      <c r="L21" s="1819">
        <f>M21*F21</f>
        <v>0</v>
      </c>
      <c r="M21" s="1823">
        <v>0</v>
      </c>
      <c r="N21" s="1831"/>
      <c r="O21" s="1832"/>
      <c r="P21" s="1832"/>
      <c r="Q21" s="1833" t="s">
        <v>1194</v>
      </c>
      <c r="R21" s="1834" t="s">
        <v>45</v>
      </c>
      <c r="S21" s="2618"/>
    </row>
    <row r="22" spans="1:20" s="1785" customFormat="1" ht="18" customHeight="1">
      <c r="A22" s="1828" t="s">
        <v>984</v>
      </c>
      <c r="B22" s="1816" t="s">
        <v>96</v>
      </c>
      <c r="C22" s="1816" t="s">
        <v>45</v>
      </c>
      <c r="D22" s="1829">
        <v>286.42</v>
      </c>
      <c r="E22" s="1830">
        <f>ROUNDDOWN(D22*0.3025,2)</f>
        <v>86.64</v>
      </c>
      <c r="F22" s="1819">
        <f t="shared" si="0"/>
        <v>2166000</v>
      </c>
      <c r="G22" s="1820">
        <v>25000</v>
      </c>
      <c r="H22" s="1819">
        <v>0</v>
      </c>
      <c r="I22" s="1820">
        <f t="shared" ref="I22:I26" si="2">H22/E22</f>
        <v>0</v>
      </c>
      <c r="J22" s="1820">
        <f t="shared" si="1"/>
        <v>2166000</v>
      </c>
      <c r="K22" s="1820">
        <f t="shared" si="1"/>
        <v>25000</v>
      </c>
      <c r="L22" s="1819">
        <f t="shared" ref="L22:L25" si="3">M22*F22</f>
        <v>0</v>
      </c>
      <c r="M22" s="1823">
        <v>0</v>
      </c>
      <c r="N22" s="1831"/>
      <c r="O22" s="1832"/>
      <c r="P22" s="1832"/>
      <c r="Q22" s="1833" t="s">
        <v>1194</v>
      </c>
      <c r="R22" s="1834" t="s">
        <v>45</v>
      </c>
      <c r="S22" s="2618"/>
    </row>
    <row r="23" spans="1:20" s="1785" customFormat="1" ht="18" customHeight="1">
      <c r="A23" s="1828" t="s">
        <v>985</v>
      </c>
      <c r="B23" s="1816" t="s">
        <v>96</v>
      </c>
      <c r="C23" s="1816" t="s">
        <v>45</v>
      </c>
      <c r="D23" s="1829">
        <v>286.42</v>
      </c>
      <c r="E23" s="1830">
        <f t="shared" ref="E23" si="4">ROUNDDOWN(D23*0.3025,2)</f>
        <v>86.64</v>
      </c>
      <c r="F23" s="1819">
        <f t="shared" si="0"/>
        <v>2166000</v>
      </c>
      <c r="G23" s="1820">
        <v>25000</v>
      </c>
      <c r="H23" s="1819">
        <f>I23*E23</f>
        <v>0</v>
      </c>
      <c r="I23" s="1820">
        <v>0</v>
      </c>
      <c r="J23" s="1820">
        <f t="shared" si="1"/>
        <v>2166000</v>
      </c>
      <c r="K23" s="1820">
        <f t="shared" si="1"/>
        <v>25000</v>
      </c>
      <c r="L23" s="1819">
        <f t="shared" si="3"/>
        <v>0</v>
      </c>
      <c r="M23" s="1823">
        <v>0</v>
      </c>
      <c r="N23" s="1831"/>
      <c r="O23" s="1832"/>
      <c r="P23" s="1832"/>
      <c r="Q23" s="1833" t="s">
        <v>1194</v>
      </c>
      <c r="R23" s="1834" t="s">
        <v>45</v>
      </c>
      <c r="S23" s="2618"/>
    </row>
    <row r="24" spans="1:20" s="1785" customFormat="1" ht="18" customHeight="1">
      <c r="A24" s="1828" t="s">
        <v>986</v>
      </c>
      <c r="B24" s="1816" t="s">
        <v>96</v>
      </c>
      <c r="C24" s="1816" t="s">
        <v>45</v>
      </c>
      <c r="D24" s="1829">
        <v>286.42</v>
      </c>
      <c r="E24" s="1830">
        <f>ROUNDDOWN(D24*0.3025,2)</f>
        <v>86.64</v>
      </c>
      <c r="F24" s="1819">
        <f t="shared" si="0"/>
        <v>2166000</v>
      </c>
      <c r="G24" s="1820">
        <v>25000</v>
      </c>
      <c r="H24" s="1819">
        <f>I24*E24</f>
        <v>0</v>
      </c>
      <c r="I24" s="1820">
        <v>0</v>
      </c>
      <c r="J24" s="1820">
        <f t="shared" si="1"/>
        <v>2166000</v>
      </c>
      <c r="K24" s="1820">
        <f t="shared" si="1"/>
        <v>25000</v>
      </c>
      <c r="L24" s="1819">
        <f t="shared" si="3"/>
        <v>0</v>
      </c>
      <c r="M24" s="1823">
        <v>0</v>
      </c>
      <c r="N24" s="1831"/>
      <c r="O24" s="1832"/>
      <c r="P24" s="1832"/>
      <c r="Q24" s="1833" t="s">
        <v>1194</v>
      </c>
      <c r="R24" s="1834" t="s">
        <v>45</v>
      </c>
      <c r="S24" s="2618"/>
    </row>
    <row r="25" spans="1:20" s="1785" customFormat="1" ht="18" customHeight="1">
      <c r="A25" s="1828" t="s">
        <v>324</v>
      </c>
      <c r="B25" s="1835" t="s">
        <v>96</v>
      </c>
      <c r="C25" s="1816" t="s">
        <v>45</v>
      </c>
      <c r="D25" s="1829">
        <v>286.42</v>
      </c>
      <c r="E25" s="1836">
        <f>ROUNDDOWN(D25*0.3025,2)</f>
        <v>86.64</v>
      </c>
      <c r="F25" s="1819">
        <f t="shared" si="0"/>
        <v>2166000</v>
      </c>
      <c r="G25" s="1820">
        <v>25000</v>
      </c>
      <c r="H25" s="1819">
        <v>0</v>
      </c>
      <c r="I25" s="1820">
        <f>H25/E25</f>
        <v>0</v>
      </c>
      <c r="J25" s="1820">
        <f t="shared" si="1"/>
        <v>2166000</v>
      </c>
      <c r="K25" s="1820">
        <f t="shared" si="1"/>
        <v>25000</v>
      </c>
      <c r="L25" s="1819">
        <f t="shared" si="3"/>
        <v>0</v>
      </c>
      <c r="M25" s="1823">
        <v>0</v>
      </c>
      <c r="N25" s="1831"/>
      <c r="O25" s="1832"/>
      <c r="P25" s="1832"/>
      <c r="Q25" s="1833" t="s">
        <v>1194</v>
      </c>
      <c r="R25" s="1838" t="s">
        <v>45</v>
      </c>
      <c r="S25" s="2618"/>
    </row>
    <row r="26" spans="1:20" s="1785" customFormat="1" ht="18" customHeight="1" thickBot="1">
      <c r="A26" s="1839" t="s">
        <v>1203</v>
      </c>
      <c r="B26" s="1840" t="s">
        <v>96</v>
      </c>
      <c r="C26" s="1840" t="s">
        <v>45</v>
      </c>
      <c r="D26" s="1841">
        <f>286.42+37.92</f>
        <v>324.34000000000003</v>
      </c>
      <c r="E26" s="1842">
        <f>ROUNDDOWN(D26*0.3025,2)</f>
        <v>98.11</v>
      </c>
      <c r="F26" s="1843">
        <f>G26*E26</f>
        <v>2648970</v>
      </c>
      <c r="G26" s="1844">
        <v>27000</v>
      </c>
      <c r="H26" s="1843">
        <v>0</v>
      </c>
      <c r="I26" s="1844">
        <f t="shared" si="2"/>
        <v>0</v>
      </c>
      <c r="J26" s="1844">
        <f t="shared" si="1"/>
        <v>2648970</v>
      </c>
      <c r="K26" s="1844">
        <f t="shared" si="1"/>
        <v>27000</v>
      </c>
      <c r="L26" s="1843">
        <f>M26*F26</f>
        <v>0</v>
      </c>
      <c r="M26" s="1845">
        <v>0</v>
      </c>
      <c r="N26" s="1846"/>
      <c r="O26" s="1847"/>
      <c r="P26" s="1847"/>
      <c r="Q26" s="1848" t="s">
        <v>1194</v>
      </c>
      <c r="R26" s="1849" t="s">
        <v>45</v>
      </c>
      <c r="S26" s="2619"/>
    </row>
    <row r="27" spans="1:20" ht="18" customHeight="1" thickTop="1">
      <c r="A27" s="328"/>
      <c r="B27" s="1463" t="s">
        <v>110</v>
      </c>
      <c r="C27" s="333" t="s">
        <v>112</v>
      </c>
      <c r="D27" s="329">
        <f>D28-SUMIF(C4:C26,"-",D4:D26)</f>
        <v>0</v>
      </c>
      <c r="E27" s="330">
        <f>ROUNDDOWN(D27*0.3025,2)</f>
        <v>0</v>
      </c>
      <c r="F27" s="331">
        <f>F28-SUMIF(C20:C26,"-",F20:F26)</f>
        <v>0</v>
      </c>
      <c r="G27" s="336" t="e">
        <f>F27/E27</f>
        <v>#DIV/0!</v>
      </c>
      <c r="H27" s="331">
        <f>H28-SUMIF(C20:C26,"-",H20:H26)</f>
        <v>0</v>
      </c>
      <c r="I27" s="336" t="e">
        <f>H27/E27</f>
        <v>#DIV/0!</v>
      </c>
      <c r="J27" s="331">
        <f>SUM(F27,H27)</f>
        <v>0</v>
      </c>
      <c r="K27" s="336" t="e">
        <f>SUM(G27,I27)</f>
        <v>#DIV/0!</v>
      </c>
      <c r="L27" s="331">
        <f>L28-SUMIF(C20:C26,"-",L20:L26)</f>
        <v>0</v>
      </c>
      <c r="M27" s="1343"/>
      <c r="N27" s="1344"/>
      <c r="O27" s="1345"/>
      <c r="P27" s="1346"/>
      <c r="Q27" s="1347"/>
      <c r="R27" s="1348"/>
      <c r="S27" s="1349"/>
    </row>
    <row r="28" spans="1:20">
      <c r="A28" s="332"/>
      <c r="B28" s="1464" t="s">
        <v>111</v>
      </c>
      <c r="C28" s="333" t="s">
        <v>112</v>
      </c>
      <c r="D28" s="334">
        <f>SUM(D20:D26)</f>
        <v>1923.2312500000003</v>
      </c>
      <c r="E28" s="335">
        <f>D28*0.3025</f>
        <v>581.77745312500008</v>
      </c>
      <c r="F28" s="336">
        <f>SUM(F20:F26)</f>
        <v>14740220</v>
      </c>
      <c r="G28" s="336">
        <f>F28/E28</f>
        <v>25336.526743728813</v>
      </c>
      <c r="H28" s="336">
        <f>SUM(H20:H26)</f>
        <v>0</v>
      </c>
      <c r="I28" s="336">
        <f>H28/E28</f>
        <v>0</v>
      </c>
      <c r="J28" s="336">
        <f>SUM(J20:J26)</f>
        <v>14740220</v>
      </c>
      <c r="K28" s="336">
        <f>SUM(G28,I28)</f>
        <v>25336.526743728813</v>
      </c>
      <c r="L28" s="336">
        <f>SUM(L20:L26)</f>
        <v>0</v>
      </c>
      <c r="M28" s="1350"/>
      <c r="N28" s="337"/>
      <c r="O28" s="338"/>
      <c r="P28" s="338"/>
      <c r="Q28" s="338"/>
      <c r="R28" s="338"/>
      <c r="S28" s="339"/>
    </row>
    <row r="29" spans="1:20" s="372" customFormat="1" ht="32.25" customHeight="1">
      <c r="A29" s="86"/>
      <c r="B29" s="86"/>
      <c r="C29" s="87"/>
      <c r="D29" s="88"/>
      <c r="E29" s="88"/>
      <c r="F29" s="88"/>
      <c r="G29" s="88"/>
      <c r="H29" s="88"/>
      <c r="I29" s="88"/>
      <c r="J29" s="88"/>
      <c r="K29" s="88"/>
      <c r="L29" s="88"/>
      <c r="M29" s="88"/>
      <c r="N29" s="88"/>
      <c r="O29" s="89"/>
      <c r="P29" s="89"/>
      <c r="Q29" s="89"/>
      <c r="R29" s="89"/>
      <c r="S29" s="86"/>
      <c r="T29" s="1365"/>
    </row>
    <row r="30" spans="1:20" ht="14.25" thickBot="1">
      <c r="A30" s="41"/>
      <c r="B30" s="41"/>
      <c r="C30" s="81"/>
      <c r="D30" s="79"/>
      <c r="E30" s="79"/>
      <c r="F30" s="79"/>
      <c r="G30" s="79"/>
      <c r="H30" s="79"/>
      <c r="I30" s="79"/>
      <c r="J30" s="79"/>
      <c r="K30" s="79"/>
      <c r="L30" s="79"/>
      <c r="M30" s="79"/>
      <c r="N30" s="80"/>
      <c r="O30" s="80"/>
      <c r="P30" s="80"/>
      <c r="Q30" s="80"/>
      <c r="R30" s="40"/>
      <c r="S30" s="41"/>
    </row>
    <row r="31" spans="1:20" ht="14.25" thickBot="1">
      <c r="A31" s="82" t="s">
        <v>113</v>
      </c>
      <c r="C31" s="83" t="s">
        <v>97</v>
      </c>
      <c r="D31" s="356">
        <f>D37/D38</f>
        <v>0</v>
      </c>
      <c r="E31" s="45"/>
      <c r="F31" s="84"/>
      <c r="G31" s="84"/>
      <c r="H31" s="84"/>
      <c r="I31" s="45"/>
      <c r="J31" s="84"/>
      <c r="K31" s="45"/>
      <c r="L31" s="45"/>
      <c r="M31" s="45"/>
      <c r="N31" s="80"/>
      <c r="O31" s="80"/>
      <c r="P31" s="45"/>
      <c r="Q31" s="45"/>
      <c r="R31" s="45"/>
      <c r="S31" s="45"/>
    </row>
    <row r="32" spans="1:20">
      <c r="A32" s="85"/>
      <c r="B32" s="85"/>
      <c r="C32" s="85"/>
      <c r="D32" s="45"/>
      <c r="E32" s="45"/>
      <c r="F32" s="45"/>
      <c r="G32" s="45"/>
      <c r="H32" s="45"/>
      <c r="I32" s="45"/>
      <c r="J32" s="45"/>
      <c r="K32" s="45"/>
      <c r="L32" s="45"/>
      <c r="M32" s="45"/>
      <c r="N32" s="45"/>
      <c r="O32" s="80"/>
      <c r="P32" s="80"/>
      <c r="Q32" s="45"/>
      <c r="R32" s="45"/>
      <c r="S32" s="45"/>
      <c r="T32" s="45"/>
    </row>
    <row r="33" spans="1:20">
      <c r="A33" s="2592" t="s">
        <v>233</v>
      </c>
      <c r="B33" s="2593"/>
      <c r="C33" s="2611" t="s">
        <v>114</v>
      </c>
      <c r="D33" s="2611" t="s">
        <v>115</v>
      </c>
      <c r="E33" s="1810" t="s">
        <v>116</v>
      </c>
      <c r="F33" s="1811" t="s">
        <v>117</v>
      </c>
      <c r="G33" s="2613" t="s">
        <v>118</v>
      </c>
      <c r="H33" s="2614"/>
      <c r="I33" s="2615" t="s">
        <v>76</v>
      </c>
      <c r="J33" s="2616"/>
      <c r="K33" s="2601" t="s">
        <v>43</v>
      </c>
      <c r="L33" s="2602"/>
      <c r="M33" s="45"/>
      <c r="N33" s="45"/>
      <c r="O33" s="80"/>
      <c r="P33" s="80"/>
      <c r="Q33" s="45"/>
      <c r="R33" s="45"/>
      <c r="S33" s="45"/>
      <c r="T33" s="45"/>
    </row>
    <row r="34" spans="1:20">
      <c r="A34" s="2609"/>
      <c r="B34" s="2610"/>
      <c r="C34" s="2612"/>
      <c r="D34" s="2612"/>
      <c r="E34" s="1812"/>
      <c r="F34" s="347" t="s">
        <v>119</v>
      </c>
      <c r="G34" s="348"/>
      <c r="H34" s="349" t="s">
        <v>120</v>
      </c>
      <c r="I34" s="350" t="s">
        <v>77</v>
      </c>
      <c r="J34" s="350" t="s">
        <v>78</v>
      </c>
      <c r="K34" s="2603"/>
      <c r="L34" s="2604"/>
      <c r="M34" s="45"/>
      <c r="N34" s="45"/>
      <c r="O34" s="80"/>
      <c r="P34" s="80"/>
      <c r="Q34" s="45"/>
      <c r="R34" s="45"/>
      <c r="S34" s="45"/>
      <c r="T34" s="45"/>
    </row>
    <row r="35" spans="1:20" s="1719" customFormat="1">
      <c r="A35" s="2634">
        <v>1</v>
      </c>
      <c r="B35" s="2635" t="s">
        <v>987</v>
      </c>
      <c r="C35" s="2636" t="s">
        <v>45</v>
      </c>
      <c r="D35" s="2637">
        <v>1</v>
      </c>
      <c r="E35" s="2638">
        <f>F35*D35</f>
        <v>50000</v>
      </c>
      <c r="F35" s="2638">
        <v>50000</v>
      </c>
      <c r="G35" s="2639">
        <f>H35*E35</f>
        <v>0</v>
      </c>
      <c r="H35" s="2640">
        <v>0</v>
      </c>
      <c r="I35" s="2641" t="s">
        <v>988</v>
      </c>
      <c r="J35" s="2641" t="s">
        <v>988</v>
      </c>
      <c r="K35" s="2642"/>
      <c r="L35" s="2643"/>
      <c r="M35" s="1720"/>
      <c r="N35" s="1720"/>
      <c r="O35" s="1721"/>
      <c r="P35" s="1721"/>
      <c r="Q35" s="1720"/>
      <c r="R35" s="1720"/>
      <c r="S35" s="1720"/>
      <c r="T35" s="1720"/>
    </row>
    <row r="36" spans="1:20" s="1719" customFormat="1" ht="14.25" thickBot="1">
      <c r="A36" s="2644">
        <v>2</v>
      </c>
      <c r="B36" s="2644" t="s">
        <v>987</v>
      </c>
      <c r="C36" s="2645" t="s">
        <v>988</v>
      </c>
      <c r="D36" s="2646">
        <v>1</v>
      </c>
      <c r="E36" s="2647">
        <f>F36*D36</f>
        <v>50000</v>
      </c>
      <c r="F36" s="2648">
        <v>50000</v>
      </c>
      <c r="G36" s="2649">
        <f t="shared" ref="G36" si="5">H36*E36</f>
        <v>0</v>
      </c>
      <c r="H36" s="2650">
        <v>0</v>
      </c>
      <c r="I36" s="2651" t="s">
        <v>1197</v>
      </c>
      <c r="J36" s="2651" t="s">
        <v>1198</v>
      </c>
      <c r="K36" s="2652"/>
      <c r="L36" s="2653"/>
      <c r="M36" s="1720"/>
      <c r="N36" s="1720"/>
      <c r="O36" s="1721"/>
      <c r="P36" s="1721"/>
      <c r="Q36" s="1720"/>
      <c r="R36" s="1720"/>
      <c r="S36" s="1720"/>
      <c r="T36" s="1720"/>
    </row>
    <row r="37" spans="1:20" ht="14.25" thickTop="1">
      <c r="A37" s="1461"/>
      <c r="B37" s="1462" t="s">
        <v>121</v>
      </c>
      <c r="C37" s="351" t="s">
        <v>112</v>
      </c>
      <c r="D37" s="352">
        <f>D38-SUMIF(C35:C36,"-",D35:D36)</f>
        <v>0</v>
      </c>
      <c r="E37" s="353">
        <f>E38-SUMIF(C35:C36,"-",E35:E36)</f>
        <v>0</v>
      </c>
      <c r="F37" s="353" t="e">
        <f>E37/D37</f>
        <v>#DIV/0!</v>
      </c>
      <c r="G37" s="353">
        <f>G38-SUMIF(C35:C36,"-",G35:G36)</f>
        <v>0</v>
      </c>
      <c r="H37" s="1343"/>
      <c r="I37" s="345"/>
      <c r="J37" s="345"/>
      <c r="K37" s="345"/>
      <c r="L37" s="345"/>
      <c r="M37" s="45"/>
      <c r="N37" s="45"/>
      <c r="O37" s="45"/>
      <c r="P37" s="45"/>
      <c r="Q37" s="45"/>
      <c r="R37" s="45"/>
      <c r="S37" s="45"/>
      <c r="T37" s="45"/>
    </row>
    <row r="38" spans="1:20">
      <c r="A38" s="1461"/>
      <c r="B38" s="1462" t="s">
        <v>122</v>
      </c>
      <c r="C38" s="351" t="s">
        <v>112</v>
      </c>
      <c r="D38" s="354">
        <f>SUM(D35:D36)</f>
        <v>2</v>
      </c>
      <c r="E38" s="353">
        <f>SUM(E35:E36)</f>
        <v>100000</v>
      </c>
      <c r="F38" s="353">
        <f>E38/D38</f>
        <v>50000</v>
      </c>
      <c r="G38" s="353">
        <f>SUM(G35:G36)</f>
        <v>0</v>
      </c>
      <c r="H38" s="1350"/>
      <c r="I38" s="345"/>
      <c r="J38" s="345"/>
      <c r="K38" s="345"/>
      <c r="L38" s="345"/>
      <c r="M38" s="44"/>
      <c r="N38" s="44"/>
      <c r="O38" s="44"/>
      <c r="P38" s="44"/>
      <c r="Q38" s="44"/>
      <c r="R38" s="56"/>
      <c r="S38" s="44"/>
      <c r="T38" s="45"/>
    </row>
    <row r="39" spans="1:20" s="361" customFormat="1" ht="23.25" customHeight="1">
      <c r="A39" s="357"/>
      <c r="B39" s="357"/>
      <c r="C39" s="357"/>
      <c r="D39" s="358"/>
      <c r="E39" s="359"/>
      <c r="F39" s="359"/>
      <c r="G39" s="359"/>
      <c r="H39" s="359"/>
      <c r="I39" s="359"/>
      <c r="J39" s="359"/>
      <c r="K39" s="359"/>
      <c r="L39" s="359"/>
      <c r="M39" s="359"/>
      <c r="N39" s="359"/>
      <c r="O39" s="360"/>
      <c r="P39" s="360"/>
      <c r="Q39" s="357"/>
      <c r="R39" s="357"/>
      <c r="S39" s="357"/>
      <c r="T39" s="357"/>
    </row>
    <row r="40" spans="1:20" s="366" customFormat="1" ht="27.75" customHeight="1">
      <c r="A40" s="362"/>
      <c r="B40" s="362"/>
      <c r="C40" s="363"/>
      <c r="D40" s="364"/>
      <c r="E40" s="364"/>
      <c r="F40" s="364"/>
      <c r="G40" s="364"/>
      <c r="H40" s="364"/>
      <c r="I40" s="364"/>
      <c r="J40" s="364"/>
      <c r="K40" s="364"/>
      <c r="L40" s="364"/>
      <c r="M40" s="364"/>
      <c r="N40" s="365"/>
      <c r="O40" s="365"/>
      <c r="P40" s="362"/>
      <c r="Q40" s="362"/>
      <c r="R40" s="362"/>
      <c r="S40" s="362"/>
      <c r="T40" s="1366"/>
    </row>
    <row r="41" spans="1:20">
      <c r="A41" s="67" t="s">
        <v>123</v>
      </c>
      <c r="B41" s="67"/>
      <c r="C41" s="41"/>
      <c r="D41" s="41" t="s">
        <v>1204</v>
      </c>
      <c r="E41" s="67" t="s">
        <v>124</v>
      </c>
      <c r="F41" s="41"/>
      <c r="G41" s="41"/>
      <c r="H41" s="41"/>
      <c r="I41" s="90" t="s">
        <v>1176</v>
      </c>
      <c r="J41" s="91"/>
      <c r="K41" s="41"/>
      <c r="L41" s="41"/>
      <c r="M41" s="92" t="s">
        <v>125</v>
      </c>
      <c r="N41" s="93"/>
      <c r="O41" s="93"/>
      <c r="P41" s="35"/>
      <c r="Q41" s="41"/>
      <c r="R41" s="41"/>
      <c r="S41" s="41"/>
      <c r="T41" s="41"/>
    </row>
    <row r="42" spans="1:20">
      <c r="A42" s="2622" t="s">
        <v>49</v>
      </c>
      <c r="B42" s="2623"/>
      <c r="C42" s="72" t="s">
        <v>126</v>
      </c>
      <c r="D42" s="94"/>
      <c r="E42" s="2622" t="s">
        <v>49</v>
      </c>
      <c r="F42" s="2623"/>
      <c r="G42" s="72" t="s">
        <v>79</v>
      </c>
      <c r="H42" s="376"/>
      <c r="I42" s="95"/>
      <c r="J42" s="96" t="s">
        <v>72</v>
      </c>
      <c r="K42" s="96" t="s">
        <v>127</v>
      </c>
      <c r="L42" s="41"/>
      <c r="M42" s="97" t="s">
        <v>129</v>
      </c>
      <c r="N42" s="2628" t="s">
        <v>130</v>
      </c>
      <c r="O42" s="2629"/>
      <c r="P42" s="97" t="s">
        <v>131</v>
      </c>
      <c r="Q42" s="98"/>
      <c r="R42" s="41"/>
      <c r="S42" s="41"/>
      <c r="T42" s="41"/>
    </row>
    <row r="43" spans="1:20">
      <c r="A43" s="99" t="s">
        <v>132</v>
      </c>
      <c r="B43" s="100"/>
      <c r="C43" s="75">
        <f>F28*12</f>
        <v>176882640</v>
      </c>
      <c r="D43" s="94"/>
      <c r="E43" s="2630" t="s">
        <v>997</v>
      </c>
      <c r="F43" s="2631"/>
      <c r="G43" s="1722">
        <f>H43*12</f>
        <v>4200000</v>
      </c>
      <c r="H43" s="1723">
        <v>350000</v>
      </c>
      <c r="I43" s="101" t="s">
        <v>80</v>
      </c>
      <c r="J43" s="1789">
        <f>K52*7/8</f>
        <v>728981750</v>
      </c>
      <c r="K43" s="1789">
        <v>196308100</v>
      </c>
      <c r="L43" s="41" t="s">
        <v>1177</v>
      </c>
      <c r="M43" s="381">
        <v>0.05</v>
      </c>
      <c r="N43" s="2620">
        <f>C49/M43</f>
        <v>3568852800</v>
      </c>
      <c r="O43" s="2621"/>
      <c r="P43" s="102">
        <f>G53/N43</f>
        <v>4.4720515329183648E-2</v>
      </c>
      <c r="Q43" s="98"/>
      <c r="R43" s="41"/>
      <c r="S43" s="41"/>
      <c r="T43" s="41"/>
    </row>
    <row r="44" spans="1:20">
      <c r="A44" s="103" t="s">
        <v>133</v>
      </c>
      <c r="B44" s="104"/>
      <c r="C44" s="75">
        <f>H28*12</f>
        <v>0</v>
      </c>
      <c r="D44" s="94"/>
      <c r="E44" s="103" t="s">
        <v>265</v>
      </c>
      <c r="G44" s="1724">
        <f>C49*H44</f>
        <v>3568852.8000000003</v>
      </c>
      <c r="H44" s="1725">
        <v>0.02</v>
      </c>
      <c r="I44" s="105" t="s">
        <v>81</v>
      </c>
      <c r="J44" s="1786">
        <f>J43*0.6</f>
        <v>437389050</v>
      </c>
      <c r="K44" s="1786">
        <f>K43</f>
        <v>196308100</v>
      </c>
      <c r="L44" s="106" t="s">
        <v>954</v>
      </c>
      <c r="M44" s="102">
        <f>M43-0.25%</f>
        <v>4.7500000000000001E-2</v>
      </c>
      <c r="N44" s="2620">
        <f>C49/M44</f>
        <v>3756687157.8947368</v>
      </c>
      <c r="O44" s="2621"/>
      <c r="P44" s="102">
        <f>G53/N44</f>
        <v>4.2484489562724471E-2</v>
      </c>
      <c r="Q44" s="98"/>
      <c r="R44" s="41"/>
      <c r="S44" s="41"/>
      <c r="T44" s="41"/>
    </row>
    <row r="45" spans="1:20">
      <c r="A45" s="107" t="s">
        <v>134</v>
      </c>
      <c r="B45" s="108"/>
      <c r="C45" s="109">
        <f>E38*12</f>
        <v>1200000</v>
      </c>
      <c r="D45" s="41"/>
      <c r="E45" s="103" t="s">
        <v>266</v>
      </c>
      <c r="F45" s="367"/>
      <c r="G45" s="1724">
        <f>J48+K48</f>
        <v>10772850.850000001</v>
      </c>
      <c r="H45" s="1726" t="s">
        <v>1177</v>
      </c>
      <c r="I45" s="110" t="s">
        <v>82</v>
      </c>
      <c r="J45" s="1787">
        <f>J44</f>
        <v>437389050</v>
      </c>
      <c r="K45" s="1787">
        <f>K43</f>
        <v>196308100</v>
      </c>
      <c r="L45" s="106" t="s">
        <v>954</v>
      </c>
      <c r="M45" s="102">
        <f t="shared" ref="M45:M52" si="6">M44-0.25%</f>
        <v>4.4999999999999998E-2</v>
      </c>
      <c r="N45" s="2620">
        <f>C49/M45</f>
        <v>3965392000</v>
      </c>
      <c r="O45" s="2621"/>
      <c r="P45" s="102">
        <f>G53/N45</f>
        <v>4.0248463796265288E-2</v>
      </c>
      <c r="Q45" s="41"/>
      <c r="R45" s="41"/>
      <c r="S45" s="41"/>
      <c r="T45" s="41"/>
    </row>
    <row r="46" spans="1:20">
      <c r="A46" s="107" t="s">
        <v>136</v>
      </c>
      <c r="B46" s="108"/>
      <c r="C46" s="111">
        <f>D46*12</f>
        <v>360000</v>
      </c>
      <c r="D46" s="379">
        <v>30000</v>
      </c>
      <c r="E46" s="368" t="s">
        <v>135</v>
      </c>
      <c r="F46" s="369"/>
      <c r="G46" s="1724">
        <v>300000</v>
      </c>
      <c r="H46" s="1726" t="s">
        <v>1177</v>
      </c>
      <c r="I46" s="110" t="s">
        <v>83</v>
      </c>
      <c r="J46" s="1787">
        <f>J44*0.014</f>
        <v>6123446.7000000002</v>
      </c>
      <c r="K46" s="1787">
        <f>K44*0.014</f>
        <v>2748313.4</v>
      </c>
      <c r="L46" s="106" t="s">
        <v>954</v>
      </c>
      <c r="M46" s="382">
        <f t="shared" si="6"/>
        <v>4.2499999999999996E-2</v>
      </c>
      <c r="N46" s="2624">
        <f>C49/M46</f>
        <v>4198650352.9411769</v>
      </c>
      <c r="O46" s="2625"/>
      <c r="P46" s="382">
        <f>G53/N46</f>
        <v>3.8012438029806098E-2</v>
      </c>
      <c r="Q46" s="98" t="s">
        <v>137</v>
      </c>
      <c r="R46" s="41"/>
      <c r="S46" s="41"/>
      <c r="T46" s="41"/>
    </row>
    <row r="47" spans="1:20">
      <c r="A47" s="107" t="s">
        <v>230</v>
      </c>
      <c r="B47" s="108"/>
      <c r="C47" s="111">
        <f>D47*12</f>
        <v>0</v>
      </c>
      <c r="D47" s="379">
        <v>0</v>
      </c>
      <c r="E47" s="103" t="s">
        <v>234</v>
      </c>
      <c r="F47" s="374"/>
      <c r="G47" s="1724">
        <f>H47*12</f>
        <v>0</v>
      </c>
      <c r="H47" s="1723">
        <v>0</v>
      </c>
      <c r="I47" s="113" t="s">
        <v>84</v>
      </c>
      <c r="J47" s="1788">
        <f>J45*0.003</f>
        <v>1312167.1500000001</v>
      </c>
      <c r="K47" s="1788">
        <f>K45*0.003</f>
        <v>588924.30000000005</v>
      </c>
      <c r="L47" s="106" t="s">
        <v>954</v>
      </c>
      <c r="M47" s="102">
        <f t="shared" si="6"/>
        <v>3.9999999999999994E-2</v>
      </c>
      <c r="N47" s="2620">
        <f>C49/M47</f>
        <v>4461066000.000001</v>
      </c>
      <c r="O47" s="2621"/>
      <c r="P47" s="102">
        <f>G53/N47</f>
        <v>3.5776412263346914E-2</v>
      </c>
      <c r="Q47" s="98"/>
      <c r="R47" s="41"/>
      <c r="S47" s="41"/>
      <c r="T47" s="41"/>
    </row>
    <row r="48" spans="1:20">
      <c r="A48" s="114" t="s">
        <v>229</v>
      </c>
      <c r="B48" s="115"/>
      <c r="C48" s="112" t="s">
        <v>109</v>
      </c>
      <c r="D48" s="70" t="s">
        <v>138</v>
      </c>
      <c r="E48" s="370" t="s">
        <v>231</v>
      </c>
      <c r="F48" s="371"/>
      <c r="G48" s="375" t="s">
        <v>109</v>
      </c>
      <c r="H48" s="377"/>
      <c r="I48" s="117" t="s">
        <v>85</v>
      </c>
      <c r="J48" s="118">
        <f>SUM(J46:J47)</f>
        <v>7435613.8500000006</v>
      </c>
      <c r="K48" s="118">
        <f>ROUNDDOWN(SUM(K46:K47),0)</f>
        <v>3337237</v>
      </c>
      <c r="L48" s="106" t="s">
        <v>954</v>
      </c>
      <c r="M48" s="383">
        <f t="shared" si="6"/>
        <v>3.7499999999999992E-2</v>
      </c>
      <c r="N48" s="2626">
        <f>C49/M48</f>
        <v>4758470400.000001</v>
      </c>
      <c r="O48" s="2627"/>
      <c r="P48" s="383">
        <f>G53/N48</f>
        <v>3.3540386496887731E-2</v>
      </c>
      <c r="Q48" s="119" t="s">
        <v>140</v>
      </c>
      <c r="R48" s="41"/>
      <c r="S48" s="41"/>
      <c r="T48" s="41"/>
    </row>
    <row r="49" spans="1:20">
      <c r="A49" s="41"/>
      <c r="B49" s="76" t="s">
        <v>141</v>
      </c>
      <c r="C49" s="78">
        <f>SUM(C43:C48)</f>
        <v>178442640</v>
      </c>
      <c r="D49" s="120">
        <f>C49/12</f>
        <v>14870220</v>
      </c>
      <c r="E49" s="41"/>
      <c r="F49" s="76" t="s">
        <v>139</v>
      </c>
      <c r="G49" s="77">
        <f>SUM(G43:G48)</f>
        <v>18841703.650000002</v>
      </c>
      <c r="H49" s="378"/>
      <c r="I49" s="121"/>
      <c r="J49" s="79"/>
      <c r="K49" s="41"/>
      <c r="L49" s="41"/>
      <c r="M49" s="102">
        <f t="shared" si="6"/>
        <v>3.4999999999999989E-2</v>
      </c>
      <c r="N49" s="2620">
        <f>C49/M49</f>
        <v>5098361142.8571444</v>
      </c>
      <c r="O49" s="2621"/>
      <c r="P49" s="102">
        <f>G53/N49</f>
        <v>3.1304360730428547E-2</v>
      </c>
      <c r="Q49" s="35"/>
      <c r="R49" s="41"/>
      <c r="S49" s="41"/>
      <c r="T49" s="122"/>
    </row>
    <row r="50" spans="1:20" ht="14.25" thickBot="1">
      <c r="A50" s="41"/>
      <c r="B50" s="41"/>
      <c r="C50" s="52"/>
      <c r="D50" s="41"/>
      <c r="E50" s="41"/>
      <c r="F50" s="41"/>
      <c r="G50" s="41"/>
      <c r="H50" s="41"/>
      <c r="I50" s="121"/>
      <c r="J50" s="79"/>
      <c r="K50" s="41"/>
      <c r="L50" s="41"/>
      <c r="M50" s="102">
        <f t="shared" si="6"/>
        <v>3.2499999999999987E-2</v>
      </c>
      <c r="N50" s="2620">
        <f>C49/M50</f>
        <v>5490542769.2307711</v>
      </c>
      <c r="O50" s="2621"/>
      <c r="P50" s="102">
        <f>G53/N50</f>
        <v>2.9068334963969364E-2</v>
      </c>
      <c r="Q50" s="35"/>
      <c r="R50" s="41"/>
      <c r="S50" s="66"/>
      <c r="T50" s="41"/>
    </row>
    <row r="51" spans="1:20" ht="14.25" thickBot="1">
      <c r="A51" s="67" t="s">
        <v>143</v>
      </c>
      <c r="B51" s="41"/>
      <c r="C51" s="41"/>
      <c r="D51" s="41"/>
      <c r="E51" s="41"/>
      <c r="F51" s="123" t="s">
        <v>142</v>
      </c>
      <c r="G51" s="373">
        <f>G43/E10/12</f>
        <v>542.69455599832543</v>
      </c>
      <c r="H51" s="41"/>
      <c r="I51" s="124" t="s">
        <v>1178</v>
      </c>
      <c r="J51" s="323"/>
      <c r="K51" s="325">
        <v>2350000</v>
      </c>
      <c r="L51" s="125" t="s">
        <v>145</v>
      </c>
      <c r="M51" s="102">
        <f t="shared" si="6"/>
        <v>2.9999999999999988E-2</v>
      </c>
      <c r="N51" s="2620">
        <f>C49/M51</f>
        <v>5948088000.0000019</v>
      </c>
      <c r="O51" s="2621"/>
      <c r="P51" s="102">
        <f>G53/N51</f>
        <v>2.683230919751018E-2</v>
      </c>
      <c r="Q51" s="35"/>
      <c r="R51" s="40"/>
      <c r="S51" s="66"/>
      <c r="T51" s="41"/>
    </row>
    <row r="52" spans="1:20" ht="14.25" thickBot="1">
      <c r="A52" s="2622" t="s">
        <v>49</v>
      </c>
      <c r="B52" s="2623"/>
      <c r="C52" s="72" t="s">
        <v>126</v>
      </c>
      <c r="D52" s="41"/>
      <c r="E52" s="41"/>
      <c r="F52" s="41"/>
      <c r="G52" s="41"/>
      <c r="H52" s="70" t="s">
        <v>144</v>
      </c>
      <c r="I52" s="128" t="s">
        <v>147</v>
      </c>
      <c r="J52" s="324"/>
      <c r="K52" s="322">
        <f>K51*C8</f>
        <v>833122000</v>
      </c>
      <c r="L52" s="321">
        <f>K52/E8</f>
        <v>7768761.656098471</v>
      </c>
      <c r="M52" s="102">
        <f t="shared" si="6"/>
        <v>2.749999999999999E-2</v>
      </c>
      <c r="N52" s="2620">
        <f>C49/M52</f>
        <v>6488823272.7272749</v>
      </c>
      <c r="O52" s="2621"/>
      <c r="P52" s="102">
        <f>G53/N52</f>
        <v>2.4596283431051E-2</v>
      </c>
      <c r="Q52" s="129"/>
      <c r="R52" s="129"/>
      <c r="S52" s="129"/>
      <c r="T52" s="40"/>
    </row>
    <row r="53" spans="1:20" ht="15" thickBot="1">
      <c r="A53" s="130" t="s">
        <v>148</v>
      </c>
      <c r="B53" s="130"/>
      <c r="C53" s="131">
        <f>L28</f>
        <v>0</v>
      </c>
      <c r="D53" s="41"/>
      <c r="E53" s="41"/>
      <c r="F53" s="126" t="s">
        <v>146</v>
      </c>
      <c r="G53" s="127">
        <f>C49-G49</f>
        <v>159600936.34999999</v>
      </c>
      <c r="H53" s="120">
        <f>G53/12</f>
        <v>13300078.029166667</v>
      </c>
      <c r="I53" s="132" t="s">
        <v>149</v>
      </c>
      <c r="J53" s="323"/>
      <c r="K53" s="285">
        <v>129000</v>
      </c>
      <c r="L53" s="125" t="s">
        <v>150</v>
      </c>
      <c r="M53" s="133"/>
      <c r="N53" s="60"/>
      <c r="O53" s="60"/>
      <c r="P53" s="129"/>
      <c r="Q53" s="129"/>
      <c r="R53" s="129"/>
      <c r="S53" s="129"/>
      <c r="T53" s="40"/>
    </row>
    <row r="54" spans="1:20" ht="14.25" thickBot="1">
      <c r="A54" s="134" t="s">
        <v>151</v>
      </c>
      <c r="B54" s="134"/>
      <c r="C54" s="116">
        <f>G38</f>
        <v>0</v>
      </c>
      <c r="D54" s="41"/>
      <c r="E54" s="41"/>
      <c r="F54" s="41"/>
      <c r="G54" s="41"/>
      <c r="H54" s="41"/>
      <c r="I54" s="137" t="s">
        <v>69</v>
      </c>
      <c r="J54" s="324"/>
      <c r="K54" s="322">
        <f>C10*K53</f>
        <v>275031870</v>
      </c>
      <c r="L54" s="321">
        <f ca="1">K54*(49-F13)/49</f>
        <v>79164890.50936538</v>
      </c>
      <c r="M54" s="41"/>
      <c r="N54" s="41"/>
      <c r="O54" s="41"/>
      <c r="P54" s="41"/>
      <c r="Q54" s="41"/>
      <c r="R54" s="129"/>
      <c r="S54" s="40"/>
    </row>
    <row r="55" spans="1:20" ht="14.25" thickBot="1">
      <c r="A55" s="41"/>
      <c r="B55" s="76" t="s">
        <v>70</v>
      </c>
      <c r="C55" s="77">
        <f>SUM(C53:C54)</f>
        <v>0</v>
      </c>
      <c r="D55" s="41"/>
      <c r="E55" s="41"/>
      <c r="F55" s="135" t="s">
        <v>152</v>
      </c>
      <c r="G55" s="136">
        <f>G49/C49</f>
        <v>0.10558969341632696</v>
      </c>
      <c r="H55" s="41"/>
      <c r="I55" s="41"/>
      <c r="J55" s="41"/>
      <c r="K55" s="41"/>
      <c r="L55" s="41"/>
      <c r="M55" s="41"/>
      <c r="N55" s="41"/>
      <c r="O55" s="41"/>
      <c r="P55" s="41"/>
      <c r="Q55" s="41"/>
      <c r="R55" s="41"/>
      <c r="S55" s="41"/>
    </row>
    <row r="56" spans="1:20">
      <c r="A56" s="41"/>
      <c r="B56" s="81"/>
      <c r="C56" s="164"/>
      <c r="D56" s="41"/>
      <c r="E56" s="41"/>
      <c r="F56" s="41"/>
      <c r="G56" s="41"/>
      <c r="H56" s="41"/>
      <c r="I56" s="41"/>
      <c r="J56" s="41"/>
      <c r="K56" s="41"/>
      <c r="L56" s="41"/>
      <c r="M56" s="41"/>
      <c r="N56" s="41"/>
      <c r="O56" s="41"/>
      <c r="P56" s="41"/>
      <c r="Q56" s="41"/>
      <c r="R56" s="41"/>
      <c r="S56" s="41"/>
    </row>
    <row r="57" spans="1:20">
      <c r="A57" s="41"/>
      <c r="B57" s="41"/>
      <c r="C57" s="41"/>
      <c r="D57" s="41"/>
      <c r="E57" s="41"/>
      <c r="F57" s="41"/>
      <c r="G57" s="41"/>
      <c r="H57" s="41"/>
      <c r="I57" s="165"/>
      <c r="J57" s="174" t="s">
        <v>80</v>
      </c>
      <c r="K57" s="175" t="s">
        <v>81</v>
      </c>
      <c r="L57" s="175" t="s">
        <v>82</v>
      </c>
      <c r="M57" s="175" t="s">
        <v>83</v>
      </c>
      <c r="N57" s="175" t="s">
        <v>84</v>
      </c>
      <c r="O57" s="35"/>
      <c r="P57" s="35"/>
      <c r="Q57" s="35"/>
      <c r="R57" s="35"/>
      <c r="S57" s="35"/>
    </row>
    <row r="58" spans="1:20">
      <c r="A58" s="35"/>
      <c r="B58" s="35"/>
      <c r="C58" s="35"/>
      <c r="D58" s="35"/>
      <c r="E58" s="35"/>
      <c r="F58" s="35"/>
      <c r="G58" s="65"/>
      <c r="H58" s="35" t="s">
        <v>153</v>
      </c>
      <c r="I58" s="168" t="s">
        <v>164</v>
      </c>
      <c r="J58" s="169">
        <v>669893720</v>
      </c>
      <c r="K58" s="169">
        <v>182412561</v>
      </c>
      <c r="L58" s="169">
        <v>257848161</v>
      </c>
      <c r="M58" s="169">
        <v>2377648</v>
      </c>
      <c r="N58" s="169">
        <v>509495</v>
      </c>
      <c r="O58" s="35"/>
      <c r="P58" s="35"/>
      <c r="Q58" s="35"/>
      <c r="R58" s="35"/>
      <c r="S58" s="35"/>
    </row>
    <row r="59" spans="1:20">
      <c r="A59" s="35"/>
      <c r="B59" s="35"/>
      <c r="C59" s="35"/>
      <c r="D59" s="35"/>
      <c r="E59" s="35"/>
      <c r="F59" s="35"/>
      <c r="G59" s="65"/>
      <c r="H59" s="35"/>
      <c r="I59" s="170"/>
      <c r="J59" s="171"/>
      <c r="K59" s="171"/>
      <c r="L59" s="171"/>
      <c r="M59" s="171"/>
      <c r="N59" s="171"/>
      <c r="O59" s="35"/>
      <c r="P59" s="35"/>
      <c r="Q59" s="35"/>
      <c r="R59" s="35"/>
      <c r="S59" s="35"/>
    </row>
    <row r="60" spans="1:20">
      <c r="A60" s="35"/>
      <c r="B60" s="35"/>
      <c r="C60" s="35"/>
      <c r="D60" s="35"/>
      <c r="E60" s="35"/>
      <c r="F60" s="35"/>
      <c r="G60" s="65"/>
      <c r="H60" s="35"/>
      <c r="I60" s="170"/>
      <c r="J60" s="171"/>
      <c r="K60" s="171"/>
      <c r="L60" s="171"/>
      <c r="M60" s="171"/>
      <c r="N60" s="171"/>
      <c r="O60" s="35"/>
      <c r="P60" s="35"/>
      <c r="Q60" s="35"/>
      <c r="R60" s="35"/>
      <c r="S60" s="35"/>
    </row>
    <row r="61" spans="1:20">
      <c r="A61" s="35"/>
      <c r="B61" s="35"/>
      <c r="C61" s="35"/>
      <c r="D61" s="35"/>
      <c r="E61" s="35"/>
      <c r="F61" s="35"/>
      <c r="G61" s="65"/>
      <c r="H61" s="35"/>
      <c r="I61" s="170"/>
      <c r="J61" s="171"/>
      <c r="K61" s="171"/>
      <c r="L61" s="171"/>
      <c r="M61" s="171"/>
      <c r="N61" s="171"/>
      <c r="O61" s="35"/>
      <c r="P61" s="35"/>
      <c r="Q61" s="35"/>
      <c r="R61" s="35"/>
      <c r="S61" s="35"/>
    </row>
    <row r="62" spans="1:20">
      <c r="A62" s="35"/>
      <c r="B62" s="35"/>
      <c r="C62" s="35"/>
      <c r="D62" s="35"/>
      <c r="E62" s="35"/>
      <c r="F62" s="35"/>
      <c r="G62" s="65"/>
      <c r="H62" s="35"/>
      <c r="I62" s="170"/>
      <c r="J62" s="171"/>
      <c r="K62" s="171"/>
      <c r="L62" s="171"/>
      <c r="M62" s="171"/>
      <c r="N62" s="171"/>
      <c r="O62" s="35"/>
      <c r="P62" s="35"/>
      <c r="Q62" s="35"/>
      <c r="R62" s="35"/>
      <c r="S62" s="35"/>
    </row>
    <row r="63" spans="1:20">
      <c r="A63" s="35"/>
      <c r="B63" s="35"/>
      <c r="C63" s="35"/>
      <c r="D63" s="35"/>
      <c r="E63" s="35"/>
      <c r="F63" s="35"/>
      <c r="G63" s="65"/>
      <c r="H63" s="35"/>
      <c r="I63" s="170"/>
      <c r="J63" s="171"/>
      <c r="K63" s="171"/>
      <c r="L63" s="171"/>
      <c r="M63" s="171"/>
      <c r="N63" s="171"/>
      <c r="O63" s="35"/>
      <c r="P63" s="35"/>
      <c r="Q63" s="35"/>
      <c r="R63" s="35"/>
      <c r="S63" s="35"/>
    </row>
    <row r="64" spans="1:20">
      <c r="A64" s="35"/>
      <c r="B64" s="35"/>
      <c r="C64" s="35"/>
      <c r="D64" s="35"/>
      <c r="E64" s="35"/>
      <c r="F64" s="35"/>
      <c r="G64" s="65"/>
      <c r="H64" s="35"/>
      <c r="I64" s="170"/>
      <c r="J64" s="171"/>
      <c r="K64" s="171"/>
      <c r="L64" s="171"/>
      <c r="M64" s="171"/>
      <c r="N64" s="171"/>
      <c r="O64" s="35"/>
      <c r="P64" s="35"/>
      <c r="Q64" s="35"/>
      <c r="R64" s="35"/>
      <c r="S64" s="35"/>
    </row>
    <row r="65" spans="1:19" ht="14.25" thickBot="1">
      <c r="A65" s="35"/>
      <c r="B65" s="35"/>
      <c r="C65" s="35"/>
      <c r="D65" s="35"/>
      <c r="E65" s="35"/>
      <c r="F65" s="35"/>
      <c r="G65" s="65"/>
      <c r="H65" s="35"/>
      <c r="I65" s="172"/>
      <c r="J65" s="173"/>
      <c r="K65" s="173"/>
      <c r="L65" s="173"/>
      <c r="M65" s="173"/>
      <c r="N65" s="173"/>
      <c r="O65" s="35"/>
      <c r="P65" s="35"/>
      <c r="Q65" s="35"/>
      <c r="R65" s="35"/>
      <c r="S65" s="35"/>
    </row>
    <row r="66" spans="1:19" ht="14.25" thickTop="1">
      <c r="A66" s="35"/>
      <c r="B66" s="35"/>
      <c r="C66" s="35"/>
      <c r="D66" s="35"/>
      <c r="E66" s="35"/>
      <c r="F66" s="35"/>
      <c r="G66" s="65"/>
      <c r="H66" s="35"/>
      <c r="I66" s="166" t="s">
        <v>39</v>
      </c>
      <c r="J66" s="167">
        <f>SUM(J58:J65)</f>
        <v>669893720</v>
      </c>
      <c r="K66" s="167">
        <f>SUM(K58:K65)</f>
        <v>182412561</v>
      </c>
      <c r="L66" s="167">
        <f>SUM(L58:L65)</f>
        <v>257848161</v>
      </c>
      <c r="M66" s="167">
        <f>SUM(M58:M65)</f>
        <v>2377648</v>
      </c>
      <c r="N66" s="167">
        <f>SUM(N58:N65)</f>
        <v>509495</v>
      </c>
      <c r="O66" s="35"/>
      <c r="P66" s="35"/>
      <c r="Q66" s="35"/>
      <c r="R66" s="35"/>
      <c r="S66" s="35"/>
    </row>
    <row r="67" spans="1:19">
      <c r="A67" s="35"/>
      <c r="B67" s="35"/>
      <c r="C67" s="35"/>
      <c r="D67" s="35"/>
      <c r="E67" s="35"/>
      <c r="F67" s="35"/>
      <c r="G67" s="65"/>
      <c r="H67" s="35"/>
      <c r="I67" s="35"/>
      <c r="J67" s="138"/>
      <c r="K67" s="138"/>
      <c r="L67" s="138"/>
      <c r="M67" s="138"/>
      <c r="N67" s="138"/>
      <c r="O67" s="35"/>
      <c r="P67" s="35"/>
      <c r="Q67" s="35"/>
      <c r="R67" s="35"/>
      <c r="S67" s="35"/>
    </row>
    <row r="68" spans="1:19">
      <c r="A68" s="35"/>
      <c r="B68" s="35"/>
      <c r="C68" s="35"/>
      <c r="D68" s="35"/>
      <c r="E68" s="35"/>
      <c r="F68" s="35"/>
      <c r="G68" s="65"/>
      <c r="H68" s="35"/>
      <c r="I68" s="176"/>
      <c r="J68" s="177" t="s">
        <v>80</v>
      </c>
      <c r="K68" s="178" t="s">
        <v>81</v>
      </c>
      <c r="L68" s="178" t="s">
        <v>82</v>
      </c>
      <c r="M68" s="178" t="s">
        <v>83</v>
      </c>
      <c r="N68" s="178" t="s">
        <v>84</v>
      </c>
      <c r="O68" s="35"/>
      <c r="P68" s="35"/>
      <c r="Q68" s="35"/>
      <c r="R68" s="35"/>
      <c r="S68" s="35"/>
    </row>
    <row r="69" spans="1:19">
      <c r="A69" s="35"/>
      <c r="B69" s="35"/>
      <c r="C69" s="35"/>
      <c r="D69" s="35"/>
      <c r="E69" s="35"/>
      <c r="F69" s="35"/>
      <c r="G69" s="65"/>
      <c r="H69" s="35" t="s">
        <v>154</v>
      </c>
      <c r="I69" s="168" t="s">
        <v>164</v>
      </c>
      <c r="J69" s="169">
        <v>164021500</v>
      </c>
      <c r="K69" s="169">
        <v>164021500</v>
      </c>
      <c r="L69" s="169">
        <v>164021500</v>
      </c>
      <c r="M69" s="169">
        <v>2296301</v>
      </c>
      <c r="N69" s="169">
        <v>492064</v>
      </c>
      <c r="O69" s="35"/>
      <c r="P69" s="35"/>
      <c r="Q69" s="35"/>
      <c r="R69" s="35"/>
      <c r="S69" s="35"/>
    </row>
    <row r="70" spans="1:19">
      <c r="A70" s="35"/>
      <c r="B70" s="35"/>
      <c r="C70" s="35"/>
      <c r="D70" s="35"/>
      <c r="E70" s="35"/>
      <c r="F70" s="35"/>
      <c r="G70" s="65"/>
      <c r="H70" s="35"/>
      <c r="I70" s="170"/>
      <c r="J70" s="171"/>
      <c r="K70" s="171"/>
      <c r="L70" s="171"/>
      <c r="M70" s="171"/>
      <c r="N70" s="171"/>
      <c r="O70" s="35"/>
      <c r="P70" s="35"/>
      <c r="Q70" s="35"/>
      <c r="R70" s="35"/>
      <c r="S70" s="35"/>
    </row>
    <row r="71" spans="1:19" ht="14.25" thickBot="1">
      <c r="A71" s="35"/>
      <c r="B71" s="35"/>
      <c r="C71" s="35"/>
      <c r="D71" s="35"/>
      <c r="E71" s="35"/>
      <c r="F71" s="35"/>
      <c r="G71" s="65"/>
      <c r="H71" s="35"/>
      <c r="I71" s="172"/>
      <c r="J71" s="173"/>
      <c r="K71" s="173"/>
      <c r="L71" s="173"/>
      <c r="M71" s="173"/>
      <c r="N71" s="173"/>
      <c r="O71" s="35"/>
      <c r="P71" s="35"/>
      <c r="Q71" s="35"/>
      <c r="R71" s="35"/>
      <c r="S71" s="35"/>
    </row>
    <row r="72" spans="1:19" ht="14.25" thickTop="1">
      <c r="A72" s="35"/>
      <c r="B72" s="35"/>
      <c r="C72" s="35"/>
      <c r="D72" s="35"/>
      <c r="E72" s="35"/>
      <c r="F72" s="35"/>
      <c r="G72" s="65"/>
      <c r="H72" s="35"/>
      <c r="I72" s="166"/>
      <c r="J72" s="179" t="s">
        <v>45</v>
      </c>
      <c r="K72" s="167">
        <f>SUM(K69:K71)</f>
        <v>164021500</v>
      </c>
      <c r="L72" s="167">
        <f>SUM(L69:L71)</f>
        <v>164021500</v>
      </c>
      <c r="M72" s="167">
        <f>SUM(M69:M71)</f>
        <v>2296301</v>
      </c>
      <c r="N72" s="167">
        <f>SUM(N69:N71)</f>
        <v>492064</v>
      </c>
      <c r="O72" s="35"/>
      <c r="P72" s="35"/>
      <c r="Q72" s="35"/>
      <c r="R72" s="35"/>
      <c r="S72" s="35"/>
    </row>
    <row r="73" spans="1:19">
      <c r="A73" s="35"/>
      <c r="B73" s="35"/>
      <c r="C73" s="35"/>
      <c r="D73" s="35"/>
      <c r="E73" s="35"/>
      <c r="F73" s="35"/>
      <c r="G73" s="65"/>
      <c r="H73" s="35"/>
      <c r="I73" s="58"/>
      <c r="J73" s="139"/>
      <c r="K73" s="139"/>
      <c r="L73" s="139"/>
      <c r="M73" s="139"/>
      <c r="N73" s="138"/>
      <c r="O73" s="35"/>
      <c r="P73" s="35"/>
      <c r="Q73" s="35"/>
      <c r="R73" s="35"/>
      <c r="S73" s="35"/>
    </row>
    <row r="74" spans="1:19">
      <c r="A74" s="35"/>
      <c r="B74" s="35"/>
      <c r="C74" s="35"/>
      <c r="D74" s="35"/>
      <c r="E74" s="35"/>
      <c r="F74" s="35"/>
      <c r="G74" s="65"/>
      <c r="H74" s="35"/>
      <c r="I74" s="176"/>
      <c r="J74" s="177"/>
      <c r="K74" s="178"/>
      <c r="L74" s="178"/>
      <c r="M74" s="178" t="s">
        <v>128</v>
      </c>
      <c r="N74" s="178"/>
      <c r="O74" s="35"/>
      <c r="P74" s="35"/>
      <c r="Q74" s="35"/>
      <c r="R74" s="35"/>
      <c r="S74" s="35"/>
    </row>
    <row r="75" spans="1:19">
      <c r="A75" s="35"/>
      <c r="B75" s="35"/>
      <c r="C75" s="35"/>
      <c r="D75" s="35"/>
      <c r="E75" s="35"/>
      <c r="F75" s="35"/>
      <c r="G75" s="65"/>
      <c r="H75" s="35" t="s">
        <v>155</v>
      </c>
      <c r="I75" s="168"/>
      <c r="J75" s="169"/>
      <c r="K75" s="169"/>
      <c r="L75" s="169"/>
      <c r="M75" s="169"/>
      <c r="N75" s="169"/>
      <c r="O75" s="35"/>
      <c r="P75" s="35"/>
      <c r="Q75" s="35"/>
      <c r="R75" s="35"/>
      <c r="S75" s="35"/>
    </row>
    <row r="76" spans="1:19" ht="14.25" thickBot="1">
      <c r="A76" s="35"/>
      <c r="B76" s="35"/>
      <c r="C76" s="35"/>
      <c r="D76" s="35"/>
      <c r="E76" s="35"/>
      <c r="F76" s="35"/>
      <c r="G76" s="65"/>
      <c r="H76" s="35"/>
      <c r="I76" s="281"/>
      <c r="J76" s="282"/>
      <c r="K76" s="282"/>
      <c r="L76" s="282"/>
      <c r="M76" s="282"/>
      <c r="N76" s="282"/>
      <c r="O76" s="35"/>
      <c r="P76" s="35"/>
      <c r="Q76" s="35"/>
      <c r="R76" s="35"/>
      <c r="S76" s="35"/>
    </row>
    <row r="77" spans="1:19" ht="14.25" thickTop="1">
      <c r="A77" s="35"/>
      <c r="B77" s="35"/>
      <c r="C77" s="35"/>
      <c r="D77" s="35"/>
      <c r="E77" s="35"/>
      <c r="F77" s="35"/>
      <c r="G77" s="65"/>
      <c r="H77" s="35"/>
      <c r="I77" s="283"/>
      <c r="J77" s="284">
        <f>SUM(J75:J76)</f>
        <v>0</v>
      </c>
      <c r="K77" s="284">
        <f>SUM(K75:K76)</f>
        <v>0</v>
      </c>
      <c r="L77" s="284">
        <f>SUM(L75:L76)</f>
        <v>0</v>
      </c>
      <c r="M77" s="284">
        <f>SUM(M75:M76)</f>
        <v>0</v>
      </c>
      <c r="N77" s="284"/>
      <c r="O77" s="35"/>
      <c r="P77" s="35"/>
      <c r="Q77" s="35"/>
      <c r="R77" s="35"/>
      <c r="S77" s="35"/>
    </row>
    <row r="78" spans="1:19">
      <c r="A78" s="35"/>
      <c r="B78" s="35"/>
      <c r="C78" s="35"/>
      <c r="D78" s="35"/>
      <c r="E78" s="35"/>
      <c r="F78" s="35"/>
      <c r="G78" s="65"/>
      <c r="H78" s="35"/>
      <c r="I78" s="35"/>
      <c r="J78" s="35"/>
      <c r="K78" s="35"/>
      <c r="L78" s="35"/>
      <c r="M78" s="35"/>
      <c r="N78" s="35"/>
      <c r="O78" s="35"/>
      <c r="P78" s="35"/>
      <c r="Q78" s="35"/>
      <c r="R78" s="35"/>
      <c r="S78" s="35"/>
    </row>
    <row r="79" spans="1:19">
      <c r="A79" s="41"/>
      <c r="B79" s="41"/>
      <c r="C79" s="41"/>
      <c r="D79" s="41"/>
      <c r="E79" s="35"/>
      <c r="F79" s="35"/>
      <c r="G79" s="35"/>
      <c r="H79" s="35"/>
      <c r="I79" s="41"/>
      <c r="J79" s="41"/>
      <c r="K79" s="41"/>
      <c r="L79" s="41"/>
      <c r="M79" s="41"/>
      <c r="N79" s="41"/>
      <c r="O79" s="41"/>
      <c r="P79" s="41"/>
      <c r="Q79" s="41"/>
      <c r="R79" s="41"/>
      <c r="S79" s="41"/>
    </row>
    <row r="80" spans="1:19">
      <c r="E80" s="41"/>
      <c r="F80" s="41"/>
      <c r="G80" s="41"/>
      <c r="H80" s="41"/>
    </row>
  </sheetData>
  <mergeCells count="40">
    <mergeCell ref="S20:S26"/>
    <mergeCell ref="N49:O49"/>
    <mergeCell ref="A52:B52"/>
    <mergeCell ref="N50:O50"/>
    <mergeCell ref="N51:O51"/>
    <mergeCell ref="N52:O52"/>
    <mergeCell ref="N44:O44"/>
    <mergeCell ref="N45:O45"/>
    <mergeCell ref="N46:O46"/>
    <mergeCell ref="N47:O47"/>
    <mergeCell ref="N48:O48"/>
    <mergeCell ref="A18:A19"/>
    <mergeCell ref="B18:C19"/>
    <mergeCell ref="D18:E19"/>
    <mergeCell ref="N42:O42"/>
    <mergeCell ref="E43:F43"/>
    <mergeCell ref="N43:O43"/>
    <mergeCell ref="K33:L34"/>
    <mergeCell ref="A42:B42"/>
    <mergeCell ref="E42:F42"/>
    <mergeCell ref="K35:L35"/>
    <mergeCell ref="K36:L36"/>
    <mergeCell ref="A33:B34"/>
    <mergeCell ref="C33:C34"/>
    <mergeCell ref="D33:D34"/>
    <mergeCell ref="G33:H33"/>
    <mergeCell ref="I33:J33"/>
    <mergeCell ref="A4:A6"/>
    <mergeCell ref="A7:A8"/>
    <mergeCell ref="A9:A13"/>
    <mergeCell ref="C9:F9"/>
    <mergeCell ref="C13:D13"/>
    <mergeCell ref="S18:S19"/>
    <mergeCell ref="F18:G18"/>
    <mergeCell ref="H18:I18"/>
    <mergeCell ref="J18:K18"/>
    <mergeCell ref="F1:L1"/>
    <mergeCell ref="N18:P18"/>
    <mergeCell ref="L18:L19"/>
    <mergeCell ref="M18:M19"/>
  </mergeCells>
  <phoneticPr fontId="146"/>
  <conditionalFormatting sqref="B53:B54 A52:A56 B50:B51 A42:A50 B43:B48">
    <cfRule type="cellIs" dxfId="13" priority="13" stopIfTrue="1" operator="equal">
      <formula>"空"</formula>
    </cfRule>
  </conditionalFormatting>
  <conditionalFormatting sqref="C32 B29:B30 B40 C39">
    <cfRule type="cellIs" dxfId="12" priority="14" stopIfTrue="1" operator="equal">
      <formula>"空室"</formula>
    </cfRule>
  </conditionalFormatting>
  <conditionalFormatting sqref="C20:C26">
    <cfRule type="cellIs" dxfId="11" priority="11" stopIfTrue="1" operator="equal">
      <formula>"空室"</formula>
    </cfRule>
  </conditionalFormatting>
  <conditionalFormatting sqref="B27:B28">
    <cfRule type="cellIs" dxfId="10" priority="12" stopIfTrue="1" operator="equal">
      <formula>"空室"</formula>
    </cfRule>
  </conditionalFormatting>
  <conditionalFormatting sqref="B25">
    <cfRule type="cellIs" dxfId="9" priority="10" stopIfTrue="1" operator="equal">
      <formula>"空室"</formula>
    </cfRule>
  </conditionalFormatting>
  <conditionalFormatting sqref="B24">
    <cfRule type="cellIs" dxfId="8" priority="8" stopIfTrue="1" operator="equal">
      <formula>"空室"</formula>
    </cfRule>
  </conditionalFormatting>
  <conditionalFormatting sqref="B22">
    <cfRule type="cellIs" dxfId="7" priority="7" stopIfTrue="1" operator="equal">
      <formula>"空室"</formula>
    </cfRule>
  </conditionalFormatting>
  <conditionalFormatting sqref="B26">
    <cfRule type="cellIs" dxfId="6" priority="5" stopIfTrue="1" operator="equal">
      <formula>"空室"</formula>
    </cfRule>
  </conditionalFormatting>
  <conditionalFormatting sqref="B20:B21">
    <cfRule type="cellIs" dxfId="5" priority="9" stopIfTrue="1" operator="equal">
      <formula>"空室"</formula>
    </cfRule>
  </conditionalFormatting>
  <conditionalFormatting sqref="B23">
    <cfRule type="cellIs" dxfId="4" priority="6" stopIfTrue="1" operator="equal">
      <formula>"空室"</formula>
    </cfRule>
  </conditionalFormatting>
  <conditionalFormatting sqref="A35:A36">
    <cfRule type="cellIs" dxfId="3" priority="3" stopIfTrue="1" operator="equal">
      <formula>"空室"</formula>
    </cfRule>
  </conditionalFormatting>
  <conditionalFormatting sqref="B35:B36">
    <cfRule type="cellIs" dxfId="2" priority="4" stopIfTrue="1" operator="equal">
      <formula>"空室"</formula>
    </cfRule>
  </conditionalFormatting>
  <conditionalFormatting sqref="C36">
    <cfRule type="cellIs" dxfId="1" priority="2" stopIfTrue="1" operator="equal">
      <formula>"空"</formula>
    </cfRule>
  </conditionalFormatting>
  <conditionalFormatting sqref="C35">
    <cfRule type="cellIs" dxfId="0" priority="1" stopIfTrue="1" operator="equal">
      <formula>"空室"</formula>
    </cfRule>
  </conditionalFormatting>
  <pageMargins left="0.70866141732283472" right="0.70866141732283472" top="0.74803149606299213" bottom="0.74803149606299213" header="0.47244094488188981" footer="0.31496062992125984"/>
  <pageSetup paperSize="9" scale="57" orientation="landscape" r:id="rId1"/>
  <rowBreaks count="1" manualBreakCount="1">
    <brk id="63" max="18" man="1"/>
  </rowBreaks>
  <colBreaks count="1" manualBreakCount="1">
    <brk id="19"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CCC00"/>
  </sheetPr>
  <dimension ref="A1:L38"/>
  <sheetViews>
    <sheetView view="pageBreakPreview" zoomScale="60" zoomScaleNormal="100" workbookViewId="0">
      <selection activeCell="K41" sqref="K41"/>
    </sheetView>
  </sheetViews>
  <sheetFormatPr defaultRowHeight="13.5"/>
  <cols>
    <col min="1" max="1" width="5.875" style="930" bestFit="1" customWidth="1"/>
    <col min="2" max="2" width="16.25" style="927" customWidth="1"/>
    <col min="3" max="3" width="12.5" style="927" customWidth="1"/>
    <col min="4" max="4" width="4.875" style="927" customWidth="1"/>
    <col min="5" max="5" width="10" style="927" customWidth="1"/>
    <col min="6" max="6" width="12.5" style="927" customWidth="1"/>
    <col min="7" max="7" width="4.75" style="927" customWidth="1"/>
    <col min="8" max="8" width="1.875" style="927" customWidth="1"/>
    <col min="9" max="9" width="8.125" style="927" customWidth="1"/>
    <col min="10" max="11" width="12.5" style="927" customWidth="1"/>
    <col min="12" max="16384" width="9" style="927"/>
  </cols>
  <sheetData>
    <row r="1" spans="1:12">
      <c r="A1" s="926"/>
      <c r="B1" s="1878"/>
      <c r="C1" s="1878"/>
      <c r="D1" s="1878"/>
      <c r="E1" s="1878"/>
      <c r="F1" s="1878"/>
      <c r="G1" s="1878"/>
      <c r="H1" s="1878"/>
      <c r="I1" s="1878"/>
      <c r="J1" s="1878"/>
      <c r="K1" s="1878"/>
      <c r="L1" s="17"/>
    </row>
    <row r="2" spans="1:12" ht="21">
      <c r="A2" s="1855">
        <v>0</v>
      </c>
      <c r="B2" s="1855"/>
      <c r="C2" s="385"/>
      <c r="D2" s="385"/>
      <c r="F2" s="385"/>
      <c r="G2" s="1881" t="s">
        <v>237</v>
      </c>
      <c r="H2" s="1881"/>
      <c r="I2" s="1881"/>
      <c r="J2" s="1882">
        <f ca="1">TODAY()</f>
        <v>43486</v>
      </c>
      <c r="K2" s="1882"/>
      <c r="L2" s="17"/>
    </row>
    <row r="3" spans="1:12" ht="21">
      <c r="A3" s="1880" t="s">
        <v>236</v>
      </c>
      <c r="B3" s="1880"/>
      <c r="C3" s="1880"/>
      <c r="D3" s="1880"/>
      <c r="F3" s="385"/>
      <c r="G3" s="1881" t="s">
        <v>238</v>
      </c>
      <c r="H3" s="1881"/>
      <c r="I3" s="1881"/>
      <c r="J3" s="386" t="s">
        <v>240</v>
      </c>
      <c r="K3" s="386"/>
      <c r="L3" s="17"/>
    </row>
    <row r="4" spans="1:12" ht="21">
      <c r="A4" s="1880"/>
      <c r="B4" s="1880"/>
      <c r="C4" s="1880"/>
      <c r="D4" s="1880"/>
      <c r="F4" s="385"/>
      <c r="G4" s="1881" t="s">
        <v>239</v>
      </c>
      <c r="H4" s="1881"/>
      <c r="I4" s="1881"/>
      <c r="J4" s="386" t="str">
        <f>'事業計画書（現行）'!G5</f>
        <v>矢部　浩亮</v>
      </c>
      <c r="K4" s="386"/>
      <c r="L4" s="17"/>
    </row>
    <row r="5" spans="1:12">
      <c r="A5" s="926"/>
      <c r="B5" s="17"/>
      <c r="C5" s="17"/>
      <c r="D5" s="17"/>
      <c r="E5" s="17"/>
      <c r="F5" s="17"/>
      <c r="G5" s="17"/>
      <c r="H5" s="17"/>
      <c r="I5" s="17"/>
      <c r="J5" s="1879"/>
      <c r="K5" s="1879"/>
      <c r="L5" s="17"/>
    </row>
    <row r="6" spans="1:12" ht="32.25" customHeight="1">
      <c r="A6" s="1919" t="s">
        <v>241</v>
      </c>
      <c r="B6" s="1919"/>
      <c r="C6" s="1885" t="s">
        <v>537</v>
      </c>
      <c r="D6" s="1886"/>
      <c r="E6" s="1886"/>
      <c r="F6" s="1886"/>
      <c r="G6" s="1886"/>
      <c r="H6" s="1886"/>
      <c r="I6" s="1886"/>
      <c r="J6" s="1886"/>
      <c r="K6" s="1887"/>
      <c r="L6" s="1046" t="s">
        <v>684</v>
      </c>
    </row>
    <row r="7" spans="1:12" ht="30" customHeight="1">
      <c r="A7" s="1919" t="s">
        <v>531</v>
      </c>
      <c r="B7" s="1919"/>
      <c r="C7" s="1433" t="str">
        <f>基本情報!C5</f>
        <v>MAMIYAビル</v>
      </c>
      <c r="D7" s="1434"/>
      <c r="E7" s="1434"/>
      <c r="F7" s="1434"/>
      <c r="G7" s="1434"/>
      <c r="H7" s="1434"/>
      <c r="I7" s="1434"/>
      <c r="J7" s="1434"/>
      <c r="K7" s="1435"/>
      <c r="L7" s="1046" t="s">
        <v>685</v>
      </c>
    </row>
    <row r="8" spans="1:12" ht="55.5" customHeight="1">
      <c r="A8" s="1044"/>
      <c r="B8" s="1883" t="s">
        <v>886</v>
      </c>
      <c r="C8" s="1884"/>
      <c r="D8" s="1884"/>
      <c r="E8" s="1884"/>
      <c r="F8" s="1884"/>
      <c r="G8" s="1884"/>
      <c r="H8" s="1884"/>
      <c r="I8" s="1884"/>
      <c r="J8" s="1884"/>
      <c r="K8" s="1884"/>
      <c r="L8" s="1049" t="s">
        <v>841</v>
      </c>
    </row>
    <row r="9" spans="1:12" ht="25.5" customHeight="1">
      <c r="A9" s="1915">
        <v>1</v>
      </c>
      <c r="B9" s="1860" t="s">
        <v>530</v>
      </c>
      <c r="C9" s="1437" t="s">
        <v>18</v>
      </c>
      <c r="D9" s="1865" t="str">
        <f>基本情報!C7</f>
        <v>東京都千代田区神田錦町18番4、6、7</v>
      </c>
      <c r="E9" s="1866"/>
      <c r="F9" s="1866"/>
      <c r="G9" s="1866"/>
      <c r="H9" s="1866"/>
      <c r="I9" s="1866"/>
      <c r="J9" s="1866"/>
      <c r="K9" s="1867"/>
    </row>
    <row r="10" spans="1:12" ht="25.5" customHeight="1">
      <c r="A10" s="1915"/>
      <c r="B10" s="1861"/>
      <c r="C10" s="1438" t="s">
        <v>19</v>
      </c>
      <c r="D10" s="1865" t="str">
        <f>基本情報!C6</f>
        <v>東京都千代田区神田錦町3-18</v>
      </c>
      <c r="E10" s="1866"/>
      <c r="F10" s="1866"/>
      <c r="G10" s="1866"/>
      <c r="H10" s="1866"/>
      <c r="I10" s="1866"/>
      <c r="J10" s="1866"/>
      <c r="K10" s="1867"/>
      <c r="L10" s="1045" t="s">
        <v>641</v>
      </c>
    </row>
    <row r="11" spans="1:12" ht="25.5" customHeight="1">
      <c r="A11" s="1457">
        <v>2</v>
      </c>
      <c r="B11" s="1453" t="s">
        <v>835</v>
      </c>
      <c r="C11" s="1439" t="s">
        <v>831</v>
      </c>
      <c r="D11" s="1868" t="s">
        <v>970</v>
      </c>
      <c r="E11" s="1869"/>
      <c r="F11" s="1440">
        <f>基本情報!C20</f>
        <v>354.52</v>
      </c>
      <c r="G11" s="1441" t="s">
        <v>532</v>
      </c>
      <c r="H11" s="1442" t="s">
        <v>23</v>
      </c>
      <c r="I11" s="1443">
        <f>基本情報!E20</f>
        <v>107.24</v>
      </c>
      <c r="J11" s="1866" t="s">
        <v>533</v>
      </c>
      <c r="K11" s="1867"/>
      <c r="L11" s="1050" t="s">
        <v>686</v>
      </c>
    </row>
    <row r="12" spans="1:12" ht="25.5" customHeight="1">
      <c r="A12" s="1915">
        <v>3</v>
      </c>
      <c r="B12" s="1860" t="s">
        <v>836</v>
      </c>
      <c r="C12" s="1444" t="s">
        <v>832</v>
      </c>
      <c r="D12" s="1865" t="str">
        <f>基本情報!C28</f>
        <v>鉄骨鉄筋コンクリート造陸屋根7階建</v>
      </c>
      <c r="E12" s="1866"/>
      <c r="F12" s="1866"/>
      <c r="G12" s="1866"/>
      <c r="H12" s="1866"/>
      <c r="I12" s="1866"/>
      <c r="J12" s="1866"/>
      <c r="K12" s="1867"/>
      <c r="L12" s="1050" t="s">
        <v>690</v>
      </c>
    </row>
    <row r="13" spans="1:12" ht="25.5" customHeight="1">
      <c r="A13" s="1915"/>
      <c r="B13" s="1900"/>
      <c r="C13" s="1445" t="s">
        <v>833</v>
      </c>
      <c r="D13" s="1891" t="str">
        <f>基本情報!C29</f>
        <v>事務所・車庫</v>
      </c>
      <c r="E13" s="1892"/>
      <c r="F13" s="1892"/>
      <c r="G13" s="1892"/>
      <c r="H13" s="1892"/>
      <c r="I13" s="1892"/>
      <c r="J13" s="1892"/>
      <c r="K13" s="1893"/>
      <c r="L13" s="1045" t="s">
        <v>638</v>
      </c>
    </row>
    <row r="14" spans="1:12" ht="25.5" customHeight="1">
      <c r="A14" s="1915"/>
      <c r="B14" s="1900"/>
      <c r="C14" s="1446" t="s">
        <v>20</v>
      </c>
      <c r="D14" s="1868" t="s">
        <v>970</v>
      </c>
      <c r="E14" s="1869"/>
      <c r="F14" s="1440">
        <f>基本情報!C30</f>
        <v>2132.0300000000002</v>
      </c>
      <c r="G14" s="1441" t="s">
        <v>532</v>
      </c>
      <c r="H14" s="1442" t="s">
        <v>23</v>
      </c>
      <c r="I14" s="1443">
        <f>基本情報!E30</f>
        <v>644.92999999999995</v>
      </c>
      <c r="J14" s="1441" t="s">
        <v>534</v>
      </c>
      <c r="K14" s="1447"/>
      <c r="L14" s="1045" t="s">
        <v>639</v>
      </c>
    </row>
    <row r="15" spans="1:12" ht="25.5" customHeight="1">
      <c r="A15" s="1915">
        <v>4</v>
      </c>
      <c r="B15" s="1860" t="s">
        <v>242</v>
      </c>
      <c r="C15" s="1888" t="str">
        <f>基本情報!C65</f>
        <v>●●株式会社</v>
      </c>
      <c r="D15" s="1889"/>
      <c r="E15" s="1889"/>
      <c r="F15" s="1889"/>
      <c r="G15" s="1889"/>
      <c r="H15" s="1889"/>
      <c r="I15" s="1889"/>
      <c r="J15" s="1889"/>
      <c r="K15" s="1890"/>
      <c r="L15" s="1045" t="s">
        <v>640</v>
      </c>
    </row>
    <row r="16" spans="1:12" ht="25.5" customHeight="1">
      <c r="A16" s="1915"/>
      <c r="B16" s="1861"/>
      <c r="C16" s="1437" t="s">
        <v>830</v>
      </c>
      <c r="D16" s="1865" t="str">
        <f>基本情報!$C$66</f>
        <v>東京都中央区銀座四丁目4番4号</v>
      </c>
      <c r="E16" s="1866"/>
      <c r="F16" s="1866"/>
      <c r="G16" s="1866"/>
      <c r="H16" s="1866"/>
      <c r="I16" s="1866"/>
      <c r="J16" s="1866"/>
      <c r="K16" s="1867"/>
    </row>
    <row r="17" spans="1:12" ht="25.5" customHeight="1">
      <c r="A17" s="1915">
        <v>5</v>
      </c>
      <c r="B17" s="1860" t="s">
        <v>243</v>
      </c>
      <c r="C17" s="1888" t="str">
        <f>基本情報!C67</f>
        <v>サンフロンティア不動産株式会社</v>
      </c>
      <c r="D17" s="1889"/>
      <c r="E17" s="1889"/>
      <c r="F17" s="1889"/>
      <c r="G17" s="1889"/>
      <c r="H17" s="1889"/>
      <c r="I17" s="1889"/>
      <c r="J17" s="1889"/>
      <c r="K17" s="1890"/>
    </row>
    <row r="18" spans="1:12" ht="25.5" customHeight="1">
      <c r="A18" s="1915"/>
      <c r="B18" s="1861"/>
      <c r="C18" s="1891"/>
      <c r="D18" s="1892"/>
      <c r="E18" s="1892"/>
      <c r="F18" s="1892"/>
      <c r="G18" s="1892"/>
      <c r="H18" s="1892"/>
      <c r="I18" s="1892"/>
      <c r="J18" s="1892"/>
      <c r="K18" s="1893"/>
    </row>
    <row r="19" spans="1:12" ht="25.5" customHeight="1">
      <c r="A19" s="1915">
        <v>6</v>
      </c>
      <c r="B19" s="1860" t="s">
        <v>244</v>
      </c>
      <c r="C19" s="1888" t="str">
        <f>基本情報!C68</f>
        <v>●●株式会社</v>
      </c>
      <c r="D19" s="1889"/>
      <c r="E19" s="1889"/>
      <c r="F19" s="1889"/>
      <c r="G19" s="1889"/>
      <c r="H19" s="1889"/>
      <c r="I19" s="1889"/>
      <c r="J19" s="1889"/>
      <c r="K19" s="1890"/>
      <c r="L19" s="17"/>
    </row>
    <row r="20" spans="1:12" ht="25.5" customHeight="1">
      <c r="A20" s="1915"/>
      <c r="B20" s="1861"/>
      <c r="C20" s="1891"/>
      <c r="D20" s="1892"/>
      <c r="E20" s="1892"/>
      <c r="F20" s="1892"/>
      <c r="G20" s="1892"/>
      <c r="H20" s="1892"/>
      <c r="I20" s="1892"/>
      <c r="J20" s="1892"/>
      <c r="K20" s="1893"/>
      <c r="L20" s="17"/>
    </row>
    <row r="21" spans="1:12" ht="25.5" customHeight="1">
      <c r="A21" s="1916">
        <v>7</v>
      </c>
      <c r="B21" s="1465" t="s">
        <v>885</v>
      </c>
      <c r="C21" s="1894">
        <f>'事業計画書（現行）'!M13</f>
        <v>3770000000</v>
      </c>
      <c r="D21" s="1895"/>
      <c r="E21" s="1895"/>
      <c r="F21" s="1896" t="s">
        <v>528</v>
      </c>
      <c r="G21" s="1857"/>
      <c r="H21" s="1897">
        <f>'事業計画書（現行）'!O14</f>
        <v>63987001.435279988</v>
      </c>
      <c r="I21" s="1897"/>
      <c r="J21" s="1897"/>
      <c r="K21" s="1898"/>
      <c r="L21" s="17"/>
    </row>
    <row r="22" spans="1:12" ht="25.5" customHeight="1">
      <c r="A22" s="1917"/>
      <c r="B22" s="1455" t="s">
        <v>245</v>
      </c>
      <c r="C22" s="1894">
        <f>'事業計画書（現行）'!M20</f>
        <v>786455280</v>
      </c>
      <c r="D22" s="1895"/>
      <c r="E22" s="1899"/>
      <c r="F22" s="1902" t="s">
        <v>247</v>
      </c>
      <c r="G22" s="1903"/>
      <c r="H22" s="1907">
        <f>'事業計画書（現行）'!M21</f>
        <v>0.2636</v>
      </c>
      <c r="I22" s="1908"/>
      <c r="J22" s="1908"/>
      <c r="K22" s="1909"/>
      <c r="L22" s="17"/>
    </row>
    <row r="23" spans="1:12" ht="25.5" customHeight="1">
      <c r="A23" s="1918"/>
      <c r="B23" s="1455" t="s">
        <v>246</v>
      </c>
      <c r="C23" s="1894">
        <f>'事業計画書（現行）'!D62</f>
        <v>2983544720</v>
      </c>
      <c r="D23" s="1895"/>
      <c r="E23" s="1895"/>
      <c r="F23" s="1910" t="s">
        <v>887</v>
      </c>
      <c r="G23" s="1910"/>
      <c r="H23" s="1910"/>
      <c r="I23" s="1910"/>
      <c r="J23" s="1910"/>
      <c r="K23" s="1911"/>
      <c r="L23" s="17"/>
    </row>
    <row r="24" spans="1:12" ht="25.5" customHeight="1">
      <c r="A24" s="1457">
        <v>8</v>
      </c>
      <c r="B24" s="1455" t="s">
        <v>248</v>
      </c>
      <c r="C24" s="1904" t="s">
        <v>529</v>
      </c>
      <c r="D24" s="1905"/>
      <c r="E24" s="1448">
        <f>'事業計画書（現行）'!M18</f>
        <v>4.4699999999999997E-2</v>
      </c>
      <c r="F24" s="1449" t="s">
        <v>535</v>
      </c>
      <c r="G24" s="1906">
        <f>'事業計画書（現行）'!M19</f>
        <v>0.04</v>
      </c>
      <c r="H24" s="1906"/>
      <c r="I24" s="1906"/>
      <c r="J24" s="1450"/>
      <c r="K24" s="1451"/>
      <c r="L24" s="17"/>
    </row>
    <row r="25" spans="1:12" ht="25.5" customHeight="1">
      <c r="A25" s="1457">
        <v>9</v>
      </c>
      <c r="B25" s="1455" t="s">
        <v>249</v>
      </c>
      <c r="C25" s="1452">
        <f>'事業計画書（現行）'!M58</f>
        <v>274</v>
      </c>
      <c r="D25" s="1450"/>
      <c r="E25" s="1450"/>
      <c r="F25" s="1450"/>
      <c r="G25" s="1450"/>
      <c r="H25" s="1450"/>
      <c r="I25" s="1450"/>
      <c r="J25" s="1450"/>
      <c r="K25" s="1451"/>
      <c r="L25" s="17"/>
    </row>
    <row r="26" spans="1:12" ht="25.5" customHeight="1">
      <c r="A26" s="1457">
        <v>10</v>
      </c>
      <c r="B26" s="1455" t="s">
        <v>250</v>
      </c>
      <c r="C26" s="1858">
        <f>'事業計画書（現行）'!M56</f>
        <v>43982</v>
      </c>
      <c r="D26" s="1859"/>
      <c r="E26" s="1859"/>
      <c r="F26" s="1859"/>
      <c r="G26" s="1450"/>
      <c r="H26" s="1450"/>
      <c r="I26" s="1450"/>
      <c r="J26" s="1450"/>
      <c r="K26" s="1451"/>
      <c r="L26" s="17"/>
    </row>
    <row r="27" spans="1:12" ht="25.5" customHeight="1">
      <c r="A27" s="1457">
        <v>11</v>
      </c>
      <c r="B27" s="1455" t="s">
        <v>251</v>
      </c>
      <c r="C27" s="1858">
        <f>'事業計画書（現行）'!M57</f>
        <v>44012</v>
      </c>
      <c r="D27" s="1859"/>
      <c r="E27" s="1859"/>
      <c r="F27" s="1859"/>
      <c r="G27" s="1450"/>
      <c r="H27" s="1450"/>
      <c r="I27" s="1450"/>
      <c r="J27" s="1450"/>
      <c r="K27" s="1451"/>
      <c r="L27" s="17"/>
    </row>
    <row r="28" spans="1:12" ht="25.5" customHeight="1">
      <c r="A28" s="1856">
        <v>12</v>
      </c>
      <c r="B28" s="1912" t="s">
        <v>252</v>
      </c>
      <c r="C28" s="1458" t="str">
        <f>基本情報!C72</f>
        <v>現況有姿、公簿売買、瑕疵担保責任付（引渡後2年間）、融資特約なし、</v>
      </c>
      <c r="D28" s="1425"/>
      <c r="E28" s="1425"/>
      <c r="F28" s="1425"/>
      <c r="G28" s="1425"/>
      <c r="H28" s="1425"/>
      <c r="I28" s="1425"/>
      <c r="J28" s="1425"/>
      <c r="K28" s="1426"/>
      <c r="L28" s="17"/>
    </row>
    <row r="29" spans="1:12" ht="25.5" customHeight="1">
      <c r="A29" s="1856"/>
      <c r="B29" s="1912"/>
      <c r="C29" s="1459" t="str">
        <f>基本情報!C73</f>
        <v>当社PM受託</v>
      </c>
      <c r="D29" s="1429"/>
      <c r="E29" s="1429"/>
      <c r="F29" s="1429"/>
      <c r="G29" s="1429"/>
      <c r="H29" s="1429"/>
      <c r="I29" s="1429"/>
      <c r="J29" s="1429"/>
      <c r="K29" s="1430"/>
      <c r="L29" s="17"/>
    </row>
    <row r="30" spans="1:12" ht="18.75" customHeight="1">
      <c r="A30" s="1431"/>
      <c r="B30" s="1913" t="s">
        <v>253</v>
      </c>
      <c r="C30" s="1871" t="s">
        <v>839</v>
      </c>
      <c r="D30" s="1872"/>
      <c r="E30" s="1872"/>
      <c r="F30" s="1872"/>
      <c r="G30" s="1872"/>
      <c r="H30" s="1872"/>
      <c r="I30" s="1872"/>
      <c r="J30" s="1872"/>
      <c r="K30" s="1873"/>
      <c r="L30" s="928"/>
    </row>
    <row r="31" spans="1:12" ht="18.75" customHeight="1">
      <c r="A31" s="1431"/>
      <c r="B31" s="1913"/>
      <c r="C31" s="1874"/>
      <c r="D31" s="1872"/>
      <c r="E31" s="1872"/>
      <c r="F31" s="1872"/>
      <c r="G31" s="1872"/>
      <c r="H31" s="1872"/>
      <c r="I31" s="1872"/>
      <c r="J31" s="1872"/>
      <c r="K31" s="1873"/>
      <c r="L31" s="17"/>
    </row>
    <row r="32" spans="1:12" ht="18.75" customHeight="1">
      <c r="A32" s="1431"/>
      <c r="B32" s="1913"/>
      <c r="C32" s="1874"/>
      <c r="D32" s="1872"/>
      <c r="E32" s="1872"/>
      <c r="F32" s="1872"/>
      <c r="G32" s="1872"/>
      <c r="H32" s="1872"/>
      <c r="I32" s="1872"/>
      <c r="J32" s="1872"/>
      <c r="K32" s="1873"/>
      <c r="L32" s="17"/>
    </row>
    <row r="33" spans="1:12" ht="18.75" customHeight="1">
      <c r="A33" s="1432"/>
      <c r="B33" s="1914"/>
      <c r="C33" s="1875"/>
      <c r="D33" s="1876"/>
      <c r="E33" s="1876"/>
      <c r="F33" s="1876"/>
      <c r="G33" s="1876"/>
      <c r="H33" s="1876"/>
      <c r="I33" s="1876"/>
      <c r="J33" s="1876"/>
      <c r="K33" s="1877"/>
      <c r="L33" s="928"/>
    </row>
    <row r="34" spans="1:12" ht="14.25">
      <c r="A34" s="926"/>
      <c r="B34" s="17"/>
      <c r="C34" s="17"/>
      <c r="D34" s="17"/>
      <c r="E34" s="17"/>
      <c r="F34" s="17"/>
      <c r="G34" s="17"/>
      <c r="H34" s="17"/>
      <c r="I34" s="384" t="s">
        <v>536</v>
      </c>
      <c r="J34" s="1901"/>
      <c r="K34" s="1901"/>
      <c r="L34" s="17"/>
    </row>
    <row r="35" spans="1:12">
      <c r="A35" s="926"/>
      <c r="B35" s="17"/>
      <c r="C35" s="17"/>
      <c r="D35" s="17"/>
      <c r="E35" s="17"/>
      <c r="F35" s="17"/>
      <c r="G35" s="1870" t="s">
        <v>536</v>
      </c>
      <c r="H35" s="1870"/>
      <c r="I35" s="1870"/>
      <c r="J35" s="1870"/>
      <c r="K35" s="1870"/>
      <c r="L35" s="17"/>
    </row>
    <row r="36" spans="1:12">
      <c r="A36" s="926"/>
      <c r="B36" s="17"/>
      <c r="C36" s="17"/>
      <c r="D36" s="17"/>
      <c r="E36" s="17"/>
      <c r="F36" s="17"/>
      <c r="G36" s="1870" t="s">
        <v>536</v>
      </c>
      <c r="H36" s="1870"/>
      <c r="I36" s="1870"/>
      <c r="J36" s="1870"/>
      <c r="K36" s="1870"/>
      <c r="L36" s="929"/>
    </row>
    <row r="37" spans="1:12">
      <c r="A37" s="926"/>
      <c r="B37" s="17"/>
      <c r="C37" s="17"/>
      <c r="D37" s="17"/>
      <c r="E37" s="17"/>
      <c r="F37" s="17"/>
      <c r="G37" s="1870" t="s">
        <v>536</v>
      </c>
      <c r="H37" s="1870"/>
      <c r="I37" s="1870"/>
      <c r="J37" s="1870"/>
      <c r="K37" s="1870"/>
      <c r="L37" s="17"/>
    </row>
    <row r="38" spans="1:12">
      <c r="A38" s="926"/>
      <c r="B38" s="17"/>
      <c r="C38" s="17"/>
      <c r="D38" s="17"/>
      <c r="E38" s="17"/>
      <c r="F38" s="17"/>
      <c r="G38" s="18" t="s">
        <v>536</v>
      </c>
      <c r="H38" s="18"/>
      <c r="I38" s="18" t="s">
        <v>536</v>
      </c>
      <c r="J38" s="1870" t="s">
        <v>536</v>
      </c>
      <c r="K38" s="1870"/>
      <c r="L38" s="17"/>
    </row>
  </sheetData>
  <mergeCells count="55">
    <mergeCell ref="A9:A10"/>
    <mergeCell ref="B9:B10"/>
    <mergeCell ref="D9:K9"/>
    <mergeCell ref="D10:K10"/>
    <mergeCell ref="B1:K1"/>
    <mergeCell ref="G2:I2"/>
    <mergeCell ref="J2:K2"/>
    <mergeCell ref="A3:D4"/>
    <mergeCell ref="G3:I3"/>
    <mergeCell ref="G4:I4"/>
    <mergeCell ref="J5:K5"/>
    <mergeCell ref="A6:B6"/>
    <mergeCell ref="C6:K6"/>
    <mergeCell ref="A7:B7"/>
    <mergeCell ref="B8:K8"/>
    <mergeCell ref="A2:B2"/>
    <mergeCell ref="D11:E11"/>
    <mergeCell ref="J11:K11"/>
    <mergeCell ref="A12:A14"/>
    <mergeCell ref="B12:B14"/>
    <mergeCell ref="D12:K12"/>
    <mergeCell ref="D13:K13"/>
    <mergeCell ref="D14:E14"/>
    <mergeCell ref="A15:A16"/>
    <mergeCell ref="B15:B16"/>
    <mergeCell ref="A17:A18"/>
    <mergeCell ref="B17:B18"/>
    <mergeCell ref="C17:K18"/>
    <mergeCell ref="C15:K15"/>
    <mergeCell ref="D16:K16"/>
    <mergeCell ref="C27:F27"/>
    <mergeCell ref="A19:A20"/>
    <mergeCell ref="B19:B20"/>
    <mergeCell ref="C19:K20"/>
    <mergeCell ref="A21:A23"/>
    <mergeCell ref="C21:E21"/>
    <mergeCell ref="F21:G21"/>
    <mergeCell ref="H21:K21"/>
    <mergeCell ref="C22:E22"/>
    <mergeCell ref="F22:G22"/>
    <mergeCell ref="H22:K22"/>
    <mergeCell ref="C23:E23"/>
    <mergeCell ref="F23:K23"/>
    <mergeCell ref="C24:D24"/>
    <mergeCell ref="G24:I24"/>
    <mergeCell ref="C26:F26"/>
    <mergeCell ref="G36:K36"/>
    <mergeCell ref="G37:K37"/>
    <mergeCell ref="J38:K38"/>
    <mergeCell ref="A28:A29"/>
    <mergeCell ref="B28:B29"/>
    <mergeCell ref="B30:B33"/>
    <mergeCell ref="C30:K33"/>
    <mergeCell ref="J34:K34"/>
    <mergeCell ref="G35:K35"/>
  </mergeCells>
  <phoneticPr fontId="192"/>
  <printOptions horizontalCentered="1"/>
  <pageMargins left="0.39370078740157483" right="0.39370078740157483" top="0.74803149606299213" bottom="0.74803149606299213" header="0.31496062992125984" footer="0.31496062992125984"/>
  <pageSetup paperSize="9" scale="95" orientation="portrait" r:id="rId1"/>
  <colBreaks count="1" manualBreakCount="1">
    <brk id="11" max="44" man="1"/>
  </colBreaks>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I36"/>
  <sheetViews>
    <sheetView view="pageBreakPreview" topLeftCell="A13" zoomScale="85" zoomScaleNormal="100" workbookViewId="0">
      <selection activeCell="E29" sqref="E29"/>
    </sheetView>
  </sheetViews>
  <sheetFormatPr defaultRowHeight="13.5"/>
  <cols>
    <col min="1" max="1" width="12.5" style="143" customWidth="1"/>
    <col min="2" max="2" width="14.875" style="143" customWidth="1"/>
    <col min="3" max="3" width="3.5" style="143" customWidth="1"/>
    <col min="4" max="4" width="12.875" style="143" bestFit="1" customWidth="1"/>
    <col min="5" max="5" width="2.5" style="143" customWidth="1"/>
    <col min="6" max="6" width="12.875" style="143" bestFit="1" customWidth="1"/>
    <col min="7" max="7" width="3" style="143" customWidth="1"/>
    <col min="8" max="16384" width="9" style="143"/>
  </cols>
  <sheetData>
    <row r="1" spans="1:9" ht="17.25">
      <c r="A1" s="140" t="s">
        <v>181</v>
      </c>
      <c r="B1" s="141"/>
      <c r="C1" s="141"/>
      <c r="D1" s="142"/>
      <c r="E1" s="141"/>
      <c r="F1" s="142"/>
      <c r="G1" s="141"/>
      <c r="H1" s="141"/>
      <c r="I1" s="141"/>
    </row>
    <row r="2" spans="1:9" ht="17.25">
      <c r="A2" s="144"/>
      <c r="B2" s="141"/>
      <c r="C2" s="141"/>
      <c r="D2" s="142"/>
      <c r="E2" s="141"/>
      <c r="F2" s="142"/>
      <c r="G2" s="141"/>
      <c r="H2" s="141"/>
      <c r="I2" s="141"/>
    </row>
    <row r="3" spans="1:9">
      <c r="A3" s="145" t="s">
        <v>182</v>
      </c>
      <c r="B3" s="141" t="str">
        <f>基本情報!C5</f>
        <v>MAMIYAビル</v>
      </c>
      <c r="C3" s="141"/>
      <c r="D3" s="142"/>
      <c r="E3" s="141"/>
      <c r="F3" s="142"/>
      <c r="G3" s="141"/>
      <c r="H3" s="141"/>
      <c r="I3" s="141"/>
    </row>
    <row r="4" spans="1:9">
      <c r="A4" s="145" t="s">
        <v>183</v>
      </c>
      <c r="B4" s="141" t="str">
        <f>基本情報!C6</f>
        <v>東京都千代田区神田錦町3-18</v>
      </c>
      <c r="C4" s="141"/>
      <c r="D4" s="142"/>
      <c r="E4" s="141"/>
      <c r="F4" s="142"/>
      <c r="G4" s="141"/>
      <c r="H4" s="141"/>
      <c r="I4" s="141"/>
    </row>
    <row r="5" spans="1:9">
      <c r="A5" s="141"/>
      <c r="B5" s="141"/>
      <c r="C5" s="141"/>
      <c r="D5" s="142"/>
      <c r="E5" s="141"/>
      <c r="F5" s="142"/>
      <c r="G5" s="141"/>
      <c r="H5" s="141"/>
      <c r="I5" s="141"/>
    </row>
    <row r="6" spans="1:9">
      <c r="A6" s="146"/>
      <c r="B6" s="146"/>
      <c r="C6" s="146"/>
      <c r="D6" s="147"/>
      <c r="E6" s="146"/>
      <c r="F6" s="147"/>
      <c r="G6" s="146"/>
      <c r="H6" s="146"/>
      <c r="I6" s="146"/>
    </row>
    <row r="7" spans="1:9" ht="14.25" thickBot="1">
      <c r="A7" s="141"/>
      <c r="B7" s="141"/>
      <c r="C7" s="141"/>
      <c r="D7" s="142"/>
      <c r="E7" s="141"/>
      <c r="F7" s="142"/>
      <c r="G7" s="141"/>
      <c r="H7" s="141"/>
      <c r="I7" s="141"/>
    </row>
    <row r="8" spans="1:9" ht="14.25" thickBot="1">
      <c r="A8" s="141" t="s">
        <v>184</v>
      </c>
      <c r="B8" s="141"/>
      <c r="C8" s="141"/>
      <c r="D8" s="148">
        <f>'収支計算表（見込）計画1'!K43</f>
        <v>196308100</v>
      </c>
      <c r="E8" s="141"/>
      <c r="F8" s="142"/>
      <c r="G8" s="141"/>
      <c r="H8" s="141"/>
      <c r="I8" s="141"/>
    </row>
    <row r="9" spans="1:9" ht="14.25" thickBot="1">
      <c r="A9" s="141"/>
      <c r="B9" s="141"/>
      <c r="C9" s="141"/>
      <c r="D9" s="142"/>
      <c r="E9" s="141"/>
      <c r="F9" s="142"/>
      <c r="G9" s="141"/>
      <c r="H9" s="141"/>
      <c r="I9" s="141"/>
    </row>
    <row r="10" spans="1:9" ht="14.25" thickBot="1">
      <c r="A10" s="141" t="s">
        <v>185</v>
      </c>
      <c r="B10" s="141"/>
      <c r="C10" s="141"/>
      <c r="D10" s="148">
        <f>'収支計算表（見込）計画1'!J43</f>
        <v>728981750</v>
      </c>
      <c r="E10" s="141"/>
      <c r="F10" s="142"/>
      <c r="G10" s="141"/>
      <c r="H10" s="141"/>
      <c r="I10" s="141"/>
    </row>
    <row r="11" spans="1:9">
      <c r="A11" s="141"/>
      <c r="B11" s="141"/>
      <c r="C11" s="141"/>
      <c r="D11" s="149"/>
      <c r="E11" s="141"/>
      <c r="F11" s="142"/>
      <c r="G11" s="141"/>
      <c r="H11" s="141"/>
      <c r="I11" s="141"/>
    </row>
    <row r="12" spans="1:9">
      <c r="A12" s="141" t="s">
        <v>186</v>
      </c>
      <c r="B12" s="141"/>
      <c r="C12" s="141"/>
      <c r="D12" s="142"/>
      <c r="E12" s="141"/>
      <c r="F12" s="142"/>
      <c r="G12" s="141"/>
      <c r="H12" s="141"/>
      <c r="I12" s="141"/>
    </row>
    <row r="13" spans="1:9">
      <c r="A13" s="141"/>
      <c r="B13" s="141"/>
      <c r="C13" s="141"/>
      <c r="D13" s="142"/>
      <c r="E13" s="141"/>
      <c r="F13" s="142"/>
      <c r="G13" s="141"/>
      <c r="H13" s="141"/>
      <c r="I13" s="141"/>
    </row>
    <row r="14" spans="1:9">
      <c r="A14" s="141" t="s">
        <v>38</v>
      </c>
      <c r="B14" s="150">
        <f>D8</f>
        <v>196308100</v>
      </c>
      <c r="C14" s="141" t="s">
        <v>187</v>
      </c>
      <c r="D14" s="151">
        <v>1.08</v>
      </c>
      <c r="E14" s="141" t="s">
        <v>188</v>
      </c>
      <c r="F14" s="142">
        <f>B14*D14</f>
        <v>212012748</v>
      </c>
      <c r="G14" s="141" t="s">
        <v>189</v>
      </c>
      <c r="H14" s="141"/>
      <c r="I14" s="141"/>
    </row>
    <row r="15" spans="1:9">
      <c r="A15" s="141" t="s">
        <v>36</v>
      </c>
      <c r="B15" s="141"/>
      <c r="C15" s="141"/>
      <c r="D15" s="142"/>
      <c r="E15" s="141"/>
      <c r="F15" s="142">
        <f>D10</f>
        <v>728981750</v>
      </c>
      <c r="G15" s="141" t="s">
        <v>190</v>
      </c>
      <c r="H15" s="141"/>
      <c r="I15" s="141"/>
    </row>
    <row r="16" spans="1:9" ht="14.25" thickBot="1">
      <c r="A16" s="141"/>
      <c r="B16" s="141"/>
      <c r="C16" s="141"/>
      <c r="D16" s="142"/>
      <c r="E16" s="141"/>
      <c r="F16" s="152">
        <f>SUM(F14:F15)</f>
        <v>940994498</v>
      </c>
      <c r="G16" s="141" t="s">
        <v>191</v>
      </c>
      <c r="H16" s="141"/>
      <c r="I16" s="141"/>
    </row>
    <row r="17" spans="1:9" ht="14.25" thickTop="1">
      <c r="A17" s="141"/>
      <c r="B17" s="141"/>
      <c r="C17" s="141"/>
      <c r="D17" s="142"/>
      <c r="E17" s="141"/>
      <c r="F17" s="149"/>
      <c r="G17" s="141"/>
      <c r="H17" s="141"/>
      <c r="I17" s="141"/>
    </row>
    <row r="18" spans="1:9" ht="14.25" thickBot="1">
      <c r="A18" s="141" t="s">
        <v>192</v>
      </c>
      <c r="B18" s="141"/>
      <c r="C18" s="141"/>
      <c r="D18" s="142"/>
      <c r="E18" s="141"/>
      <c r="F18" s="142"/>
      <c r="G18" s="141"/>
      <c r="H18" s="141"/>
      <c r="I18" s="141"/>
    </row>
    <row r="19" spans="1:9" ht="14.25" thickBot="1">
      <c r="A19" s="141"/>
      <c r="B19" s="148">
        <f>'事業計画書（現行）'!F8</f>
        <v>2409898715</v>
      </c>
      <c r="C19" s="141"/>
      <c r="D19" s="142"/>
      <c r="E19" s="141"/>
      <c r="F19" s="142"/>
      <c r="G19" s="141"/>
      <c r="H19" s="141"/>
      <c r="I19" s="141"/>
    </row>
    <row r="20" spans="1:9">
      <c r="A20" s="141"/>
      <c r="B20" s="141"/>
      <c r="C20" s="141"/>
      <c r="D20" s="142"/>
      <c r="E20" s="141"/>
      <c r="F20" s="142"/>
      <c r="G20" s="141"/>
      <c r="H20" s="141"/>
      <c r="I20" s="141"/>
    </row>
    <row r="21" spans="1:9">
      <c r="A21" s="141" t="s">
        <v>38</v>
      </c>
      <c r="B21" s="150">
        <f>B19</f>
        <v>2409898715</v>
      </c>
      <c r="C21" s="141" t="s">
        <v>187</v>
      </c>
      <c r="D21" s="153" t="s">
        <v>193</v>
      </c>
      <c r="E21" s="141" t="s">
        <v>188</v>
      </c>
      <c r="F21" s="154">
        <v>538632678</v>
      </c>
      <c r="G21" s="141" t="s">
        <v>194</v>
      </c>
      <c r="H21" s="154" t="s">
        <v>195</v>
      </c>
      <c r="I21" s="141"/>
    </row>
    <row r="22" spans="1:9">
      <c r="A22" s="141" t="s">
        <v>36</v>
      </c>
      <c r="B22" s="150">
        <f>B19</f>
        <v>2409898715</v>
      </c>
      <c r="C22" s="141" t="s">
        <v>180</v>
      </c>
      <c r="D22" s="153" t="s">
        <v>196</v>
      </c>
      <c r="E22" s="141" t="s">
        <v>197</v>
      </c>
      <c r="F22" s="154">
        <v>1861367322</v>
      </c>
      <c r="G22" s="141"/>
      <c r="H22" s="141"/>
      <c r="I22" s="141"/>
    </row>
    <row r="23" spans="1:9" ht="14.25" thickBot="1">
      <c r="A23" s="141"/>
      <c r="B23" s="141"/>
      <c r="C23" s="141"/>
      <c r="D23" s="142"/>
      <c r="E23" s="141"/>
      <c r="F23" s="152">
        <f>SUM(F21:F22)</f>
        <v>2400000000</v>
      </c>
      <c r="G23" s="141"/>
      <c r="H23" s="141"/>
      <c r="I23" s="141"/>
    </row>
    <row r="24" spans="1:9" ht="14.25" thickTop="1">
      <c r="A24" s="141"/>
      <c r="B24" s="141"/>
      <c r="C24" s="141"/>
      <c r="D24" s="142"/>
      <c r="E24" s="141"/>
      <c r="F24" s="142"/>
      <c r="G24" s="141"/>
      <c r="H24" s="141"/>
      <c r="I24" s="141"/>
    </row>
    <row r="25" spans="1:9">
      <c r="A25" s="141" t="s">
        <v>198</v>
      </c>
      <c r="B25" s="141"/>
      <c r="C25" s="141"/>
      <c r="D25" s="142"/>
      <c r="E25" s="141"/>
      <c r="F25" s="142"/>
      <c r="G25" s="141"/>
      <c r="H25" s="141"/>
      <c r="I25" s="141"/>
    </row>
    <row r="26" spans="1:9">
      <c r="A26" s="141"/>
      <c r="B26" s="150">
        <f>F21</f>
        <v>538632678</v>
      </c>
      <c r="C26" s="141" t="s">
        <v>199</v>
      </c>
      <c r="D26" s="155" t="s">
        <v>176</v>
      </c>
      <c r="E26" s="141" t="s">
        <v>200</v>
      </c>
      <c r="F26" s="142">
        <f>ROUNDDOWN(B26*8/108,0)</f>
        <v>39898716</v>
      </c>
      <c r="G26" s="141"/>
      <c r="H26" s="141"/>
      <c r="I26" s="141"/>
    </row>
    <row r="27" spans="1:9">
      <c r="A27" s="141"/>
      <c r="B27" s="150"/>
      <c r="C27" s="141"/>
      <c r="D27" s="155"/>
      <c r="E27" s="141"/>
      <c r="F27" s="142"/>
      <c r="G27" s="141"/>
      <c r="H27" s="141"/>
      <c r="I27" s="141"/>
    </row>
    <row r="28" spans="1:9" ht="14.25" thickBot="1">
      <c r="A28" s="141" t="s">
        <v>201</v>
      </c>
      <c r="B28" s="141"/>
      <c r="C28" s="141"/>
      <c r="D28" s="142"/>
      <c r="E28" s="141"/>
      <c r="F28" s="142"/>
      <c r="G28" s="141"/>
      <c r="H28" s="141"/>
      <c r="I28" s="141"/>
    </row>
    <row r="29" spans="1:9">
      <c r="A29" s="156" t="s">
        <v>202</v>
      </c>
      <c r="B29" s="157">
        <f>B26-F26</f>
        <v>498733962</v>
      </c>
      <c r="C29" s="141"/>
      <c r="D29" s="142"/>
      <c r="E29" s="141"/>
      <c r="F29" s="142"/>
      <c r="G29" s="141"/>
      <c r="H29" s="141"/>
      <c r="I29" s="141"/>
    </row>
    <row r="30" spans="1:9">
      <c r="A30" s="158" t="s">
        <v>203</v>
      </c>
      <c r="B30" s="159">
        <f>F26</f>
        <v>39898716</v>
      </c>
      <c r="C30" s="141"/>
      <c r="D30" s="142"/>
      <c r="E30" s="141"/>
      <c r="F30" s="142"/>
      <c r="G30" s="141"/>
      <c r="H30" s="141"/>
      <c r="I30" s="141"/>
    </row>
    <row r="31" spans="1:9">
      <c r="A31" s="158" t="s">
        <v>204</v>
      </c>
      <c r="B31" s="160"/>
      <c r="C31" s="141"/>
      <c r="D31" s="142"/>
      <c r="E31" s="141"/>
      <c r="F31" s="142"/>
      <c r="G31" s="141"/>
      <c r="H31" s="141"/>
      <c r="I31" s="141"/>
    </row>
    <row r="32" spans="1:9">
      <c r="A32" s="158" t="s">
        <v>36</v>
      </c>
      <c r="B32" s="159">
        <f>F22</f>
        <v>1861367322</v>
      </c>
      <c r="C32" s="141"/>
      <c r="D32" s="142"/>
      <c r="E32" s="141"/>
      <c r="F32" s="142"/>
      <c r="G32" s="141"/>
      <c r="H32" s="141"/>
      <c r="I32" s="141"/>
    </row>
    <row r="33" spans="1:9">
      <c r="A33" s="158"/>
      <c r="B33" s="160"/>
      <c r="C33" s="141"/>
      <c r="D33" s="142"/>
      <c r="E33" s="141"/>
      <c r="F33" s="142"/>
      <c r="G33" s="141"/>
      <c r="H33" s="141"/>
      <c r="I33" s="141"/>
    </row>
    <row r="34" spans="1:9" ht="14.25" thickBot="1">
      <c r="A34" s="161" t="s">
        <v>39</v>
      </c>
      <c r="B34" s="162">
        <f>SUM(B29:B33)</f>
        <v>2400000000</v>
      </c>
      <c r="C34" s="141"/>
      <c r="D34" s="142">
        <f>B34-B30</f>
        <v>2360101284</v>
      </c>
      <c r="E34" s="141" t="s">
        <v>205</v>
      </c>
      <c r="F34" s="142"/>
      <c r="G34" s="141"/>
      <c r="H34" s="141"/>
      <c r="I34" s="141"/>
    </row>
    <row r="35" spans="1:9">
      <c r="A35" s="141"/>
      <c r="B35" s="141"/>
      <c r="C35" s="141"/>
      <c r="D35" s="142"/>
      <c r="E35" s="141"/>
      <c r="F35" s="142"/>
      <c r="G35" s="141"/>
      <c r="H35" s="141"/>
      <c r="I35" s="141"/>
    </row>
    <row r="36" spans="1:9">
      <c r="A36" s="163"/>
      <c r="B36" s="141"/>
      <c r="C36" s="141"/>
      <c r="D36" s="142"/>
      <c r="E36" s="141"/>
      <c r="F36" s="142"/>
      <c r="G36" s="141"/>
      <c r="H36" s="141"/>
      <c r="I36" s="141"/>
    </row>
  </sheetData>
  <phoneticPr fontId="3"/>
  <pageMargins left="0.7" right="0.7" top="0.75" bottom="0.75" header="0.3" footer="0.3"/>
  <pageSetup paperSize="9"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6"/>
  <sheetViews>
    <sheetView view="pageBreakPreview" zoomScale="85" zoomScaleNormal="100" workbookViewId="0">
      <selection activeCell="O28" sqref="O28"/>
    </sheetView>
  </sheetViews>
  <sheetFormatPr defaultRowHeight="13.5"/>
  <cols>
    <col min="1" max="1" width="12.5" style="143" customWidth="1"/>
    <col min="2" max="2" width="14.875" style="143" customWidth="1"/>
    <col min="3" max="3" width="3.5" style="143" customWidth="1"/>
    <col min="4" max="4" width="12.875" style="143" bestFit="1" customWidth="1"/>
    <col min="5" max="5" width="2.5" style="143" customWidth="1"/>
    <col min="6" max="6" width="12.875" style="143" bestFit="1" customWidth="1"/>
    <col min="7" max="7" width="3" style="143" customWidth="1"/>
    <col min="8" max="16384" width="9" style="143"/>
  </cols>
  <sheetData>
    <row r="1" spans="1:9" ht="17.25">
      <c r="A1" s="140" t="s">
        <v>181</v>
      </c>
      <c r="B1" s="141"/>
      <c r="C1" s="141"/>
      <c r="D1" s="142"/>
      <c r="E1" s="141"/>
      <c r="F1" s="142"/>
      <c r="G1" s="141"/>
      <c r="H1" s="141"/>
      <c r="I1" s="141"/>
    </row>
    <row r="2" spans="1:9" ht="17.25">
      <c r="A2" s="144"/>
      <c r="B2" s="141"/>
      <c r="C2" s="141"/>
      <c r="D2" s="142"/>
      <c r="E2" s="141"/>
      <c r="F2" s="142"/>
      <c r="G2" s="141"/>
      <c r="H2" s="141"/>
      <c r="I2" s="141"/>
    </row>
    <row r="3" spans="1:9">
      <c r="A3" s="145" t="s">
        <v>182</v>
      </c>
      <c r="B3" s="141" t="str">
        <f>基本情報!C5</f>
        <v>MAMIYAビル</v>
      </c>
      <c r="C3" s="141"/>
      <c r="D3" s="142"/>
      <c r="E3" s="141"/>
      <c r="F3" s="142"/>
      <c r="G3" s="141"/>
      <c r="H3" s="141"/>
      <c r="I3" s="141"/>
    </row>
    <row r="4" spans="1:9">
      <c r="A4" s="145" t="s">
        <v>183</v>
      </c>
      <c r="B4" s="141" t="str">
        <f>基本情報!C6</f>
        <v>東京都千代田区神田錦町3-18</v>
      </c>
      <c r="C4" s="141"/>
      <c r="D4" s="142"/>
      <c r="E4" s="141"/>
      <c r="F4" s="142"/>
      <c r="G4" s="141"/>
      <c r="H4" s="141"/>
      <c r="I4" s="141"/>
    </row>
    <row r="5" spans="1:9">
      <c r="A5" s="141"/>
      <c r="B5" s="141"/>
      <c r="C5" s="141"/>
      <c r="D5" s="142"/>
      <c r="E5" s="141"/>
      <c r="F5" s="142"/>
      <c r="G5" s="141"/>
      <c r="H5" s="141"/>
      <c r="I5" s="141"/>
    </row>
    <row r="6" spans="1:9">
      <c r="A6" s="146"/>
      <c r="B6" s="146"/>
      <c r="C6" s="146"/>
      <c r="D6" s="147"/>
      <c r="E6" s="146"/>
      <c r="F6" s="147"/>
      <c r="G6" s="146"/>
      <c r="H6" s="146"/>
      <c r="I6" s="146"/>
    </row>
    <row r="7" spans="1:9" ht="14.25" thickBot="1">
      <c r="A7" s="141"/>
      <c r="B7" s="141"/>
      <c r="C7" s="141"/>
      <c r="D7" s="142"/>
      <c r="E7" s="141"/>
      <c r="F7" s="142"/>
      <c r="G7" s="141"/>
      <c r="H7" s="141"/>
      <c r="I7" s="141"/>
    </row>
    <row r="8" spans="1:9" ht="14.25" thickBot="1">
      <c r="A8" s="141" t="s">
        <v>184</v>
      </c>
      <c r="B8" s="141"/>
      <c r="C8" s="141"/>
      <c r="D8" s="148">
        <f>'収支計算表（見込）計画1'!K43</f>
        <v>196308100</v>
      </c>
      <c r="E8" s="141"/>
      <c r="F8" s="142"/>
      <c r="G8" s="141"/>
      <c r="H8" s="141"/>
      <c r="I8" s="141"/>
    </row>
    <row r="9" spans="1:9" ht="14.25" thickBot="1">
      <c r="A9" s="141"/>
      <c r="B9" s="141"/>
      <c r="C9" s="141"/>
      <c r="D9" s="142"/>
      <c r="E9" s="141"/>
      <c r="F9" s="142"/>
      <c r="G9" s="141"/>
      <c r="H9" s="141"/>
      <c r="I9" s="141"/>
    </row>
    <row r="10" spans="1:9" ht="14.25" thickBot="1">
      <c r="A10" s="141" t="s">
        <v>185</v>
      </c>
      <c r="B10" s="141"/>
      <c r="C10" s="141"/>
      <c r="D10" s="148">
        <f>'収支計算表（見込）計画1'!J43</f>
        <v>728981750</v>
      </c>
      <c r="E10" s="141"/>
      <c r="F10" s="142"/>
      <c r="G10" s="141"/>
      <c r="H10" s="141"/>
      <c r="I10" s="141"/>
    </row>
    <row r="11" spans="1:9">
      <c r="A11" s="141"/>
      <c r="B11" s="141"/>
      <c r="C11" s="141"/>
      <c r="D11" s="149"/>
      <c r="E11" s="141"/>
      <c r="F11" s="142"/>
      <c r="G11" s="141"/>
      <c r="H11" s="141"/>
      <c r="I11" s="141"/>
    </row>
    <row r="12" spans="1:9">
      <c r="A12" s="141" t="s">
        <v>186</v>
      </c>
      <c r="B12" s="141"/>
      <c r="C12" s="141"/>
      <c r="D12" s="142"/>
      <c r="E12" s="141"/>
      <c r="F12" s="142"/>
      <c r="G12" s="141"/>
      <c r="H12" s="141"/>
      <c r="I12" s="141"/>
    </row>
    <row r="13" spans="1:9">
      <c r="A13" s="141"/>
      <c r="B13" s="141"/>
      <c r="C13" s="141"/>
      <c r="D13" s="142"/>
      <c r="E13" s="141"/>
      <c r="F13" s="142"/>
      <c r="G13" s="141"/>
      <c r="H13" s="141"/>
      <c r="I13" s="141"/>
    </row>
    <row r="14" spans="1:9">
      <c r="A14" s="141" t="s">
        <v>38</v>
      </c>
      <c r="B14" s="150">
        <f>D8</f>
        <v>196308100</v>
      </c>
      <c r="C14" s="141" t="s">
        <v>165</v>
      </c>
      <c r="D14" s="151">
        <v>1.08</v>
      </c>
      <c r="E14" s="141" t="s">
        <v>166</v>
      </c>
      <c r="F14" s="142">
        <f>B14*D14</f>
        <v>212012748</v>
      </c>
      <c r="G14" s="141" t="s">
        <v>167</v>
      </c>
      <c r="H14" s="141"/>
      <c r="I14" s="141"/>
    </row>
    <row r="15" spans="1:9">
      <c r="A15" s="141" t="s">
        <v>36</v>
      </c>
      <c r="B15" s="141"/>
      <c r="C15" s="141"/>
      <c r="D15" s="142"/>
      <c r="E15" s="141"/>
      <c r="F15" s="142">
        <f>D10</f>
        <v>728981750</v>
      </c>
      <c r="G15" s="141" t="s">
        <v>168</v>
      </c>
      <c r="H15" s="141"/>
      <c r="I15" s="141"/>
    </row>
    <row r="16" spans="1:9" ht="14.25" thickBot="1">
      <c r="A16" s="141"/>
      <c r="B16" s="141"/>
      <c r="C16" s="141"/>
      <c r="D16" s="142"/>
      <c r="E16" s="141"/>
      <c r="F16" s="152">
        <f>SUM(F14:F15)</f>
        <v>940994498</v>
      </c>
      <c r="G16" s="141" t="s">
        <v>169</v>
      </c>
      <c r="H16" s="141"/>
      <c r="I16" s="141"/>
    </row>
    <row r="17" spans="1:9" ht="14.25" thickTop="1">
      <c r="A17" s="141"/>
      <c r="B17" s="141"/>
      <c r="C17" s="141"/>
      <c r="D17" s="142"/>
      <c r="E17" s="141"/>
      <c r="F17" s="149"/>
      <c r="G17" s="141"/>
      <c r="H17" s="141"/>
      <c r="I17" s="141"/>
    </row>
    <row r="18" spans="1:9" ht="14.25" thickBot="1">
      <c r="A18" s="141" t="s">
        <v>192</v>
      </c>
      <c r="B18" s="141"/>
      <c r="C18" s="141"/>
      <c r="D18" s="142"/>
      <c r="E18" s="141"/>
      <c r="F18" s="142"/>
      <c r="G18" s="141"/>
      <c r="H18" s="141"/>
      <c r="I18" s="141"/>
    </row>
    <row r="19" spans="1:9" ht="14.25" thickBot="1">
      <c r="A19" s="141"/>
      <c r="B19" s="148">
        <f>'事業計画書（現行）'!O13</f>
        <v>3833987001.4352798</v>
      </c>
      <c r="C19" s="141"/>
      <c r="D19" s="142"/>
      <c r="E19" s="141"/>
      <c r="F19" s="142"/>
      <c r="G19" s="141"/>
      <c r="H19" s="141"/>
      <c r="I19" s="141"/>
    </row>
    <row r="20" spans="1:9">
      <c r="A20" s="141"/>
      <c r="B20" s="141"/>
      <c r="C20" s="141"/>
      <c r="D20" s="142"/>
      <c r="E20" s="141"/>
      <c r="F20" s="142"/>
      <c r="G20" s="141"/>
      <c r="H20" s="141"/>
      <c r="I20" s="141"/>
    </row>
    <row r="21" spans="1:9">
      <c r="A21" s="141" t="s">
        <v>38</v>
      </c>
      <c r="B21" s="150">
        <f>B19</f>
        <v>3833987001.4352798</v>
      </c>
      <c r="C21" s="141" t="s">
        <v>165</v>
      </c>
      <c r="D21" s="153" t="s">
        <v>170</v>
      </c>
      <c r="E21" s="141" t="s">
        <v>166</v>
      </c>
      <c r="F21" s="154">
        <f>ROUNDUP(B21*F14/$F$16,0)</f>
        <v>863824520</v>
      </c>
      <c r="G21" s="141" t="s">
        <v>171</v>
      </c>
      <c r="H21" s="154" t="s">
        <v>195</v>
      </c>
      <c r="I21" s="141"/>
    </row>
    <row r="22" spans="1:9">
      <c r="A22" s="141" t="s">
        <v>36</v>
      </c>
      <c r="B22" s="150">
        <f>B19</f>
        <v>3833987001.4352798</v>
      </c>
      <c r="C22" s="141" t="s">
        <v>172</v>
      </c>
      <c r="D22" s="153" t="s">
        <v>173</v>
      </c>
      <c r="E22" s="141" t="s">
        <v>174</v>
      </c>
      <c r="F22" s="154">
        <f>ROUNDDOWN(B22*F15/$F$16,0)</f>
        <v>2970162482</v>
      </c>
      <c r="G22" s="141"/>
      <c r="H22" s="141"/>
      <c r="I22" s="141"/>
    </row>
    <row r="23" spans="1:9" ht="14.25" thickBot="1">
      <c r="A23" s="141"/>
      <c r="B23" s="141"/>
      <c r="C23" s="141"/>
      <c r="D23" s="142"/>
      <c r="E23" s="141"/>
      <c r="F23" s="152">
        <f>SUM(F21:F22)</f>
        <v>3833987002</v>
      </c>
      <c r="G23" s="141"/>
      <c r="H23" s="141"/>
      <c r="I23" s="141"/>
    </row>
    <row r="24" spans="1:9" ht="14.25" thickTop="1">
      <c r="A24" s="141"/>
      <c r="B24" s="141"/>
      <c r="C24" s="141"/>
      <c r="D24" s="142"/>
      <c r="E24" s="141"/>
      <c r="F24" s="142"/>
      <c r="G24" s="141"/>
      <c r="H24" s="141"/>
      <c r="I24" s="141"/>
    </row>
    <row r="25" spans="1:9">
      <c r="A25" s="141" t="s">
        <v>198</v>
      </c>
      <c r="B25" s="141"/>
      <c r="C25" s="141"/>
      <c r="D25" s="142"/>
      <c r="E25" s="141"/>
      <c r="F25" s="142"/>
      <c r="G25" s="141"/>
      <c r="H25" s="141"/>
      <c r="I25" s="141"/>
    </row>
    <row r="26" spans="1:9">
      <c r="A26" s="141"/>
      <c r="B26" s="150">
        <f>F21</f>
        <v>863824520</v>
      </c>
      <c r="C26" s="141" t="s">
        <v>175</v>
      </c>
      <c r="D26" s="155" t="s">
        <v>176</v>
      </c>
      <c r="E26" s="141" t="s">
        <v>177</v>
      </c>
      <c r="F26" s="142">
        <f>ROUNDDOWN(B26*8/108,0)</f>
        <v>63987001</v>
      </c>
      <c r="G26" s="141"/>
      <c r="H26" s="141"/>
      <c r="I26" s="141"/>
    </row>
    <row r="27" spans="1:9">
      <c r="A27" s="141"/>
      <c r="B27" s="150"/>
      <c r="C27" s="141"/>
      <c r="D27" s="155"/>
      <c r="E27" s="141"/>
      <c r="F27" s="142"/>
      <c r="G27" s="141"/>
      <c r="H27" s="141"/>
      <c r="I27" s="141"/>
    </row>
    <row r="28" spans="1:9" ht="14.25" thickBot="1">
      <c r="A28" s="141" t="s">
        <v>201</v>
      </c>
      <c r="B28" s="141"/>
      <c r="C28" s="141"/>
      <c r="D28" s="142"/>
      <c r="E28" s="141"/>
      <c r="F28" s="142"/>
      <c r="G28" s="141"/>
      <c r="H28" s="141"/>
      <c r="I28" s="141"/>
    </row>
    <row r="29" spans="1:9">
      <c r="A29" s="156" t="s">
        <v>202</v>
      </c>
      <c r="B29" s="157">
        <f>B26-F26</f>
        <v>799837519</v>
      </c>
      <c r="C29" s="141"/>
      <c r="D29" s="142"/>
      <c r="E29" s="141"/>
      <c r="F29" s="142"/>
      <c r="G29" s="141"/>
      <c r="H29" s="141"/>
      <c r="I29" s="141"/>
    </row>
    <row r="30" spans="1:9">
      <c r="A30" s="158" t="s">
        <v>203</v>
      </c>
      <c r="B30" s="159">
        <f>F26</f>
        <v>63987001</v>
      </c>
      <c r="C30" s="141"/>
      <c r="D30" s="142"/>
      <c r="E30" s="141"/>
      <c r="F30" s="142"/>
      <c r="G30" s="141"/>
      <c r="H30" s="141"/>
      <c r="I30" s="141"/>
    </row>
    <row r="31" spans="1:9">
      <c r="A31" s="158" t="s">
        <v>178</v>
      </c>
      <c r="B31" s="160"/>
      <c r="C31" s="141"/>
      <c r="D31" s="142"/>
      <c r="E31" s="141"/>
      <c r="F31" s="142"/>
      <c r="G31" s="141"/>
      <c r="H31" s="141"/>
      <c r="I31" s="141"/>
    </row>
    <row r="32" spans="1:9">
      <c r="A32" s="158" t="s">
        <v>36</v>
      </c>
      <c r="B32" s="159">
        <f>F22</f>
        <v>2970162482</v>
      </c>
      <c r="C32" s="141"/>
      <c r="D32" s="142"/>
      <c r="E32" s="141"/>
      <c r="F32" s="142"/>
      <c r="G32" s="141"/>
      <c r="H32" s="141"/>
      <c r="I32" s="141"/>
    </row>
    <row r="33" spans="1:9">
      <c r="A33" s="158"/>
      <c r="B33" s="160"/>
      <c r="C33" s="141"/>
      <c r="D33" s="142"/>
      <c r="E33" s="141"/>
      <c r="F33" s="142"/>
      <c r="G33" s="141"/>
      <c r="H33" s="141"/>
      <c r="I33" s="141"/>
    </row>
    <row r="34" spans="1:9" ht="14.25" thickBot="1">
      <c r="A34" s="161" t="s">
        <v>39</v>
      </c>
      <c r="B34" s="162">
        <f>SUM(B29:B33)</f>
        <v>3833987002</v>
      </c>
      <c r="C34" s="141"/>
      <c r="D34" s="142">
        <f>B34-B30</f>
        <v>3770000001</v>
      </c>
      <c r="E34" s="141" t="s">
        <v>205</v>
      </c>
      <c r="F34" s="142"/>
      <c r="G34" s="141"/>
      <c r="H34" s="141"/>
      <c r="I34" s="141"/>
    </row>
    <row r="35" spans="1:9">
      <c r="A35" s="141"/>
      <c r="B35" s="141"/>
      <c r="C35" s="141"/>
      <c r="D35" s="142"/>
      <c r="E35" s="141"/>
      <c r="F35" s="142"/>
      <c r="G35" s="141"/>
      <c r="H35" s="141"/>
      <c r="I35" s="141"/>
    </row>
    <row r="36" spans="1:9">
      <c r="A36" s="163"/>
      <c r="B36" s="141"/>
      <c r="C36" s="141"/>
      <c r="D36" s="142"/>
      <c r="E36" s="141"/>
      <c r="F36" s="142"/>
      <c r="G36" s="141"/>
      <c r="H36" s="141"/>
      <c r="I36" s="141"/>
    </row>
  </sheetData>
  <phoneticPr fontId="3"/>
  <pageMargins left="0.7" right="0.7" top="0.75" bottom="0.75" header="0.3" footer="0.3"/>
  <pageSetup paperSize="9"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CC00"/>
  </sheetPr>
  <dimension ref="A1:AI49"/>
  <sheetViews>
    <sheetView view="pageBreakPreview" topLeftCell="A2" zoomScale="40" zoomScaleNormal="40" zoomScaleSheetLayoutView="40" workbookViewId="0">
      <selection activeCell="D10" sqref="D10:S10"/>
    </sheetView>
  </sheetViews>
  <sheetFormatPr defaultRowHeight="13.5"/>
  <cols>
    <col min="1" max="3" width="8.5" style="1368" customWidth="1"/>
    <col min="4" max="21" width="10.625" style="1368" customWidth="1"/>
    <col min="22" max="22" width="9" style="1368"/>
    <col min="23" max="27" width="10.625" style="1368" customWidth="1"/>
    <col min="28" max="16384" width="9" style="1368"/>
  </cols>
  <sheetData>
    <row r="1" spans="1:35" ht="42.75" customHeight="1">
      <c r="A1" s="1367"/>
      <c r="B1" s="1367"/>
      <c r="C1" s="1367"/>
      <c r="D1" s="1367"/>
      <c r="E1" s="1367"/>
      <c r="F1" s="1367"/>
      <c r="G1" s="1367"/>
      <c r="H1" s="1367"/>
      <c r="I1" s="1367"/>
    </row>
    <row r="2" spans="1:35" ht="38.25" customHeight="1">
      <c r="A2" s="2011">
        <v>1</v>
      </c>
      <c r="B2" s="2011"/>
      <c r="C2" s="2011"/>
      <c r="D2" s="1369" t="s">
        <v>824</v>
      </c>
      <c r="E2" s="1369"/>
      <c r="F2" s="1369"/>
      <c r="G2" s="1369"/>
      <c r="H2" s="1369"/>
      <c r="I2" s="1369"/>
      <c r="J2" s="1370"/>
      <c r="K2" s="1371"/>
      <c r="L2" s="1371"/>
      <c r="M2" s="1371"/>
      <c r="N2" s="1371"/>
      <c r="O2" s="1371"/>
      <c r="P2" s="1371"/>
      <c r="Q2" s="2012">
        <f ca="1">基本情報!C1</f>
        <v>43486</v>
      </c>
      <c r="R2" s="2012"/>
      <c r="S2" s="2012"/>
      <c r="T2" s="1371"/>
      <c r="U2" s="1051" t="s">
        <v>695</v>
      </c>
      <c r="V2" s="1371"/>
      <c r="W2" s="1371"/>
      <c r="X2" s="1371"/>
      <c r="Y2" s="1371"/>
      <c r="Z2" s="1371"/>
      <c r="AA2" s="1371"/>
      <c r="AB2" s="1371"/>
      <c r="AC2" s="1371"/>
    </row>
    <row r="3" spans="1:35" ht="38.25" customHeight="1" thickBot="1">
      <c r="A3" s="1372"/>
      <c r="B3" s="1372"/>
      <c r="C3" s="1372"/>
      <c r="D3" s="1369"/>
      <c r="E3" s="1369"/>
      <c r="F3" s="1369"/>
      <c r="G3" s="1369"/>
      <c r="H3" s="1373"/>
      <c r="I3" s="1373"/>
      <c r="J3" s="1371"/>
      <c r="K3" s="1371"/>
      <c r="L3" s="1371"/>
      <c r="M3" s="1371"/>
      <c r="N3" s="2013" t="s">
        <v>680</v>
      </c>
      <c r="O3" s="2013"/>
      <c r="P3" s="2013"/>
      <c r="Q3" s="2014" t="str">
        <f>基本情報!C3</f>
        <v>矢部　浩亮</v>
      </c>
      <c r="R3" s="2013"/>
      <c r="S3" s="2013"/>
      <c r="T3" s="1371"/>
      <c r="U3" s="1371"/>
      <c r="V3" s="1371"/>
      <c r="W3" s="1371"/>
      <c r="X3" s="1371"/>
      <c r="Y3" s="1371"/>
      <c r="Z3" s="1371"/>
      <c r="AA3" s="1371"/>
      <c r="AB3" s="1371"/>
      <c r="AC3" s="1371"/>
    </row>
    <row r="4" spans="1:35" s="1371" customFormat="1" ht="45.75" customHeight="1">
      <c r="A4" s="2015" t="s">
        <v>642</v>
      </c>
      <c r="B4" s="2016"/>
      <c r="C4" s="2017"/>
      <c r="D4" s="2018" t="str">
        <f>基本情報!C4</f>
        <v>MAMIYAビル</v>
      </c>
      <c r="E4" s="2019"/>
      <c r="F4" s="2019"/>
      <c r="G4" s="2019"/>
      <c r="H4" s="2019"/>
      <c r="I4" s="2019"/>
      <c r="J4" s="2019"/>
      <c r="K4" s="2019"/>
      <c r="L4" s="2019"/>
      <c r="M4" s="2019"/>
      <c r="N4" s="2019"/>
      <c r="O4" s="2019"/>
      <c r="P4" s="2019"/>
      <c r="Q4" s="2019"/>
      <c r="R4" s="2019"/>
      <c r="S4" s="2020"/>
      <c r="AI4" s="1374"/>
    </row>
    <row r="5" spans="1:35" ht="331.5" customHeight="1">
      <c r="A5" s="2021" t="s">
        <v>643</v>
      </c>
      <c r="B5" s="2022"/>
      <c r="C5" s="2023"/>
      <c r="D5" s="2027"/>
      <c r="E5" s="2028"/>
      <c r="F5" s="2028"/>
      <c r="G5" s="2028"/>
      <c r="H5" s="2028"/>
      <c r="I5" s="2028"/>
      <c r="J5" s="2028"/>
      <c r="K5" s="2028"/>
      <c r="L5" s="2028"/>
      <c r="M5" s="2028"/>
      <c r="N5" s="2028"/>
      <c r="O5" s="2028"/>
      <c r="P5" s="2028"/>
      <c r="Q5" s="2028"/>
      <c r="R5" s="2028"/>
      <c r="S5" s="2031"/>
      <c r="T5" s="1371"/>
      <c r="U5" s="1371"/>
      <c r="V5" s="1371"/>
      <c r="W5" s="1371"/>
      <c r="X5" s="1371"/>
      <c r="Y5" s="1371"/>
      <c r="Z5" s="1371"/>
      <c r="AA5" s="1371"/>
      <c r="AB5" s="1371"/>
      <c r="AC5" s="1371"/>
    </row>
    <row r="6" spans="1:35" ht="300" customHeight="1">
      <c r="A6" s="2024"/>
      <c r="B6" s="2025"/>
      <c r="C6" s="2026"/>
      <c r="D6" s="2029"/>
      <c r="E6" s="2030"/>
      <c r="F6" s="2030"/>
      <c r="G6" s="2030"/>
      <c r="H6" s="2030"/>
      <c r="I6" s="2030"/>
      <c r="J6" s="2030"/>
      <c r="K6" s="2030"/>
      <c r="L6" s="2030"/>
      <c r="M6" s="2030"/>
      <c r="N6" s="2030"/>
      <c r="O6" s="2030"/>
      <c r="P6" s="2030"/>
      <c r="Q6" s="2030"/>
      <c r="R6" s="2030"/>
      <c r="S6" s="2032"/>
      <c r="T6" s="1371"/>
    </row>
    <row r="7" spans="1:35" s="1376" customFormat="1" ht="40.5" customHeight="1">
      <c r="A7" s="2033" t="s">
        <v>644</v>
      </c>
      <c r="B7" s="2034"/>
      <c r="C7" s="2035"/>
      <c r="D7" s="2036" t="str">
        <f>基本情報!C6</f>
        <v>東京都千代田区神田錦町3-18</v>
      </c>
      <c r="E7" s="2037"/>
      <c r="F7" s="2037"/>
      <c r="G7" s="2037"/>
      <c r="H7" s="2037"/>
      <c r="I7" s="2037"/>
      <c r="J7" s="2037"/>
      <c r="K7" s="2037"/>
      <c r="L7" s="2037"/>
      <c r="M7" s="2037"/>
      <c r="N7" s="2037"/>
      <c r="O7" s="2037"/>
      <c r="P7" s="2037"/>
      <c r="Q7" s="2037"/>
      <c r="R7" s="2037"/>
      <c r="S7" s="2038"/>
      <c r="T7" s="1375"/>
    </row>
    <row r="8" spans="1:35" s="1378" customFormat="1" ht="40.5" customHeight="1">
      <c r="A8" s="1938" t="s">
        <v>36</v>
      </c>
      <c r="B8" s="1939"/>
      <c r="C8" s="1926"/>
      <c r="D8" s="1388" t="s">
        <v>645</v>
      </c>
      <c r="E8" s="2003">
        <f>基本情報!C20</f>
        <v>354.52</v>
      </c>
      <c r="F8" s="2003"/>
      <c r="G8" s="2004">
        <f>基本情報!E20</f>
        <v>107.24</v>
      </c>
      <c r="H8" s="2004"/>
      <c r="I8" s="1389"/>
      <c r="J8" s="1389"/>
      <c r="K8" s="1390"/>
      <c r="L8" s="1390"/>
      <c r="M8" s="1390"/>
      <c r="N8" s="1390"/>
      <c r="O8" s="1390"/>
      <c r="P8" s="1390"/>
      <c r="Q8" s="1390"/>
      <c r="R8" s="1390"/>
      <c r="S8" s="1391"/>
      <c r="T8" s="1377"/>
      <c r="U8" s="1377"/>
      <c r="V8" s="1377"/>
      <c r="W8" s="1377"/>
      <c r="X8" s="1377"/>
      <c r="Y8" s="1377"/>
      <c r="Z8" s="1377"/>
      <c r="AA8" s="1377"/>
      <c r="AB8" s="1377"/>
      <c r="AC8" s="1377"/>
    </row>
    <row r="9" spans="1:35" s="1380" customFormat="1" ht="40.5" customHeight="1">
      <c r="A9" s="1938" t="s">
        <v>38</v>
      </c>
      <c r="B9" s="1939"/>
      <c r="C9" s="1926"/>
      <c r="D9" s="1388" t="s">
        <v>646</v>
      </c>
      <c r="E9" s="2003">
        <f>基本情報!C30</f>
        <v>2132.0300000000002</v>
      </c>
      <c r="F9" s="2003"/>
      <c r="G9" s="2004">
        <f>基本情報!E30</f>
        <v>644.92999999999995</v>
      </c>
      <c r="H9" s="2004"/>
      <c r="I9" s="1392"/>
      <c r="J9" s="1392"/>
      <c r="K9" s="1393"/>
      <c r="L9" s="1979" t="s">
        <v>827</v>
      </c>
      <c r="M9" s="1980"/>
      <c r="N9" s="2005" t="str">
        <f>基本情報!C28</f>
        <v>鉄骨鉄筋コンクリート造陸屋根7階建</v>
      </c>
      <c r="O9" s="2006"/>
      <c r="P9" s="2006"/>
      <c r="Q9" s="2006"/>
      <c r="R9" s="2006"/>
      <c r="S9" s="2007"/>
      <c r="T9" s="1379"/>
      <c r="U9" s="1371"/>
      <c r="V9" s="1371"/>
      <c r="W9" s="1371"/>
      <c r="X9" s="1371"/>
      <c r="Y9" s="1371"/>
      <c r="Z9" s="1371"/>
      <c r="AA9" s="1371"/>
      <c r="AB9" s="1371"/>
      <c r="AC9" s="1371"/>
    </row>
    <row r="10" spans="1:35" s="1382" customFormat="1" ht="40.5" customHeight="1">
      <c r="A10" s="1938" t="s">
        <v>47</v>
      </c>
      <c r="B10" s="1939"/>
      <c r="C10" s="1926"/>
      <c r="D10" s="2008" t="str">
        <f>基本情報!C29</f>
        <v>事務所・車庫</v>
      </c>
      <c r="E10" s="2009"/>
      <c r="F10" s="2009"/>
      <c r="G10" s="2009"/>
      <c r="H10" s="2009"/>
      <c r="I10" s="2009"/>
      <c r="J10" s="2009"/>
      <c r="K10" s="2009"/>
      <c r="L10" s="2009"/>
      <c r="M10" s="2009"/>
      <c r="N10" s="2009"/>
      <c r="O10" s="2009"/>
      <c r="P10" s="2009"/>
      <c r="Q10" s="2009"/>
      <c r="R10" s="2009"/>
      <c r="S10" s="2010"/>
      <c r="T10" s="1381"/>
      <c r="U10" s="1375"/>
      <c r="V10" s="1375"/>
      <c r="W10" s="1375"/>
      <c r="X10" s="1375"/>
      <c r="Y10" s="1375"/>
      <c r="Z10" s="1375"/>
      <c r="AA10" s="1375"/>
      <c r="AB10" s="1375"/>
      <c r="AC10" s="1375"/>
    </row>
    <row r="11" spans="1:35" ht="40.5" customHeight="1">
      <c r="A11" s="1992" t="s">
        <v>648</v>
      </c>
      <c r="B11" s="1993"/>
      <c r="C11" s="1994"/>
      <c r="D11" s="1997" t="str">
        <f>基本情報!C54</f>
        <v>マミヤ・オーピー株式会社</v>
      </c>
      <c r="E11" s="1952"/>
      <c r="F11" s="1952"/>
      <c r="G11" s="1952"/>
      <c r="H11" s="1952"/>
      <c r="I11" s="1952"/>
      <c r="J11" s="1952"/>
      <c r="K11" s="1952"/>
      <c r="L11" s="1952"/>
      <c r="M11" s="1952"/>
      <c r="N11" s="1952"/>
      <c r="O11" s="1952"/>
      <c r="P11" s="1952"/>
      <c r="Q11" s="1952"/>
      <c r="R11" s="1952"/>
      <c r="S11" s="1998"/>
      <c r="T11" s="1371"/>
      <c r="U11" s="1371"/>
      <c r="V11" s="1371"/>
      <c r="W11" s="1371"/>
      <c r="X11" s="1371"/>
      <c r="Y11" s="1371"/>
      <c r="Z11" s="1371"/>
      <c r="AA11" s="1371"/>
      <c r="AB11" s="1371"/>
      <c r="AC11" s="1371"/>
    </row>
    <row r="12" spans="1:35" ht="40.5" customHeight="1">
      <c r="A12" s="1995"/>
      <c r="B12" s="1996"/>
      <c r="C12" s="1936"/>
      <c r="D12" s="1999" t="s">
        <v>183</v>
      </c>
      <c r="E12" s="2000"/>
      <c r="F12" s="2001" t="str">
        <f>基本情報!C55</f>
        <v>東京都千代田区神田錦町3-18</v>
      </c>
      <c r="G12" s="2001"/>
      <c r="H12" s="2001"/>
      <c r="I12" s="2001"/>
      <c r="J12" s="2001"/>
      <c r="K12" s="2001"/>
      <c r="L12" s="2001"/>
      <c r="M12" s="2001"/>
      <c r="N12" s="2001"/>
      <c r="O12" s="2001"/>
      <c r="P12" s="2001"/>
      <c r="Q12" s="2001"/>
      <c r="R12" s="2001"/>
      <c r="S12" s="2002"/>
      <c r="T12" s="1371"/>
      <c r="U12" s="1371"/>
      <c r="V12" s="1371"/>
      <c r="W12" s="1371"/>
      <c r="X12" s="1371"/>
      <c r="Y12" s="1371"/>
      <c r="Z12" s="1371"/>
      <c r="AA12" s="1371"/>
      <c r="AB12" s="1371"/>
      <c r="AC12" s="1371"/>
    </row>
    <row r="13" spans="1:35" s="1382" customFormat="1" ht="40.5" customHeight="1">
      <c r="A13" s="1938" t="s">
        <v>649</v>
      </c>
      <c r="B13" s="1939"/>
      <c r="C13" s="1926"/>
      <c r="D13" s="1987" t="str">
        <f>基本情報!C56</f>
        <v>CBRE株式会社</v>
      </c>
      <c r="E13" s="1988"/>
      <c r="F13" s="1988"/>
      <c r="G13" s="1988"/>
      <c r="H13" s="1988"/>
      <c r="I13" s="1988"/>
      <c r="J13" s="1988"/>
      <c r="K13" s="1989"/>
      <c r="L13" s="1979" t="s">
        <v>650</v>
      </c>
      <c r="M13" s="1980"/>
      <c r="N13" s="1990">
        <f>'事業計画書（事業決定時）'!D10</f>
        <v>18496812</v>
      </c>
      <c r="O13" s="1991"/>
      <c r="P13" s="1991"/>
      <c r="Q13" s="1984" t="s">
        <v>651</v>
      </c>
      <c r="R13" s="1984"/>
      <c r="S13" s="1985"/>
      <c r="T13" s="1381"/>
      <c r="U13" s="1381"/>
      <c r="V13" s="1381"/>
      <c r="W13" s="1381"/>
      <c r="X13" s="1381"/>
      <c r="Y13" s="1381"/>
      <c r="Z13" s="1381"/>
      <c r="AA13" s="1381"/>
      <c r="AB13" s="1381"/>
      <c r="AC13" s="1381"/>
    </row>
    <row r="14" spans="1:35" ht="40.5" customHeight="1" thickBot="1">
      <c r="A14" s="1938" t="s">
        <v>689</v>
      </c>
      <c r="B14" s="1939"/>
      <c r="C14" s="1926"/>
      <c r="D14" s="1500"/>
      <c r="E14" s="1986">
        <f>'事業計画書（事業決定時）'!D8</f>
        <v>614560426</v>
      </c>
      <c r="F14" s="1986"/>
      <c r="G14" s="1986"/>
      <c r="H14" s="1986"/>
      <c r="I14" s="1417" t="s">
        <v>655</v>
      </c>
      <c r="J14" s="1417"/>
      <c r="K14" s="1390"/>
      <c r="L14" s="1390"/>
      <c r="M14" s="1390"/>
      <c r="N14" s="1390"/>
      <c r="O14" s="1390"/>
      <c r="P14" s="1390"/>
      <c r="Q14" s="1390"/>
      <c r="R14" s="1390"/>
      <c r="S14" s="1391"/>
      <c r="T14" s="1371"/>
      <c r="U14" s="1371"/>
      <c r="V14" s="1371"/>
      <c r="W14" s="1371"/>
      <c r="X14" s="1371"/>
      <c r="Y14" s="1371"/>
      <c r="Z14" s="1371"/>
      <c r="AA14" s="1371"/>
      <c r="AB14" s="1371"/>
      <c r="AC14" s="1371"/>
    </row>
    <row r="15" spans="1:35" ht="40.5" customHeight="1">
      <c r="A15" s="1945" t="s">
        <v>692</v>
      </c>
      <c r="B15" s="1931" t="s">
        <v>667</v>
      </c>
      <c r="C15" s="1932"/>
      <c r="D15" s="1418"/>
      <c r="E15" s="1937">
        <f>'事業計画書（事業決定時）'!M13</f>
        <v>997160000</v>
      </c>
      <c r="F15" s="1937"/>
      <c r="G15" s="1937"/>
      <c r="H15" s="1937"/>
      <c r="I15" s="1419" t="s">
        <v>655</v>
      </c>
      <c r="J15" s="1419"/>
      <c r="K15" s="1420"/>
      <c r="L15" s="1420"/>
      <c r="M15" s="1420"/>
      <c r="N15" s="1501"/>
      <c r="O15" s="1501"/>
      <c r="P15" s="1501"/>
      <c r="Q15" s="1420"/>
      <c r="R15" s="1420"/>
      <c r="S15" s="1421"/>
      <c r="T15" s="1371"/>
      <c r="U15" s="1371"/>
      <c r="V15" s="1371"/>
      <c r="W15" s="1371"/>
      <c r="X15" s="1371"/>
      <c r="Y15" s="1371"/>
      <c r="Z15" s="1371"/>
      <c r="AA15" s="1371"/>
      <c r="AB15" s="1371"/>
      <c r="AC15" s="1371"/>
    </row>
    <row r="16" spans="1:35" ht="40.5" customHeight="1">
      <c r="A16" s="1946"/>
      <c r="B16" s="1933"/>
      <c r="C16" s="1934"/>
      <c r="D16" s="1948" t="s">
        <v>668</v>
      </c>
      <c r="E16" s="1949"/>
      <c r="F16" s="1950">
        <f>'事業計画書（事業決定時）'!M20</f>
        <v>219536982</v>
      </c>
      <c r="G16" s="1951"/>
      <c r="H16" s="1951"/>
      <c r="I16" s="1952" t="s">
        <v>657</v>
      </c>
      <c r="J16" s="1952"/>
      <c r="K16" s="1940">
        <f>'事業計画書（事業決定時）'!M21</f>
        <v>0.2823</v>
      </c>
      <c r="L16" s="1940"/>
      <c r="M16" s="1397" t="s">
        <v>669</v>
      </c>
      <c r="N16" s="1398"/>
      <c r="O16" s="1397"/>
      <c r="P16" s="1397"/>
      <c r="Q16" s="1397"/>
      <c r="R16" s="1397"/>
      <c r="S16" s="1399"/>
      <c r="T16" s="1371"/>
      <c r="U16" s="1371"/>
      <c r="V16" s="1371"/>
      <c r="W16" s="1371"/>
      <c r="X16" s="1371"/>
      <c r="Y16" s="1371"/>
      <c r="Z16" s="1371"/>
      <c r="AA16" s="1371"/>
      <c r="AB16" s="1371"/>
      <c r="AC16" s="1371"/>
    </row>
    <row r="17" spans="1:29" ht="40.5" customHeight="1">
      <c r="A17" s="1946"/>
      <c r="B17" s="1935"/>
      <c r="C17" s="1936"/>
      <c r="D17" s="1941" t="s">
        <v>670</v>
      </c>
      <c r="E17" s="1942"/>
      <c r="F17" s="1943">
        <f>'事業計画書（事業決定時）'!D62</f>
        <v>777623018</v>
      </c>
      <c r="G17" s="1944"/>
      <c r="H17" s="1944"/>
      <c r="I17" s="1502" t="s">
        <v>884</v>
      </c>
      <c r="J17" s="1400"/>
      <c r="K17" s="1403"/>
      <c r="L17" s="1403"/>
      <c r="M17" s="1403"/>
      <c r="N17" s="1422"/>
      <c r="O17" s="1403"/>
      <c r="P17" s="1403"/>
      <c r="Q17" s="1403"/>
      <c r="R17" s="1403"/>
      <c r="S17" s="1404"/>
      <c r="T17" s="1371"/>
      <c r="U17" s="1371"/>
      <c r="V17" s="1371"/>
      <c r="W17" s="1371"/>
      <c r="X17" s="1371"/>
      <c r="Y17" s="1371"/>
      <c r="Z17" s="1371"/>
      <c r="AA17" s="1371"/>
      <c r="AB17" s="1371"/>
      <c r="AC17" s="1371"/>
    </row>
    <row r="18" spans="1:29" s="1382" customFormat="1" ht="40.5" customHeight="1">
      <c r="A18" s="1946"/>
      <c r="B18" s="1925" t="s">
        <v>671</v>
      </c>
      <c r="C18" s="1926"/>
      <c r="D18" s="1927" t="s">
        <v>672</v>
      </c>
      <c r="E18" s="1928"/>
      <c r="F18" s="1929">
        <f>'事業計画書（事業決定時）'!M18</f>
        <v>5.3199999999999997E-2</v>
      </c>
      <c r="G18" s="1929"/>
      <c r="H18" s="1930" t="s">
        <v>673</v>
      </c>
      <c r="I18" s="1930"/>
      <c r="J18" s="1929">
        <f>'事業計画書（事業決定時）'!M19</f>
        <v>4.5100000000000001E-2</v>
      </c>
      <c r="K18" s="1929"/>
      <c r="L18" s="1405"/>
      <c r="M18" s="1405"/>
      <c r="N18" s="1405"/>
      <c r="O18" s="1405"/>
      <c r="P18" s="1405"/>
      <c r="Q18" s="1405"/>
      <c r="R18" s="1406"/>
      <c r="S18" s="1407"/>
      <c r="T18" s="1381"/>
      <c r="U18" s="1381"/>
      <c r="V18" s="1381"/>
      <c r="W18" s="1381"/>
      <c r="X18" s="1381"/>
      <c r="Y18" s="1381"/>
      <c r="Z18" s="1381"/>
      <c r="AA18" s="1381"/>
      <c r="AB18" s="1381"/>
      <c r="AC18" s="1381"/>
    </row>
    <row r="19" spans="1:29" s="1382" customFormat="1" ht="40.5" customHeight="1" thickBot="1">
      <c r="A19" s="1947"/>
      <c r="B19" s="1920" t="s">
        <v>674</v>
      </c>
      <c r="C19" s="1921"/>
      <c r="D19" s="1922">
        <f>'事業計画書（事業決定時）'!M58</f>
        <v>272</v>
      </c>
      <c r="E19" s="1923"/>
      <c r="F19" s="1423" t="s">
        <v>675</v>
      </c>
      <c r="G19" s="1924">
        <f>'事業計画書（事業決定時）'!M55</f>
        <v>43259</v>
      </c>
      <c r="H19" s="1924"/>
      <c r="I19" s="1924"/>
      <c r="J19" s="1409" t="s">
        <v>676</v>
      </c>
      <c r="K19" s="1924">
        <f>'事業計画書（事業決定時）'!M57</f>
        <v>43524</v>
      </c>
      <c r="L19" s="1924"/>
      <c r="M19" s="1924"/>
      <c r="N19" s="1411" t="s">
        <v>669</v>
      </c>
      <c r="O19" s="1411"/>
      <c r="P19" s="1411"/>
      <c r="Q19" s="1411"/>
      <c r="R19" s="1411"/>
      <c r="S19" s="1412"/>
      <c r="T19" s="1381"/>
      <c r="U19" s="1381"/>
      <c r="V19" s="1381"/>
      <c r="W19" s="1381"/>
      <c r="X19" s="1381"/>
      <c r="Y19" s="1381"/>
      <c r="Z19" s="1381"/>
      <c r="AA19" s="1381"/>
      <c r="AB19" s="1381"/>
      <c r="AC19" s="1381"/>
    </row>
    <row r="20" spans="1:29" ht="40.5" customHeight="1">
      <c r="A20" s="1945" t="s">
        <v>693</v>
      </c>
      <c r="B20" s="1931" t="s">
        <v>667</v>
      </c>
      <c r="C20" s="1932"/>
      <c r="D20" s="1418"/>
      <c r="E20" s="1937">
        <f>'事業計画書（事業決定時）'!M23</f>
        <v>834030000</v>
      </c>
      <c r="F20" s="1937"/>
      <c r="G20" s="1937"/>
      <c r="H20" s="1937"/>
      <c r="I20" s="1419" t="s">
        <v>655</v>
      </c>
      <c r="J20" s="1419"/>
      <c r="K20" s="1420"/>
      <c r="L20" s="1420"/>
      <c r="M20" s="1420"/>
      <c r="N20" s="1501"/>
      <c r="O20" s="1501"/>
      <c r="P20" s="1501"/>
      <c r="Q20" s="1420"/>
      <c r="R20" s="1420"/>
      <c r="S20" s="1421"/>
      <c r="T20" s="1371"/>
      <c r="U20" s="1371"/>
      <c r="V20" s="1371"/>
      <c r="W20" s="1371"/>
      <c r="X20" s="1371"/>
      <c r="Y20" s="1371"/>
      <c r="Z20" s="1371"/>
      <c r="AA20" s="1371"/>
      <c r="AB20" s="1371"/>
      <c r="AC20" s="1371"/>
    </row>
    <row r="21" spans="1:29" ht="40.5" customHeight="1">
      <c r="A21" s="1946"/>
      <c r="B21" s="1933"/>
      <c r="C21" s="1934"/>
      <c r="D21" s="1948" t="s">
        <v>668</v>
      </c>
      <c r="E21" s="1949"/>
      <c r="F21" s="1950">
        <f>'事業計画書（事業決定時）'!M30</f>
        <v>88946602</v>
      </c>
      <c r="G21" s="1951"/>
      <c r="H21" s="1951"/>
      <c r="I21" s="1952" t="s">
        <v>657</v>
      </c>
      <c r="J21" s="1952"/>
      <c r="K21" s="1940">
        <f>'事業計画書（事業決定時）'!M31</f>
        <v>0.11940000000000001</v>
      </c>
      <c r="L21" s="1940"/>
      <c r="M21" s="1397" t="s">
        <v>669</v>
      </c>
      <c r="N21" s="1398"/>
      <c r="O21" s="1397"/>
      <c r="P21" s="1397"/>
      <c r="Q21" s="1397"/>
      <c r="R21" s="1397"/>
      <c r="S21" s="1399"/>
      <c r="T21" s="1371"/>
      <c r="U21" s="1371"/>
      <c r="V21" s="1371"/>
      <c r="W21" s="1371"/>
      <c r="X21" s="1371"/>
      <c r="Y21" s="1371"/>
      <c r="Z21" s="1371"/>
      <c r="AA21" s="1371"/>
      <c r="AB21" s="1371"/>
      <c r="AC21" s="1371"/>
    </row>
    <row r="22" spans="1:29" ht="40.5" customHeight="1">
      <c r="A22" s="1946"/>
      <c r="B22" s="1935"/>
      <c r="C22" s="1936"/>
      <c r="D22" s="1941" t="s">
        <v>670</v>
      </c>
      <c r="E22" s="1942"/>
      <c r="F22" s="1943">
        <f>'事業計画書（事業決定時）'!D63</f>
        <v>745083398</v>
      </c>
      <c r="G22" s="1944"/>
      <c r="H22" s="1944"/>
      <c r="I22" s="1502" t="s">
        <v>884</v>
      </c>
      <c r="J22" s="1400"/>
      <c r="K22" s="1403"/>
      <c r="L22" s="1403"/>
      <c r="M22" s="1403"/>
      <c r="N22" s="1422"/>
      <c r="O22" s="1403"/>
      <c r="P22" s="1403"/>
      <c r="Q22" s="1403"/>
      <c r="R22" s="1403"/>
      <c r="S22" s="1404"/>
      <c r="T22" s="1371"/>
      <c r="U22" s="1371"/>
      <c r="V22" s="1371"/>
      <c r="W22" s="1371"/>
      <c r="X22" s="1371"/>
      <c r="Y22" s="1371"/>
      <c r="Z22" s="1371"/>
      <c r="AA22" s="1371"/>
      <c r="AB22" s="1371"/>
      <c r="AC22" s="1371"/>
    </row>
    <row r="23" spans="1:29" s="1382" customFormat="1" ht="40.5" customHeight="1">
      <c r="A23" s="1946"/>
      <c r="B23" s="1925" t="s">
        <v>671</v>
      </c>
      <c r="C23" s="1926"/>
      <c r="D23" s="1927" t="s">
        <v>672</v>
      </c>
      <c r="E23" s="1928"/>
      <c r="F23" s="1929">
        <f>'事業計画書（事業決定時）'!M28</f>
        <v>5.8000000000000003E-2</v>
      </c>
      <c r="G23" s="1929"/>
      <c r="H23" s="1930" t="s">
        <v>673</v>
      </c>
      <c r="I23" s="1930"/>
      <c r="J23" s="1929">
        <f>'事業計画書（事業決定時）'!M29</f>
        <v>4.8500000000000001E-2</v>
      </c>
      <c r="K23" s="1929"/>
      <c r="L23" s="1405"/>
      <c r="M23" s="1405"/>
      <c r="N23" s="1405"/>
      <c r="O23" s="1405"/>
      <c r="P23" s="1405"/>
      <c r="Q23" s="1405"/>
      <c r="R23" s="1406"/>
      <c r="S23" s="1407"/>
      <c r="T23" s="1381"/>
      <c r="U23" s="1381"/>
      <c r="V23" s="1381"/>
      <c r="W23" s="1381"/>
      <c r="X23" s="1381"/>
      <c r="Y23" s="1381"/>
      <c r="Z23" s="1381"/>
      <c r="AA23" s="1381"/>
      <c r="AB23" s="1381"/>
      <c r="AC23" s="1381"/>
    </row>
    <row r="24" spans="1:29" s="1382" customFormat="1" ht="40.5" customHeight="1" thickBot="1">
      <c r="A24" s="1947"/>
      <c r="B24" s="1920" t="s">
        <v>674</v>
      </c>
      <c r="C24" s="1921"/>
      <c r="D24" s="1922">
        <f>'事業計画書（事業決定時）'!N58</f>
        <v>272</v>
      </c>
      <c r="E24" s="1923"/>
      <c r="F24" s="1423" t="s">
        <v>675</v>
      </c>
      <c r="G24" s="1924">
        <f>'事業計画書（事業決定時）'!N55</f>
        <v>43259</v>
      </c>
      <c r="H24" s="1924"/>
      <c r="I24" s="1924"/>
      <c r="J24" s="1409" t="s">
        <v>676</v>
      </c>
      <c r="K24" s="1924">
        <f>'事業計画書（事業決定時）'!N57</f>
        <v>43524</v>
      </c>
      <c r="L24" s="1924"/>
      <c r="M24" s="1924"/>
      <c r="N24" s="1411" t="s">
        <v>669</v>
      </c>
      <c r="O24" s="1411"/>
      <c r="P24" s="1411"/>
      <c r="Q24" s="1411"/>
      <c r="R24" s="1411"/>
      <c r="S24" s="1412"/>
      <c r="T24" s="1381"/>
      <c r="U24" s="1381"/>
      <c r="V24" s="1381"/>
      <c r="W24" s="1381"/>
      <c r="X24" s="1381"/>
      <c r="Y24" s="1381"/>
      <c r="Z24" s="1381"/>
      <c r="AA24" s="1381"/>
      <c r="AB24" s="1381"/>
      <c r="AC24" s="1381"/>
    </row>
    <row r="25" spans="1:29" ht="40.5" customHeight="1">
      <c r="A25" s="1962" t="s">
        <v>677</v>
      </c>
      <c r="B25" s="1963"/>
      <c r="C25" s="1964"/>
      <c r="D25" s="1965">
        <f>'事業計画書（事業決定時）'!M54</f>
        <v>43188</v>
      </c>
      <c r="E25" s="1966"/>
      <c r="F25" s="1966"/>
      <c r="G25" s="1966"/>
      <c r="H25" s="1966"/>
      <c r="I25" s="1966"/>
      <c r="J25" s="1966"/>
      <c r="K25" s="1967"/>
      <c r="L25" s="1968" t="s">
        <v>678</v>
      </c>
      <c r="M25" s="1969"/>
      <c r="N25" s="1970">
        <f>'事業計画書（事業決定時）'!M55</f>
        <v>43259</v>
      </c>
      <c r="O25" s="1971"/>
      <c r="P25" s="1971"/>
      <c r="Q25" s="1971"/>
      <c r="R25" s="1971"/>
      <c r="S25" s="1972"/>
      <c r="T25" s="1371"/>
      <c r="U25" s="1371"/>
      <c r="V25" s="1371"/>
      <c r="W25" s="1371"/>
      <c r="X25" s="1371"/>
      <c r="Y25" s="1371"/>
      <c r="Z25" s="1371"/>
      <c r="AA25" s="1371"/>
      <c r="AB25" s="1371"/>
      <c r="AC25" s="1371"/>
    </row>
    <row r="26" spans="1:29" ht="40.5" customHeight="1">
      <c r="A26" s="1973" t="s">
        <v>683</v>
      </c>
      <c r="B26" s="1974"/>
      <c r="C26" s="1975"/>
      <c r="D26" s="1976">
        <f>基本情報!C58</f>
        <v>0</v>
      </c>
      <c r="E26" s="1977"/>
      <c r="F26" s="1977"/>
      <c r="G26" s="1977"/>
      <c r="H26" s="1977"/>
      <c r="I26" s="1977"/>
      <c r="J26" s="1977"/>
      <c r="K26" s="1978"/>
      <c r="L26" s="1979" t="s">
        <v>679</v>
      </c>
      <c r="M26" s="1980"/>
      <c r="N26" s="1981">
        <f>基本情報!C59</f>
        <v>0</v>
      </c>
      <c r="O26" s="1982"/>
      <c r="P26" s="1982"/>
      <c r="Q26" s="1982"/>
      <c r="R26" s="1982"/>
      <c r="S26" s="1983"/>
      <c r="T26" s="1371"/>
      <c r="U26" s="1371"/>
      <c r="V26" s="1383"/>
      <c r="W26" s="1383"/>
      <c r="X26" s="1383"/>
      <c r="Y26" s="1383"/>
      <c r="Z26" s="1383"/>
      <c r="AA26" s="1383"/>
      <c r="AB26" s="1383"/>
      <c r="AC26" s="1371"/>
    </row>
    <row r="27" spans="1:29" ht="50.25" customHeight="1">
      <c r="A27" s="1953" t="s">
        <v>826</v>
      </c>
      <c r="B27" s="1954"/>
      <c r="C27" s="1954"/>
      <c r="D27" s="1957" t="str">
        <f>基本情報!C60</f>
        <v>現況有姿、公簿売買、瑕疵担保免責</v>
      </c>
      <c r="E27" s="1957"/>
      <c r="F27" s="1957"/>
      <c r="G27" s="1957"/>
      <c r="H27" s="1957"/>
      <c r="I27" s="1957"/>
      <c r="J27" s="1957"/>
      <c r="K27" s="1957"/>
      <c r="L27" s="1957"/>
      <c r="M27" s="1957"/>
      <c r="N27" s="1957"/>
      <c r="O27" s="1957"/>
      <c r="P27" s="1957"/>
      <c r="Q27" s="1957"/>
      <c r="R27" s="1957"/>
      <c r="S27" s="1958"/>
      <c r="T27" s="1371"/>
      <c r="U27" s="1371"/>
      <c r="V27" s="1384"/>
      <c r="W27" s="1384"/>
      <c r="X27" s="1384"/>
      <c r="Y27" s="1384"/>
      <c r="Z27" s="1384"/>
      <c r="AA27" s="1384"/>
      <c r="AB27" s="1384"/>
      <c r="AC27" s="1371"/>
    </row>
    <row r="28" spans="1:29" ht="50.25" customHeight="1" thickBot="1">
      <c r="A28" s="1955"/>
      <c r="B28" s="1956"/>
      <c r="C28" s="1956"/>
      <c r="D28" s="1959" t="str">
        <f>基本情報!C61</f>
        <v>境界明示（官民・民民）</v>
      </c>
      <c r="E28" s="1960"/>
      <c r="F28" s="1960"/>
      <c r="G28" s="1960"/>
      <c r="H28" s="1960"/>
      <c r="I28" s="1960"/>
      <c r="J28" s="1960"/>
      <c r="K28" s="1960"/>
      <c r="L28" s="1960"/>
      <c r="M28" s="1960"/>
      <c r="N28" s="1960"/>
      <c r="O28" s="1960"/>
      <c r="P28" s="1960"/>
      <c r="Q28" s="1960"/>
      <c r="R28" s="1960"/>
      <c r="S28" s="1961"/>
      <c r="T28" s="1371"/>
      <c r="U28" s="1371"/>
      <c r="V28" s="1384"/>
      <c r="W28" s="1384"/>
      <c r="X28" s="1384"/>
      <c r="Y28" s="1384"/>
      <c r="Z28" s="1384"/>
      <c r="AA28" s="1384"/>
      <c r="AB28" s="1384"/>
      <c r="AC28" s="1371"/>
    </row>
    <row r="29" spans="1:29" ht="14.25" customHeight="1">
      <c r="A29" s="1385"/>
      <c r="B29" s="1385"/>
      <c r="C29" s="1385"/>
      <c r="D29" s="1385"/>
      <c r="E29" s="1385"/>
      <c r="F29" s="1385"/>
      <c r="G29" s="1385"/>
      <c r="H29" s="1385"/>
      <c r="I29" s="1385"/>
      <c r="J29" s="1371"/>
      <c r="K29" s="1371"/>
      <c r="L29" s="1371"/>
      <c r="M29" s="1371"/>
      <c r="N29" s="1371"/>
      <c r="O29" s="1371"/>
      <c r="P29" s="1371"/>
      <c r="Q29" s="1371"/>
      <c r="R29" s="1371"/>
      <c r="S29" s="1371"/>
      <c r="T29" s="1371"/>
      <c r="U29" s="1371"/>
      <c r="V29" s="1371"/>
      <c r="W29" s="1371"/>
      <c r="X29" s="1371"/>
      <c r="Y29" s="1371"/>
      <c r="Z29" s="1371"/>
      <c r="AA29" s="1371"/>
      <c r="AB29" s="1371"/>
      <c r="AC29" s="1371"/>
    </row>
    <row r="30" spans="1:29" ht="13.5" customHeight="1">
      <c r="A30" s="1385"/>
      <c r="B30" s="1385"/>
      <c r="C30" s="1385"/>
      <c r="D30" s="1385"/>
      <c r="E30" s="1385"/>
      <c r="F30" s="1385"/>
      <c r="G30" s="1385"/>
      <c r="H30" s="1385"/>
      <c r="I30" s="1385"/>
      <c r="J30" s="1371"/>
      <c r="K30" s="1371"/>
      <c r="L30" s="1371"/>
      <c r="M30" s="1371"/>
      <c r="N30" s="1371"/>
      <c r="O30" s="1371"/>
      <c r="P30" s="1371"/>
      <c r="Q30" s="1371"/>
      <c r="R30" s="1371"/>
      <c r="S30" s="1371"/>
      <c r="T30" s="1371"/>
      <c r="U30" s="1371"/>
      <c r="V30" s="1371"/>
      <c r="W30" s="1371"/>
      <c r="X30" s="1371"/>
      <c r="Y30" s="1371"/>
      <c r="Z30" s="1371"/>
      <c r="AA30" s="1371"/>
      <c r="AB30" s="1371"/>
      <c r="AC30" s="1371"/>
    </row>
    <row r="31" spans="1:29" ht="13.5" customHeight="1">
      <c r="A31" s="1385"/>
      <c r="B31" s="1385"/>
      <c r="C31" s="1385"/>
      <c r="D31" s="1385"/>
      <c r="E31" s="1385"/>
      <c r="F31" s="1385"/>
      <c r="G31" s="1385"/>
      <c r="H31" s="1385"/>
      <c r="I31" s="1385"/>
      <c r="J31" s="1371"/>
      <c r="K31" s="1371"/>
      <c r="L31" s="1371"/>
      <c r="M31" s="1371"/>
      <c r="N31" s="1371"/>
      <c r="O31" s="1371"/>
      <c r="P31" s="1371"/>
      <c r="Q31" s="1371"/>
      <c r="R31" s="1371"/>
      <c r="S31" s="1371"/>
      <c r="T31" s="1371"/>
      <c r="U31" s="1371"/>
      <c r="V31" s="1371"/>
      <c r="W31" s="1371"/>
      <c r="X31" s="1371"/>
      <c r="Y31" s="1371"/>
      <c r="Z31" s="1371"/>
      <c r="AA31" s="1371"/>
      <c r="AB31" s="1371"/>
      <c r="AC31" s="1371"/>
    </row>
    <row r="32" spans="1:29">
      <c r="A32" s="1386"/>
      <c r="B32" s="1386"/>
      <c r="C32" s="1386"/>
      <c r="D32" s="1387"/>
      <c r="E32" s="1387"/>
      <c r="F32" s="1387"/>
      <c r="G32" s="1387"/>
      <c r="H32" s="1386"/>
      <c r="I32" s="1387"/>
      <c r="J32" s="1371"/>
      <c r="K32" s="1371"/>
      <c r="L32" s="1371"/>
      <c r="M32" s="1371"/>
      <c r="N32" s="1371"/>
      <c r="O32" s="1371"/>
      <c r="P32" s="1371"/>
      <c r="Q32" s="1371"/>
      <c r="R32" s="1371"/>
      <c r="S32" s="1371"/>
      <c r="T32" s="1371"/>
      <c r="U32" s="1371"/>
      <c r="V32" s="1371"/>
      <c r="W32" s="1371"/>
      <c r="X32" s="1371"/>
      <c r="Y32" s="1371"/>
      <c r="Z32" s="1371"/>
      <c r="AA32" s="1371"/>
      <c r="AB32" s="1371"/>
      <c r="AC32" s="1371"/>
    </row>
    <row r="33" spans="1:29">
      <c r="A33" s="1386"/>
      <c r="B33" s="1386"/>
      <c r="C33" s="1386"/>
      <c r="D33" s="1387"/>
      <c r="E33" s="1387"/>
      <c r="F33" s="1387"/>
      <c r="G33" s="1387"/>
      <c r="H33" s="1386"/>
      <c r="I33" s="1387"/>
      <c r="J33" s="1371"/>
      <c r="K33" s="1371"/>
      <c r="L33" s="1371"/>
      <c r="M33" s="1371"/>
      <c r="N33" s="1371"/>
      <c r="O33" s="1371"/>
      <c r="P33" s="1371"/>
      <c r="Q33" s="1371"/>
      <c r="R33" s="1371"/>
      <c r="S33" s="1371"/>
      <c r="T33" s="1371"/>
      <c r="U33" s="1371"/>
      <c r="V33" s="1371"/>
      <c r="W33" s="1371"/>
      <c r="X33" s="1371"/>
      <c r="Y33" s="1371"/>
      <c r="Z33" s="1371"/>
      <c r="AA33" s="1371"/>
      <c r="AB33" s="1371"/>
      <c r="AC33" s="1371"/>
    </row>
    <row r="34" spans="1:29">
      <c r="J34" s="1371"/>
      <c r="K34" s="1371"/>
      <c r="L34" s="1371"/>
      <c r="M34" s="1371"/>
      <c r="N34" s="1371"/>
      <c r="O34" s="1371"/>
      <c r="P34" s="1371"/>
      <c r="Q34" s="1371"/>
      <c r="R34" s="1371"/>
      <c r="S34" s="1371"/>
      <c r="T34" s="1371"/>
      <c r="U34" s="1371"/>
      <c r="V34" s="1371"/>
      <c r="W34" s="1371"/>
      <c r="X34" s="1371"/>
      <c r="Y34" s="1371"/>
      <c r="Z34" s="1371"/>
      <c r="AA34" s="1371"/>
      <c r="AB34" s="1371"/>
      <c r="AC34" s="1371"/>
    </row>
    <row r="35" spans="1:29">
      <c r="J35" s="1371"/>
      <c r="K35" s="1371"/>
      <c r="L35" s="1371"/>
      <c r="M35" s="1371"/>
      <c r="N35" s="1371"/>
      <c r="O35" s="1371"/>
      <c r="P35" s="1371"/>
      <c r="Q35" s="1371"/>
      <c r="R35" s="1371"/>
      <c r="S35" s="1371"/>
      <c r="T35" s="1371"/>
      <c r="U35" s="1371"/>
      <c r="V35" s="1371"/>
      <c r="W35" s="1371"/>
      <c r="X35" s="1371"/>
      <c r="Y35" s="1371"/>
      <c r="Z35" s="1371"/>
      <c r="AA35" s="1371"/>
      <c r="AB35" s="1371"/>
      <c r="AC35" s="1371"/>
    </row>
    <row r="36" spans="1:29">
      <c r="J36" s="1371"/>
      <c r="K36" s="1371"/>
      <c r="L36" s="1371"/>
      <c r="M36" s="1371"/>
      <c r="N36" s="1371"/>
      <c r="O36" s="1371"/>
      <c r="P36" s="1371"/>
      <c r="Q36" s="1371"/>
      <c r="R36" s="1371"/>
      <c r="S36" s="1371"/>
      <c r="T36" s="1371"/>
      <c r="U36" s="1371"/>
      <c r="V36" s="1371"/>
      <c r="W36" s="1371"/>
      <c r="X36" s="1371"/>
      <c r="Y36" s="1371"/>
      <c r="Z36" s="1371"/>
      <c r="AA36" s="1371"/>
      <c r="AB36" s="1371"/>
      <c r="AC36" s="1371"/>
    </row>
    <row r="37" spans="1:29">
      <c r="J37" s="1371"/>
      <c r="K37" s="1371"/>
      <c r="L37" s="1371"/>
      <c r="M37" s="1371"/>
      <c r="N37" s="1371"/>
      <c r="O37" s="1371"/>
      <c r="P37" s="1371"/>
      <c r="Q37" s="1371"/>
      <c r="R37" s="1371"/>
      <c r="S37" s="1371"/>
      <c r="T37" s="1371"/>
      <c r="U37" s="1371"/>
      <c r="V37" s="1371"/>
      <c r="W37" s="1371"/>
      <c r="X37" s="1371"/>
      <c r="Y37" s="1371"/>
      <c r="Z37" s="1371"/>
      <c r="AA37" s="1371"/>
      <c r="AB37" s="1371"/>
      <c r="AC37" s="1371"/>
    </row>
    <row r="38" spans="1:29">
      <c r="J38" s="1371"/>
      <c r="K38" s="1371"/>
      <c r="L38" s="1371"/>
      <c r="M38" s="1371"/>
      <c r="N38" s="1371"/>
      <c r="O38" s="1371"/>
      <c r="P38" s="1371"/>
      <c r="Q38" s="1371"/>
      <c r="R38" s="1371"/>
      <c r="S38" s="1371"/>
      <c r="T38" s="1371"/>
      <c r="U38" s="1371"/>
      <c r="V38" s="1371"/>
      <c r="W38" s="1371"/>
      <c r="X38" s="1371"/>
      <c r="Y38" s="1371"/>
      <c r="Z38" s="1371"/>
      <c r="AA38" s="1371"/>
      <c r="AB38" s="1371"/>
      <c r="AC38" s="1371"/>
    </row>
    <row r="39" spans="1:29">
      <c r="J39" s="1371"/>
      <c r="K39" s="1371"/>
      <c r="L39" s="1371"/>
      <c r="M39" s="1371"/>
      <c r="N39" s="1371"/>
      <c r="O39" s="1371"/>
      <c r="P39" s="1371"/>
      <c r="Q39" s="1371"/>
      <c r="R39" s="1371"/>
      <c r="S39" s="1371"/>
      <c r="T39" s="1371"/>
      <c r="U39" s="1371"/>
      <c r="V39" s="1371"/>
      <c r="W39" s="1371"/>
      <c r="X39" s="1371"/>
      <c r="Y39" s="1371"/>
      <c r="Z39" s="1371"/>
      <c r="AA39" s="1371"/>
      <c r="AB39" s="1371"/>
      <c r="AC39" s="1371"/>
    </row>
    <row r="40" spans="1:29">
      <c r="J40" s="1371"/>
      <c r="K40" s="1371"/>
      <c r="L40" s="1371"/>
      <c r="M40" s="1371"/>
      <c r="N40" s="1371"/>
      <c r="O40" s="1371"/>
      <c r="P40" s="1371"/>
      <c r="Q40" s="1371"/>
      <c r="R40" s="1371"/>
      <c r="S40" s="1371"/>
      <c r="T40" s="1371"/>
      <c r="U40" s="1371"/>
      <c r="V40" s="1371"/>
      <c r="W40" s="1371"/>
      <c r="X40" s="1371"/>
      <c r="Y40" s="1371"/>
      <c r="Z40" s="1371"/>
      <c r="AA40" s="1371"/>
      <c r="AB40" s="1371"/>
      <c r="AC40" s="1371"/>
    </row>
    <row r="41" spans="1:29">
      <c r="J41" s="1371"/>
      <c r="K41" s="1371"/>
      <c r="L41" s="1371"/>
      <c r="M41" s="1371"/>
      <c r="N41" s="1371"/>
      <c r="O41" s="1371"/>
      <c r="P41" s="1371"/>
      <c r="Q41" s="1371"/>
      <c r="R41" s="1371"/>
      <c r="S41" s="1371"/>
      <c r="T41" s="1371"/>
      <c r="U41" s="1371"/>
      <c r="V41" s="1371"/>
      <c r="W41" s="1371"/>
      <c r="X41" s="1371"/>
      <c r="Y41" s="1371"/>
      <c r="Z41" s="1371"/>
      <c r="AA41" s="1371"/>
      <c r="AB41" s="1371"/>
      <c r="AC41" s="1371"/>
    </row>
    <row r="42" spans="1:29">
      <c r="J42" s="1371"/>
      <c r="K42" s="1371"/>
      <c r="L42" s="1371"/>
      <c r="M42" s="1371"/>
      <c r="N42" s="1371"/>
      <c r="O42" s="1371"/>
      <c r="P42" s="1371"/>
      <c r="Q42" s="1371"/>
      <c r="R42" s="1371"/>
      <c r="S42" s="1371"/>
      <c r="T42" s="1371"/>
      <c r="U42" s="1371"/>
      <c r="V42" s="1371"/>
      <c r="W42" s="1371"/>
      <c r="X42" s="1371"/>
      <c r="Y42" s="1371"/>
      <c r="Z42" s="1371"/>
      <c r="AA42" s="1371"/>
      <c r="AB42" s="1371"/>
      <c r="AC42" s="1371"/>
    </row>
    <row r="43" spans="1:29">
      <c r="J43" s="1371"/>
      <c r="K43" s="1371"/>
      <c r="L43" s="1371"/>
      <c r="M43" s="1371"/>
      <c r="N43" s="1371"/>
      <c r="O43" s="1371"/>
      <c r="P43" s="1371"/>
      <c r="Q43" s="1371"/>
      <c r="R43" s="1371"/>
      <c r="S43" s="1371"/>
      <c r="T43" s="1371"/>
      <c r="U43" s="1371"/>
      <c r="V43" s="1371"/>
      <c r="W43" s="1371"/>
      <c r="X43" s="1371"/>
      <c r="Y43" s="1371"/>
      <c r="Z43" s="1371"/>
      <c r="AA43" s="1371"/>
      <c r="AB43" s="1371"/>
      <c r="AC43" s="1371"/>
    </row>
    <row r="44" spans="1:29">
      <c r="J44" s="1371"/>
      <c r="K44" s="1371"/>
      <c r="L44" s="1371"/>
      <c r="M44" s="1371"/>
      <c r="N44" s="1371"/>
      <c r="O44" s="1371"/>
      <c r="P44" s="1371"/>
      <c r="Q44" s="1371"/>
      <c r="R44" s="1371"/>
      <c r="S44" s="1371"/>
      <c r="T44" s="1371"/>
      <c r="U44" s="1371"/>
      <c r="V44" s="1371"/>
      <c r="W44" s="1371"/>
      <c r="X44" s="1371"/>
      <c r="Y44" s="1371"/>
      <c r="Z44" s="1371"/>
      <c r="AA44" s="1371"/>
      <c r="AB44" s="1371"/>
      <c r="AC44" s="1371"/>
    </row>
    <row r="45" spans="1:29">
      <c r="J45" s="1371"/>
      <c r="K45" s="1371"/>
      <c r="L45" s="1371"/>
      <c r="M45" s="1371"/>
      <c r="N45" s="1371"/>
      <c r="O45" s="1371"/>
      <c r="P45" s="1371"/>
      <c r="Q45" s="1371"/>
      <c r="R45" s="1371"/>
      <c r="S45" s="1371"/>
      <c r="T45" s="1371"/>
      <c r="U45" s="1371"/>
      <c r="V45" s="1371"/>
      <c r="W45" s="1371"/>
      <c r="X45" s="1371"/>
      <c r="Y45" s="1371"/>
      <c r="Z45" s="1371"/>
      <c r="AA45" s="1371"/>
      <c r="AB45" s="1371"/>
      <c r="AC45" s="1371"/>
    </row>
    <row r="46" spans="1:29">
      <c r="J46" s="1371"/>
      <c r="K46" s="1371"/>
      <c r="L46" s="1371"/>
      <c r="M46" s="1371"/>
      <c r="N46" s="1371"/>
      <c r="O46" s="1371"/>
      <c r="P46" s="1371"/>
      <c r="Q46" s="1371"/>
      <c r="R46" s="1371"/>
      <c r="S46" s="1371"/>
      <c r="T46" s="1371"/>
      <c r="U46" s="1371"/>
      <c r="V46" s="1371"/>
      <c r="W46" s="1371"/>
      <c r="X46" s="1371"/>
      <c r="Y46" s="1371"/>
      <c r="Z46" s="1371"/>
      <c r="AA46" s="1371"/>
      <c r="AB46" s="1371"/>
      <c r="AC46" s="1371"/>
    </row>
    <row r="47" spans="1:29">
      <c r="J47" s="1371"/>
      <c r="K47" s="1371"/>
      <c r="L47" s="1371"/>
      <c r="M47" s="1371"/>
      <c r="N47" s="1371"/>
      <c r="O47" s="1371"/>
      <c r="P47" s="1371"/>
      <c r="Q47" s="1371"/>
      <c r="R47" s="1371"/>
      <c r="S47" s="1371"/>
      <c r="T47" s="1371"/>
      <c r="U47" s="1371"/>
      <c r="V47" s="1371"/>
      <c r="W47" s="1371"/>
      <c r="X47" s="1371"/>
      <c r="Y47" s="1371"/>
      <c r="Z47" s="1371"/>
      <c r="AA47" s="1371"/>
      <c r="AB47" s="1371"/>
      <c r="AC47" s="1371"/>
    </row>
    <row r="48" spans="1:29">
      <c r="J48" s="1371"/>
      <c r="K48" s="1371"/>
      <c r="L48" s="1371"/>
      <c r="M48" s="1371"/>
      <c r="N48" s="1371"/>
      <c r="O48" s="1371"/>
      <c r="P48" s="1371"/>
      <c r="Q48" s="1371"/>
      <c r="R48" s="1371"/>
      <c r="S48" s="1371"/>
      <c r="T48" s="1371"/>
      <c r="U48" s="1371"/>
      <c r="V48" s="1371"/>
      <c r="W48" s="1371"/>
      <c r="X48" s="1371"/>
      <c r="Y48" s="1371"/>
      <c r="Z48" s="1371"/>
      <c r="AA48" s="1371"/>
      <c r="AB48" s="1371"/>
      <c r="AC48" s="1371"/>
    </row>
    <row r="49" spans="10:29">
      <c r="J49" s="1371"/>
      <c r="K49" s="1371"/>
      <c r="L49" s="1371"/>
      <c r="M49" s="1371"/>
      <c r="N49" s="1371"/>
      <c r="O49" s="1371"/>
      <c r="P49" s="1371"/>
      <c r="Q49" s="1371"/>
      <c r="R49" s="1371"/>
      <c r="S49" s="1371"/>
      <c r="T49" s="1371"/>
      <c r="U49" s="1371"/>
      <c r="V49" s="1371"/>
      <c r="W49" s="1371"/>
      <c r="X49" s="1371"/>
      <c r="Y49" s="1371"/>
      <c r="Z49" s="1371"/>
      <c r="AA49" s="1371"/>
      <c r="AB49" s="1371"/>
      <c r="AC49" s="1371"/>
    </row>
  </sheetData>
  <mergeCells count="79">
    <mergeCell ref="A8:C8"/>
    <mergeCell ref="E8:F8"/>
    <mergeCell ref="G8:H8"/>
    <mergeCell ref="A2:C2"/>
    <mergeCell ref="Q2:S2"/>
    <mergeCell ref="N3:P3"/>
    <mergeCell ref="Q3:S3"/>
    <mergeCell ref="A4:C4"/>
    <mergeCell ref="D4:S4"/>
    <mergeCell ref="A5:C6"/>
    <mergeCell ref="D5:K6"/>
    <mergeCell ref="L5:S6"/>
    <mergeCell ref="A7:C7"/>
    <mergeCell ref="D7:S7"/>
    <mergeCell ref="A11:C12"/>
    <mergeCell ref="D11:S11"/>
    <mergeCell ref="D12:E12"/>
    <mergeCell ref="F12:S12"/>
    <mergeCell ref="A9:C9"/>
    <mergeCell ref="E9:F9"/>
    <mergeCell ref="G9:H9"/>
    <mergeCell ref="L9:M9"/>
    <mergeCell ref="N9:S9"/>
    <mergeCell ref="A10:C10"/>
    <mergeCell ref="D10:S10"/>
    <mergeCell ref="Q13:S13"/>
    <mergeCell ref="E14:H14"/>
    <mergeCell ref="K21:L21"/>
    <mergeCell ref="B15:C17"/>
    <mergeCell ref="E15:H15"/>
    <mergeCell ref="I21:J21"/>
    <mergeCell ref="A13:C13"/>
    <mergeCell ref="D13:K13"/>
    <mergeCell ref="L13:M13"/>
    <mergeCell ref="N13:P13"/>
    <mergeCell ref="B18:C18"/>
    <mergeCell ref="A20:A24"/>
    <mergeCell ref="D21:E21"/>
    <mergeCell ref="F21:H21"/>
    <mergeCell ref="J23:K23"/>
    <mergeCell ref="B24:C24"/>
    <mergeCell ref="A27:C28"/>
    <mergeCell ref="D27:S27"/>
    <mergeCell ref="D28:S28"/>
    <mergeCell ref="A25:C25"/>
    <mergeCell ref="D25:K25"/>
    <mergeCell ref="L25:M25"/>
    <mergeCell ref="N25:S25"/>
    <mergeCell ref="A26:C26"/>
    <mergeCell ref="D26:K26"/>
    <mergeCell ref="L26:M26"/>
    <mergeCell ref="N26:S26"/>
    <mergeCell ref="K24:M24"/>
    <mergeCell ref="K19:M19"/>
    <mergeCell ref="A14:C14"/>
    <mergeCell ref="K16:L16"/>
    <mergeCell ref="D17:E17"/>
    <mergeCell ref="F17:H17"/>
    <mergeCell ref="D18:E18"/>
    <mergeCell ref="F18:G18"/>
    <mergeCell ref="H18:I18"/>
    <mergeCell ref="J18:K18"/>
    <mergeCell ref="A15:A19"/>
    <mergeCell ref="D16:E16"/>
    <mergeCell ref="F16:H16"/>
    <mergeCell ref="I16:J16"/>
    <mergeCell ref="D22:E22"/>
    <mergeCell ref="F22:H22"/>
    <mergeCell ref="B19:C19"/>
    <mergeCell ref="D19:E19"/>
    <mergeCell ref="G19:I19"/>
    <mergeCell ref="D24:E24"/>
    <mergeCell ref="G24:I24"/>
    <mergeCell ref="B23:C23"/>
    <mergeCell ref="D23:E23"/>
    <mergeCell ref="F23:G23"/>
    <mergeCell ref="H23:I23"/>
    <mergeCell ref="B20:C22"/>
    <mergeCell ref="E20:H20"/>
  </mergeCells>
  <phoneticPr fontId="204"/>
  <printOptions horizontalCentered="1" verticalCentered="1"/>
  <pageMargins left="0" right="0" top="0" bottom="0" header="0" footer="0"/>
  <pageSetup paperSize="9" scale="51" fitToHeight="0" orientation="portrait" r:id="rId1"/>
  <headerFooter alignWithMargins="0">
    <oddHeader xml:space="preserve">&amp;C
</oddHead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CC00"/>
  </sheetPr>
  <dimension ref="A1:AC49"/>
  <sheetViews>
    <sheetView view="pageBreakPreview" zoomScale="40" zoomScaleNormal="40" zoomScaleSheetLayoutView="40" workbookViewId="0">
      <selection activeCell="D10" sqref="D10:S10"/>
    </sheetView>
  </sheetViews>
  <sheetFormatPr defaultRowHeight="13.5"/>
  <cols>
    <col min="1" max="1" width="8.5" style="1368" customWidth="1"/>
    <col min="2" max="3" width="9.5" style="1368" customWidth="1"/>
    <col min="4" max="21" width="10.625" style="1368" customWidth="1"/>
    <col min="22" max="22" width="9" style="1368"/>
    <col min="23" max="27" width="10.625" style="1368" customWidth="1"/>
    <col min="28" max="16384" width="9" style="1368"/>
  </cols>
  <sheetData>
    <row r="1" spans="1:29" ht="42.75" customHeight="1">
      <c r="A1" s="1367"/>
      <c r="B1" s="1367"/>
      <c r="C1" s="1367"/>
      <c r="D1" s="1367"/>
      <c r="E1" s="1367"/>
      <c r="F1" s="1367"/>
      <c r="G1" s="1367"/>
      <c r="H1" s="1367"/>
      <c r="I1" s="1367"/>
    </row>
    <row r="2" spans="1:29" ht="38.25" customHeight="1">
      <c r="A2" s="2011">
        <v>1</v>
      </c>
      <c r="B2" s="2011"/>
      <c r="C2" s="2011"/>
      <c r="D2" s="1369" t="s">
        <v>825</v>
      </c>
      <c r="E2" s="1369"/>
      <c r="F2" s="1369"/>
      <c r="G2" s="1369"/>
      <c r="H2" s="1369"/>
      <c r="I2" s="1369"/>
      <c r="J2" s="1370"/>
      <c r="K2" s="1371"/>
      <c r="L2" s="1371"/>
      <c r="M2" s="1371"/>
      <c r="N2" s="1371"/>
      <c r="O2" s="1371"/>
      <c r="P2" s="1371"/>
      <c r="Q2" s="2012">
        <f ca="1">基本情報!C1</f>
        <v>43486</v>
      </c>
      <c r="R2" s="2012"/>
      <c r="S2" s="2012"/>
      <c r="T2" s="1371"/>
      <c r="U2" s="1051" t="s">
        <v>694</v>
      </c>
      <c r="V2" s="1371"/>
      <c r="W2" s="1371"/>
      <c r="X2" s="1371"/>
      <c r="Y2" s="1371"/>
      <c r="Z2" s="1371"/>
      <c r="AA2" s="1371"/>
      <c r="AB2" s="1371"/>
      <c r="AC2" s="1371"/>
    </row>
    <row r="3" spans="1:29" ht="38.25" customHeight="1" thickBot="1">
      <c r="A3" s="1372"/>
      <c r="B3" s="1372"/>
      <c r="C3" s="1372"/>
      <c r="D3" s="1369"/>
      <c r="E3" s="1369"/>
      <c r="F3" s="1369"/>
      <c r="G3" s="1369"/>
      <c r="H3" s="1373"/>
      <c r="I3" s="1373"/>
      <c r="J3" s="1371"/>
      <c r="K3" s="1371"/>
      <c r="L3" s="1371"/>
      <c r="M3" s="1371"/>
      <c r="N3" s="2013" t="s">
        <v>680</v>
      </c>
      <c r="O3" s="2013"/>
      <c r="P3" s="2013"/>
      <c r="Q3" s="2014" t="str">
        <f>基本情報!C3</f>
        <v>矢部　浩亮</v>
      </c>
      <c r="R3" s="2013"/>
      <c r="S3" s="2013"/>
      <c r="T3" s="1371"/>
      <c r="U3" s="1371"/>
      <c r="V3" s="1371"/>
      <c r="W3" s="1371"/>
      <c r="X3" s="1371"/>
      <c r="Y3" s="1371"/>
      <c r="Z3" s="1371"/>
      <c r="AA3" s="1371"/>
      <c r="AB3" s="1371"/>
      <c r="AC3" s="1371"/>
    </row>
    <row r="4" spans="1:29" s="1371" customFormat="1" ht="45.75" customHeight="1">
      <c r="A4" s="2091" t="s">
        <v>642</v>
      </c>
      <c r="B4" s="2092"/>
      <c r="C4" s="2093"/>
      <c r="D4" s="2094" t="str">
        <f>基本情報!C5</f>
        <v>MAMIYAビル</v>
      </c>
      <c r="E4" s="2095"/>
      <c r="F4" s="2095"/>
      <c r="G4" s="2095"/>
      <c r="H4" s="2095"/>
      <c r="I4" s="2095"/>
      <c r="J4" s="2095"/>
      <c r="K4" s="2095"/>
      <c r="L4" s="2095"/>
      <c r="M4" s="2095"/>
      <c r="N4" s="2095"/>
      <c r="O4" s="2095"/>
      <c r="P4" s="2095"/>
      <c r="Q4" s="2095"/>
      <c r="R4" s="2095"/>
      <c r="S4" s="2096"/>
    </row>
    <row r="5" spans="1:29" ht="331.5" customHeight="1">
      <c r="A5" s="2097" t="s">
        <v>643</v>
      </c>
      <c r="B5" s="2098"/>
      <c r="C5" s="2099"/>
      <c r="D5" s="2103"/>
      <c r="E5" s="2104"/>
      <c r="F5" s="2104"/>
      <c r="G5" s="2104"/>
      <c r="H5" s="2104"/>
      <c r="I5" s="2104"/>
      <c r="J5" s="2104"/>
      <c r="K5" s="2104"/>
      <c r="L5" s="2104"/>
      <c r="M5" s="2104"/>
      <c r="N5" s="2104"/>
      <c r="O5" s="2104"/>
      <c r="P5" s="2104"/>
      <c r="Q5" s="2104"/>
      <c r="R5" s="2104"/>
      <c r="S5" s="2107"/>
      <c r="T5" s="1371"/>
      <c r="U5" s="1371"/>
      <c r="V5" s="1371"/>
      <c r="W5" s="1371"/>
      <c r="X5" s="1371"/>
      <c r="Y5" s="1371"/>
      <c r="Z5" s="1371"/>
      <c r="AA5" s="1371"/>
      <c r="AB5" s="1371"/>
      <c r="AC5" s="1371"/>
    </row>
    <row r="6" spans="1:29" ht="300" customHeight="1">
      <c r="A6" s="2100"/>
      <c r="B6" s="2101"/>
      <c r="C6" s="2102"/>
      <c r="D6" s="2105"/>
      <c r="E6" s="2106"/>
      <c r="F6" s="2106"/>
      <c r="G6" s="2106"/>
      <c r="H6" s="2106"/>
      <c r="I6" s="2106"/>
      <c r="J6" s="2106"/>
      <c r="K6" s="2106"/>
      <c r="L6" s="2106"/>
      <c r="M6" s="2106"/>
      <c r="N6" s="2106"/>
      <c r="O6" s="2106"/>
      <c r="P6" s="2106"/>
      <c r="Q6" s="2106"/>
      <c r="R6" s="2106"/>
      <c r="S6" s="2108"/>
      <c r="T6" s="1371"/>
    </row>
    <row r="7" spans="1:29" s="1376" customFormat="1" ht="40.5" customHeight="1">
      <c r="A7" s="2089" t="s">
        <v>644</v>
      </c>
      <c r="B7" s="2090"/>
      <c r="C7" s="2072"/>
      <c r="D7" s="2036" t="str">
        <f>基本情報!C6</f>
        <v>東京都千代田区神田錦町3-18</v>
      </c>
      <c r="E7" s="2037"/>
      <c r="F7" s="2037"/>
      <c r="G7" s="2037"/>
      <c r="H7" s="2037"/>
      <c r="I7" s="2037"/>
      <c r="J7" s="2037"/>
      <c r="K7" s="2037"/>
      <c r="L7" s="2037"/>
      <c r="M7" s="2037"/>
      <c r="N7" s="2037"/>
      <c r="O7" s="2037"/>
      <c r="P7" s="2037"/>
      <c r="Q7" s="2037"/>
      <c r="R7" s="2037"/>
      <c r="S7" s="2038"/>
      <c r="T7" s="1375"/>
    </row>
    <row r="8" spans="1:29" s="1378" customFormat="1" ht="40.5" customHeight="1">
      <c r="A8" s="2080" t="s">
        <v>36</v>
      </c>
      <c r="B8" s="2081"/>
      <c r="C8" s="2040"/>
      <c r="D8" s="1388" t="s">
        <v>645</v>
      </c>
      <c r="E8" s="2003">
        <f>基本情報!C20</f>
        <v>354.52</v>
      </c>
      <c r="F8" s="2003"/>
      <c r="G8" s="2004">
        <f>基本情報!E20</f>
        <v>107.24</v>
      </c>
      <c r="H8" s="2004"/>
      <c r="I8" s="1389"/>
      <c r="J8" s="1389"/>
      <c r="K8" s="1390"/>
      <c r="L8" s="1390"/>
      <c r="M8" s="1390"/>
      <c r="N8" s="1390"/>
      <c r="O8" s="1390"/>
      <c r="P8" s="1390"/>
      <c r="Q8" s="1390"/>
      <c r="R8" s="1390"/>
      <c r="S8" s="1391"/>
      <c r="T8" s="1377"/>
      <c r="U8" s="1377"/>
      <c r="V8" s="1377"/>
      <c r="W8" s="1377"/>
      <c r="X8" s="1377"/>
      <c r="Y8" s="1377"/>
      <c r="Z8" s="1377"/>
      <c r="AA8" s="1377"/>
      <c r="AB8" s="1377"/>
      <c r="AC8" s="1377"/>
    </row>
    <row r="9" spans="1:29" s="1380" customFormat="1" ht="40.5" customHeight="1">
      <c r="A9" s="2080" t="s">
        <v>38</v>
      </c>
      <c r="B9" s="2081"/>
      <c r="C9" s="2040"/>
      <c r="D9" s="1388" t="s">
        <v>646</v>
      </c>
      <c r="E9" s="2003">
        <f>基本情報!C30</f>
        <v>2132.0300000000002</v>
      </c>
      <c r="F9" s="2003"/>
      <c r="G9" s="2004">
        <f>基本情報!E30</f>
        <v>644.92999999999995</v>
      </c>
      <c r="H9" s="2004"/>
      <c r="I9" s="1392"/>
      <c r="J9" s="1392"/>
      <c r="K9" s="1393"/>
      <c r="L9" s="2057" t="s">
        <v>827</v>
      </c>
      <c r="M9" s="2058"/>
      <c r="N9" s="2005" t="str">
        <f>基本情報!C28</f>
        <v>鉄骨鉄筋コンクリート造陸屋根7階建</v>
      </c>
      <c r="O9" s="2006"/>
      <c r="P9" s="2006"/>
      <c r="Q9" s="2006"/>
      <c r="R9" s="2006"/>
      <c r="S9" s="2007"/>
      <c r="T9" s="1379"/>
      <c r="U9" s="1371"/>
      <c r="V9" s="1371"/>
      <c r="W9" s="1371"/>
      <c r="X9" s="1371"/>
      <c r="Y9" s="1371"/>
      <c r="Z9" s="1371"/>
      <c r="AA9" s="1371"/>
      <c r="AB9" s="1371"/>
      <c r="AC9" s="1371"/>
    </row>
    <row r="10" spans="1:29" s="1382" customFormat="1" ht="40.5" customHeight="1">
      <c r="A10" s="2080" t="s">
        <v>47</v>
      </c>
      <c r="B10" s="2081"/>
      <c r="C10" s="2040"/>
      <c r="D10" s="2008" t="str">
        <f>基本情報!C29</f>
        <v>事務所・車庫</v>
      </c>
      <c r="E10" s="2009"/>
      <c r="F10" s="2009"/>
      <c r="G10" s="2009"/>
      <c r="H10" s="2009"/>
      <c r="I10" s="2009"/>
      <c r="J10" s="2009"/>
      <c r="K10" s="2009"/>
      <c r="L10" s="2009"/>
      <c r="M10" s="2009"/>
      <c r="N10" s="2009"/>
      <c r="O10" s="2009"/>
      <c r="P10" s="2009"/>
      <c r="Q10" s="2009"/>
      <c r="R10" s="2009"/>
      <c r="S10" s="2010"/>
      <c r="T10" s="1381"/>
      <c r="U10" s="1375"/>
      <c r="V10" s="1375"/>
      <c r="W10" s="1375"/>
      <c r="X10" s="1375"/>
      <c r="Y10" s="1375"/>
      <c r="Z10" s="1375"/>
      <c r="AA10" s="1375"/>
      <c r="AB10" s="1375"/>
      <c r="AC10" s="1375"/>
    </row>
    <row r="11" spans="1:29" ht="40.5" customHeight="1">
      <c r="A11" s="2083" t="s">
        <v>647</v>
      </c>
      <c r="B11" s="2084"/>
      <c r="C11" s="2077"/>
      <c r="D11" s="1997" t="str">
        <f>基本情報!C65</f>
        <v>●●株式会社</v>
      </c>
      <c r="E11" s="1952"/>
      <c r="F11" s="1952"/>
      <c r="G11" s="1952"/>
      <c r="H11" s="1952"/>
      <c r="I11" s="1952"/>
      <c r="J11" s="1952"/>
      <c r="K11" s="1952"/>
      <c r="L11" s="1952"/>
      <c r="M11" s="1952"/>
      <c r="N11" s="1952"/>
      <c r="O11" s="1952"/>
      <c r="P11" s="1952"/>
      <c r="Q11" s="1952"/>
      <c r="R11" s="1952"/>
      <c r="S11" s="1998"/>
      <c r="T11" s="1371"/>
      <c r="U11" s="1371"/>
      <c r="V11" s="1371"/>
      <c r="W11" s="1371"/>
      <c r="X11" s="1371"/>
      <c r="Y11" s="1371"/>
      <c r="Z11" s="1371"/>
      <c r="AA11" s="1371"/>
      <c r="AB11" s="1371"/>
      <c r="AC11" s="1371"/>
    </row>
    <row r="12" spans="1:29" ht="40.5" customHeight="1">
      <c r="A12" s="2085"/>
      <c r="B12" s="2086"/>
      <c r="C12" s="2067"/>
      <c r="D12" s="2087" t="s">
        <v>183</v>
      </c>
      <c r="E12" s="2088"/>
      <c r="F12" s="2001" t="str">
        <f>基本情報!$C$66</f>
        <v>東京都中央区銀座四丁目4番4号</v>
      </c>
      <c r="G12" s="2001"/>
      <c r="H12" s="2001"/>
      <c r="I12" s="2001"/>
      <c r="J12" s="2001"/>
      <c r="K12" s="2001"/>
      <c r="L12" s="2001"/>
      <c r="M12" s="2001"/>
      <c r="N12" s="2001"/>
      <c r="O12" s="2001"/>
      <c r="P12" s="2001"/>
      <c r="Q12" s="2001"/>
      <c r="R12" s="2001"/>
      <c r="S12" s="2002"/>
      <c r="T12" s="1371"/>
      <c r="U12" s="1371"/>
      <c r="V12" s="1371"/>
      <c r="W12" s="1371"/>
      <c r="X12" s="1371"/>
      <c r="Y12" s="1371"/>
      <c r="Z12" s="1371"/>
      <c r="AA12" s="1371"/>
      <c r="AB12" s="1371"/>
      <c r="AC12" s="1371"/>
    </row>
    <row r="13" spans="1:29" s="1382" customFormat="1" ht="40.5" customHeight="1">
      <c r="A13" s="2080" t="s">
        <v>648</v>
      </c>
      <c r="B13" s="2081"/>
      <c r="C13" s="2040"/>
      <c r="D13" s="1987" t="str">
        <f>基本情報!C67</f>
        <v>サンフロンティア不動産株式会社</v>
      </c>
      <c r="E13" s="1988"/>
      <c r="F13" s="1988"/>
      <c r="G13" s="1988"/>
      <c r="H13" s="1988"/>
      <c r="I13" s="1988"/>
      <c r="J13" s="1988"/>
      <c r="K13" s="1988"/>
      <c r="L13" s="1988"/>
      <c r="M13" s="1988"/>
      <c r="N13" s="1988"/>
      <c r="O13" s="1988"/>
      <c r="P13" s="1988"/>
      <c r="Q13" s="1988"/>
      <c r="R13" s="1988"/>
      <c r="S13" s="2082"/>
      <c r="T13" s="1381"/>
      <c r="U13" s="1381"/>
      <c r="V13" s="1381"/>
      <c r="W13" s="1381"/>
      <c r="X13" s="1381"/>
      <c r="Y13" s="1381"/>
      <c r="Z13" s="1381"/>
      <c r="AA13" s="1381"/>
      <c r="AB13" s="1381"/>
      <c r="AC13" s="1381"/>
    </row>
    <row r="14" spans="1:29" s="1382" customFormat="1" ht="40.5" customHeight="1">
      <c r="A14" s="2080" t="s">
        <v>649</v>
      </c>
      <c r="B14" s="2081"/>
      <c r="C14" s="2040"/>
      <c r="D14" s="1987" t="str">
        <f>基本情報!C68</f>
        <v>●●株式会社</v>
      </c>
      <c r="E14" s="1988"/>
      <c r="F14" s="1988"/>
      <c r="G14" s="1988"/>
      <c r="H14" s="1988"/>
      <c r="I14" s="1988"/>
      <c r="J14" s="1988"/>
      <c r="K14" s="1989"/>
      <c r="L14" s="2057" t="s">
        <v>650</v>
      </c>
      <c r="M14" s="2058"/>
      <c r="N14" s="1990">
        <f>'事業計画書（現行）'!M15</f>
        <v>113160000</v>
      </c>
      <c r="O14" s="1991"/>
      <c r="P14" s="1991"/>
      <c r="Q14" s="1984" t="s">
        <v>651</v>
      </c>
      <c r="R14" s="1984"/>
      <c r="S14" s="1985"/>
      <c r="T14" s="1381"/>
      <c r="U14" s="1381"/>
      <c r="V14" s="1381"/>
      <c r="W14" s="1381"/>
      <c r="X14" s="1381"/>
      <c r="Y14" s="1381"/>
      <c r="Z14" s="1381"/>
      <c r="AA14" s="1381"/>
      <c r="AB14" s="1381"/>
      <c r="AC14" s="1381"/>
    </row>
    <row r="15" spans="1:29" ht="40.5" customHeight="1">
      <c r="A15" s="2060" t="s">
        <v>652</v>
      </c>
      <c r="B15" s="2076" t="s">
        <v>653</v>
      </c>
      <c r="C15" s="2077"/>
      <c r="D15" s="1394" t="s">
        <v>654</v>
      </c>
      <c r="E15" s="2078">
        <f>'事業計画書（事業決定時）'!$M$13</f>
        <v>997160000</v>
      </c>
      <c r="F15" s="2079"/>
      <c r="G15" s="2079"/>
      <c r="H15" s="2079"/>
      <c r="I15" s="1395" t="s">
        <v>655</v>
      </c>
      <c r="J15" s="1395"/>
      <c r="K15" s="1389"/>
      <c r="L15" s="1389"/>
      <c r="M15" s="1389"/>
      <c r="N15" s="1389"/>
      <c r="O15" s="1389"/>
      <c r="P15" s="1389"/>
      <c r="Q15" s="1389"/>
      <c r="R15" s="1389"/>
      <c r="S15" s="1396"/>
      <c r="T15" s="1371"/>
      <c r="U15" s="1371"/>
      <c r="V15" s="1371"/>
      <c r="W15" s="1371"/>
      <c r="X15" s="1371"/>
      <c r="Y15" s="1371"/>
      <c r="Z15" s="1371"/>
      <c r="AA15" s="1371"/>
      <c r="AB15" s="1371"/>
      <c r="AC15" s="1371"/>
    </row>
    <row r="16" spans="1:29" ht="40.5" customHeight="1">
      <c r="A16" s="2060"/>
      <c r="B16" s="2064"/>
      <c r="C16" s="2065"/>
      <c r="D16" s="1948" t="s">
        <v>656</v>
      </c>
      <c r="E16" s="1949"/>
      <c r="F16" s="1950">
        <f>'事業計画書（事業決定時）'!M20</f>
        <v>219536982</v>
      </c>
      <c r="G16" s="1951"/>
      <c r="H16" s="1951"/>
      <c r="I16" s="1952" t="s">
        <v>657</v>
      </c>
      <c r="J16" s="1952"/>
      <c r="K16" s="2075">
        <f>'事業計画書（事業決定時）'!M21</f>
        <v>0.2823</v>
      </c>
      <c r="L16" s="2075"/>
      <c r="M16" s="1397" t="s">
        <v>658</v>
      </c>
      <c r="N16" s="1398"/>
      <c r="O16" s="1397"/>
      <c r="P16" s="1397"/>
      <c r="Q16" s="1397"/>
      <c r="R16" s="1397"/>
      <c r="S16" s="1399"/>
      <c r="T16" s="1371"/>
      <c r="U16" s="1371"/>
      <c r="V16" s="1371"/>
      <c r="W16" s="1371"/>
      <c r="X16" s="1371"/>
      <c r="Y16" s="1371"/>
      <c r="Z16" s="1371"/>
      <c r="AA16" s="1371"/>
      <c r="AB16" s="1371"/>
      <c r="AC16" s="1371"/>
    </row>
    <row r="17" spans="1:29" ht="40.5" customHeight="1">
      <c r="A17" s="2060"/>
      <c r="B17" s="2066"/>
      <c r="C17" s="2067"/>
      <c r="D17" s="2068" t="s">
        <v>659</v>
      </c>
      <c r="E17" s="2069"/>
      <c r="F17" s="1943">
        <f>'事業計画書（事業決定時）'!D62</f>
        <v>777623018</v>
      </c>
      <c r="G17" s="1944"/>
      <c r="H17" s="1944"/>
      <c r="I17" s="1502" t="s">
        <v>884</v>
      </c>
      <c r="J17" s="1400"/>
      <c r="K17" s="1401"/>
      <c r="L17" s="1401"/>
      <c r="M17" s="1401"/>
      <c r="N17" s="1402"/>
      <c r="O17" s="1403"/>
      <c r="P17" s="1403"/>
      <c r="Q17" s="1403"/>
      <c r="R17" s="1403"/>
      <c r="S17" s="1404"/>
      <c r="T17" s="1371"/>
      <c r="U17" s="1371"/>
      <c r="V17" s="1371"/>
      <c r="W17" s="1371"/>
      <c r="X17" s="1371"/>
      <c r="Y17" s="1371"/>
      <c r="Z17" s="1371"/>
      <c r="AA17" s="1371"/>
      <c r="AB17" s="1371"/>
      <c r="AC17" s="1371"/>
    </row>
    <row r="18" spans="1:29" s="1382" customFormat="1" ht="40.5" customHeight="1">
      <c r="A18" s="2060"/>
      <c r="B18" s="2039" t="s">
        <v>660</v>
      </c>
      <c r="C18" s="2040"/>
      <c r="D18" s="2041" t="s">
        <v>661</v>
      </c>
      <c r="E18" s="2042"/>
      <c r="F18" s="1929">
        <f>'事業計画書（事業決定時）'!M18</f>
        <v>5.3199999999999997E-2</v>
      </c>
      <c r="G18" s="1929"/>
      <c r="H18" s="1930" t="s">
        <v>662</v>
      </c>
      <c r="I18" s="1930"/>
      <c r="J18" s="1929">
        <f>'事業計画書（事業決定時）'!M19</f>
        <v>4.5100000000000001E-2</v>
      </c>
      <c r="K18" s="1929"/>
      <c r="L18" s="1405"/>
      <c r="M18" s="1405"/>
      <c r="N18" s="1405"/>
      <c r="O18" s="1405"/>
      <c r="P18" s="1405"/>
      <c r="Q18" s="1405"/>
      <c r="R18" s="1406"/>
      <c r="S18" s="1407"/>
      <c r="T18" s="1381"/>
      <c r="U18" s="1381"/>
      <c r="V18" s="1381"/>
      <c r="W18" s="1381"/>
      <c r="X18" s="1381"/>
      <c r="Y18" s="1381"/>
      <c r="Z18" s="1381"/>
      <c r="AA18" s="1381"/>
      <c r="AB18" s="1381"/>
      <c r="AC18" s="1381"/>
    </row>
    <row r="19" spans="1:29" s="1382" customFormat="1" ht="40.5" customHeight="1" thickBot="1">
      <c r="A19" s="2070"/>
      <c r="B19" s="2071" t="s">
        <v>663</v>
      </c>
      <c r="C19" s="2072"/>
      <c r="D19" s="2073">
        <f>'事業計画書（事業決定時）'!M58</f>
        <v>272</v>
      </c>
      <c r="E19" s="2074"/>
      <c r="F19" s="1408" t="s">
        <v>664</v>
      </c>
      <c r="G19" s="1924">
        <f>'事業計画書（事業決定時）'!M55</f>
        <v>43259</v>
      </c>
      <c r="H19" s="1924"/>
      <c r="I19" s="1924"/>
      <c r="J19" s="1409" t="s">
        <v>665</v>
      </c>
      <c r="K19" s="1924">
        <f>'事業計画書（事業決定時）'!M57</f>
        <v>43524</v>
      </c>
      <c r="L19" s="1924"/>
      <c r="M19" s="1924"/>
      <c r="N19" s="1410" t="s">
        <v>658</v>
      </c>
      <c r="O19" s="1410"/>
      <c r="P19" s="1410"/>
      <c r="Q19" s="1410"/>
      <c r="R19" s="1411"/>
      <c r="S19" s="1412"/>
      <c r="T19" s="1381"/>
      <c r="U19" s="1381"/>
      <c r="V19" s="1381"/>
      <c r="W19" s="1381"/>
      <c r="X19" s="1381"/>
      <c r="Y19" s="1381"/>
      <c r="Z19" s="1381"/>
      <c r="AA19" s="1381"/>
      <c r="AB19" s="1381"/>
      <c r="AC19" s="1381"/>
    </row>
    <row r="20" spans="1:29" ht="40.5" customHeight="1">
      <c r="A20" s="2059" t="s">
        <v>666</v>
      </c>
      <c r="B20" s="2062" t="s">
        <v>667</v>
      </c>
      <c r="C20" s="2063"/>
      <c r="D20" s="1413"/>
      <c r="E20" s="1937">
        <f>'事業計画書（現行）'!M13</f>
        <v>3770000000</v>
      </c>
      <c r="F20" s="1937"/>
      <c r="G20" s="1937"/>
      <c r="H20" s="1937"/>
      <c r="I20" s="1414" t="s">
        <v>655</v>
      </c>
      <c r="J20" s="1414"/>
      <c r="K20" s="1415"/>
      <c r="L20" s="1415"/>
      <c r="M20" s="1415"/>
      <c r="N20" s="1415"/>
      <c r="O20" s="1415"/>
      <c r="P20" s="1415"/>
      <c r="Q20" s="1415"/>
      <c r="R20" s="1415"/>
      <c r="S20" s="1416"/>
      <c r="T20" s="1371"/>
      <c r="U20" s="1371"/>
      <c r="V20" s="1371"/>
      <c r="W20" s="1371"/>
      <c r="X20" s="1371"/>
      <c r="Y20" s="1371"/>
      <c r="Z20" s="1371"/>
      <c r="AA20" s="1371"/>
      <c r="AB20" s="1371"/>
      <c r="AC20" s="1371"/>
    </row>
    <row r="21" spans="1:29" ht="40.5" customHeight="1">
      <c r="A21" s="2060"/>
      <c r="B21" s="2064"/>
      <c r="C21" s="2065"/>
      <c r="D21" s="1948" t="s">
        <v>668</v>
      </c>
      <c r="E21" s="1949"/>
      <c r="F21" s="1950">
        <f>'事業計画書（現行）'!M20</f>
        <v>786455280</v>
      </c>
      <c r="G21" s="1951"/>
      <c r="H21" s="1951"/>
      <c r="I21" s="1952" t="s">
        <v>657</v>
      </c>
      <c r="J21" s="1952"/>
      <c r="K21" s="1940">
        <f>'事業計画書（現行）'!M21</f>
        <v>0.2636</v>
      </c>
      <c r="L21" s="1940"/>
      <c r="M21" s="1397" t="s">
        <v>669</v>
      </c>
      <c r="N21" s="1398"/>
      <c r="O21" s="1397"/>
      <c r="P21" s="1397"/>
      <c r="Q21" s="1397"/>
      <c r="R21" s="1397"/>
      <c r="S21" s="1399"/>
      <c r="T21" s="1371"/>
      <c r="U21" s="1371"/>
      <c r="V21" s="1371"/>
      <c r="W21" s="1371"/>
      <c r="X21" s="1371"/>
      <c r="Y21" s="1371"/>
      <c r="Z21" s="1371"/>
      <c r="AA21" s="1371"/>
      <c r="AB21" s="1371"/>
      <c r="AC21" s="1371"/>
    </row>
    <row r="22" spans="1:29" ht="40.5" customHeight="1">
      <c r="A22" s="2060"/>
      <c r="B22" s="2066"/>
      <c r="C22" s="2067"/>
      <c r="D22" s="2068" t="s">
        <v>670</v>
      </c>
      <c r="E22" s="2069"/>
      <c r="F22" s="1943">
        <f>'事業計画書（現行）'!D62</f>
        <v>2983544720</v>
      </c>
      <c r="G22" s="1944"/>
      <c r="H22" s="1944"/>
      <c r="I22" s="1502" t="s">
        <v>884</v>
      </c>
      <c r="J22" s="1400"/>
      <c r="K22" s="1401"/>
      <c r="L22" s="1401"/>
      <c r="M22" s="1401"/>
      <c r="N22" s="1402"/>
      <c r="O22" s="1403"/>
      <c r="P22" s="1403"/>
      <c r="Q22" s="1403"/>
      <c r="R22" s="1403"/>
      <c r="S22" s="1404"/>
      <c r="T22" s="1371"/>
      <c r="U22" s="1371"/>
      <c r="V22" s="1371"/>
      <c r="W22" s="1371"/>
      <c r="X22" s="1371"/>
      <c r="Y22" s="1371"/>
      <c r="Z22" s="1371"/>
      <c r="AA22" s="1371"/>
      <c r="AB22" s="1371"/>
      <c r="AC22" s="1371"/>
    </row>
    <row r="23" spans="1:29" s="1382" customFormat="1" ht="40.5" customHeight="1">
      <c r="A23" s="2060"/>
      <c r="B23" s="2039" t="s">
        <v>671</v>
      </c>
      <c r="C23" s="2040"/>
      <c r="D23" s="2041" t="s">
        <v>661</v>
      </c>
      <c r="E23" s="2042"/>
      <c r="F23" s="1929">
        <f>'事業計画書（現行）'!M18</f>
        <v>4.4699999999999997E-2</v>
      </c>
      <c r="G23" s="1929"/>
      <c r="H23" s="1930" t="s">
        <v>673</v>
      </c>
      <c r="I23" s="1930"/>
      <c r="J23" s="1929">
        <f>'事業計画書（現行）'!M19</f>
        <v>0.04</v>
      </c>
      <c r="K23" s="1929"/>
      <c r="L23" s="1405"/>
      <c r="M23" s="1405"/>
      <c r="N23" s="1405"/>
      <c r="O23" s="1405"/>
      <c r="P23" s="1405"/>
      <c r="Q23" s="1405"/>
      <c r="R23" s="1406"/>
      <c r="S23" s="1407"/>
      <c r="T23" s="1381"/>
      <c r="U23" s="1381"/>
      <c r="V23" s="1381"/>
      <c r="W23" s="1381"/>
      <c r="X23" s="1381"/>
      <c r="Y23" s="1381"/>
      <c r="Z23" s="1381"/>
      <c r="AA23" s="1381"/>
      <c r="AB23" s="1381"/>
      <c r="AC23" s="1381"/>
    </row>
    <row r="24" spans="1:29" s="1382" customFormat="1" ht="40.5" customHeight="1" thickBot="1">
      <c r="A24" s="2061"/>
      <c r="B24" s="2043" t="s">
        <v>674</v>
      </c>
      <c r="C24" s="2044"/>
      <c r="D24" s="1922">
        <f>'事業計画書（現行）'!M58</f>
        <v>274</v>
      </c>
      <c r="E24" s="1923"/>
      <c r="F24" s="1408" t="s">
        <v>675</v>
      </c>
      <c r="G24" s="1924">
        <f>'事業計画書（現行）'!M55</f>
        <v>43738</v>
      </c>
      <c r="H24" s="1924"/>
      <c r="I24" s="1924"/>
      <c r="J24" s="1409" t="s">
        <v>676</v>
      </c>
      <c r="K24" s="1924">
        <f>'事業計画書（現行）'!M57</f>
        <v>44012</v>
      </c>
      <c r="L24" s="1924"/>
      <c r="M24" s="1924"/>
      <c r="N24" s="1410" t="s">
        <v>669</v>
      </c>
      <c r="O24" s="1410"/>
      <c r="P24" s="1410"/>
      <c r="Q24" s="1410"/>
      <c r="R24" s="1411"/>
      <c r="S24" s="1412"/>
      <c r="T24" s="1381"/>
      <c r="U24" s="1381"/>
      <c r="V24" s="1381"/>
      <c r="W24" s="1381"/>
      <c r="X24" s="1381"/>
      <c r="Y24" s="1381"/>
      <c r="Z24" s="1381"/>
      <c r="AA24" s="1381"/>
      <c r="AB24" s="1381"/>
      <c r="AC24" s="1381"/>
    </row>
    <row r="25" spans="1:29" ht="40.5" customHeight="1">
      <c r="A25" s="2049" t="s">
        <v>677</v>
      </c>
      <c r="B25" s="2050"/>
      <c r="C25" s="2051"/>
      <c r="D25" s="1965">
        <f>'事業計画書（現行）'!M56</f>
        <v>43982</v>
      </c>
      <c r="E25" s="1966"/>
      <c r="F25" s="1966"/>
      <c r="G25" s="1966"/>
      <c r="H25" s="1966"/>
      <c r="I25" s="1966"/>
      <c r="J25" s="1966"/>
      <c r="K25" s="1967"/>
      <c r="L25" s="2052" t="s">
        <v>678</v>
      </c>
      <c r="M25" s="2053"/>
      <c r="N25" s="1970">
        <f>'事業計画書（現行）'!M57</f>
        <v>44012</v>
      </c>
      <c r="O25" s="1971"/>
      <c r="P25" s="1971"/>
      <c r="Q25" s="1971"/>
      <c r="R25" s="1971"/>
      <c r="S25" s="1972"/>
      <c r="T25" s="1371"/>
      <c r="U25" s="1371"/>
      <c r="V25" s="1371"/>
      <c r="W25" s="1371"/>
      <c r="X25" s="1371"/>
      <c r="Y25" s="1371"/>
      <c r="Z25" s="1371"/>
      <c r="AA25" s="1371"/>
      <c r="AB25" s="1371"/>
      <c r="AC25" s="1371"/>
    </row>
    <row r="26" spans="1:29" ht="40.5" customHeight="1">
      <c r="A26" s="2054" t="s">
        <v>683</v>
      </c>
      <c r="B26" s="2055"/>
      <c r="C26" s="2056"/>
      <c r="D26" s="1976" t="str">
        <f>基本情報!C70</f>
        <v>三井住友銀行</v>
      </c>
      <c r="E26" s="1977"/>
      <c r="F26" s="1977"/>
      <c r="G26" s="1977"/>
      <c r="H26" s="1977"/>
      <c r="I26" s="1977"/>
      <c r="J26" s="1977"/>
      <c r="K26" s="1978"/>
      <c r="L26" s="2057" t="s">
        <v>679</v>
      </c>
      <c r="M26" s="2058"/>
      <c r="N26" s="1981">
        <f>基本情報!C71</f>
        <v>100000000</v>
      </c>
      <c r="O26" s="1982"/>
      <c r="P26" s="1982"/>
      <c r="Q26" s="1982"/>
      <c r="R26" s="1982"/>
      <c r="S26" s="1983"/>
      <c r="T26" s="1371"/>
      <c r="U26" s="1371"/>
      <c r="V26" s="1383"/>
      <c r="W26" s="1383"/>
      <c r="X26" s="1383"/>
      <c r="Y26" s="1383"/>
      <c r="Z26" s="1383"/>
      <c r="AA26" s="1383"/>
      <c r="AB26" s="1383"/>
      <c r="AC26" s="1371"/>
    </row>
    <row r="27" spans="1:29" ht="50.25" customHeight="1">
      <c r="A27" s="2045" t="s">
        <v>826</v>
      </c>
      <c r="B27" s="2046"/>
      <c r="C27" s="2046"/>
      <c r="D27" s="1957" t="str">
        <f>基本情報!C72</f>
        <v>現況有姿、公簿売買、瑕疵担保責任付（引渡後2年間）、融資特約なし、</v>
      </c>
      <c r="E27" s="1957"/>
      <c r="F27" s="1957"/>
      <c r="G27" s="1957"/>
      <c r="H27" s="1957"/>
      <c r="I27" s="1957"/>
      <c r="J27" s="1957"/>
      <c r="K27" s="1957"/>
      <c r="L27" s="1957"/>
      <c r="M27" s="1957"/>
      <c r="N27" s="1957"/>
      <c r="O27" s="1957"/>
      <c r="P27" s="1957"/>
      <c r="Q27" s="1957"/>
      <c r="R27" s="1957"/>
      <c r="S27" s="1958"/>
      <c r="T27" s="1371"/>
      <c r="U27" s="1371"/>
      <c r="V27" s="1384"/>
      <c r="W27" s="1384"/>
      <c r="X27" s="1384"/>
      <c r="Y27" s="1384"/>
      <c r="Z27" s="1384"/>
      <c r="AA27" s="1384"/>
      <c r="AB27" s="1384"/>
      <c r="AC27" s="1371"/>
    </row>
    <row r="28" spans="1:29" ht="50.25" customHeight="1" thickBot="1">
      <c r="A28" s="2047"/>
      <c r="B28" s="2048"/>
      <c r="C28" s="2048"/>
      <c r="D28" s="1959" t="str">
        <f>基本情報!C73</f>
        <v>当社PM受託</v>
      </c>
      <c r="E28" s="1960"/>
      <c r="F28" s="1960"/>
      <c r="G28" s="1960"/>
      <c r="H28" s="1960"/>
      <c r="I28" s="1960"/>
      <c r="J28" s="1960"/>
      <c r="K28" s="1960"/>
      <c r="L28" s="1960"/>
      <c r="M28" s="1960"/>
      <c r="N28" s="1960"/>
      <c r="O28" s="1960"/>
      <c r="P28" s="1960"/>
      <c r="Q28" s="1960"/>
      <c r="R28" s="1960"/>
      <c r="S28" s="1961"/>
      <c r="T28" s="1371"/>
      <c r="U28" s="1371"/>
      <c r="V28" s="1384"/>
      <c r="W28" s="1384"/>
      <c r="X28" s="1384"/>
      <c r="Y28" s="1384"/>
      <c r="Z28" s="1384"/>
      <c r="AA28" s="1384"/>
      <c r="AB28" s="1384"/>
      <c r="AC28" s="1371"/>
    </row>
    <row r="29" spans="1:29" ht="14.25" customHeight="1">
      <c r="A29" s="1385"/>
      <c r="B29" s="1385"/>
      <c r="C29" s="1385"/>
      <c r="D29" s="1385"/>
      <c r="E29" s="1385"/>
      <c r="F29" s="1385"/>
      <c r="G29" s="1385"/>
      <c r="H29" s="1385"/>
      <c r="I29" s="1385"/>
      <c r="J29" s="1371"/>
      <c r="K29" s="1371"/>
      <c r="L29" s="1371"/>
      <c r="M29" s="1371"/>
      <c r="N29" s="1371"/>
      <c r="O29" s="1371"/>
      <c r="P29" s="1371"/>
      <c r="Q29" s="1371"/>
      <c r="R29" s="1371"/>
      <c r="S29" s="1371"/>
      <c r="T29" s="1371"/>
      <c r="U29" s="1371"/>
      <c r="V29" s="1371"/>
      <c r="W29" s="1371"/>
      <c r="X29" s="1371"/>
      <c r="Y29" s="1371"/>
      <c r="Z29" s="1371"/>
      <c r="AA29" s="1371"/>
      <c r="AB29" s="1371"/>
      <c r="AC29" s="1371"/>
    </row>
    <row r="30" spans="1:29" ht="13.5" customHeight="1">
      <c r="A30" s="1385"/>
      <c r="B30" s="1385"/>
      <c r="C30" s="1385"/>
      <c r="D30" s="1385"/>
      <c r="E30" s="1385"/>
      <c r="F30" s="1385"/>
      <c r="G30" s="1385"/>
      <c r="H30" s="1385"/>
      <c r="I30" s="1385"/>
      <c r="J30" s="1371"/>
      <c r="K30" s="1371"/>
      <c r="L30" s="1371"/>
      <c r="M30" s="1371"/>
      <c r="N30" s="1371"/>
      <c r="O30" s="1371"/>
      <c r="P30" s="1371"/>
      <c r="Q30" s="1371"/>
      <c r="R30" s="1371"/>
      <c r="S30" s="1371"/>
      <c r="T30" s="1371"/>
      <c r="U30" s="1371"/>
      <c r="V30" s="1371"/>
      <c r="W30" s="1371"/>
      <c r="X30" s="1371"/>
      <c r="Y30" s="1371"/>
      <c r="Z30" s="1371"/>
      <c r="AA30" s="1371"/>
      <c r="AB30" s="1371"/>
      <c r="AC30" s="1371"/>
    </row>
    <row r="31" spans="1:29" ht="13.5" customHeight="1">
      <c r="A31" s="1385"/>
      <c r="B31" s="1385"/>
      <c r="C31" s="1385"/>
      <c r="D31" s="1385"/>
      <c r="E31" s="1385"/>
      <c r="F31" s="1385"/>
      <c r="G31" s="1385"/>
      <c r="H31" s="1385"/>
      <c r="I31" s="1385"/>
      <c r="J31" s="1371"/>
      <c r="K31" s="1371"/>
      <c r="L31" s="1371"/>
      <c r="M31" s="1371"/>
      <c r="N31" s="1371"/>
      <c r="O31" s="1371"/>
      <c r="P31" s="1371"/>
      <c r="Q31" s="1371"/>
      <c r="R31" s="1371"/>
      <c r="S31" s="1371"/>
      <c r="T31" s="1371"/>
      <c r="U31" s="1371"/>
      <c r="V31" s="1371"/>
      <c r="W31" s="1371"/>
      <c r="X31" s="1371"/>
      <c r="Y31" s="1371"/>
      <c r="Z31" s="1371"/>
      <c r="AA31" s="1371"/>
      <c r="AB31" s="1371"/>
      <c r="AC31" s="1371"/>
    </row>
    <row r="32" spans="1:29">
      <c r="A32" s="1386"/>
      <c r="B32" s="1386"/>
      <c r="C32" s="1386"/>
      <c r="D32" s="1387"/>
      <c r="E32" s="1387"/>
      <c r="F32" s="1387"/>
      <c r="G32" s="1387"/>
      <c r="H32" s="1386"/>
      <c r="I32" s="1387"/>
      <c r="J32" s="1371"/>
      <c r="K32" s="1371"/>
      <c r="L32" s="1371"/>
      <c r="M32" s="1371"/>
      <c r="N32" s="1371"/>
      <c r="O32" s="1371"/>
      <c r="P32" s="1371"/>
      <c r="Q32" s="1371"/>
      <c r="R32" s="1371"/>
      <c r="S32" s="1371"/>
      <c r="T32" s="1371"/>
      <c r="U32" s="1371"/>
      <c r="V32" s="1371"/>
      <c r="W32" s="1371"/>
      <c r="X32" s="1371"/>
      <c r="Y32" s="1371"/>
      <c r="Z32" s="1371"/>
      <c r="AA32" s="1371"/>
      <c r="AB32" s="1371"/>
      <c r="AC32" s="1371"/>
    </row>
    <row r="33" spans="1:29">
      <c r="A33" s="1386"/>
      <c r="B33" s="1386"/>
      <c r="C33" s="1386"/>
      <c r="D33" s="1387"/>
      <c r="E33" s="1387"/>
      <c r="F33" s="1387"/>
      <c r="G33" s="1387"/>
      <c r="H33" s="1386"/>
      <c r="I33" s="1387"/>
      <c r="J33" s="1371"/>
      <c r="K33" s="1371"/>
      <c r="L33" s="1371"/>
      <c r="M33" s="1371"/>
      <c r="N33" s="1371"/>
      <c r="O33" s="1371"/>
      <c r="P33" s="1371"/>
      <c r="Q33" s="1371"/>
      <c r="R33" s="1371"/>
      <c r="S33" s="1371"/>
      <c r="T33" s="1371"/>
      <c r="U33" s="1371"/>
      <c r="V33" s="1371"/>
      <c r="W33" s="1371"/>
      <c r="X33" s="1371"/>
      <c r="Y33" s="1371"/>
      <c r="Z33" s="1371"/>
      <c r="AA33" s="1371"/>
      <c r="AB33" s="1371"/>
      <c r="AC33" s="1371"/>
    </row>
    <row r="34" spans="1:29">
      <c r="J34" s="1371"/>
      <c r="K34" s="1371"/>
      <c r="L34" s="1371"/>
      <c r="M34" s="1371"/>
      <c r="N34" s="1371"/>
      <c r="O34" s="1371"/>
      <c r="P34" s="1371"/>
      <c r="Q34" s="1371"/>
      <c r="R34" s="1371"/>
      <c r="S34" s="1371"/>
      <c r="T34" s="1371"/>
      <c r="U34" s="1371"/>
      <c r="V34" s="1371"/>
      <c r="W34" s="1371"/>
      <c r="X34" s="1371"/>
      <c r="Y34" s="1371"/>
      <c r="Z34" s="1371"/>
      <c r="AA34" s="1371"/>
      <c r="AB34" s="1371"/>
      <c r="AC34" s="1371"/>
    </row>
    <row r="35" spans="1:29">
      <c r="J35" s="1371"/>
      <c r="K35" s="1371"/>
      <c r="L35" s="1371"/>
      <c r="M35" s="1371"/>
      <c r="N35" s="1371"/>
      <c r="O35" s="1371"/>
      <c r="P35" s="1371"/>
      <c r="Q35" s="1371"/>
      <c r="R35" s="1371"/>
      <c r="S35" s="1371"/>
      <c r="T35" s="1371"/>
      <c r="U35" s="1371"/>
      <c r="V35" s="1371"/>
      <c r="W35" s="1371"/>
      <c r="X35" s="1371"/>
      <c r="Y35" s="1371"/>
      <c r="Z35" s="1371"/>
      <c r="AA35" s="1371"/>
      <c r="AB35" s="1371"/>
      <c r="AC35" s="1371"/>
    </row>
    <row r="36" spans="1:29">
      <c r="J36" s="1371"/>
      <c r="K36" s="1371"/>
      <c r="L36" s="1371"/>
      <c r="M36" s="1371"/>
      <c r="N36" s="1371"/>
      <c r="O36" s="1371"/>
      <c r="P36" s="1371"/>
      <c r="Q36" s="1371"/>
      <c r="R36" s="1371"/>
      <c r="S36" s="1371"/>
      <c r="T36" s="1371"/>
      <c r="U36" s="1371"/>
      <c r="V36" s="1371"/>
      <c r="W36" s="1371"/>
      <c r="X36" s="1371"/>
      <c r="Y36" s="1371"/>
      <c r="Z36" s="1371"/>
      <c r="AA36" s="1371"/>
      <c r="AB36" s="1371"/>
      <c r="AC36" s="1371"/>
    </row>
    <row r="37" spans="1:29">
      <c r="J37" s="1371"/>
      <c r="K37" s="1371"/>
      <c r="L37" s="1371"/>
      <c r="M37" s="1371"/>
      <c r="N37" s="1371"/>
      <c r="O37" s="1371"/>
      <c r="P37" s="1371"/>
      <c r="Q37" s="1371"/>
      <c r="R37" s="1371"/>
      <c r="S37" s="1371"/>
      <c r="T37" s="1371"/>
      <c r="U37" s="1371"/>
      <c r="V37" s="1371"/>
      <c r="W37" s="1371"/>
      <c r="X37" s="1371"/>
      <c r="Y37" s="1371"/>
      <c r="Z37" s="1371"/>
      <c r="AA37" s="1371"/>
      <c r="AB37" s="1371"/>
      <c r="AC37" s="1371"/>
    </row>
    <row r="38" spans="1:29">
      <c r="J38" s="1371"/>
      <c r="K38" s="1371"/>
      <c r="L38" s="1371"/>
      <c r="M38" s="1371"/>
      <c r="N38" s="1371"/>
      <c r="O38" s="1371"/>
      <c r="P38" s="1371"/>
      <c r="Q38" s="1371"/>
      <c r="R38" s="1371"/>
      <c r="S38" s="1371"/>
      <c r="T38" s="1371"/>
      <c r="U38" s="1371"/>
      <c r="V38" s="1371"/>
      <c r="W38" s="1371"/>
      <c r="X38" s="1371"/>
      <c r="Y38" s="1371"/>
      <c r="Z38" s="1371"/>
      <c r="AA38" s="1371"/>
      <c r="AB38" s="1371"/>
      <c r="AC38" s="1371"/>
    </row>
    <row r="39" spans="1:29">
      <c r="J39" s="1371"/>
      <c r="K39" s="1371"/>
      <c r="L39" s="1371"/>
      <c r="M39" s="1371"/>
      <c r="N39" s="1371"/>
      <c r="O39" s="1371"/>
      <c r="P39" s="1371"/>
      <c r="Q39" s="1371"/>
      <c r="R39" s="1371"/>
      <c r="S39" s="1371"/>
      <c r="T39" s="1371"/>
      <c r="U39" s="1371"/>
      <c r="V39" s="1371"/>
      <c r="W39" s="1371"/>
      <c r="X39" s="1371"/>
      <c r="Y39" s="1371"/>
      <c r="Z39" s="1371"/>
      <c r="AA39" s="1371"/>
      <c r="AB39" s="1371"/>
      <c r="AC39" s="1371"/>
    </row>
    <row r="40" spans="1:29">
      <c r="J40" s="1371"/>
      <c r="K40" s="1371"/>
      <c r="L40" s="1371"/>
      <c r="M40" s="1371"/>
      <c r="N40" s="1371"/>
      <c r="O40" s="1371"/>
      <c r="P40" s="1371"/>
      <c r="Q40" s="1371"/>
      <c r="R40" s="1371"/>
      <c r="S40" s="1371"/>
      <c r="T40" s="1371"/>
      <c r="U40" s="1371"/>
      <c r="V40" s="1371"/>
      <c r="W40" s="1371"/>
      <c r="X40" s="1371"/>
      <c r="Y40" s="1371"/>
      <c r="Z40" s="1371"/>
      <c r="AA40" s="1371"/>
      <c r="AB40" s="1371"/>
      <c r="AC40" s="1371"/>
    </row>
    <row r="41" spans="1:29">
      <c r="J41" s="1371"/>
      <c r="K41" s="1371"/>
      <c r="L41" s="1371"/>
      <c r="M41" s="1371"/>
      <c r="N41" s="1371"/>
      <c r="O41" s="1371"/>
      <c r="P41" s="1371"/>
      <c r="Q41" s="1371"/>
      <c r="R41" s="1371"/>
      <c r="S41" s="1371"/>
      <c r="T41" s="1371"/>
      <c r="U41" s="1371"/>
      <c r="V41" s="1371"/>
      <c r="W41" s="1371"/>
      <c r="X41" s="1371"/>
      <c r="Y41" s="1371"/>
      <c r="Z41" s="1371"/>
      <c r="AA41" s="1371"/>
      <c r="AB41" s="1371"/>
      <c r="AC41" s="1371"/>
    </row>
    <row r="42" spans="1:29">
      <c r="J42" s="1371"/>
      <c r="K42" s="1371"/>
      <c r="L42" s="1371"/>
      <c r="M42" s="1371"/>
      <c r="N42" s="1371"/>
      <c r="O42" s="1371"/>
      <c r="P42" s="1371"/>
      <c r="Q42" s="1371"/>
      <c r="R42" s="1371"/>
      <c r="S42" s="1371"/>
      <c r="T42" s="1371"/>
      <c r="U42" s="1371"/>
      <c r="V42" s="1371"/>
      <c r="W42" s="1371"/>
      <c r="X42" s="1371"/>
      <c r="Y42" s="1371"/>
      <c r="Z42" s="1371"/>
      <c r="AA42" s="1371"/>
      <c r="AB42" s="1371"/>
      <c r="AC42" s="1371"/>
    </row>
    <row r="43" spans="1:29">
      <c r="J43" s="1371"/>
      <c r="K43" s="1371"/>
      <c r="L43" s="1371"/>
      <c r="M43" s="1371"/>
      <c r="N43" s="1371"/>
      <c r="O43" s="1371"/>
      <c r="P43" s="1371"/>
      <c r="Q43" s="1371"/>
      <c r="R43" s="1371"/>
      <c r="S43" s="1371"/>
      <c r="T43" s="1371"/>
      <c r="U43" s="1371"/>
      <c r="V43" s="1371"/>
      <c r="W43" s="1371"/>
      <c r="X43" s="1371"/>
      <c r="Y43" s="1371"/>
      <c r="Z43" s="1371"/>
      <c r="AA43" s="1371"/>
      <c r="AB43" s="1371"/>
      <c r="AC43" s="1371"/>
    </row>
    <row r="44" spans="1:29">
      <c r="J44" s="1371"/>
      <c r="K44" s="1371"/>
      <c r="L44" s="1371"/>
      <c r="M44" s="1371"/>
      <c r="N44" s="1371"/>
      <c r="O44" s="1371"/>
      <c r="P44" s="1371"/>
      <c r="Q44" s="1371"/>
      <c r="R44" s="1371"/>
      <c r="S44" s="1371"/>
      <c r="T44" s="1371"/>
      <c r="U44" s="1371"/>
      <c r="V44" s="1371"/>
      <c r="W44" s="1371"/>
      <c r="X44" s="1371"/>
      <c r="Y44" s="1371"/>
      <c r="Z44" s="1371"/>
      <c r="AA44" s="1371"/>
      <c r="AB44" s="1371"/>
      <c r="AC44" s="1371"/>
    </row>
    <row r="45" spans="1:29">
      <c r="J45" s="1371"/>
      <c r="K45" s="1371"/>
      <c r="L45" s="1371"/>
      <c r="M45" s="1371"/>
      <c r="N45" s="1371"/>
      <c r="O45" s="1371"/>
      <c r="P45" s="1371"/>
      <c r="Q45" s="1371"/>
      <c r="R45" s="1371"/>
      <c r="S45" s="1371"/>
      <c r="T45" s="1371"/>
      <c r="U45" s="1371"/>
      <c r="V45" s="1371"/>
      <c r="W45" s="1371"/>
      <c r="X45" s="1371"/>
      <c r="Y45" s="1371"/>
      <c r="Z45" s="1371"/>
      <c r="AA45" s="1371"/>
      <c r="AB45" s="1371"/>
      <c r="AC45" s="1371"/>
    </row>
    <row r="46" spans="1:29">
      <c r="J46" s="1371"/>
      <c r="K46" s="1371"/>
      <c r="L46" s="1371"/>
      <c r="M46" s="1371"/>
      <c r="N46" s="1371"/>
      <c r="O46" s="1371"/>
      <c r="P46" s="1371"/>
      <c r="Q46" s="1371"/>
      <c r="R46" s="1371"/>
      <c r="S46" s="1371"/>
      <c r="T46" s="1371"/>
      <c r="U46" s="1371"/>
      <c r="V46" s="1371"/>
      <c r="W46" s="1371"/>
      <c r="X46" s="1371"/>
      <c r="Y46" s="1371"/>
      <c r="Z46" s="1371"/>
      <c r="AA46" s="1371"/>
      <c r="AB46" s="1371"/>
      <c r="AC46" s="1371"/>
    </row>
    <row r="47" spans="1:29">
      <c r="J47" s="1371"/>
      <c r="K47" s="1371"/>
      <c r="L47" s="1371"/>
      <c r="M47" s="1371"/>
      <c r="N47" s="1371"/>
      <c r="O47" s="1371"/>
      <c r="P47" s="1371"/>
      <c r="Q47" s="1371"/>
      <c r="R47" s="1371"/>
      <c r="S47" s="1371"/>
      <c r="T47" s="1371"/>
      <c r="U47" s="1371"/>
      <c r="V47" s="1371"/>
      <c r="W47" s="1371"/>
      <c r="X47" s="1371"/>
      <c r="Y47" s="1371"/>
      <c r="Z47" s="1371"/>
      <c r="AA47" s="1371"/>
      <c r="AB47" s="1371"/>
      <c r="AC47" s="1371"/>
    </row>
    <row r="48" spans="1:29">
      <c r="J48" s="1371"/>
      <c r="K48" s="1371"/>
      <c r="L48" s="1371"/>
      <c r="M48" s="1371"/>
      <c r="N48" s="1371"/>
      <c r="O48" s="1371"/>
      <c r="P48" s="1371"/>
      <c r="Q48" s="1371"/>
      <c r="R48" s="1371"/>
      <c r="S48" s="1371"/>
      <c r="T48" s="1371"/>
      <c r="U48" s="1371"/>
      <c r="V48" s="1371"/>
      <c r="W48" s="1371"/>
      <c r="X48" s="1371"/>
      <c r="Y48" s="1371"/>
      <c r="Z48" s="1371"/>
      <c r="AA48" s="1371"/>
      <c r="AB48" s="1371"/>
      <c r="AC48" s="1371"/>
    </row>
    <row r="49" spans="10:29">
      <c r="J49" s="1371"/>
      <c r="K49" s="1371"/>
      <c r="L49" s="1371"/>
      <c r="M49" s="1371"/>
      <c r="N49" s="1371"/>
      <c r="O49" s="1371"/>
      <c r="P49" s="1371"/>
      <c r="Q49" s="1371"/>
      <c r="R49" s="1371"/>
      <c r="S49" s="1371"/>
      <c r="T49" s="1371"/>
      <c r="U49" s="1371"/>
      <c r="V49" s="1371"/>
      <c r="W49" s="1371"/>
      <c r="X49" s="1371"/>
      <c r="Y49" s="1371"/>
      <c r="Z49" s="1371"/>
      <c r="AA49" s="1371"/>
      <c r="AB49" s="1371"/>
      <c r="AC49" s="1371"/>
    </row>
  </sheetData>
  <mergeCells count="79">
    <mergeCell ref="A2:C2"/>
    <mergeCell ref="Q2:S2"/>
    <mergeCell ref="A4:C4"/>
    <mergeCell ref="D4:S4"/>
    <mergeCell ref="A5:C6"/>
    <mergeCell ref="D5:K6"/>
    <mergeCell ref="L5:S6"/>
    <mergeCell ref="Q3:S3"/>
    <mergeCell ref="N3:P3"/>
    <mergeCell ref="A9:C9"/>
    <mergeCell ref="E9:F9"/>
    <mergeCell ref="G9:H9"/>
    <mergeCell ref="L9:M9"/>
    <mergeCell ref="N9:S9"/>
    <mergeCell ref="A7:C7"/>
    <mergeCell ref="D7:S7"/>
    <mergeCell ref="A8:C8"/>
    <mergeCell ref="E8:F8"/>
    <mergeCell ref="G8:H8"/>
    <mergeCell ref="A10:C10"/>
    <mergeCell ref="D10:S10"/>
    <mergeCell ref="A11:C12"/>
    <mergeCell ref="D11:S11"/>
    <mergeCell ref="D12:E12"/>
    <mergeCell ref="F12:S12"/>
    <mergeCell ref="A13:C13"/>
    <mergeCell ref="D13:S13"/>
    <mergeCell ref="A14:C14"/>
    <mergeCell ref="D14:K14"/>
    <mergeCell ref="L14:M14"/>
    <mergeCell ref="N14:P14"/>
    <mergeCell ref="Q14:S14"/>
    <mergeCell ref="K16:L16"/>
    <mergeCell ref="D17:E17"/>
    <mergeCell ref="F17:H17"/>
    <mergeCell ref="B18:C18"/>
    <mergeCell ref="D18:E18"/>
    <mergeCell ref="F18:G18"/>
    <mergeCell ref="H18:I18"/>
    <mergeCell ref="J18:K18"/>
    <mergeCell ref="B15:C17"/>
    <mergeCell ref="E15:H15"/>
    <mergeCell ref="D16:E16"/>
    <mergeCell ref="F16:H16"/>
    <mergeCell ref="I16:J16"/>
    <mergeCell ref="K19:M19"/>
    <mergeCell ref="A20:A24"/>
    <mergeCell ref="B20:C22"/>
    <mergeCell ref="E20:H20"/>
    <mergeCell ref="D21:E21"/>
    <mergeCell ref="F21:H21"/>
    <mergeCell ref="I21:J21"/>
    <mergeCell ref="K21:L21"/>
    <mergeCell ref="D22:E22"/>
    <mergeCell ref="F22:H22"/>
    <mergeCell ref="A15:A19"/>
    <mergeCell ref="B19:C19"/>
    <mergeCell ref="D19:E19"/>
    <mergeCell ref="G19:I19"/>
    <mergeCell ref="H23:I23"/>
    <mergeCell ref="J23:K23"/>
    <mergeCell ref="K24:M24"/>
    <mergeCell ref="D27:S27"/>
    <mergeCell ref="A27:C28"/>
    <mergeCell ref="D28:S28"/>
    <mergeCell ref="A25:C25"/>
    <mergeCell ref="D25:K25"/>
    <mergeCell ref="L25:M25"/>
    <mergeCell ref="N25:S25"/>
    <mergeCell ref="A26:C26"/>
    <mergeCell ref="D26:K26"/>
    <mergeCell ref="L26:M26"/>
    <mergeCell ref="N26:S26"/>
    <mergeCell ref="B23:C23"/>
    <mergeCell ref="D23:E23"/>
    <mergeCell ref="F23:G23"/>
    <mergeCell ref="B24:C24"/>
    <mergeCell ref="D24:E24"/>
    <mergeCell ref="G24:I24"/>
  </mergeCells>
  <phoneticPr fontId="204"/>
  <printOptions horizontalCentered="1" verticalCentered="1"/>
  <pageMargins left="0" right="0" top="0" bottom="0" header="0" footer="0"/>
  <pageSetup paperSize="9" scale="51" fitToHeight="0" orientation="portrait" r:id="rId1"/>
  <headerFooter alignWithMargins="0">
    <oddHeader xml:space="preserve">&amp;C
</odd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C9900"/>
  </sheetPr>
  <dimension ref="A1:S110"/>
  <sheetViews>
    <sheetView showGridLines="0" view="pageBreakPreview" topLeftCell="A4" zoomScaleNormal="100" zoomScaleSheetLayoutView="100" workbookViewId="0">
      <selection activeCell="G21" sqref="G21"/>
    </sheetView>
  </sheetViews>
  <sheetFormatPr defaultRowHeight="13.5"/>
  <cols>
    <col min="1" max="1" width="4.25" style="862" customWidth="1"/>
    <col min="2" max="2" width="7.375" style="862" customWidth="1"/>
    <col min="3" max="11" width="10.625" style="862" customWidth="1"/>
    <col min="12" max="19" width="9" style="1363"/>
    <col min="20" max="16384" width="9" style="862"/>
  </cols>
  <sheetData>
    <row r="1" spans="1:19" ht="30.75" customHeight="1" thickBot="1">
      <c r="A1" s="1499">
        <v>1</v>
      </c>
      <c r="B1" s="868"/>
      <c r="C1" s="868"/>
      <c r="D1" s="868"/>
      <c r="E1" s="868"/>
      <c r="F1" s="868"/>
      <c r="G1" s="868"/>
    </row>
    <row r="2" spans="1:19" ht="17.25" customHeight="1">
      <c r="A2" s="2147" t="s">
        <v>442</v>
      </c>
      <c r="B2" s="2147"/>
      <c r="C2" s="2147"/>
      <c r="D2" s="2147"/>
      <c r="E2" s="2147"/>
      <c r="F2" s="2147"/>
      <c r="G2" s="2148"/>
      <c r="H2" s="2145" t="s">
        <v>443</v>
      </c>
      <c r="I2" s="2124" t="s">
        <v>503</v>
      </c>
      <c r="J2" s="2125"/>
      <c r="K2" s="2126"/>
    </row>
    <row r="3" spans="1:19" ht="17.25" customHeight="1" thickBot="1">
      <c r="A3" s="2149"/>
      <c r="B3" s="2149"/>
      <c r="C3" s="2149"/>
      <c r="D3" s="2149"/>
      <c r="E3" s="2149"/>
      <c r="F3" s="2149"/>
      <c r="G3" s="2150"/>
      <c r="H3" s="2146"/>
      <c r="I3" s="2127"/>
      <c r="J3" s="2128"/>
      <c r="K3" s="2129"/>
    </row>
    <row r="4" spans="1:19" ht="16.5" customHeight="1">
      <c r="A4" s="2151" t="s">
        <v>444</v>
      </c>
      <c r="B4" s="2152"/>
      <c r="C4" s="2130" t="s">
        <v>445</v>
      </c>
      <c r="D4" s="2131"/>
      <c r="E4" s="2131"/>
      <c r="F4" s="2131"/>
      <c r="G4" s="2132"/>
      <c r="H4" s="1753" t="s">
        <v>446</v>
      </c>
      <c r="I4" s="2133">
        <f ca="1">基本情報!C1</f>
        <v>43486</v>
      </c>
      <c r="J4" s="2134"/>
      <c r="K4" s="2135"/>
    </row>
    <row r="5" spans="1:19" ht="16.5" customHeight="1">
      <c r="A5" s="2153" t="s">
        <v>447</v>
      </c>
      <c r="B5" s="2117"/>
      <c r="C5" s="1496" t="s">
        <v>448</v>
      </c>
      <c r="D5" s="1755"/>
      <c r="E5" s="1755"/>
      <c r="F5" s="1755"/>
      <c r="G5" s="864"/>
      <c r="H5" s="1753" t="s">
        <v>449</v>
      </c>
      <c r="I5" s="1755" t="s">
        <v>450</v>
      </c>
      <c r="J5" s="865" t="s">
        <v>451</v>
      </c>
      <c r="K5" s="864" t="s">
        <v>452</v>
      </c>
    </row>
    <row r="6" spans="1:19" ht="47.25" customHeight="1" thickBot="1">
      <c r="A6" s="2154"/>
      <c r="B6" s="2155"/>
      <c r="C6" s="1483"/>
      <c r="D6" s="1757"/>
      <c r="E6" s="1757"/>
      <c r="F6" s="1757"/>
      <c r="G6" s="867"/>
      <c r="H6" s="1756"/>
      <c r="I6" s="1757"/>
      <c r="J6" s="1757"/>
      <c r="K6" s="867"/>
    </row>
    <row r="7" spans="1:19" ht="17.25" customHeight="1">
      <c r="A7" s="2130" t="s">
        <v>453</v>
      </c>
      <c r="B7" s="2152"/>
      <c r="C7" s="868" t="s">
        <v>454</v>
      </c>
      <c r="D7" s="868"/>
      <c r="E7" s="868"/>
      <c r="F7" s="868"/>
      <c r="G7" s="868"/>
      <c r="H7" s="870"/>
      <c r="I7" s="870"/>
      <c r="J7" s="870"/>
      <c r="K7" s="870"/>
    </row>
    <row r="8" spans="1:19" ht="11.25" customHeight="1" thickBot="1"/>
    <row r="9" spans="1:19" ht="16.5" customHeight="1">
      <c r="A9" s="871" t="s">
        <v>455</v>
      </c>
      <c r="B9" s="869"/>
      <c r="C9" s="869"/>
      <c r="D9" s="869"/>
      <c r="E9" s="869"/>
      <c r="F9" s="869"/>
      <c r="G9" s="869"/>
      <c r="H9" s="869"/>
      <c r="I9" s="869"/>
      <c r="J9" s="869"/>
      <c r="K9" s="872"/>
    </row>
    <row r="10" spans="1:19" ht="11.25" customHeight="1">
      <c r="A10" s="873"/>
      <c r="B10" s="868"/>
      <c r="C10" s="868"/>
      <c r="D10" s="868"/>
      <c r="E10" s="868"/>
      <c r="F10" s="868"/>
      <c r="G10" s="868"/>
      <c r="H10" s="868"/>
      <c r="I10" s="868"/>
      <c r="J10" s="868"/>
      <c r="K10" s="874"/>
    </row>
    <row r="11" spans="1:19" ht="11.25" customHeight="1">
      <c r="A11" s="875"/>
      <c r="B11" s="868"/>
      <c r="C11" s="868"/>
      <c r="D11" s="868"/>
      <c r="E11" s="868"/>
      <c r="F11" s="868"/>
      <c r="G11" s="868"/>
      <c r="H11" s="868"/>
      <c r="I11" s="868"/>
      <c r="J11" s="868"/>
      <c r="K11" s="874"/>
    </row>
    <row r="12" spans="1:19" ht="11.25" customHeight="1" thickBot="1">
      <c r="A12" s="876"/>
      <c r="B12" s="863"/>
      <c r="C12" s="863"/>
      <c r="D12" s="863"/>
      <c r="E12" s="863"/>
      <c r="F12" s="863"/>
      <c r="G12" s="863"/>
      <c r="H12" s="863"/>
      <c r="I12" s="863"/>
      <c r="J12" s="863"/>
      <c r="K12" s="877"/>
    </row>
    <row r="13" spans="1:19" ht="10.5" customHeight="1" thickBot="1"/>
    <row r="14" spans="1:19" ht="30" customHeight="1">
      <c r="A14" s="2159" t="s">
        <v>456</v>
      </c>
      <c r="B14" s="2160"/>
      <c r="C14" s="2139" t="s">
        <v>509</v>
      </c>
      <c r="D14" s="2140"/>
      <c r="E14" s="2140"/>
      <c r="F14" s="2140"/>
      <c r="G14" s="2141"/>
      <c r="H14" s="878" t="s">
        <v>457</v>
      </c>
      <c r="I14" s="2130"/>
      <c r="J14" s="2131"/>
      <c r="K14" s="2132"/>
      <c r="L14" s="1364"/>
      <c r="M14" s="1364"/>
      <c r="N14" s="1364"/>
      <c r="O14" s="1364"/>
      <c r="P14" s="1364"/>
      <c r="Q14" s="1364"/>
      <c r="R14" s="1364"/>
      <c r="S14" s="1364"/>
    </row>
    <row r="15" spans="1:19" ht="24.75" customHeight="1">
      <c r="A15" s="2157" t="s">
        <v>35</v>
      </c>
      <c r="B15" s="2158"/>
      <c r="C15" s="2142" t="str">
        <f>基本情報!C4</f>
        <v>MAMIYAビル</v>
      </c>
      <c r="D15" s="2143"/>
      <c r="E15" s="2143"/>
      <c r="F15" s="2143"/>
      <c r="G15" s="2144"/>
      <c r="H15" s="865" t="s">
        <v>458</v>
      </c>
      <c r="I15" s="2136" t="s">
        <v>878</v>
      </c>
      <c r="J15" s="2137"/>
      <c r="K15" s="2138"/>
    </row>
    <row r="16" spans="1:19" ht="3.75" customHeight="1">
      <c r="A16" s="884"/>
      <c r="B16" s="885"/>
      <c r="C16" s="885"/>
      <c r="D16" s="885"/>
      <c r="E16" s="885"/>
      <c r="F16" s="885"/>
      <c r="G16" s="885"/>
      <c r="H16" s="885"/>
      <c r="I16" s="885"/>
      <c r="J16" s="885"/>
      <c r="K16" s="886"/>
    </row>
    <row r="17" spans="1:11" ht="16.5" customHeight="1">
      <c r="A17" s="887" t="s">
        <v>475</v>
      </c>
      <c r="B17" s="1754"/>
      <c r="C17" s="1754"/>
      <c r="D17" s="1754"/>
      <c r="E17" s="1754"/>
      <c r="F17" s="1754"/>
      <c r="G17" s="1754"/>
      <c r="H17" s="1754"/>
      <c r="I17" s="1754"/>
      <c r="J17" s="1754"/>
      <c r="K17" s="1759"/>
    </row>
    <row r="18" spans="1:11" ht="3.75" customHeight="1">
      <c r="A18" s="887"/>
      <c r="B18" s="1754"/>
      <c r="C18" s="1754"/>
      <c r="D18" s="1754"/>
      <c r="E18" s="1754"/>
      <c r="F18" s="1754"/>
      <c r="G18" s="1754"/>
      <c r="H18" s="1754"/>
      <c r="I18" s="1754"/>
      <c r="J18" s="1754"/>
      <c r="K18" s="1759"/>
    </row>
    <row r="19" spans="1:11" ht="16.5" customHeight="1">
      <c r="A19" s="2161" t="s">
        <v>502</v>
      </c>
      <c r="B19" s="2123"/>
      <c r="C19" s="2123"/>
      <c r="D19" s="2123"/>
      <c r="E19" s="2123"/>
      <c r="F19" s="2123"/>
      <c r="G19" s="2123"/>
      <c r="H19" s="2123"/>
      <c r="I19" s="2123"/>
      <c r="J19" s="2123"/>
      <c r="K19" s="2162"/>
    </row>
    <row r="20" spans="1:11" ht="16.5" customHeight="1">
      <c r="A20" s="1495">
        <v>1</v>
      </c>
      <c r="B20" s="2120" t="s">
        <v>862</v>
      </c>
      <c r="C20" s="2120"/>
      <c r="D20" s="891" t="str">
        <f>基本情報!C6</f>
        <v>東京都千代田区神田錦町3-18</v>
      </c>
      <c r="E20" s="891"/>
      <c r="F20" s="891"/>
      <c r="G20" s="891"/>
      <c r="H20" s="1754"/>
      <c r="I20" s="1754"/>
      <c r="J20" s="1754"/>
      <c r="K20" s="1759"/>
    </row>
    <row r="21" spans="1:11" ht="16.5" customHeight="1">
      <c r="A21" s="1495">
        <v>2</v>
      </c>
      <c r="B21" s="2120" t="s">
        <v>863</v>
      </c>
      <c r="C21" s="2120"/>
      <c r="D21" s="891" t="str">
        <f>基本情報!C17</f>
        <v>宅地</v>
      </c>
      <c r="E21" s="1782">
        <f>基本情報!C20</f>
        <v>354.52</v>
      </c>
      <c r="F21" s="891" t="s">
        <v>476</v>
      </c>
      <c r="G21" s="892">
        <f>基本情報!E20</f>
        <v>107.24</v>
      </c>
      <c r="H21" s="891" t="s">
        <v>477</v>
      </c>
      <c r="I21" s="891"/>
      <c r="J21" s="1754"/>
      <c r="K21" s="1759"/>
    </row>
    <row r="22" spans="1:11" ht="16.5" customHeight="1">
      <c r="A22" s="1495">
        <v>3</v>
      </c>
      <c r="B22" s="2120" t="s">
        <v>864</v>
      </c>
      <c r="C22" s="2120"/>
      <c r="D22" s="891" t="str">
        <f>基本情報!C28</f>
        <v>鉄骨鉄筋コンクリート造陸屋根7階建</v>
      </c>
      <c r="E22" s="891"/>
      <c r="F22" s="891"/>
      <c r="G22" s="891"/>
      <c r="H22" s="1754"/>
      <c r="I22" s="1754"/>
      <c r="J22" s="1754"/>
      <c r="K22" s="1759"/>
    </row>
    <row r="23" spans="1:11" ht="16.5" customHeight="1">
      <c r="A23" s="1486"/>
      <c r="B23" s="2156"/>
      <c r="C23" s="2156"/>
      <c r="D23" s="891" t="s">
        <v>478</v>
      </c>
      <c r="E23" s="1782">
        <f>基本情報!C30</f>
        <v>2132.0300000000002</v>
      </c>
      <c r="F23" s="891" t="s">
        <v>476</v>
      </c>
      <c r="G23" s="892">
        <f>基本情報!E30</f>
        <v>644.92999999999995</v>
      </c>
      <c r="H23" s="891" t="s">
        <v>477</v>
      </c>
      <c r="I23" s="891"/>
      <c r="J23" s="1754"/>
      <c r="K23" s="1759"/>
    </row>
    <row r="24" spans="1:11" ht="16.5" customHeight="1">
      <c r="A24" s="1486"/>
      <c r="B24" s="2156"/>
      <c r="C24" s="2156"/>
      <c r="D24" s="891" t="s">
        <v>479</v>
      </c>
      <c r="E24" s="891" t="str">
        <f>基本情報!C29</f>
        <v>事務所・車庫</v>
      </c>
      <c r="F24" s="891"/>
      <c r="G24" s="891"/>
      <c r="H24" s="1754"/>
      <c r="I24" s="1754"/>
      <c r="J24" s="1754"/>
      <c r="K24" s="1759"/>
    </row>
    <row r="25" spans="1:11" ht="16.5" customHeight="1">
      <c r="A25" s="1495">
        <v>4</v>
      </c>
      <c r="B25" s="2120" t="s">
        <v>879</v>
      </c>
      <c r="C25" s="2120"/>
      <c r="D25" s="2163">
        <f>'事業計画書（事業決定時）'!D8</f>
        <v>614560426</v>
      </c>
      <c r="E25" s="2163"/>
      <c r="F25" s="2163"/>
      <c r="G25" s="891" t="s">
        <v>480</v>
      </c>
      <c r="H25" s="893">
        <f>'事業計画書（事業決定時）'!F9</f>
        <v>20439574</v>
      </c>
      <c r="I25" s="891" t="s">
        <v>481</v>
      </c>
      <c r="J25" s="1754"/>
      <c r="K25" s="1759"/>
    </row>
    <row r="26" spans="1:11" ht="16.5" customHeight="1">
      <c r="A26" s="1495">
        <v>5</v>
      </c>
      <c r="B26" s="2120" t="s">
        <v>867</v>
      </c>
      <c r="C26" s="2120"/>
      <c r="D26" s="891" t="str">
        <f>基本情報!C54</f>
        <v>マミヤ・オーピー株式会社</v>
      </c>
      <c r="E26" s="891"/>
      <c r="F26" s="891"/>
      <c r="G26" s="891"/>
      <c r="H26" s="1754"/>
      <c r="I26" s="891"/>
      <c r="J26" s="1754"/>
      <c r="K26" s="1759"/>
    </row>
    <row r="27" spans="1:11" ht="16.5" customHeight="1">
      <c r="A27" s="1495">
        <v>6</v>
      </c>
      <c r="B27" s="2120" t="s">
        <v>868</v>
      </c>
      <c r="C27" s="2120"/>
      <c r="D27" s="891" t="s">
        <v>506</v>
      </c>
      <c r="E27" s="2109" t="str">
        <f>基本情報!C56</f>
        <v>CBRE株式会社</v>
      </c>
      <c r="F27" s="2109"/>
      <c r="G27" s="2109"/>
      <c r="H27" s="1754" t="s">
        <v>507</v>
      </c>
      <c r="I27" s="2109" t="str">
        <f>基本情報!C57</f>
        <v>CBRE株式会社</v>
      </c>
      <c r="J27" s="2109"/>
      <c r="K27" s="2110"/>
    </row>
    <row r="28" spans="1:11" ht="16.5" customHeight="1">
      <c r="A28" s="1495">
        <v>7</v>
      </c>
      <c r="B28" s="2120" t="s">
        <v>869</v>
      </c>
      <c r="C28" s="2120"/>
      <c r="D28" s="2164">
        <f>'事業計画書（事業決定時）'!D10</f>
        <v>18496812</v>
      </c>
      <c r="E28" s="2164"/>
      <c r="F28" s="891" t="s">
        <v>480</v>
      </c>
      <c r="G28" s="1783" t="s">
        <v>1151</v>
      </c>
      <c r="H28" s="891" t="s">
        <v>516</v>
      </c>
      <c r="I28" s="1754"/>
      <c r="J28" s="1754"/>
      <c r="K28" s="1759"/>
    </row>
    <row r="29" spans="1:11" ht="16.5" customHeight="1">
      <c r="A29" s="1495">
        <v>8</v>
      </c>
      <c r="B29" s="2120" t="s">
        <v>870</v>
      </c>
      <c r="C29" s="2120"/>
      <c r="D29" s="2164">
        <f>'事業計画書（事業決定時）'!M13</f>
        <v>997160000</v>
      </c>
      <c r="E29" s="2164"/>
      <c r="F29" s="891" t="s">
        <v>480</v>
      </c>
      <c r="G29" s="902">
        <f>'事業計画書（事業決定時）'!O14</f>
        <v>33164396.546980701</v>
      </c>
      <c r="H29" s="891" t="s">
        <v>481</v>
      </c>
      <c r="I29" s="1754" t="s">
        <v>488</v>
      </c>
      <c r="J29" s="896">
        <f>'事業計画書（事業決定時）'!M19</f>
        <v>4.5100000000000001E-2</v>
      </c>
      <c r="K29" s="897" t="s">
        <v>489</v>
      </c>
    </row>
    <row r="30" spans="1:11" ht="16.5" customHeight="1">
      <c r="A30" s="1495">
        <v>9</v>
      </c>
      <c r="B30" s="2120" t="s">
        <v>880</v>
      </c>
      <c r="C30" s="2120"/>
      <c r="D30" s="2164">
        <f>'事業計画書（事業決定時）'!M20</f>
        <v>219536982</v>
      </c>
      <c r="E30" s="2164"/>
      <c r="F30" s="891" t="s">
        <v>490</v>
      </c>
      <c r="G30" s="898">
        <f>'事業計画書（事業決定時）'!M21</f>
        <v>0.2823</v>
      </c>
      <c r="H30" s="891" t="s">
        <v>489</v>
      </c>
      <c r="I30" s="1754"/>
      <c r="J30" s="1754"/>
      <c r="K30" s="1759"/>
    </row>
    <row r="31" spans="1:11" ht="16.5" customHeight="1">
      <c r="A31" s="1495">
        <v>10</v>
      </c>
      <c r="B31" s="2120" t="s">
        <v>881</v>
      </c>
      <c r="C31" s="2120"/>
      <c r="D31" s="899">
        <f>'事業計画書（事業決定時）'!M58</f>
        <v>272</v>
      </c>
      <c r="E31" s="891"/>
      <c r="F31" s="891"/>
      <c r="G31" s="1754"/>
      <c r="H31" s="1754"/>
      <c r="I31" s="1754"/>
      <c r="J31" s="1754"/>
      <c r="K31" s="1759"/>
    </row>
    <row r="32" spans="1:11" ht="16.5" customHeight="1">
      <c r="A32" s="1495">
        <v>11</v>
      </c>
      <c r="B32" s="2120" t="s">
        <v>873</v>
      </c>
      <c r="C32" s="2120"/>
      <c r="D32" s="891" t="s">
        <v>491</v>
      </c>
      <c r="E32" s="2121">
        <f>'事業計画書（事業決定時）'!M54</f>
        <v>43188</v>
      </c>
      <c r="F32" s="2121"/>
      <c r="G32" s="1754" t="s">
        <v>492</v>
      </c>
      <c r="H32" s="2121">
        <f>'事業計画書（事業決定時）'!M55</f>
        <v>43259</v>
      </c>
      <c r="I32" s="2121"/>
      <c r="J32" s="903" t="s">
        <v>1150</v>
      </c>
      <c r="K32" s="1759"/>
    </row>
    <row r="33" spans="1:11" ht="16.5" customHeight="1">
      <c r="A33" s="1495">
        <v>12</v>
      </c>
      <c r="B33" s="2120" t="s">
        <v>882</v>
      </c>
      <c r="C33" s="2120"/>
      <c r="D33" s="891" t="s">
        <v>493</v>
      </c>
      <c r="E33" s="900">
        <f>基本情報!C58</f>
        <v>0</v>
      </c>
      <c r="F33" s="900"/>
      <c r="G33" s="891"/>
      <c r="H33" s="1754"/>
      <c r="I33" s="1754"/>
      <c r="J33" s="1754"/>
      <c r="K33" s="1759"/>
    </row>
    <row r="34" spans="1:11" ht="16.5" customHeight="1">
      <c r="A34" s="875"/>
      <c r="B34" s="2156"/>
      <c r="C34" s="2156"/>
      <c r="D34" s="891" t="s">
        <v>497</v>
      </c>
      <c r="E34" s="2163">
        <f>'事業計画書（事業決定時）'!F13</f>
        <v>350000000</v>
      </c>
      <c r="F34" s="2163"/>
      <c r="G34" s="2123" t="s">
        <v>498</v>
      </c>
      <c r="H34" s="2123"/>
      <c r="I34" s="2122">
        <f>'事業計画書（事業決定時）'!F18</f>
        <v>427623018</v>
      </c>
      <c r="J34" s="2122"/>
      <c r="K34" s="874"/>
    </row>
    <row r="35" spans="1:11" ht="16.5" customHeight="1">
      <c r="A35" s="1495">
        <v>13</v>
      </c>
      <c r="B35" s="2120" t="s">
        <v>883</v>
      </c>
      <c r="C35" s="2120"/>
      <c r="D35" s="2163">
        <f>基本情報!C59</f>
        <v>0</v>
      </c>
      <c r="E35" s="2163"/>
      <c r="F35" s="2163"/>
      <c r="G35" s="891"/>
      <c r="H35" s="868"/>
      <c r="I35" s="868"/>
      <c r="J35" s="868"/>
      <c r="K35" s="874"/>
    </row>
    <row r="36" spans="1:11" ht="16.5" customHeight="1">
      <c r="A36" s="1495">
        <v>14</v>
      </c>
      <c r="B36" s="2120" t="s">
        <v>874</v>
      </c>
      <c r="C36" s="2120"/>
      <c r="D36" s="891" t="str">
        <f>基本情報!C60</f>
        <v>現況有姿、公簿売買、瑕疵担保免責</v>
      </c>
      <c r="E36" s="891"/>
      <c r="F36" s="891"/>
      <c r="G36" s="868"/>
      <c r="H36" s="1754"/>
      <c r="I36" s="1754"/>
      <c r="J36" s="1754"/>
      <c r="K36" s="1759"/>
    </row>
    <row r="37" spans="1:11" ht="16.5" customHeight="1">
      <c r="A37" s="1486"/>
      <c r="B37" s="1752"/>
      <c r="C37" s="1752"/>
      <c r="D37" s="891" t="str">
        <f>基本情報!C61</f>
        <v>境界明示（官民・民民）</v>
      </c>
      <c r="E37" s="891"/>
      <c r="F37" s="891"/>
      <c r="G37" s="868"/>
      <c r="H37" s="1754"/>
      <c r="I37" s="1754"/>
      <c r="J37" s="1754"/>
      <c r="K37" s="1759"/>
    </row>
    <row r="38" spans="1:11" ht="16.5" customHeight="1">
      <c r="A38" s="1486"/>
      <c r="B38" s="1752"/>
      <c r="C38" s="1752"/>
      <c r="D38" s="891"/>
      <c r="E38" s="891"/>
      <c r="F38" s="891"/>
      <c r="G38" s="868"/>
      <c r="H38" s="1754"/>
      <c r="I38" s="1754"/>
      <c r="J38" s="1754"/>
      <c r="K38" s="1759"/>
    </row>
    <row r="39" spans="1:11" ht="16.5" customHeight="1">
      <c r="A39" s="1489" t="s">
        <v>500</v>
      </c>
      <c r="B39" s="868"/>
      <c r="C39" s="1490"/>
      <c r="D39" s="1754"/>
      <c r="E39" s="1754"/>
      <c r="F39" s="1754"/>
      <c r="G39" s="1754"/>
      <c r="H39" s="1754"/>
      <c r="I39" s="1754"/>
      <c r="J39" s="1754"/>
      <c r="K39" s="1759"/>
    </row>
    <row r="40" spans="1:11" ht="16.5" customHeight="1">
      <c r="A40" s="1486"/>
      <c r="B40" s="891" t="str">
        <f>基本情報!C62</f>
        <v>①物件資料一式、②事業計画書、③取纏依頼書・買付証明書、④不動産売却申込書、⑤審査会所見表、⑥投資委員会議事録、</v>
      </c>
      <c r="C40" s="1754"/>
      <c r="D40" s="1754"/>
      <c r="E40" s="1754"/>
      <c r="F40" s="1754"/>
      <c r="G40" s="1754"/>
      <c r="H40" s="1754"/>
      <c r="I40" s="1754"/>
      <c r="J40" s="1754"/>
      <c r="K40" s="1759"/>
    </row>
    <row r="41" spans="1:11" ht="16.5" customHeight="1">
      <c r="A41" s="1486"/>
      <c r="B41" s="891" t="str">
        <f>基本情報!C63</f>
        <v>⑦反社チェック調査評価、⑧不動産売買契約証書（案）</v>
      </c>
      <c r="C41" s="1754"/>
      <c r="D41" s="1754"/>
      <c r="E41" s="1754"/>
      <c r="F41" s="1754"/>
      <c r="G41" s="1754"/>
      <c r="H41" s="1754"/>
      <c r="I41" s="1754"/>
      <c r="J41" s="868"/>
      <c r="K41" s="874"/>
    </row>
    <row r="42" spans="1:11" ht="16.5" customHeight="1">
      <c r="A42" s="1486"/>
      <c r="B42" s="908"/>
      <c r="C42" s="908"/>
      <c r="D42" s="908"/>
      <c r="E42" s="908"/>
      <c r="F42" s="908"/>
      <c r="G42" s="908"/>
      <c r="H42" s="908"/>
      <c r="I42" s="908"/>
      <c r="J42" s="1754" t="s">
        <v>501</v>
      </c>
      <c r="K42" s="1497"/>
    </row>
    <row r="43" spans="1:11" ht="6.75" customHeight="1" thickBot="1">
      <c r="A43" s="888"/>
      <c r="B43" s="889"/>
      <c r="C43" s="889"/>
      <c r="D43" s="889"/>
      <c r="E43" s="889"/>
      <c r="F43" s="889"/>
      <c r="G43" s="889"/>
      <c r="H43" s="889"/>
      <c r="I43" s="889"/>
      <c r="J43" s="889"/>
      <c r="K43" s="890"/>
    </row>
    <row r="44" spans="1:11" ht="10.5" customHeight="1"/>
    <row r="45" spans="1:11" ht="14.25" customHeight="1">
      <c r="A45" s="2116" t="s">
        <v>459</v>
      </c>
      <c r="B45" s="2165"/>
      <c r="C45" s="2165"/>
      <c r="D45" s="2165"/>
      <c r="E45" s="2165"/>
      <c r="F45" s="2165"/>
      <c r="G45" s="2117"/>
      <c r="H45" s="880" t="s">
        <v>460</v>
      </c>
      <c r="I45" s="2118" t="s">
        <v>461</v>
      </c>
      <c r="J45" s="2119"/>
      <c r="K45" s="1755" t="s">
        <v>462</v>
      </c>
    </row>
    <row r="46" spans="1:11" ht="14.25" customHeight="1">
      <c r="A46" s="2116" t="s">
        <v>463</v>
      </c>
      <c r="B46" s="2117"/>
      <c r="C46" s="1491" t="s">
        <v>449</v>
      </c>
      <c r="D46" s="1491" t="s">
        <v>875</v>
      </c>
      <c r="E46" s="1491" t="s">
        <v>876</v>
      </c>
      <c r="F46" s="1491" t="s">
        <v>877</v>
      </c>
      <c r="G46" s="1491"/>
      <c r="H46" s="880" t="s">
        <v>464</v>
      </c>
      <c r="I46" s="2118" t="s">
        <v>465</v>
      </c>
      <c r="J46" s="2119"/>
      <c r="K46" s="881" t="s">
        <v>466</v>
      </c>
    </row>
    <row r="47" spans="1:11" ht="14.25" customHeight="1">
      <c r="A47" s="1473"/>
      <c r="B47" s="1474"/>
      <c r="C47" s="881"/>
      <c r="D47" s="881"/>
      <c r="E47" s="881"/>
      <c r="F47" s="881"/>
      <c r="G47" s="881"/>
      <c r="H47" s="880" t="s">
        <v>467</v>
      </c>
      <c r="I47" s="2116" t="s">
        <v>468</v>
      </c>
      <c r="J47" s="2117"/>
      <c r="K47" s="881"/>
    </row>
    <row r="48" spans="1:11" ht="14.25" customHeight="1">
      <c r="A48" s="1475"/>
      <c r="B48" s="1476"/>
      <c r="C48" s="882"/>
      <c r="D48" s="882"/>
      <c r="E48" s="882"/>
      <c r="F48" s="882"/>
      <c r="G48" s="882"/>
      <c r="H48" s="880" t="s">
        <v>469</v>
      </c>
      <c r="I48" s="2118" t="s">
        <v>461</v>
      </c>
      <c r="J48" s="2119"/>
      <c r="K48" s="882"/>
    </row>
    <row r="49" spans="1:19" ht="14.25" customHeight="1">
      <c r="A49" s="1477"/>
      <c r="B49" s="1478"/>
      <c r="C49" s="1758"/>
      <c r="D49" s="1758"/>
      <c r="E49" s="1758"/>
      <c r="F49" s="1758"/>
      <c r="G49" s="1758"/>
      <c r="H49" s="880" t="s">
        <v>470</v>
      </c>
      <c r="I49" s="2118" t="s">
        <v>465</v>
      </c>
      <c r="J49" s="2119"/>
      <c r="K49" s="1758"/>
    </row>
    <row r="50" spans="1:19" ht="12" customHeight="1">
      <c r="A50" s="2111" t="s">
        <v>471</v>
      </c>
      <c r="B50" s="2111"/>
      <c r="C50" s="2111"/>
      <c r="D50" s="2111"/>
      <c r="E50" s="2111"/>
      <c r="F50" s="2111"/>
      <c r="G50" s="2111"/>
      <c r="H50" s="2111"/>
      <c r="I50" s="2111"/>
      <c r="J50" s="2111"/>
      <c r="K50" s="2111"/>
      <c r="S50" s="862"/>
    </row>
    <row r="51" spans="1:19" ht="12" customHeight="1">
      <c r="A51" s="2112" t="s">
        <v>472</v>
      </c>
      <c r="B51" s="2112"/>
      <c r="C51" s="2112"/>
      <c r="D51" s="2112"/>
      <c r="E51" s="2112"/>
      <c r="F51" s="2112"/>
      <c r="G51" s="2112"/>
      <c r="H51" s="2112"/>
      <c r="I51" s="2112"/>
      <c r="J51" s="2112"/>
      <c r="K51" s="2112"/>
      <c r="S51" s="862"/>
    </row>
    <row r="52" spans="1:19" ht="12" customHeight="1" thickBot="1">
      <c r="A52" s="2113" t="s">
        <v>473</v>
      </c>
      <c r="B52" s="2113"/>
      <c r="C52" s="2113"/>
      <c r="D52" s="2113"/>
      <c r="E52" s="2113"/>
      <c r="F52" s="2113"/>
      <c r="G52" s="2113"/>
      <c r="H52" s="2113"/>
      <c r="I52" s="2113"/>
      <c r="J52" s="2113"/>
      <c r="K52" s="2113"/>
      <c r="S52" s="862"/>
    </row>
    <row r="53" spans="1:19">
      <c r="A53" s="2114" t="s">
        <v>474</v>
      </c>
      <c r="B53" s="2115"/>
      <c r="C53" s="2115"/>
      <c r="D53" s="869"/>
      <c r="E53" s="869"/>
      <c r="F53" s="869"/>
      <c r="G53" s="869"/>
      <c r="H53" s="869"/>
      <c r="I53" s="869"/>
      <c r="J53" s="869"/>
      <c r="K53" s="872"/>
    </row>
    <row r="54" spans="1:19">
      <c r="A54" s="875"/>
      <c r="B54" s="868"/>
      <c r="C54" s="868"/>
      <c r="D54" s="868"/>
      <c r="E54" s="868"/>
      <c r="F54" s="868"/>
      <c r="G54" s="868"/>
      <c r="H54" s="868"/>
      <c r="I54" s="868"/>
      <c r="J54" s="868"/>
      <c r="K54" s="874"/>
    </row>
    <row r="55" spans="1:19">
      <c r="A55" s="875"/>
      <c r="B55" s="868"/>
      <c r="C55" s="868"/>
      <c r="D55" s="868"/>
      <c r="E55" s="868"/>
      <c r="F55" s="868"/>
      <c r="G55" s="868"/>
      <c r="H55" s="868"/>
      <c r="I55" s="868"/>
      <c r="J55" s="868"/>
      <c r="K55" s="874"/>
    </row>
    <row r="56" spans="1:19">
      <c r="A56" s="875"/>
      <c r="B56" s="868"/>
      <c r="C56" s="868"/>
      <c r="D56" s="868"/>
      <c r="E56" s="868"/>
      <c r="F56" s="868"/>
      <c r="G56" s="868"/>
      <c r="H56" s="868"/>
      <c r="I56" s="868"/>
      <c r="J56" s="868"/>
      <c r="K56" s="874"/>
    </row>
    <row r="57" spans="1:19">
      <c r="A57" s="875"/>
      <c r="B57" s="868"/>
      <c r="C57" s="868"/>
      <c r="D57" s="868"/>
      <c r="E57" s="868"/>
      <c r="F57" s="868"/>
      <c r="G57" s="868"/>
      <c r="H57" s="868"/>
      <c r="I57" s="868"/>
      <c r="J57" s="868"/>
      <c r="K57" s="874"/>
    </row>
    <row r="58" spans="1:19">
      <c r="A58" s="875"/>
      <c r="B58" s="868"/>
      <c r="C58" s="868"/>
      <c r="D58" s="868"/>
      <c r="E58" s="868"/>
      <c r="F58" s="868"/>
      <c r="G58" s="868"/>
      <c r="H58" s="868"/>
      <c r="I58" s="868"/>
      <c r="J58" s="868"/>
      <c r="K58" s="874"/>
    </row>
    <row r="59" spans="1:19">
      <c r="A59" s="875"/>
      <c r="B59" s="868"/>
      <c r="C59" s="868"/>
      <c r="D59" s="868"/>
      <c r="E59" s="868"/>
      <c r="F59" s="868"/>
      <c r="G59" s="868"/>
      <c r="H59" s="868"/>
      <c r="I59" s="868"/>
      <c r="J59" s="868"/>
      <c r="K59" s="874"/>
    </row>
    <row r="60" spans="1:19">
      <c r="A60" s="875"/>
      <c r="B60" s="868"/>
      <c r="C60" s="868"/>
      <c r="D60" s="868"/>
      <c r="E60" s="868"/>
      <c r="F60" s="868"/>
      <c r="G60" s="868"/>
      <c r="H60" s="868"/>
      <c r="I60" s="868"/>
      <c r="J60" s="868"/>
      <c r="K60" s="874"/>
    </row>
    <row r="61" spans="1:19">
      <c r="A61" s="875"/>
      <c r="B61" s="868"/>
      <c r="C61" s="868"/>
      <c r="D61" s="868"/>
      <c r="E61" s="868"/>
      <c r="F61" s="868"/>
      <c r="G61" s="868"/>
      <c r="H61" s="868"/>
      <c r="I61" s="868"/>
      <c r="J61" s="868"/>
      <c r="K61" s="874"/>
    </row>
    <row r="62" spans="1:19">
      <c r="A62" s="875"/>
      <c r="B62" s="868"/>
      <c r="C62" s="868"/>
      <c r="D62" s="868"/>
      <c r="E62" s="868"/>
      <c r="F62" s="868"/>
      <c r="G62" s="868"/>
      <c r="H62" s="868"/>
      <c r="I62" s="868"/>
      <c r="J62" s="868"/>
      <c r="K62" s="874"/>
    </row>
    <row r="63" spans="1:19">
      <c r="A63" s="875"/>
      <c r="B63" s="868"/>
      <c r="C63" s="868"/>
      <c r="D63" s="868"/>
      <c r="E63" s="868"/>
      <c r="F63" s="868"/>
      <c r="G63" s="868"/>
      <c r="H63" s="868"/>
      <c r="I63" s="868"/>
      <c r="J63" s="868"/>
      <c r="K63" s="874"/>
    </row>
    <row r="64" spans="1:19">
      <c r="A64" s="875"/>
      <c r="B64" s="868"/>
      <c r="C64" s="868"/>
      <c r="D64" s="868"/>
      <c r="E64" s="868"/>
      <c r="F64" s="868"/>
      <c r="G64" s="868"/>
      <c r="H64" s="868"/>
      <c r="I64" s="868"/>
      <c r="J64" s="868"/>
      <c r="K64" s="874"/>
    </row>
    <row r="65" spans="1:11">
      <c r="A65" s="875"/>
      <c r="B65" s="868"/>
      <c r="C65" s="868"/>
      <c r="D65" s="868"/>
      <c r="E65" s="868"/>
      <c r="F65" s="868"/>
      <c r="G65" s="868"/>
      <c r="H65" s="868"/>
      <c r="I65" s="868"/>
      <c r="J65" s="868"/>
      <c r="K65" s="874"/>
    </row>
    <row r="66" spans="1:11">
      <c r="A66" s="875"/>
      <c r="B66" s="868"/>
      <c r="C66" s="868"/>
      <c r="D66" s="868"/>
      <c r="E66" s="868"/>
      <c r="F66" s="868"/>
      <c r="G66" s="868"/>
      <c r="H66" s="868"/>
      <c r="I66" s="868"/>
      <c r="J66" s="868"/>
      <c r="K66" s="874"/>
    </row>
    <row r="67" spans="1:11">
      <c r="A67" s="875"/>
      <c r="B67" s="868"/>
      <c r="C67" s="868"/>
      <c r="D67" s="868"/>
      <c r="E67" s="868"/>
      <c r="F67" s="868"/>
      <c r="G67" s="868"/>
      <c r="H67" s="868"/>
      <c r="I67" s="868"/>
      <c r="J67" s="868"/>
      <c r="K67" s="874"/>
    </row>
    <row r="68" spans="1:11">
      <c r="A68" s="875"/>
      <c r="B68" s="868"/>
      <c r="C68" s="868"/>
      <c r="D68" s="868"/>
      <c r="E68" s="868"/>
      <c r="F68" s="868"/>
      <c r="G68" s="868"/>
      <c r="H68" s="868"/>
      <c r="I68" s="868"/>
      <c r="J68" s="868"/>
      <c r="K68" s="874"/>
    </row>
    <row r="69" spans="1:11">
      <c r="A69" s="875"/>
      <c r="B69" s="868"/>
      <c r="C69" s="868"/>
      <c r="D69" s="868"/>
      <c r="E69" s="868"/>
      <c r="F69" s="868"/>
      <c r="G69" s="868"/>
      <c r="H69" s="868"/>
      <c r="I69" s="868"/>
      <c r="J69" s="868"/>
      <c r="K69" s="874"/>
    </row>
    <row r="70" spans="1:11">
      <c r="A70" s="875"/>
      <c r="B70" s="868"/>
      <c r="C70" s="868"/>
      <c r="D70" s="868"/>
      <c r="E70" s="868"/>
      <c r="F70" s="868"/>
      <c r="G70" s="868"/>
      <c r="H70" s="868"/>
      <c r="I70" s="868"/>
      <c r="J70" s="868"/>
      <c r="K70" s="874"/>
    </row>
    <row r="71" spans="1:11">
      <c r="A71" s="875"/>
      <c r="B71" s="868"/>
      <c r="C71" s="868"/>
      <c r="D71" s="868"/>
      <c r="E71" s="868"/>
      <c r="F71" s="868"/>
      <c r="G71" s="868"/>
      <c r="H71" s="868"/>
      <c r="I71" s="868"/>
      <c r="J71" s="868"/>
      <c r="K71" s="874"/>
    </row>
    <row r="72" spans="1:11">
      <c r="A72" s="875"/>
      <c r="B72" s="868"/>
      <c r="C72" s="868"/>
      <c r="D72" s="868"/>
      <c r="E72" s="868"/>
      <c r="F72" s="868"/>
      <c r="G72" s="868"/>
      <c r="H72" s="868"/>
      <c r="I72" s="868"/>
      <c r="J72" s="868"/>
      <c r="K72" s="874"/>
    </row>
    <row r="73" spans="1:11">
      <c r="A73" s="875"/>
      <c r="B73" s="868"/>
      <c r="C73" s="868"/>
      <c r="D73" s="868"/>
      <c r="E73" s="868"/>
      <c r="F73" s="868"/>
      <c r="G73" s="868"/>
      <c r="H73" s="868"/>
      <c r="I73" s="868"/>
      <c r="J73" s="868"/>
      <c r="K73" s="874"/>
    </row>
    <row r="74" spans="1:11">
      <c r="A74" s="875"/>
      <c r="B74" s="868"/>
      <c r="C74" s="868"/>
      <c r="D74" s="868"/>
      <c r="E74" s="868"/>
      <c r="F74" s="868"/>
      <c r="G74" s="868"/>
      <c r="H74" s="868"/>
      <c r="I74" s="868"/>
      <c r="J74" s="868"/>
      <c r="K74" s="874"/>
    </row>
    <row r="75" spans="1:11">
      <c r="A75" s="875"/>
      <c r="B75" s="868"/>
      <c r="C75" s="868"/>
      <c r="D75" s="868"/>
      <c r="E75" s="868"/>
      <c r="F75" s="868"/>
      <c r="G75" s="868"/>
      <c r="H75" s="868"/>
      <c r="I75" s="868"/>
      <c r="J75" s="868"/>
      <c r="K75" s="874"/>
    </row>
    <row r="76" spans="1:11">
      <c r="A76" s="875"/>
      <c r="B76" s="868"/>
      <c r="C76" s="868"/>
      <c r="D76" s="868"/>
      <c r="E76" s="868"/>
      <c r="F76" s="868"/>
      <c r="G76" s="868"/>
      <c r="H76" s="868"/>
      <c r="I76" s="868"/>
      <c r="J76" s="868"/>
      <c r="K76" s="874"/>
    </row>
    <row r="77" spans="1:11">
      <c r="A77" s="875"/>
      <c r="B77" s="868"/>
      <c r="C77" s="868"/>
      <c r="D77" s="868"/>
      <c r="E77" s="868"/>
      <c r="F77" s="868"/>
      <c r="G77" s="868"/>
      <c r="H77" s="868"/>
      <c r="I77" s="868"/>
      <c r="J77" s="868"/>
      <c r="K77" s="874"/>
    </row>
    <row r="78" spans="1:11">
      <c r="A78" s="875"/>
      <c r="B78" s="868"/>
      <c r="C78" s="868"/>
      <c r="D78" s="868"/>
      <c r="E78" s="868"/>
      <c r="F78" s="868"/>
      <c r="G78" s="868"/>
      <c r="H78" s="868"/>
      <c r="I78" s="868"/>
      <c r="J78" s="868"/>
      <c r="K78" s="874"/>
    </row>
    <row r="79" spans="1:11">
      <c r="A79" s="875"/>
      <c r="B79" s="868"/>
      <c r="C79" s="868"/>
      <c r="D79" s="868"/>
      <c r="E79" s="868"/>
      <c r="F79" s="868"/>
      <c r="G79" s="868"/>
      <c r="H79" s="868"/>
      <c r="I79" s="868"/>
      <c r="J79" s="868"/>
      <c r="K79" s="874"/>
    </row>
    <row r="80" spans="1:11">
      <c r="A80" s="875"/>
      <c r="B80" s="868"/>
      <c r="C80" s="868"/>
      <c r="D80" s="868"/>
      <c r="E80" s="868"/>
      <c r="F80" s="868"/>
      <c r="G80" s="868"/>
      <c r="H80" s="868"/>
      <c r="I80" s="868"/>
      <c r="J80" s="868"/>
      <c r="K80" s="874"/>
    </row>
    <row r="81" spans="1:11">
      <c r="A81" s="875"/>
      <c r="B81" s="868"/>
      <c r="C81" s="868"/>
      <c r="D81" s="868"/>
      <c r="E81" s="868"/>
      <c r="F81" s="868"/>
      <c r="G81" s="868"/>
      <c r="H81" s="868"/>
      <c r="I81" s="868"/>
      <c r="J81" s="868"/>
      <c r="K81" s="874"/>
    </row>
    <row r="82" spans="1:11">
      <c r="A82" s="875"/>
      <c r="B82" s="868"/>
      <c r="C82" s="868"/>
      <c r="D82" s="868"/>
      <c r="E82" s="868"/>
      <c r="F82" s="868"/>
      <c r="G82" s="868"/>
      <c r="H82" s="868"/>
      <c r="I82" s="868"/>
      <c r="J82" s="868"/>
      <c r="K82" s="874"/>
    </row>
    <row r="83" spans="1:11">
      <c r="A83" s="875"/>
      <c r="B83" s="868"/>
      <c r="C83" s="868"/>
      <c r="D83" s="868"/>
      <c r="E83" s="868"/>
      <c r="F83" s="868"/>
      <c r="G83" s="868"/>
      <c r="H83" s="868"/>
      <c r="I83" s="868"/>
      <c r="J83" s="868"/>
      <c r="K83" s="874"/>
    </row>
    <row r="84" spans="1:11">
      <c r="A84" s="875"/>
      <c r="B84" s="868"/>
      <c r="C84" s="868"/>
      <c r="D84" s="868"/>
      <c r="E84" s="868"/>
      <c r="F84" s="868"/>
      <c r="G84" s="868"/>
      <c r="H84" s="868"/>
      <c r="I84" s="868"/>
      <c r="J84" s="868"/>
      <c r="K84" s="874"/>
    </row>
    <row r="85" spans="1:11">
      <c r="A85" s="875"/>
      <c r="B85" s="868"/>
      <c r="C85" s="868"/>
      <c r="D85" s="868"/>
      <c r="E85" s="868"/>
      <c r="F85" s="868"/>
      <c r="G85" s="868"/>
      <c r="H85" s="868"/>
      <c r="I85" s="868"/>
      <c r="J85" s="868"/>
      <c r="K85" s="874"/>
    </row>
    <row r="86" spans="1:11">
      <c r="A86" s="875"/>
      <c r="B86" s="868"/>
      <c r="C86" s="868"/>
      <c r="D86" s="868"/>
      <c r="E86" s="868"/>
      <c r="F86" s="868"/>
      <c r="G86" s="868"/>
      <c r="H86" s="868"/>
      <c r="I86" s="868"/>
      <c r="J86" s="868"/>
      <c r="K86" s="874"/>
    </row>
    <row r="87" spans="1:11">
      <c r="A87" s="875"/>
      <c r="B87" s="868"/>
      <c r="C87" s="868"/>
      <c r="D87" s="868"/>
      <c r="E87" s="868"/>
      <c r="F87" s="868"/>
      <c r="G87" s="868"/>
      <c r="H87" s="868"/>
      <c r="I87" s="868"/>
      <c r="J87" s="868"/>
      <c r="K87" s="874"/>
    </row>
    <row r="88" spans="1:11">
      <c r="A88" s="875"/>
      <c r="B88" s="868"/>
      <c r="C88" s="868"/>
      <c r="D88" s="868"/>
      <c r="E88" s="868"/>
      <c r="F88" s="868"/>
      <c r="G88" s="868"/>
      <c r="H88" s="868"/>
      <c r="I88" s="868"/>
      <c r="J88" s="868"/>
      <c r="K88" s="874"/>
    </row>
    <row r="89" spans="1:11">
      <c r="A89" s="875"/>
      <c r="B89" s="868"/>
      <c r="C89" s="868"/>
      <c r="D89" s="868"/>
      <c r="E89" s="868"/>
      <c r="F89" s="868"/>
      <c r="G89" s="868"/>
      <c r="H89" s="868"/>
      <c r="I89" s="868"/>
      <c r="J89" s="868"/>
      <c r="K89" s="874"/>
    </row>
    <row r="90" spans="1:11">
      <c r="A90" s="875"/>
      <c r="B90" s="868"/>
      <c r="C90" s="868"/>
      <c r="D90" s="868"/>
      <c r="E90" s="868"/>
      <c r="F90" s="868"/>
      <c r="G90" s="868"/>
      <c r="H90" s="868"/>
      <c r="I90" s="868"/>
      <c r="J90" s="868"/>
      <c r="K90" s="874"/>
    </row>
    <row r="91" spans="1:11">
      <c r="A91" s="875"/>
      <c r="B91" s="868"/>
      <c r="C91" s="868"/>
      <c r="D91" s="868"/>
      <c r="E91" s="868"/>
      <c r="F91" s="868"/>
      <c r="G91" s="868"/>
      <c r="H91" s="868"/>
      <c r="I91" s="868"/>
      <c r="J91" s="868"/>
      <c r="K91" s="874"/>
    </row>
    <row r="92" spans="1:11">
      <c r="A92" s="875"/>
      <c r="B92" s="868"/>
      <c r="C92" s="868"/>
      <c r="D92" s="868"/>
      <c r="E92" s="868"/>
      <c r="F92" s="868"/>
      <c r="G92" s="868"/>
      <c r="H92" s="868"/>
      <c r="I92" s="868"/>
      <c r="J92" s="868"/>
      <c r="K92" s="874"/>
    </row>
    <row r="93" spans="1:11">
      <c r="A93" s="875"/>
      <c r="B93" s="868"/>
      <c r="C93" s="868"/>
      <c r="D93" s="868"/>
      <c r="E93" s="868"/>
      <c r="F93" s="868"/>
      <c r="G93" s="868"/>
      <c r="H93" s="868"/>
      <c r="I93" s="868"/>
      <c r="J93" s="868"/>
      <c r="K93" s="874"/>
    </row>
    <row r="94" spans="1:11">
      <c r="A94" s="875"/>
      <c r="B94" s="868"/>
      <c r="C94" s="868"/>
      <c r="D94" s="868"/>
      <c r="E94" s="868"/>
      <c r="F94" s="868"/>
      <c r="G94" s="868"/>
      <c r="H94" s="868"/>
      <c r="I94" s="868"/>
      <c r="J94" s="868"/>
      <c r="K94" s="874"/>
    </row>
    <row r="95" spans="1:11">
      <c r="A95" s="875"/>
      <c r="B95" s="868"/>
      <c r="C95" s="868"/>
      <c r="D95" s="868"/>
      <c r="E95" s="868"/>
      <c r="F95" s="868"/>
      <c r="G95" s="868"/>
      <c r="H95" s="868"/>
      <c r="I95" s="868"/>
      <c r="J95" s="868"/>
      <c r="K95" s="874"/>
    </row>
    <row r="96" spans="1:11">
      <c r="A96" s="875"/>
      <c r="B96" s="868"/>
      <c r="C96" s="868"/>
      <c r="D96" s="868"/>
      <c r="E96" s="868"/>
      <c r="F96" s="868"/>
      <c r="G96" s="868"/>
      <c r="H96" s="868"/>
      <c r="I96" s="868"/>
      <c r="J96" s="868"/>
      <c r="K96" s="874"/>
    </row>
    <row r="97" spans="1:11">
      <c r="A97" s="875"/>
      <c r="B97" s="868"/>
      <c r="C97" s="868"/>
      <c r="D97" s="868"/>
      <c r="E97" s="868"/>
      <c r="F97" s="868"/>
      <c r="G97" s="868"/>
      <c r="H97" s="868"/>
      <c r="I97" s="868"/>
      <c r="J97" s="868"/>
      <c r="K97" s="874"/>
    </row>
    <row r="98" spans="1:11">
      <c r="A98" s="875"/>
      <c r="B98" s="868"/>
      <c r="C98" s="868"/>
      <c r="D98" s="868"/>
      <c r="E98" s="868"/>
      <c r="F98" s="868"/>
      <c r="G98" s="868"/>
      <c r="H98" s="868"/>
      <c r="I98" s="868"/>
      <c r="J98" s="868"/>
      <c r="K98" s="874"/>
    </row>
    <row r="99" spans="1:11">
      <c r="A99" s="875"/>
      <c r="B99" s="868"/>
      <c r="C99" s="868"/>
      <c r="D99" s="868"/>
      <c r="E99" s="868"/>
      <c r="F99" s="868"/>
      <c r="G99" s="868"/>
      <c r="H99" s="868"/>
      <c r="I99" s="868"/>
      <c r="J99" s="868"/>
      <c r="K99" s="874"/>
    </row>
    <row r="100" spans="1:11">
      <c r="A100" s="875"/>
      <c r="B100" s="868"/>
      <c r="C100" s="868"/>
      <c r="D100" s="868"/>
      <c r="E100" s="868"/>
      <c r="F100" s="868"/>
      <c r="G100" s="868"/>
      <c r="H100" s="868"/>
      <c r="I100" s="868"/>
      <c r="J100" s="868"/>
      <c r="K100" s="874"/>
    </row>
    <row r="101" spans="1:11">
      <c r="A101" s="875"/>
      <c r="B101" s="868"/>
      <c r="C101" s="868"/>
      <c r="D101" s="868"/>
      <c r="E101" s="868"/>
      <c r="F101" s="868"/>
      <c r="G101" s="868"/>
      <c r="H101" s="868"/>
      <c r="I101" s="868"/>
      <c r="J101" s="868"/>
      <c r="K101" s="874"/>
    </row>
    <row r="102" spans="1:11">
      <c r="A102" s="875"/>
      <c r="B102" s="868"/>
      <c r="C102" s="868"/>
      <c r="D102" s="868"/>
      <c r="E102" s="868"/>
      <c r="F102" s="868"/>
      <c r="G102" s="868"/>
      <c r="H102" s="868"/>
      <c r="I102" s="868"/>
      <c r="J102" s="868"/>
      <c r="K102" s="874"/>
    </row>
    <row r="103" spans="1:11">
      <c r="A103" s="875"/>
      <c r="B103" s="868"/>
      <c r="C103" s="868"/>
      <c r="D103" s="868"/>
      <c r="E103" s="868"/>
      <c r="F103" s="868"/>
      <c r="G103" s="868"/>
      <c r="H103" s="868"/>
      <c r="I103" s="868"/>
      <c r="J103" s="868"/>
      <c r="K103" s="874"/>
    </row>
    <row r="104" spans="1:11">
      <c r="A104" s="875"/>
      <c r="B104" s="868"/>
      <c r="C104" s="868"/>
      <c r="D104" s="868"/>
      <c r="E104" s="868"/>
      <c r="F104" s="868"/>
      <c r="G104" s="868"/>
      <c r="H104" s="868"/>
      <c r="I104" s="868"/>
      <c r="J104" s="868"/>
      <c r="K104" s="874"/>
    </row>
    <row r="105" spans="1:11">
      <c r="A105" s="875"/>
      <c r="B105" s="868"/>
      <c r="C105" s="868"/>
      <c r="D105" s="868"/>
      <c r="E105" s="868"/>
      <c r="F105" s="868"/>
      <c r="G105" s="868"/>
      <c r="H105" s="868"/>
      <c r="I105" s="868"/>
      <c r="J105" s="868"/>
      <c r="K105" s="874"/>
    </row>
    <row r="106" spans="1:11">
      <c r="A106" s="875"/>
      <c r="B106" s="868"/>
      <c r="C106" s="868"/>
      <c r="D106" s="868"/>
      <c r="E106" s="868"/>
      <c r="F106" s="868"/>
      <c r="G106" s="868"/>
      <c r="H106" s="868"/>
      <c r="I106" s="868"/>
      <c r="J106" s="868"/>
      <c r="K106" s="874"/>
    </row>
    <row r="107" spans="1:11">
      <c r="A107" s="875"/>
      <c r="B107" s="868"/>
      <c r="C107" s="868"/>
      <c r="D107" s="868"/>
      <c r="E107" s="868"/>
      <c r="F107" s="868"/>
      <c r="G107" s="868"/>
      <c r="H107" s="868"/>
      <c r="I107" s="868"/>
      <c r="J107" s="868"/>
      <c r="K107" s="874"/>
    </row>
    <row r="108" spans="1:11">
      <c r="A108" s="875"/>
      <c r="B108" s="868"/>
      <c r="C108" s="868"/>
      <c r="D108" s="868"/>
      <c r="E108" s="868"/>
      <c r="F108" s="868"/>
      <c r="G108" s="868"/>
      <c r="H108" s="868"/>
      <c r="I108" s="868"/>
      <c r="J108" s="868"/>
      <c r="K108" s="874"/>
    </row>
    <row r="109" spans="1:11">
      <c r="A109" s="875"/>
      <c r="B109" s="868"/>
      <c r="C109" s="868"/>
      <c r="D109" s="868"/>
      <c r="E109" s="868"/>
      <c r="F109" s="868"/>
      <c r="G109" s="868"/>
      <c r="H109" s="868"/>
      <c r="I109" s="868"/>
      <c r="J109" s="868"/>
      <c r="K109" s="874"/>
    </row>
    <row r="110" spans="1:11" ht="14.25" thickBot="1">
      <c r="A110" s="876"/>
      <c r="B110" s="863"/>
      <c r="C110" s="863"/>
      <c r="D110" s="863"/>
      <c r="E110" s="863"/>
      <c r="F110" s="863"/>
      <c r="G110" s="863"/>
      <c r="H110" s="863"/>
      <c r="I110" s="863"/>
      <c r="J110" s="863"/>
      <c r="K110" s="877"/>
    </row>
  </sheetData>
  <mergeCells count="56">
    <mergeCell ref="A46:B46"/>
    <mergeCell ref="A45:G45"/>
    <mergeCell ref="E34:F34"/>
    <mergeCell ref="D30:E30"/>
    <mergeCell ref="D29:E29"/>
    <mergeCell ref="D28:E28"/>
    <mergeCell ref="D35:F35"/>
    <mergeCell ref="B29:C29"/>
    <mergeCell ref="B30:C30"/>
    <mergeCell ref="B31:C31"/>
    <mergeCell ref="E32:F32"/>
    <mergeCell ref="B28:C28"/>
    <mergeCell ref="B32:C32"/>
    <mergeCell ref="B33:C33"/>
    <mergeCell ref="B34:C34"/>
    <mergeCell ref="E27:G27"/>
    <mergeCell ref="A4:B4"/>
    <mergeCell ref="A5:B5"/>
    <mergeCell ref="A6:B6"/>
    <mergeCell ref="A7:B7"/>
    <mergeCell ref="B20:C20"/>
    <mergeCell ref="B24:C24"/>
    <mergeCell ref="B25:C25"/>
    <mergeCell ref="A15:B15"/>
    <mergeCell ref="A14:B14"/>
    <mergeCell ref="B21:C21"/>
    <mergeCell ref="A19:K19"/>
    <mergeCell ref="B22:C22"/>
    <mergeCell ref="B23:C23"/>
    <mergeCell ref="D25:F25"/>
    <mergeCell ref="B26:C26"/>
    <mergeCell ref="I2:K3"/>
    <mergeCell ref="C4:G4"/>
    <mergeCell ref="I4:K4"/>
    <mergeCell ref="I15:K15"/>
    <mergeCell ref="I14:K14"/>
    <mergeCell ref="C14:G14"/>
    <mergeCell ref="C15:G15"/>
    <mergeCell ref="H2:H3"/>
    <mergeCell ref="A2:G3"/>
    <mergeCell ref="I27:K27"/>
    <mergeCell ref="A50:K50"/>
    <mergeCell ref="A51:K51"/>
    <mergeCell ref="A52:K52"/>
    <mergeCell ref="A53:C53"/>
    <mergeCell ref="I47:J47"/>
    <mergeCell ref="I48:J48"/>
    <mergeCell ref="I45:J45"/>
    <mergeCell ref="I46:J46"/>
    <mergeCell ref="I49:J49"/>
    <mergeCell ref="B35:C35"/>
    <mergeCell ref="B36:C36"/>
    <mergeCell ref="B27:C27"/>
    <mergeCell ref="H32:I32"/>
    <mergeCell ref="I34:J34"/>
    <mergeCell ref="G34:H34"/>
  </mergeCells>
  <phoneticPr fontId="192"/>
  <printOptions horizontalCentered="1"/>
  <pageMargins left="0" right="0" top="0.39370078740157483" bottom="0" header="0" footer="0.19685039370078741"/>
  <pageSetup paperSize="9" scale="96" orientation="portrait" horizontalDpi="300" verticalDpi="300" r:id="rId1"/>
  <headerFooter>
    <oddHeader>&amp;R〔P.　　　　/　　　　〕</oddHeader>
    <oddFooter>&amp;R&amp;"ＭＳ 明朝,標準"（H25.1改訂）</oddFooter>
  </headerFooter>
  <rowBreaks count="1" manualBreakCount="1">
    <brk id="52" max="16383" man="1"/>
  </rowBreaks>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9900"/>
  </sheetPr>
  <dimension ref="A1:P108"/>
  <sheetViews>
    <sheetView showGridLines="0" view="pageBreakPreview" topLeftCell="A7" zoomScaleNormal="100" zoomScaleSheetLayoutView="100" workbookViewId="0">
      <selection activeCell="C15" sqref="C15"/>
    </sheetView>
  </sheetViews>
  <sheetFormatPr defaultRowHeight="13.5"/>
  <cols>
    <col min="1" max="1" width="3.375" style="862" customWidth="1"/>
    <col min="2" max="2" width="6.625" style="862" customWidth="1"/>
    <col min="3" max="11" width="9.375" style="862" customWidth="1"/>
    <col min="12" max="16384" width="9" style="862"/>
  </cols>
  <sheetData>
    <row r="1" spans="1:11" ht="30.75" customHeight="1" thickBot="1"/>
    <row r="2" spans="1:11" ht="17.25" customHeight="1">
      <c r="A2" s="2175" t="s">
        <v>442</v>
      </c>
      <c r="B2" s="2175"/>
      <c r="C2" s="2175"/>
      <c r="D2" s="2175"/>
      <c r="E2" s="2175"/>
      <c r="F2" s="2175"/>
      <c r="G2" s="2148"/>
      <c r="H2" s="2171" t="s">
        <v>443</v>
      </c>
      <c r="I2" s="2124" t="s">
        <v>503</v>
      </c>
      <c r="J2" s="2125"/>
      <c r="K2" s="2126"/>
    </row>
    <row r="3" spans="1:11" ht="17.25" customHeight="1" thickBot="1">
      <c r="A3" s="2149"/>
      <c r="B3" s="2149"/>
      <c r="C3" s="2149"/>
      <c r="D3" s="2149"/>
      <c r="E3" s="2149"/>
      <c r="F3" s="2149"/>
      <c r="G3" s="2150"/>
      <c r="H3" s="2172"/>
      <c r="I3" s="2127"/>
      <c r="J3" s="2128"/>
      <c r="K3" s="2129"/>
    </row>
    <row r="4" spans="1:11" ht="16.5" customHeight="1">
      <c r="A4" s="2171" t="s">
        <v>444</v>
      </c>
      <c r="B4" s="2169"/>
      <c r="C4" s="2169" t="s">
        <v>445</v>
      </c>
      <c r="D4" s="2169"/>
      <c r="E4" s="2169"/>
      <c r="F4" s="2169"/>
      <c r="G4" s="2170"/>
      <c r="H4" s="1472" t="s">
        <v>446</v>
      </c>
      <c r="I4" s="2173">
        <f ca="1">基本情報!C1</f>
        <v>43486</v>
      </c>
      <c r="J4" s="2173"/>
      <c r="K4" s="2174"/>
    </row>
    <row r="5" spans="1:11" ht="16.5" customHeight="1">
      <c r="A5" s="2172" t="s">
        <v>447</v>
      </c>
      <c r="B5" s="2179"/>
      <c r="C5" s="865" t="s">
        <v>448</v>
      </c>
      <c r="D5" s="1467"/>
      <c r="E5" s="1467"/>
      <c r="F5" s="1467"/>
      <c r="G5" s="864"/>
      <c r="H5" s="1472" t="s">
        <v>449</v>
      </c>
      <c r="I5" s="1467" t="s">
        <v>450</v>
      </c>
      <c r="J5" s="865" t="s">
        <v>451</v>
      </c>
      <c r="K5" s="864" t="s">
        <v>452</v>
      </c>
    </row>
    <row r="6" spans="1:11" ht="49.5" customHeight="1" thickBot="1">
      <c r="A6" s="2177"/>
      <c r="B6" s="2178"/>
      <c r="C6" s="866"/>
      <c r="D6" s="866"/>
      <c r="E6" s="866"/>
      <c r="F6" s="866"/>
      <c r="G6" s="867"/>
      <c r="H6" s="1483"/>
      <c r="I6" s="866"/>
      <c r="J6" s="866"/>
      <c r="K6" s="867"/>
    </row>
    <row r="7" spans="1:11" ht="17.25" customHeight="1">
      <c r="A7" s="2176" t="s">
        <v>453</v>
      </c>
      <c r="B7" s="2176"/>
      <c r="C7" s="868" t="s">
        <v>454</v>
      </c>
      <c r="D7" s="868"/>
      <c r="E7" s="868"/>
      <c r="F7" s="868"/>
      <c r="G7" s="868"/>
      <c r="H7" s="870"/>
      <c r="I7" s="870"/>
      <c r="J7" s="870"/>
      <c r="K7" s="870"/>
    </row>
    <row r="8" spans="1:11" ht="11.25" customHeight="1" thickBot="1"/>
    <row r="9" spans="1:11" ht="16.5" customHeight="1">
      <c r="A9" s="871" t="s">
        <v>455</v>
      </c>
      <c r="B9" s="869"/>
      <c r="C9" s="869"/>
      <c r="D9" s="869"/>
      <c r="E9" s="869"/>
      <c r="F9" s="869"/>
      <c r="G9" s="869"/>
      <c r="H9" s="869"/>
      <c r="I9" s="869"/>
      <c r="J9" s="869"/>
      <c r="K9" s="872"/>
    </row>
    <row r="10" spans="1:11" ht="16.5" customHeight="1">
      <c r="A10" s="873"/>
      <c r="B10" s="868"/>
      <c r="C10" s="868"/>
      <c r="D10" s="868"/>
      <c r="E10" s="868"/>
      <c r="F10" s="868"/>
      <c r="G10" s="868"/>
      <c r="H10" s="868"/>
      <c r="I10" s="868"/>
      <c r="J10" s="868"/>
      <c r="K10" s="874"/>
    </row>
    <row r="11" spans="1:11" ht="16.5" customHeight="1">
      <c r="A11" s="875"/>
      <c r="B11" s="868"/>
      <c r="C11" s="868"/>
      <c r="D11" s="868"/>
      <c r="E11" s="868"/>
      <c r="F11" s="868"/>
      <c r="G11" s="868"/>
      <c r="H11" s="868"/>
      <c r="I11" s="868"/>
      <c r="J11" s="868"/>
      <c r="K11" s="874"/>
    </row>
    <row r="12" spans="1:11" ht="16.5" customHeight="1" thickBot="1">
      <c r="A12" s="876"/>
      <c r="B12" s="863"/>
      <c r="C12" s="863"/>
      <c r="D12" s="863"/>
      <c r="E12" s="863"/>
      <c r="F12" s="863"/>
      <c r="G12" s="863"/>
      <c r="H12" s="863"/>
      <c r="I12" s="863"/>
      <c r="J12" s="863"/>
      <c r="K12" s="877"/>
    </row>
    <row r="13" spans="1:11" ht="11.25" customHeight="1" thickBot="1"/>
    <row r="14" spans="1:11" ht="30" customHeight="1">
      <c r="A14" s="2182" t="s">
        <v>456</v>
      </c>
      <c r="B14" s="2183"/>
      <c r="C14" s="1485" t="s">
        <v>510</v>
      </c>
      <c r="D14" s="1466"/>
      <c r="E14" s="1466"/>
      <c r="F14" s="1466"/>
      <c r="G14" s="1466"/>
      <c r="H14" s="878" t="s">
        <v>457</v>
      </c>
      <c r="I14" s="2169"/>
      <c r="J14" s="2169"/>
      <c r="K14" s="2170"/>
    </row>
    <row r="15" spans="1:11" ht="24.75" customHeight="1">
      <c r="A15" s="2180" t="s">
        <v>35</v>
      </c>
      <c r="B15" s="2181"/>
      <c r="C15" s="906" t="str">
        <f>基本情報!C5</f>
        <v>MAMIYAビル</v>
      </c>
      <c r="D15" s="879"/>
      <c r="E15" s="879"/>
      <c r="F15" s="879"/>
      <c r="G15" s="1471"/>
      <c r="H15" s="865" t="s">
        <v>458</v>
      </c>
      <c r="I15" s="2167" t="s">
        <v>878</v>
      </c>
      <c r="J15" s="2167"/>
      <c r="K15" s="2168"/>
    </row>
    <row r="16" spans="1:11" ht="3.75" customHeight="1">
      <c r="A16" s="884"/>
      <c r="B16" s="885"/>
      <c r="C16" s="885"/>
      <c r="D16" s="885"/>
      <c r="E16" s="885"/>
      <c r="F16" s="885"/>
      <c r="G16" s="885"/>
      <c r="H16" s="885"/>
      <c r="I16" s="885"/>
      <c r="J16" s="885"/>
      <c r="K16" s="886"/>
    </row>
    <row r="17" spans="1:11" ht="16.5" customHeight="1">
      <c r="A17" s="887" t="s">
        <v>512</v>
      </c>
      <c r="B17" s="1469"/>
      <c r="C17" s="1469"/>
      <c r="D17" s="1469"/>
      <c r="E17" s="1469"/>
      <c r="F17" s="1469"/>
      <c r="G17" s="1469"/>
      <c r="H17" s="1469"/>
      <c r="I17" s="1469"/>
      <c r="J17" s="1469"/>
      <c r="K17" s="1470"/>
    </row>
    <row r="18" spans="1:11" ht="3.75" customHeight="1">
      <c r="A18" s="887"/>
      <c r="B18" s="1469"/>
      <c r="C18" s="1469"/>
      <c r="D18" s="1469"/>
      <c r="E18" s="1469"/>
      <c r="F18" s="1469"/>
      <c r="G18" s="1469"/>
      <c r="H18" s="1469"/>
      <c r="I18" s="1469"/>
      <c r="J18" s="1469"/>
      <c r="K18" s="1470"/>
    </row>
    <row r="19" spans="1:11" ht="16.5" customHeight="1">
      <c r="A19" s="2161" t="s">
        <v>502</v>
      </c>
      <c r="B19" s="2123"/>
      <c r="C19" s="2123"/>
      <c r="D19" s="2123"/>
      <c r="E19" s="2123"/>
      <c r="F19" s="2123"/>
      <c r="G19" s="2123"/>
      <c r="H19" s="2123"/>
      <c r="I19" s="2123"/>
      <c r="J19" s="2123"/>
      <c r="K19" s="2162"/>
    </row>
    <row r="20" spans="1:11" ht="16.5" customHeight="1">
      <c r="A20" s="1495">
        <v>1</v>
      </c>
      <c r="B20" s="2120" t="s">
        <v>862</v>
      </c>
      <c r="C20" s="2120"/>
      <c r="D20" s="891" t="str">
        <f>基本情報!C6</f>
        <v>東京都千代田区神田錦町3-18</v>
      </c>
      <c r="E20" s="891"/>
      <c r="F20" s="891"/>
      <c r="G20" s="891"/>
      <c r="H20" s="1469"/>
      <c r="I20" s="1469"/>
      <c r="J20" s="1469"/>
      <c r="K20" s="1470"/>
    </row>
    <row r="21" spans="1:11" ht="16.5" customHeight="1">
      <c r="A21" s="1495">
        <v>2</v>
      </c>
      <c r="B21" s="2120" t="s">
        <v>863</v>
      </c>
      <c r="C21" s="2120"/>
      <c r="D21" s="891" t="str">
        <f>基本情報!C17</f>
        <v>宅地</v>
      </c>
      <c r="E21" s="901">
        <f>基本情報!C20</f>
        <v>354.52</v>
      </c>
      <c r="F21" s="891" t="s">
        <v>476</v>
      </c>
      <c r="G21" s="892">
        <f>基本情報!E20</f>
        <v>107.24</v>
      </c>
      <c r="H21" s="891" t="s">
        <v>477</v>
      </c>
      <c r="I21" s="891"/>
      <c r="J21" s="1469"/>
      <c r="K21" s="1470"/>
    </row>
    <row r="22" spans="1:11" ht="16.5" customHeight="1">
      <c r="A22" s="1495">
        <v>3</v>
      </c>
      <c r="B22" s="2120" t="s">
        <v>864</v>
      </c>
      <c r="C22" s="2120"/>
      <c r="D22" s="891" t="str">
        <f>基本情報!C28</f>
        <v>鉄骨鉄筋コンクリート造陸屋根7階建</v>
      </c>
      <c r="E22" s="891"/>
      <c r="F22" s="891"/>
      <c r="G22" s="891"/>
      <c r="H22" s="1469"/>
      <c r="I22" s="1469"/>
      <c r="J22" s="1469"/>
      <c r="K22" s="1470"/>
    </row>
    <row r="23" spans="1:11" ht="16.5" customHeight="1">
      <c r="A23" s="1495"/>
      <c r="B23" s="2156"/>
      <c r="C23" s="2156"/>
      <c r="D23" s="891" t="s">
        <v>478</v>
      </c>
      <c r="E23" s="901">
        <f>基本情報!C30</f>
        <v>2132.0300000000002</v>
      </c>
      <c r="F23" s="891" t="s">
        <v>476</v>
      </c>
      <c r="G23" s="892">
        <f>基本情報!E30</f>
        <v>644.92999999999995</v>
      </c>
      <c r="H23" s="891" t="s">
        <v>477</v>
      </c>
      <c r="I23" s="891"/>
      <c r="J23" s="1469"/>
      <c r="K23" s="1470"/>
    </row>
    <row r="24" spans="1:11" ht="16.5" customHeight="1">
      <c r="A24" s="1495"/>
      <c r="B24" s="2156"/>
      <c r="C24" s="2156"/>
      <c r="D24" s="891" t="s">
        <v>479</v>
      </c>
      <c r="E24" s="891" t="str">
        <f>基本情報!C29</f>
        <v>事務所・車庫</v>
      </c>
      <c r="F24" s="891"/>
      <c r="G24" s="891"/>
      <c r="H24" s="1469"/>
      <c r="I24" s="1469"/>
      <c r="J24" s="1469"/>
      <c r="K24" s="1470"/>
    </row>
    <row r="25" spans="1:11" ht="16.5" customHeight="1">
      <c r="A25" s="1495">
        <v>4</v>
      </c>
      <c r="B25" s="2120" t="s">
        <v>865</v>
      </c>
      <c r="C25" s="2120"/>
      <c r="D25" s="2163">
        <f>'事業計画書（現行）'!$M$13</f>
        <v>3770000000</v>
      </c>
      <c r="E25" s="2163"/>
      <c r="F25" s="2163"/>
      <c r="G25" s="891" t="s">
        <v>480</v>
      </c>
      <c r="H25" s="893">
        <f>'事業計画書（現行）'!$O$14</f>
        <v>63987001.435279988</v>
      </c>
      <c r="I25" s="891" t="s">
        <v>481</v>
      </c>
      <c r="J25" s="1469"/>
      <c r="K25" s="1470"/>
    </row>
    <row r="26" spans="1:11" ht="16.5" customHeight="1">
      <c r="A26" s="1495">
        <v>5</v>
      </c>
      <c r="B26" s="2120" t="s">
        <v>866</v>
      </c>
      <c r="C26" s="2120"/>
      <c r="D26" s="891" t="str">
        <f>基本情報!C65</f>
        <v>●●株式会社</v>
      </c>
      <c r="E26" s="891"/>
      <c r="F26" s="891"/>
      <c r="G26" s="891"/>
      <c r="H26" s="1469"/>
      <c r="I26" s="891"/>
      <c r="J26" s="1469"/>
      <c r="K26" s="1470"/>
    </row>
    <row r="27" spans="1:11" ht="16.5" customHeight="1">
      <c r="A27" s="1495">
        <v>6</v>
      </c>
      <c r="B27" s="2120" t="s">
        <v>867</v>
      </c>
      <c r="C27" s="2120"/>
      <c r="D27" s="891" t="str">
        <f>基本情報!C67</f>
        <v>サンフロンティア不動産株式会社</v>
      </c>
      <c r="E27" s="891"/>
      <c r="F27" s="891"/>
      <c r="G27" s="891"/>
      <c r="H27" s="1469"/>
      <c r="I27" s="891"/>
      <c r="J27" s="1469"/>
      <c r="K27" s="1470"/>
    </row>
    <row r="28" spans="1:11" ht="16.5" customHeight="1">
      <c r="A28" s="1495">
        <v>7</v>
      </c>
      <c r="B28" s="2120" t="s">
        <v>868</v>
      </c>
      <c r="C28" s="2120"/>
      <c r="D28" s="891" t="s">
        <v>506</v>
      </c>
      <c r="E28" s="891" t="str">
        <f>基本情報!C68</f>
        <v>●●株式会社</v>
      </c>
      <c r="F28" s="891"/>
      <c r="G28" s="1469"/>
      <c r="H28" s="1469" t="s">
        <v>507</v>
      </c>
      <c r="I28" s="891" t="str">
        <f>基本情報!C69</f>
        <v>●●株式会社</v>
      </c>
      <c r="J28" s="1469"/>
      <c r="K28" s="1470"/>
    </row>
    <row r="29" spans="1:11" ht="16.5" customHeight="1">
      <c r="A29" s="1495">
        <v>8</v>
      </c>
      <c r="B29" s="2120" t="s">
        <v>869</v>
      </c>
      <c r="C29" s="2120"/>
      <c r="D29" s="2164">
        <f>'事業計画書（現行）'!M15</f>
        <v>113160000</v>
      </c>
      <c r="E29" s="2164"/>
      <c r="F29" s="891" t="s">
        <v>480</v>
      </c>
      <c r="G29" s="902">
        <f>D29*基本情報!C77</f>
        <v>9052800</v>
      </c>
      <c r="H29" s="891" t="s">
        <v>861</v>
      </c>
      <c r="I29" s="1469"/>
      <c r="J29" s="1469"/>
      <c r="K29" s="1470"/>
    </row>
    <row r="30" spans="1:11" ht="16.5" customHeight="1">
      <c r="A30" s="1495">
        <v>9</v>
      </c>
      <c r="B30" s="2120" t="s">
        <v>870</v>
      </c>
      <c r="C30" s="2120"/>
      <c r="D30" s="2164">
        <f>'事業計画書（現行）'!M13</f>
        <v>3770000000</v>
      </c>
      <c r="E30" s="2164"/>
      <c r="F30" s="891" t="s">
        <v>480</v>
      </c>
      <c r="G30" s="902">
        <f>'事業計画書（現行）'!O14</f>
        <v>63987001.435279988</v>
      </c>
      <c r="H30" s="891" t="s">
        <v>481</v>
      </c>
      <c r="I30" s="1469" t="s">
        <v>488</v>
      </c>
      <c r="J30" s="896">
        <f>'事業計画書（現行）'!M19</f>
        <v>0.04</v>
      </c>
      <c r="K30" s="897" t="s">
        <v>860</v>
      </c>
    </row>
    <row r="31" spans="1:11" ht="16.5" customHeight="1">
      <c r="A31" s="1495">
        <v>10</v>
      </c>
      <c r="B31" s="2120" t="s">
        <v>871</v>
      </c>
      <c r="C31" s="2120"/>
      <c r="D31" s="2164">
        <f>'事業計画書（現行）'!M20</f>
        <v>786455280</v>
      </c>
      <c r="E31" s="2164"/>
      <c r="F31" s="891" t="s">
        <v>490</v>
      </c>
      <c r="G31" s="898">
        <f>'事業計画書（現行）'!M21</f>
        <v>0.2636</v>
      </c>
      <c r="H31" s="891" t="s">
        <v>489</v>
      </c>
      <c r="I31" s="1469"/>
      <c r="J31" s="1469"/>
      <c r="K31" s="1470"/>
    </row>
    <row r="32" spans="1:11" ht="16.5" customHeight="1">
      <c r="A32" s="1495">
        <v>11</v>
      </c>
      <c r="B32" s="2120" t="s">
        <v>872</v>
      </c>
      <c r="C32" s="2120"/>
      <c r="D32" s="924">
        <f>'事業計画書（現行）'!M58</f>
        <v>274</v>
      </c>
      <c r="E32" s="2121">
        <f>'事業計画書（現行）'!M55</f>
        <v>43738</v>
      </c>
      <c r="F32" s="2121"/>
      <c r="G32" s="1469" t="s">
        <v>519</v>
      </c>
      <c r="H32" s="2166">
        <f>'事業計画書（現行）'!M57</f>
        <v>44012</v>
      </c>
      <c r="I32" s="2166"/>
      <c r="J32" s="891" t="s">
        <v>520</v>
      </c>
      <c r="K32" s="1470"/>
    </row>
    <row r="33" spans="1:16" ht="16.5" customHeight="1">
      <c r="A33" s="1495">
        <v>12</v>
      </c>
      <c r="B33" s="2120" t="s">
        <v>873</v>
      </c>
      <c r="C33" s="2120"/>
      <c r="D33" s="891" t="s">
        <v>491</v>
      </c>
      <c r="E33" s="2121">
        <f>'事業計画書（現行）'!M56</f>
        <v>43982</v>
      </c>
      <c r="F33" s="2121"/>
      <c r="G33" s="1469" t="s">
        <v>492</v>
      </c>
      <c r="H33" s="2166">
        <f>'事業計画書（現行）'!M57</f>
        <v>44012</v>
      </c>
      <c r="I33" s="2166"/>
      <c r="J33" s="903"/>
      <c r="K33" s="1470"/>
    </row>
    <row r="34" spans="1:16" ht="16.5" customHeight="1">
      <c r="A34" s="1495">
        <v>13</v>
      </c>
      <c r="B34" s="2120" t="s">
        <v>874</v>
      </c>
      <c r="C34" s="2120"/>
      <c r="D34" s="891" t="str">
        <f>基本情報!C72</f>
        <v>現況有姿、公簿売買、瑕疵担保責任付（引渡後2年間）、融資特約なし、</v>
      </c>
      <c r="E34" s="891"/>
      <c r="F34" s="891"/>
      <c r="G34" s="1469"/>
      <c r="H34" s="1469"/>
      <c r="I34" s="1469"/>
      <c r="J34" s="1469"/>
      <c r="K34" s="1470"/>
    </row>
    <row r="35" spans="1:16" ht="16.5" customHeight="1">
      <c r="A35" s="1489"/>
      <c r="B35" s="1468"/>
      <c r="C35" s="1468"/>
      <c r="D35" s="891" t="str">
        <f>基本情報!C73</f>
        <v>当社PM受託</v>
      </c>
      <c r="E35" s="891"/>
      <c r="F35" s="891"/>
      <c r="G35" s="1469"/>
      <c r="H35" s="1469"/>
      <c r="I35" s="1469"/>
      <c r="J35" s="1469"/>
      <c r="K35" s="1470"/>
    </row>
    <row r="36" spans="1:16" ht="16.5" customHeight="1">
      <c r="A36" s="1489"/>
      <c r="B36" s="1468"/>
      <c r="C36" s="1468"/>
      <c r="D36" s="891"/>
      <c r="E36" s="891"/>
      <c r="F36" s="891"/>
      <c r="G36" s="1469"/>
      <c r="H36" s="1469"/>
      <c r="I36" s="1469"/>
      <c r="J36" s="1469"/>
      <c r="K36" s="1470"/>
    </row>
    <row r="37" spans="1:16" ht="16.5" customHeight="1">
      <c r="A37" s="1489" t="s">
        <v>500</v>
      </c>
      <c r="B37" s="1498"/>
      <c r="C37" s="1469"/>
      <c r="D37" s="1469"/>
      <c r="E37" s="1469"/>
      <c r="F37" s="1469"/>
      <c r="G37" s="1469"/>
      <c r="H37" s="1469"/>
      <c r="I37" s="1469"/>
      <c r="J37" s="1469"/>
      <c r="K37" s="874"/>
    </row>
    <row r="38" spans="1:16" ht="16.5" customHeight="1">
      <c r="A38" s="875"/>
      <c r="B38" s="891" t="str">
        <f>基本情報!C74</f>
        <v>①売却時事業計画書、②承認時事業計画書、③取纏依頼書・買付証明書、 ④売渡承諾書（取締役会条件付）、</v>
      </c>
      <c r="C38" s="1469"/>
      <c r="D38" s="1469"/>
      <c r="E38" s="1469"/>
      <c r="F38" s="1469"/>
      <c r="G38" s="1469"/>
      <c r="H38" s="1469"/>
      <c r="I38" s="1469"/>
      <c r="J38" s="1469"/>
      <c r="K38" s="874"/>
    </row>
    <row r="39" spans="1:16" ht="16.5" customHeight="1">
      <c r="A39" s="875"/>
      <c r="B39" s="891" t="str">
        <f>基本情報!C75</f>
        <v>⑤売却契約内容確認書、⑥反社チェック調査評価、⑦不動産売買契約証書（案）</v>
      </c>
      <c r="C39" s="1469"/>
      <c r="D39" s="1469"/>
      <c r="E39" s="1469"/>
      <c r="F39" s="1469"/>
      <c r="G39" s="1469"/>
      <c r="H39" s="1469"/>
      <c r="I39" s="1469"/>
      <c r="K39" s="874"/>
    </row>
    <row r="40" spans="1:16" ht="16.5" customHeight="1">
      <c r="A40" s="887"/>
      <c r="B40" s="1469"/>
      <c r="C40" s="1469"/>
      <c r="D40" s="1469"/>
      <c r="E40" s="1469"/>
      <c r="F40" s="1469"/>
      <c r="G40" s="1469"/>
      <c r="H40" s="1469"/>
      <c r="I40" s="1469"/>
      <c r="J40" s="1469" t="s">
        <v>501</v>
      </c>
      <c r="K40" s="874"/>
    </row>
    <row r="41" spans="1:16" ht="6.75" customHeight="1" thickBot="1">
      <c r="A41" s="1487"/>
      <c r="B41" s="1484"/>
      <c r="C41" s="1484"/>
      <c r="D41" s="1484"/>
      <c r="E41" s="1484"/>
      <c r="F41" s="1484"/>
      <c r="G41" s="1484"/>
      <c r="H41" s="1484"/>
      <c r="I41" s="1484"/>
      <c r="J41" s="1484"/>
      <c r="K41" s="1488"/>
    </row>
    <row r="42" spans="1:16" ht="11.25" customHeight="1"/>
    <row r="43" spans="1:16" ht="17.25" customHeight="1">
      <c r="A43" s="2116" t="s">
        <v>459</v>
      </c>
      <c r="B43" s="2165"/>
      <c r="C43" s="2165"/>
      <c r="D43" s="2165"/>
      <c r="E43" s="2165"/>
      <c r="F43" s="2165"/>
      <c r="G43" s="2117"/>
      <c r="H43" s="880" t="s">
        <v>460</v>
      </c>
      <c r="I43" s="2118" t="s">
        <v>461</v>
      </c>
      <c r="J43" s="2119"/>
      <c r="K43" s="1467" t="s">
        <v>462</v>
      </c>
    </row>
    <row r="44" spans="1:16" ht="17.25" customHeight="1">
      <c r="A44" s="2116" t="s">
        <v>463</v>
      </c>
      <c r="B44" s="2117"/>
      <c r="C44" s="1491" t="s">
        <v>449</v>
      </c>
      <c r="D44" s="1491" t="s">
        <v>875</v>
      </c>
      <c r="E44" s="1491" t="s">
        <v>876</v>
      </c>
      <c r="F44" s="1491" t="s">
        <v>877</v>
      </c>
      <c r="G44" s="1491"/>
      <c r="H44" s="880" t="s">
        <v>464</v>
      </c>
      <c r="I44" s="2118" t="s">
        <v>465</v>
      </c>
      <c r="J44" s="2119"/>
      <c r="K44" s="881" t="s">
        <v>466</v>
      </c>
    </row>
    <row r="45" spans="1:16" ht="15" customHeight="1">
      <c r="A45" s="1473"/>
      <c r="B45" s="1474"/>
      <c r="C45" s="1474"/>
      <c r="D45" s="881"/>
      <c r="E45" s="881"/>
      <c r="F45" s="881"/>
      <c r="G45" s="881"/>
      <c r="H45" s="880" t="s">
        <v>467</v>
      </c>
      <c r="I45" s="2116" t="s">
        <v>468</v>
      </c>
      <c r="J45" s="2117"/>
      <c r="K45" s="881"/>
    </row>
    <row r="46" spans="1:16" ht="15" customHeight="1">
      <c r="A46" s="1475"/>
      <c r="B46" s="1476"/>
      <c r="C46" s="1476"/>
      <c r="D46" s="882"/>
      <c r="E46" s="882"/>
      <c r="F46" s="882"/>
      <c r="G46" s="882"/>
      <c r="H46" s="880" t="s">
        <v>469</v>
      </c>
      <c r="I46" s="2118" t="s">
        <v>461</v>
      </c>
      <c r="J46" s="2119"/>
      <c r="K46" s="882"/>
    </row>
    <row r="47" spans="1:16" ht="15" customHeight="1">
      <c r="A47" s="1477"/>
      <c r="B47" s="1478"/>
      <c r="C47" s="1478"/>
      <c r="D47" s="883"/>
      <c r="E47" s="883"/>
      <c r="F47" s="883"/>
      <c r="G47" s="883"/>
      <c r="H47" s="880" t="s">
        <v>470</v>
      </c>
      <c r="I47" s="2118" t="s">
        <v>465</v>
      </c>
      <c r="J47" s="2119"/>
      <c r="K47" s="883"/>
    </row>
    <row r="48" spans="1:16" ht="12" customHeight="1">
      <c r="A48" s="1492" t="s">
        <v>471</v>
      </c>
      <c r="B48" s="1493"/>
      <c r="C48" s="1493"/>
      <c r="D48" s="1493"/>
      <c r="E48" s="1493"/>
      <c r="F48" s="1493"/>
      <c r="G48" s="1493"/>
      <c r="H48" s="1493"/>
      <c r="I48" s="1493"/>
      <c r="J48" s="1493"/>
      <c r="L48" s="1363"/>
      <c r="M48" s="1363"/>
      <c r="N48" s="1363"/>
      <c r="O48" s="1363"/>
      <c r="P48" s="1363"/>
    </row>
    <row r="49" spans="1:16" ht="12" customHeight="1">
      <c r="A49" s="1492" t="s">
        <v>472</v>
      </c>
      <c r="B49" s="1493"/>
      <c r="C49" s="1493"/>
      <c r="D49" s="1493"/>
      <c r="E49" s="1493"/>
      <c r="F49" s="1493"/>
      <c r="G49" s="1493"/>
      <c r="H49" s="1493"/>
      <c r="I49" s="1493"/>
      <c r="J49" s="1493"/>
      <c r="L49" s="1363"/>
      <c r="M49" s="1363"/>
      <c r="N49" s="1363"/>
      <c r="O49" s="1363"/>
      <c r="P49" s="1363"/>
    </row>
    <row r="50" spans="1:16" ht="12" customHeight="1" thickBot="1">
      <c r="A50" s="1492" t="s">
        <v>473</v>
      </c>
      <c r="B50" s="1493"/>
      <c r="C50" s="1493"/>
      <c r="D50" s="1493"/>
      <c r="E50" s="1493"/>
      <c r="F50" s="1493"/>
      <c r="G50" s="1493"/>
      <c r="H50" s="1493"/>
      <c r="I50" s="1493"/>
      <c r="J50" s="1494"/>
      <c r="L50" s="1363"/>
      <c r="M50" s="1363"/>
      <c r="N50" s="1363"/>
      <c r="O50" s="1363"/>
      <c r="P50" s="1363"/>
    </row>
    <row r="51" spans="1:16">
      <c r="A51" s="871" t="s">
        <v>474</v>
      </c>
      <c r="B51" s="869"/>
      <c r="C51" s="869"/>
      <c r="D51" s="869"/>
      <c r="E51" s="869"/>
      <c r="F51" s="869"/>
      <c r="G51" s="869"/>
      <c r="H51" s="869"/>
      <c r="I51" s="869"/>
      <c r="J51" s="869"/>
      <c r="K51" s="872"/>
    </row>
    <row r="52" spans="1:16">
      <c r="A52" s="875"/>
      <c r="B52" s="868"/>
      <c r="C52" s="868"/>
      <c r="D52" s="868"/>
      <c r="E52" s="868"/>
      <c r="F52" s="868"/>
      <c r="G52" s="868"/>
      <c r="H52" s="868"/>
      <c r="I52" s="868"/>
      <c r="J52" s="868"/>
      <c r="K52" s="874"/>
    </row>
    <row r="53" spans="1:16">
      <c r="A53" s="875"/>
      <c r="B53" s="868"/>
      <c r="C53" s="868"/>
      <c r="D53" s="868"/>
      <c r="E53" s="868"/>
      <c r="F53" s="868"/>
      <c r="G53" s="868"/>
      <c r="H53" s="868"/>
      <c r="I53" s="868"/>
      <c r="J53" s="868"/>
      <c r="K53" s="874"/>
    </row>
    <row r="54" spans="1:16">
      <c r="A54" s="875"/>
      <c r="B54" s="868"/>
      <c r="C54" s="868"/>
      <c r="D54" s="868"/>
      <c r="E54" s="868"/>
      <c r="F54" s="868"/>
      <c r="G54" s="868"/>
      <c r="H54" s="868"/>
      <c r="I54" s="868"/>
      <c r="J54" s="868"/>
      <c r="K54" s="874"/>
    </row>
    <row r="55" spans="1:16">
      <c r="A55" s="875"/>
      <c r="B55" s="868"/>
      <c r="C55" s="868"/>
      <c r="D55" s="868"/>
      <c r="E55" s="868"/>
      <c r="F55" s="868"/>
      <c r="G55" s="868"/>
      <c r="H55" s="868"/>
      <c r="I55" s="868"/>
      <c r="J55" s="868"/>
      <c r="K55" s="874"/>
    </row>
    <row r="56" spans="1:16">
      <c r="A56" s="875"/>
      <c r="B56" s="868"/>
      <c r="C56" s="868"/>
      <c r="D56" s="868"/>
      <c r="E56" s="868"/>
      <c r="F56" s="868"/>
      <c r="G56" s="868"/>
      <c r="H56" s="868"/>
      <c r="I56" s="868"/>
      <c r="J56" s="868"/>
      <c r="K56" s="874"/>
    </row>
    <row r="57" spans="1:16">
      <c r="A57" s="875"/>
      <c r="B57" s="868"/>
      <c r="C57" s="868"/>
      <c r="D57" s="868"/>
      <c r="E57" s="868"/>
      <c r="F57" s="868"/>
      <c r="G57" s="868"/>
      <c r="H57" s="868"/>
      <c r="I57" s="868"/>
      <c r="J57" s="868"/>
      <c r="K57" s="874"/>
    </row>
    <row r="58" spans="1:16">
      <c r="A58" s="875"/>
      <c r="B58" s="868"/>
      <c r="C58" s="868"/>
      <c r="D58" s="868"/>
      <c r="E58" s="868"/>
      <c r="F58" s="868"/>
      <c r="G58" s="868"/>
      <c r="H58" s="868"/>
      <c r="I58" s="868"/>
      <c r="J58" s="868"/>
      <c r="K58" s="874"/>
    </row>
    <row r="59" spans="1:16">
      <c r="A59" s="875"/>
      <c r="B59" s="868"/>
      <c r="C59" s="868"/>
      <c r="D59" s="868"/>
      <c r="E59" s="868"/>
      <c r="F59" s="868"/>
      <c r="G59" s="868"/>
      <c r="H59" s="868"/>
      <c r="I59" s="868"/>
      <c r="J59" s="868"/>
      <c r="K59" s="874"/>
    </row>
    <row r="60" spans="1:16">
      <c r="A60" s="875"/>
      <c r="B60" s="868"/>
      <c r="C60" s="868"/>
      <c r="D60" s="868"/>
      <c r="E60" s="868"/>
      <c r="F60" s="868"/>
      <c r="G60" s="868"/>
      <c r="H60" s="868"/>
      <c r="I60" s="868"/>
      <c r="J60" s="868"/>
      <c r="K60" s="874"/>
    </row>
    <row r="61" spans="1:16">
      <c r="A61" s="875"/>
      <c r="B61" s="868"/>
      <c r="C61" s="868"/>
      <c r="D61" s="868"/>
      <c r="E61" s="868"/>
      <c r="F61" s="868"/>
      <c r="G61" s="868"/>
      <c r="H61" s="868"/>
      <c r="I61" s="868"/>
      <c r="J61" s="868"/>
      <c r="K61" s="874"/>
    </row>
    <row r="62" spans="1:16">
      <c r="A62" s="875"/>
      <c r="B62" s="868"/>
      <c r="C62" s="868"/>
      <c r="D62" s="868"/>
      <c r="E62" s="868"/>
      <c r="F62" s="868"/>
      <c r="G62" s="868"/>
      <c r="H62" s="868"/>
      <c r="I62" s="868"/>
      <c r="J62" s="868"/>
      <c r="K62" s="874"/>
    </row>
    <row r="63" spans="1:16">
      <c r="A63" s="875"/>
      <c r="B63" s="868"/>
      <c r="C63" s="868"/>
      <c r="D63" s="868"/>
      <c r="E63" s="868"/>
      <c r="F63" s="868"/>
      <c r="G63" s="868"/>
      <c r="H63" s="868"/>
      <c r="I63" s="868"/>
      <c r="J63" s="868"/>
      <c r="K63" s="874"/>
    </row>
    <row r="64" spans="1:16">
      <c r="A64" s="875"/>
      <c r="B64" s="868"/>
      <c r="C64" s="868"/>
      <c r="D64" s="868"/>
      <c r="E64" s="868"/>
      <c r="F64" s="868"/>
      <c r="G64" s="868"/>
      <c r="H64" s="868"/>
      <c r="I64" s="868"/>
      <c r="J64" s="868"/>
      <c r="K64" s="874"/>
    </row>
    <row r="65" spans="1:11">
      <c r="A65" s="875"/>
      <c r="B65" s="868"/>
      <c r="C65" s="868"/>
      <c r="D65" s="868"/>
      <c r="E65" s="868"/>
      <c r="F65" s="868"/>
      <c r="G65" s="868"/>
      <c r="H65" s="868"/>
      <c r="I65" s="868"/>
      <c r="J65" s="868"/>
      <c r="K65" s="874"/>
    </row>
    <row r="66" spans="1:11">
      <c r="A66" s="875"/>
      <c r="B66" s="868"/>
      <c r="C66" s="868"/>
      <c r="D66" s="868"/>
      <c r="E66" s="868"/>
      <c r="F66" s="868"/>
      <c r="G66" s="868"/>
      <c r="H66" s="868"/>
      <c r="I66" s="868"/>
      <c r="J66" s="868"/>
      <c r="K66" s="874"/>
    </row>
    <row r="67" spans="1:11">
      <c r="A67" s="875"/>
      <c r="B67" s="868"/>
      <c r="C67" s="868"/>
      <c r="D67" s="868"/>
      <c r="E67" s="868"/>
      <c r="F67" s="868"/>
      <c r="G67" s="868"/>
      <c r="H67" s="868"/>
      <c r="I67" s="868"/>
      <c r="J67" s="868"/>
      <c r="K67" s="874"/>
    </row>
    <row r="68" spans="1:11">
      <c r="A68" s="875"/>
      <c r="B68" s="868"/>
      <c r="C68" s="868"/>
      <c r="D68" s="868"/>
      <c r="E68" s="868"/>
      <c r="F68" s="868"/>
      <c r="G68" s="868"/>
      <c r="H68" s="868"/>
      <c r="I68" s="868"/>
      <c r="J68" s="868"/>
      <c r="K68" s="874"/>
    </row>
    <row r="69" spans="1:11">
      <c r="A69" s="875"/>
      <c r="B69" s="868"/>
      <c r="C69" s="868"/>
      <c r="D69" s="868"/>
      <c r="E69" s="868"/>
      <c r="F69" s="868"/>
      <c r="G69" s="868"/>
      <c r="H69" s="868"/>
      <c r="I69" s="868"/>
      <c r="J69" s="868"/>
      <c r="K69" s="874"/>
    </row>
    <row r="70" spans="1:11">
      <c r="A70" s="875"/>
      <c r="B70" s="868"/>
      <c r="C70" s="868"/>
      <c r="D70" s="868"/>
      <c r="E70" s="868"/>
      <c r="F70" s="868"/>
      <c r="G70" s="868"/>
      <c r="H70" s="868"/>
      <c r="I70" s="868"/>
      <c r="J70" s="868"/>
      <c r="K70" s="874"/>
    </row>
    <row r="71" spans="1:11">
      <c r="A71" s="875"/>
      <c r="B71" s="868"/>
      <c r="C71" s="868"/>
      <c r="D71" s="868"/>
      <c r="E71" s="868"/>
      <c r="F71" s="868"/>
      <c r="G71" s="868"/>
      <c r="H71" s="868"/>
      <c r="I71" s="868"/>
      <c r="J71" s="868"/>
      <c r="K71" s="874"/>
    </row>
    <row r="72" spans="1:11">
      <c r="A72" s="875"/>
      <c r="B72" s="868"/>
      <c r="C72" s="868"/>
      <c r="D72" s="868"/>
      <c r="E72" s="868"/>
      <c r="F72" s="868"/>
      <c r="G72" s="868"/>
      <c r="H72" s="868"/>
      <c r="I72" s="868"/>
      <c r="J72" s="868"/>
      <c r="K72" s="874"/>
    </row>
    <row r="73" spans="1:11">
      <c r="A73" s="875"/>
      <c r="B73" s="868"/>
      <c r="C73" s="868"/>
      <c r="D73" s="868"/>
      <c r="E73" s="868"/>
      <c r="F73" s="868"/>
      <c r="G73" s="868"/>
      <c r="H73" s="868"/>
      <c r="I73" s="868"/>
      <c r="J73" s="868"/>
      <c r="K73" s="874"/>
    </row>
    <row r="74" spans="1:11">
      <c r="A74" s="875"/>
      <c r="B74" s="868"/>
      <c r="C74" s="868"/>
      <c r="D74" s="868"/>
      <c r="E74" s="868"/>
      <c r="F74" s="868"/>
      <c r="G74" s="868"/>
      <c r="H74" s="868"/>
      <c r="I74" s="868"/>
      <c r="J74" s="868"/>
      <c r="K74" s="874"/>
    </row>
    <row r="75" spans="1:11">
      <c r="A75" s="875"/>
      <c r="B75" s="868"/>
      <c r="C75" s="868"/>
      <c r="D75" s="868"/>
      <c r="E75" s="868"/>
      <c r="F75" s="868"/>
      <c r="G75" s="868"/>
      <c r="H75" s="868"/>
      <c r="I75" s="868"/>
      <c r="J75" s="868"/>
      <c r="K75" s="874"/>
    </row>
    <row r="76" spans="1:11">
      <c r="A76" s="875"/>
      <c r="B76" s="868"/>
      <c r="C76" s="868"/>
      <c r="D76" s="868"/>
      <c r="E76" s="868"/>
      <c r="F76" s="868"/>
      <c r="G76" s="868"/>
      <c r="H76" s="868"/>
      <c r="I76" s="868"/>
      <c r="J76" s="868"/>
      <c r="K76" s="874"/>
    </row>
    <row r="77" spans="1:11">
      <c r="A77" s="875"/>
      <c r="B77" s="868"/>
      <c r="C77" s="868"/>
      <c r="D77" s="868"/>
      <c r="E77" s="868"/>
      <c r="F77" s="868"/>
      <c r="G77" s="868"/>
      <c r="H77" s="868"/>
      <c r="I77" s="868"/>
      <c r="J77" s="868"/>
      <c r="K77" s="874"/>
    </row>
    <row r="78" spans="1:11">
      <c r="A78" s="875"/>
      <c r="B78" s="868"/>
      <c r="C78" s="868"/>
      <c r="D78" s="868"/>
      <c r="E78" s="868"/>
      <c r="F78" s="868"/>
      <c r="G78" s="868"/>
      <c r="H78" s="868"/>
      <c r="I78" s="868"/>
      <c r="J78" s="868"/>
      <c r="K78" s="874"/>
    </row>
    <row r="79" spans="1:11">
      <c r="A79" s="875"/>
      <c r="B79" s="868"/>
      <c r="C79" s="868"/>
      <c r="D79" s="868"/>
      <c r="E79" s="868"/>
      <c r="F79" s="868"/>
      <c r="G79" s="868"/>
      <c r="H79" s="868"/>
      <c r="I79" s="868"/>
      <c r="J79" s="868"/>
      <c r="K79" s="874"/>
    </row>
    <row r="80" spans="1:11">
      <c r="A80" s="875"/>
      <c r="B80" s="868"/>
      <c r="C80" s="868"/>
      <c r="D80" s="868"/>
      <c r="E80" s="868"/>
      <c r="F80" s="868"/>
      <c r="G80" s="868"/>
      <c r="H80" s="868"/>
      <c r="I80" s="868"/>
      <c r="J80" s="868"/>
      <c r="K80" s="874"/>
    </row>
    <row r="81" spans="1:11">
      <c r="A81" s="875"/>
      <c r="B81" s="868"/>
      <c r="C81" s="868"/>
      <c r="D81" s="868"/>
      <c r="E81" s="868"/>
      <c r="F81" s="868"/>
      <c r="G81" s="868"/>
      <c r="H81" s="868"/>
      <c r="I81" s="868"/>
      <c r="J81" s="868"/>
      <c r="K81" s="874"/>
    </row>
    <row r="82" spans="1:11">
      <c r="A82" s="875"/>
      <c r="B82" s="868"/>
      <c r="C82" s="868"/>
      <c r="D82" s="868"/>
      <c r="E82" s="868"/>
      <c r="F82" s="868"/>
      <c r="G82" s="868"/>
      <c r="H82" s="868"/>
      <c r="I82" s="868"/>
      <c r="J82" s="868"/>
      <c r="K82" s="874"/>
    </row>
    <row r="83" spans="1:11">
      <c r="A83" s="875"/>
      <c r="B83" s="868"/>
      <c r="C83" s="868"/>
      <c r="D83" s="868"/>
      <c r="E83" s="868"/>
      <c r="F83" s="868"/>
      <c r="G83" s="868"/>
      <c r="H83" s="868"/>
      <c r="I83" s="868"/>
      <c r="J83" s="868"/>
      <c r="K83" s="874"/>
    </row>
    <row r="84" spans="1:11">
      <c r="A84" s="875"/>
      <c r="B84" s="868"/>
      <c r="C84" s="868"/>
      <c r="D84" s="868"/>
      <c r="E84" s="868"/>
      <c r="F84" s="868"/>
      <c r="G84" s="868"/>
      <c r="H84" s="868"/>
      <c r="I84" s="868"/>
      <c r="J84" s="868"/>
      <c r="K84" s="874"/>
    </row>
    <row r="85" spans="1:11">
      <c r="A85" s="875"/>
      <c r="B85" s="868"/>
      <c r="C85" s="868"/>
      <c r="D85" s="868"/>
      <c r="E85" s="868"/>
      <c r="F85" s="868"/>
      <c r="G85" s="868"/>
      <c r="H85" s="868"/>
      <c r="I85" s="868"/>
      <c r="J85" s="868"/>
      <c r="K85" s="874"/>
    </row>
    <row r="86" spans="1:11">
      <c r="A86" s="875"/>
      <c r="B86" s="868"/>
      <c r="C86" s="868"/>
      <c r="D86" s="868"/>
      <c r="E86" s="868"/>
      <c r="F86" s="868"/>
      <c r="G86" s="868"/>
      <c r="H86" s="868"/>
      <c r="I86" s="868"/>
      <c r="J86" s="868"/>
      <c r="K86" s="874"/>
    </row>
    <row r="87" spans="1:11">
      <c r="A87" s="875"/>
      <c r="B87" s="868"/>
      <c r="C87" s="868"/>
      <c r="D87" s="868"/>
      <c r="E87" s="868"/>
      <c r="F87" s="868"/>
      <c r="G87" s="868"/>
      <c r="H87" s="868"/>
      <c r="I87" s="868"/>
      <c r="J87" s="868"/>
      <c r="K87" s="874"/>
    </row>
    <row r="88" spans="1:11">
      <c r="A88" s="875"/>
      <c r="B88" s="868"/>
      <c r="C88" s="868"/>
      <c r="D88" s="868"/>
      <c r="E88" s="868"/>
      <c r="F88" s="868"/>
      <c r="G88" s="868"/>
      <c r="H88" s="868"/>
      <c r="I88" s="868"/>
      <c r="J88" s="868"/>
      <c r="K88" s="874"/>
    </row>
    <row r="89" spans="1:11">
      <c r="A89" s="875"/>
      <c r="B89" s="868"/>
      <c r="C89" s="868"/>
      <c r="D89" s="868"/>
      <c r="E89" s="868"/>
      <c r="F89" s="868"/>
      <c r="G89" s="868"/>
      <c r="H89" s="868"/>
      <c r="I89" s="868"/>
      <c r="J89" s="868"/>
      <c r="K89" s="874"/>
    </row>
    <row r="90" spans="1:11">
      <c r="A90" s="875"/>
      <c r="B90" s="868"/>
      <c r="C90" s="868"/>
      <c r="D90" s="868"/>
      <c r="E90" s="868"/>
      <c r="F90" s="868"/>
      <c r="G90" s="868"/>
      <c r="H90" s="868"/>
      <c r="I90" s="868"/>
      <c r="J90" s="868"/>
      <c r="K90" s="874"/>
    </row>
    <row r="91" spans="1:11">
      <c r="A91" s="875"/>
      <c r="B91" s="868"/>
      <c r="C91" s="868"/>
      <c r="D91" s="868"/>
      <c r="E91" s="868"/>
      <c r="F91" s="868"/>
      <c r="G91" s="868"/>
      <c r="H91" s="868"/>
      <c r="I91" s="868"/>
      <c r="J91" s="868"/>
      <c r="K91" s="874"/>
    </row>
    <row r="92" spans="1:11">
      <c r="A92" s="875"/>
      <c r="B92" s="868"/>
      <c r="C92" s="868"/>
      <c r="D92" s="868"/>
      <c r="E92" s="868"/>
      <c r="F92" s="868"/>
      <c r="G92" s="868"/>
      <c r="H92" s="868"/>
      <c r="I92" s="868"/>
      <c r="J92" s="868"/>
      <c r="K92" s="874"/>
    </row>
    <row r="93" spans="1:11">
      <c r="A93" s="875"/>
      <c r="B93" s="868"/>
      <c r="C93" s="868"/>
      <c r="D93" s="868"/>
      <c r="E93" s="868"/>
      <c r="F93" s="868"/>
      <c r="G93" s="868"/>
      <c r="H93" s="868"/>
      <c r="I93" s="868"/>
      <c r="J93" s="868"/>
      <c r="K93" s="874"/>
    </row>
    <row r="94" spans="1:11">
      <c r="A94" s="875"/>
      <c r="B94" s="868"/>
      <c r="C94" s="868"/>
      <c r="D94" s="868"/>
      <c r="E94" s="868"/>
      <c r="F94" s="868"/>
      <c r="G94" s="868"/>
      <c r="H94" s="868"/>
      <c r="I94" s="868"/>
      <c r="J94" s="868"/>
      <c r="K94" s="874"/>
    </row>
    <row r="95" spans="1:11">
      <c r="A95" s="875"/>
      <c r="B95" s="868"/>
      <c r="C95" s="868"/>
      <c r="D95" s="868"/>
      <c r="E95" s="868"/>
      <c r="F95" s="868"/>
      <c r="G95" s="868"/>
      <c r="H95" s="868"/>
      <c r="I95" s="868"/>
      <c r="J95" s="868"/>
      <c r="K95" s="874"/>
    </row>
    <row r="96" spans="1:11">
      <c r="A96" s="875"/>
      <c r="B96" s="868"/>
      <c r="C96" s="868"/>
      <c r="D96" s="868"/>
      <c r="E96" s="868"/>
      <c r="F96" s="868"/>
      <c r="G96" s="868"/>
      <c r="H96" s="868"/>
      <c r="I96" s="868"/>
      <c r="J96" s="868"/>
      <c r="K96" s="874"/>
    </row>
    <row r="97" spans="1:11">
      <c r="A97" s="875"/>
      <c r="B97" s="868"/>
      <c r="C97" s="868"/>
      <c r="D97" s="868"/>
      <c r="E97" s="868"/>
      <c r="F97" s="868"/>
      <c r="G97" s="868"/>
      <c r="H97" s="868"/>
      <c r="I97" s="868"/>
      <c r="J97" s="868"/>
      <c r="K97" s="874"/>
    </row>
    <row r="98" spans="1:11">
      <c r="A98" s="875"/>
      <c r="B98" s="868"/>
      <c r="C98" s="868"/>
      <c r="D98" s="868"/>
      <c r="E98" s="868"/>
      <c r="F98" s="868"/>
      <c r="G98" s="868"/>
      <c r="H98" s="868"/>
      <c r="I98" s="868"/>
      <c r="J98" s="868"/>
      <c r="K98" s="874"/>
    </row>
    <row r="99" spans="1:11">
      <c r="A99" s="875"/>
      <c r="B99" s="868"/>
      <c r="C99" s="868"/>
      <c r="D99" s="868"/>
      <c r="E99" s="868"/>
      <c r="F99" s="868"/>
      <c r="G99" s="868"/>
      <c r="H99" s="868"/>
      <c r="I99" s="868"/>
      <c r="J99" s="868"/>
      <c r="K99" s="874"/>
    </row>
    <row r="100" spans="1:11">
      <c r="A100" s="875"/>
      <c r="B100" s="868"/>
      <c r="C100" s="868"/>
      <c r="D100" s="868"/>
      <c r="E100" s="868"/>
      <c r="F100" s="868"/>
      <c r="G100" s="868"/>
      <c r="H100" s="868"/>
      <c r="I100" s="868"/>
      <c r="J100" s="868"/>
      <c r="K100" s="874"/>
    </row>
    <row r="101" spans="1:11">
      <c r="A101" s="875"/>
      <c r="B101" s="868"/>
      <c r="C101" s="868"/>
      <c r="D101" s="868"/>
      <c r="E101" s="868"/>
      <c r="F101" s="868"/>
      <c r="G101" s="868"/>
      <c r="H101" s="868"/>
      <c r="I101" s="868"/>
      <c r="J101" s="868"/>
      <c r="K101" s="874"/>
    </row>
    <row r="102" spans="1:11">
      <c r="A102" s="875"/>
      <c r="B102" s="868"/>
      <c r="C102" s="868"/>
      <c r="D102" s="868"/>
      <c r="E102" s="868"/>
      <c r="F102" s="868"/>
      <c r="G102" s="868"/>
      <c r="H102" s="868"/>
      <c r="I102" s="868"/>
      <c r="J102" s="868"/>
      <c r="K102" s="874"/>
    </row>
    <row r="103" spans="1:11">
      <c r="A103" s="875"/>
      <c r="B103" s="868"/>
      <c r="C103" s="868"/>
      <c r="D103" s="868"/>
      <c r="E103" s="868"/>
      <c r="F103" s="868"/>
      <c r="G103" s="868"/>
      <c r="H103" s="868"/>
      <c r="I103" s="868"/>
      <c r="J103" s="868"/>
      <c r="K103" s="874"/>
    </row>
    <row r="104" spans="1:11">
      <c r="A104" s="875"/>
      <c r="B104" s="868"/>
      <c r="C104" s="868"/>
      <c r="D104" s="868"/>
      <c r="E104" s="868"/>
      <c r="F104" s="868"/>
      <c r="G104" s="868"/>
      <c r="H104" s="868"/>
      <c r="I104" s="868"/>
      <c r="J104" s="868"/>
      <c r="K104" s="874"/>
    </row>
    <row r="105" spans="1:11">
      <c r="A105" s="875"/>
      <c r="B105" s="868"/>
      <c r="C105" s="868"/>
      <c r="D105" s="868"/>
      <c r="E105" s="868"/>
      <c r="F105" s="868"/>
      <c r="G105" s="868"/>
      <c r="H105" s="868"/>
      <c r="I105" s="868"/>
      <c r="J105" s="868"/>
      <c r="K105" s="874"/>
    </row>
    <row r="106" spans="1:11">
      <c r="A106" s="875"/>
      <c r="B106" s="868"/>
      <c r="C106" s="868"/>
      <c r="D106" s="868"/>
      <c r="E106" s="868"/>
      <c r="F106" s="868"/>
      <c r="G106" s="868"/>
      <c r="H106" s="868"/>
      <c r="I106" s="868"/>
      <c r="J106" s="868"/>
      <c r="K106" s="874"/>
    </row>
    <row r="107" spans="1:11">
      <c r="A107" s="875"/>
      <c r="B107" s="868"/>
      <c r="C107" s="868"/>
      <c r="D107" s="868"/>
      <c r="E107" s="868"/>
      <c r="F107" s="868"/>
      <c r="G107" s="868"/>
      <c r="H107" s="868"/>
      <c r="I107" s="868"/>
      <c r="J107" s="868"/>
      <c r="K107" s="874"/>
    </row>
    <row r="108" spans="1:11" ht="14.25" thickBot="1">
      <c r="A108" s="876"/>
      <c r="B108" s="863"/>
      <c r="C108" s="863"/>
      <c r="D108" s="863"/>
      <c r="E108" s="863"/>
      <c r="F108" s="863"/>
      <c r="G108" s="863"/>
      <c r="H108" s="863"/>
      <c r="I108" s="863"/>
      <c r="J108" s="863"/>
      <c r="K108" s="877"/>
    </row>
  </sheetData>
  <mergeCells count="44">
    <mergeCell ref="A44:B44"/>
    <mergeCell ref="A43:G43"/>
    <mergeCell ref="A7:B7"/>
    <mergeCell ref="A6:B6"/>
    <mergeCell ref="A5:B5"/>
    <mergeCell ref="B29:C29"/>
    <mergeCell ref="B30:C30"/>
    <mergeCell ref="B31:C31"/>
    <mergeCell ref="B32:C32"/>
    <mergeCell ref="B33:C33"/>
    <mergeCell ref="E33:F33"/>
    <mergeCell ref="D31:E31"/>
    <mergeCell ref="D30:E30"/>
    <mergeCell ref="D29:E29"/>
    <mergeCell ref="A15:B15"/>
    <mergeCell ref="A14:B14"/>
    <mergeCell ref="H2:H3"/>
    <mergeCell ref="I2:K3"/>
    <mergeCell ref="C4:G4"/>
    <mergeCell ref="I4:K4"/>
    <mergeCell ref="A2:G3"/>
    <mergeCell ref="A4:B4"/>
    <mergeCell ref="I14:K14"/>
    <mergeCell ref="B28:C28"/>
    <mergeCell ref="B27:C27"/>
    <mergeCell ref="A19:K19"/>
    <mergeCell ref="B20:C20"/>
    <mergeCell ref="B21:C21"/>
    <mergeCell ref="B22:C22"/>
    <mergeCell ref="B23:C23"/>
    <mergeCell ref="B24:C24"/>
    <mergeCell ref="B25:C25"/>
    <mergeCell ref="D25:F25"/>
    <mergeCell ref="B26:C26"/>
    <mergeCell ref="E32:F32"/>
    <mergeCell ref="H32:I32"/>
    <mergeCell ref="B34:C34"/>
    <mergeCell ref="I43:J43"/>
    <mergeCell ref="I15:K15"/>
    <mergeCell ref="I44:J44"/>
    <mergeCell ref="I45:J45"/>
    <mergeCell ref="I46:J46"/>
    <mergeCell ref="I47:J47"/>
    <mergeCell ref="H33:I33"/>
  </mergeCells>
  <phoneticPr fontId="192"/>
  <printOptions horizontalCentered="1"/>
  <pageMargins left="0" right="0" top="0.19685039370078741" bottom="0" header="0.19685039370078741" footer="0"/>
  <pageSetup paperSize="9" scale="106" orientation="portrait" horizontalDpi="300" verticalDpi="300" r:id="rId1"/>
  <headerFooter>
    <oddHeader>&amp;R〔P.　　　　/　　　　〕</oddHeader>
    <oddFooter>&amp;R&amp;"ＭＳ 明朝,標準"（H25.1改訂）</oddFooter>
  </headerFooter>
  <rowBreaks count="1" manualBreakCount="1">
    <brk id="50" max="16383" man="1"/>
  </row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4" tint="-0.249977111117893"/>
    <pageSetUpPr fitToPage="1"/>
  </sheetPr>
  <dimension ref="A1:M77"/>
  <sheetViews>
    <sheetView view="pageBreakPreview" topLeftCell="A26" zoomScale="85" zoomScaleNormal="85" zoomScaleSheetLayoutView="85" workbookViewId="0">
      <selection activeCell="I30" sqref="I30"/>
    </sheetView>
  </sheetViews>
  <sheetFormatPr defaultRowHeight="13.5"/>
  <cols>
    <col min="1" max="1" width="1.25" style="186" customWidth="1"/>
    <col min="2" max="4" width="2.625" style="278" customWidth="1"/>
    <col min="5" max="5" width="5.5" style="227" bestFit="1" customWidth="1"/>
    <col min="6" max="6" width="26.875" style="278" bestFit="1" customWidth="1"/>
    <col min="7" max="7" width="15.125" style="186" customWidth="1"/>
    <col min="8" max="8" width="8.625" style="186" customWidth="1"/>
    <col min="9" max="9" width="15.125" style="186" customWidth="1"/>
    <col min="10" max="10" width="8.625" style="186" customWidth="1"/>
    <col min="11" max="11" width="15.125" style="278" customWidth="1"/>
    <col min="12" max="12" width="30.125" style="278" customWidth="1"/>
    <col min="13" max="13" width="1.25" style="186" customWidth="1"/>
    <col min="14" max="16384" width="9" style="186"/>
  </cols>
  <sheetData>
    <row r="1" spans="1:13" ht="18.75" customHeight="1">
      <c r="A1" s="182"/>
      <c r="B1" s="2197" t="s">
        <v>54</v>
      </c>
      <c r="C1" s="2198"/>
      <c r="D1" s="2198"/>
      <c r="E1" s="2198"/>
      <c r="F1" s="2198"/>
      <c r="G1" s="996"/>
      <c r="H1" s="226"/>
      <c r="I1" s="226"/>
      <c r="J1" s="226"/>
      <c r="K1" s="226"/>
      <c r="L1" s="1007"/>
      <c r="M1" s="1000"/>
    </row>
    <row r="2" spans="1:13" ht="15" customHeight="1">
      <c r="A2" s="182"/>
      <c r="B2" s="2199" t="s">
        <v>35</v>
      </c>
      <c r="C2" s="2199"/>
      <c r="D2" s="2199"/>
      <c r="E2" s="2199"/>
      <c r="F2" s="2199"/>
      <c r="G2" s="2184" t="str">
        <f>基本情報!C5</f>
        <v>MAMIYAビル</v>
      </c>
      <c r="H2" s="2185"/>
      <c r="I2" s="2185"/>
      <c r="J2" s="2185"/>
      <c r="K2" s="2185"/>
      <c r="L2" s="2186"/>
      <c r="M2" s="1001"/>
    </row>
    <row r="3" spans="1:13" ht="15" customHeight="1">
      <c r="A3" s="182"/>
      <c r="B3" s="2199"/>
      <c r="C3" s="2199"/>
      <c r="D3" s="2199"/>
      <c r="E3" s="2199"/>
      <c r="F3" s="2199"/>
      <c r="G3" s="2187"/>
      <c r="H3" s="2188"/>
      <c r="I3" s="2188"/>
      <c r="J3" s="2188"/>
      <c r="K3" s="2188"/>
      <c r="L3" s="2189"/>
      <c r="M3" s="1001"/>
    </row>
    <row r="4" spans="1:13" ht="18.75" customHeight="1">
      <c r="A4" s="182"/>
      <c r="B4" s="2199" t="s">
        <v>55</v>
      </c>
      <c r="C4" s="2199"/>
      <c r="D4" s="2199"/>
      <c r="E4" s="2199"/>
      <c r="F4" s="2199"/>
      <c r="G4" s="228" t="s">
        <v>56</v>
      </c>
      <c r="H4" s="256" t="str">
        <f>基本情報!C7</f>
        <v>東京都千代田区神田錦町18番4、6、7</v>
      </c>
      <c r="I4" s="257"/>
      <c r="J4" s="257"/>
      <c r="K4" s="257"/>
      <c r="L4" s="224"/>
      <c r="M4" s="1002"/>
    </row>
    <row r="5" spans="1:13" ht="18.75" customHeight="1">
      <c r="A5" s="182"/>
      <c r="B5" s="2199"/>
      <c r="C5" s="2199"/>
      <c r="D5" s="2199"/>
      <c r="E5" s="2199"/>
      <c r="F5" s="2199"/>
      <c r="G5" s="230" t="s">
        <v>61</v>
      </c>
      <c r="H5" s="997" t="str">
        <f>基本情報!C6</f>
        <v>東京都千代田区神田錦町3-18</v>
      </c>
      <c r="I5" s="998"/>
      <c r="J5" s="998"/>
      <c r="K5" s="998"/>
      <c r="L5" s="999"/>
      <c r="M5" s="1002"/>
    </row>
    <row r="6" spans="1:13" ht="18.75" customHeight="1">
      <c r="A6" s="182"/>
      <c r="B6" s="2199" t="s">
        <v>36</v>
      </c>
      <c r="C6" s="2199"/>
      <c r="D6" s="2199"/>
      <c r="E6" s="2199"/>
      <c r="F6" s="2199"/>
      <c r="G6" s="2200" t="s">
        <v>62</v>
      </c>
      <c r="H6" s="232" t="s">
        <v>63</v>
      </c>
      <c r="I6" s="233">
        <f>基本情報!$C$20</f>
        <v>354.52</v>
      </c>
      <c r="J6" s="234">
        <f>ROUNDDOWN(I6*0.3025,2)</f>
        <v>107.24</v>
      </c>
      <c r="K6" s="235"/>
      <c r="L6" s="1008"/>
      <c r="M6" s="1003"/>
    </row>
    <row r="7" spans="1:13" ht="18.75" customHeight="1">
      <c r="A7" s="182"/>
      <c r="B7" s="2199"/>
      <c r="C7" s="2199"/>
      <c r="D7" s="2199"/>
      <c r="E7" s="2199"/>
      <c r="F7" s="2199"/>
      <c r="G7" s="2201"/>
      <c r="H7" s="237" t="s">
        <v>64</v>
      </c>
      <c r="I7" s="238">
        <f>基本情報!$C$21</f>
        <v>0</v>
      </c>
      <c r="J7" s="239">
        <f>ROUNDDOWN(I7*0.3025,2)</f>
        <v>0</v>
      </c>
      <c r="K7" s="240"/>
      <c r="L7" s="219"/>
      <c r="M7" s="1004"/>
    </row>
    <row r="8" spans="1:13" ht="18.75" customHeight="1">
      <c r="A8" s="182"/>
      <c r="B8" s="2199" t="s">
        <v>38</v>
      </c>
      <c r="C8" s="2199"/>
      <c r="D8" s="2199"/>
      <c r="E8" s="2199"/>
      <c r="F8" s="2199"/>
      <c r="G8" s="243" t="s">
        <v>46</v>
      </c>
      <c r="H8" s="244" t="str">
        <f>基本情報!$C$28</f>
        <v>鉄骨鉄筋コンクリート造陸屋根7階建</v>
      </c>
      <c r="I8" s="245"/>
      <c r="J8" s="245"/>
      <c r="K8" s="246"/>
      <c r="L8" s="1009"/>
      <c r="M8" s="1005"/>
    </row>
    <row r="9" spans="1:13" ht="18.75" customHeight="1">
      <c r="A9" s="182"/>
      <c r="B9" s="2199"/>
      <c r="C9" s="2199"/>
      <c r="D9" s="2199"/>
      <c r="E9" s="2199"/>
      <c r="F9" s="2199"/>
      <c r="G9" s="247" t="s">
        <v>47</v>
      </c>
      <c r="H9" s="248" t="str">
        <f>基本情報!$C$29</f>
        <v>事務所・車庫</v>
      </c>
      <c r="I9" s="249"/>
      <c r="J9" s="249"/>
      <c r="K9" s="250"/>
      <c r="L9" s="1010"/>
      <c r="M9" s="1005"/>
    </row>
    <row r="10" spans="1:13" ht="18.75" customHeight="1">
      <c r="A10" s="182"/>
      <c r="B10" s="2199"/>
      <c r="C10" s="2199"/>
      <c r="D10" s="2199"/>
      <c r="E10" s="2199"/>
      <c r="F10" s="2199"/>
      <c r="G10" s="2202" t="s">
        <v>65</v>
      </c>
      <c r="H10" s="251" t="s">
        <v>63</v>
      </c>
      <c r="I10" s="1013">
        <f>基本情報!C30</f>
        <v>2132.0300000000002</v>
      </c>
      <c r="J10" s="252">
        <f>ROUNDDOWN(I10*0.3025,2)</f>
        <v>644.92999999999995</v>
      </c>
      <c r="K10" s="253"/>
      <c r="L10" s="1011"/>
      <c r="M10" s="1006"/>
    </row>
    <row r="11" spans="1:13" ht="18.75" customHeight="1">
      <c r="A11" s="182"/>
      <c r="B11" s="2199"/>
      <c r="C11" s="2199"/>
      <c r="D11" s="2199"/>
      <c r="E11" s="2199"/>
      <c r="F11" s="2199"/>
      <c r="G11" s="2203"/>
      <c r="H11" s="254" t="s">
        <v>608</v>
      </c>
      <c r="I11" s="238">
        <f>'収支計算表（見込）計画1'!C11</f>
        <v>1923.2312500000003</v>
      </c>
      <c r="J11" s="239">
        <f>ROUNDDOWN(I11*0.3025,2)</f>
        <v>581.77</v>
      </c>
      <c r="K11" s="255"/>
      <c r="L11" s="1012"/>
      <c r="M11" s="1006"/>
    </row>
    <row r="12" spans="1:13" ht="12" customHeight="1">
      <c r="A12" s="182"/>
      <c r="B12" s="185"/>
      <c r="C12" s="185"/>
      <c r="D12" s="185"/>
      <c r="E12" s="184"/>
      <c r="F12" s="185"/>
      <c r="G12" s="182"/>
      <c r="H12" s="182"/>
      <c r="I12" s="182"/>
      <c r="J12" s="182"/>
      <c r="K12" s="185"/>
      <c r="L12" s="185"/>
      <c r="M12" s="182"/>
    </row>
    <row r="13" spans="1:13" ht="18.75" customHeight="1">
      <c r="A13" s="182"/>
      <c r="B13" s="185" t="s">
        <v>48</v>
      </c>
      <c r="C13" s="185"/>
      <c r="D13" s="185"/>
      <c r="E13" s="184"/>
      <c r="F13" s="185"/>
      <c r="G13" s="182"/>
      <c r="H13" s="182"/>
      <c r="I13" s="182"/>
      <c r="J13" s="182"/>
      <c r="K13" s="185"/>
      <c r="L13" s="185"/>
      <c r="M13" s="182"/>
    </row>
    <row r="14" spans="1:13" ht="18.75" customHeight="1">
      <c r="A14" s="182"/>
      <c r="B14" s="2192" t="s">
        <v>49</v>
      </c>
      <c r="C14" s="2193"/>
      <c r="D14" s="2193"/>
      <c r="E14" s="2193"/>
      <c r="F14" s="2194"/>
      <c r="G14" s="2190" t="s">
        <v>611</v>
      </c>
      <c r="H14" s="2191"/>
      <c r="I14" s="2190" t="s">
        <v>609</v>
      </c>
      <c r="J14" s="2191"/>
      <c r="K14" s="2204" t="s">
        <v>157</v>
      </c>
      <c r="L14" s="2204" t="s">
        <v>158</v>
      </c>
      <c r="M14" s="182"/>
    </row>
    <row r="15" spans="1:13" ht="18.75" customHeight="1">
      <c r="A15" s="182"/>
      <c r="B15" s="2195"/>
      <c r="C15" s="2196"/>
      <c r="D15" s="2196"/>
      <c r="E15" s="2196"/>
      <c r="F15" s="2196"/>
      <c r="G15" s="187" t="s">
        <v>50</v>
      </c>
      <c r="H15" s="188" t="s">
        <v>51</v>
      </c>
      <c r="I15" s="187" t="s">
        <v>50</v>
      </c>
      <c r="J15" s="188" t="s">
        <v>51</v>
      </c>
      <c r="K15" s="2205"/>
      <c r="L15" s="2205"/>
      <c r="M15" s="182"/>
    </row>
    <row r="16" spans="1:13" ht="18.75" customHeight="1">
      <c r="A16" s="182"/>
      <c r="B16" s="189"/>
      <c r="C16" s="190"/>
      <c r="D16" s="191"/>
      <c r="E16" s="192">
        <v>1</v>
      </c>
      <c r="F16" s="193" t="s">
        <v>42</v>
      </c>
      <c r="G16" s="22">
        <f>'事業計画書（事業決定時）'!N12</f>
        <v>582605043.16274118</v>
      </c>
      <c r="H16" s="23">
        <f>IF(G16="","",G16/$G$18)</f>
        <v>0.58426435392789644</v>
      </c>
      <c r="I16" s="22">
        <f>'事業計画書（現行）'!N12</f>
        <v>2970162482.059</v>
      </c>
      <c r="J16" s="23">
        <f>IF(I16="","",I16/$G$18)</f>
        <v>2.9786217678797784</v>
      </c>
      <c r="K16" s="1031">
        <f>I16-G16</f>
        <v>2387557438.8962588</v>
      </c>
      <c r="L16" s="194"/>
      <c r="M16" s="182"/>
    </row>
    <row r="17" spans="1:13" ht="18.75" customHeight="1">
      <c r="A17" s="182"/>
      <c r="B17" s="195"/>
      <c r="C17" s="196"/>
      <c r="D17" s="197"/>
      <c r="E17" s="198">
        <f>E16+1</f>
        <v>2</v>
      </c>
      <c r="F17" s="199" t="s">
        <v>30</v>
      </c>
      <c r="G17" s="24">
        <f>'事業計画書（事業決定時）'!O12</f>
        <v>414554956.83725876</v>
      </c>
      <c r="H17" s="25">
        <f>IF(G17="","",G17/$G$18)</f>
        <v>0.4157356460721035</v>
      </c>
      <c r="I17" s="24">
        <f>'事業計画書（現行）'!O12</f>
        <v>799837517.94099987</v>
      </c>
      <c r="J17" s="25">
        <f>IF(I17="","",I17/$G$18)</f>
        <v>0.80211552603493907</v>
      </c>
      <c r="K17" s="1032">
        <f>I17-G17</f>
        <v>385282561.10374111</v>
      </c>
      <c r="L17" s="200"/>
      <c r="M17" s="182"/>
    </row>
    <row r="18" spans="1:13" ht="18.75" customHeight="1">
      <c r="A18" s="182"/>
      <c r="B18" s="201" t="s">
        <v>52</v>
      </c>
      <c r="C18" s="201"/>
      <c r="D18" s="201"/>
      <c r="E18" s="202"/>
      <c r="F18" s="203"/>
      <c r="G18" s="204">
        <f>SUM(G16:G17)</f>
        <v>997160000</v>
      </c>
      <c r="H18" s="268">
        <f>SUM(H16:H17)</f>
        <v>1</v>
      </c>
      <c r="I18" s="204">
        <f>SUM(I16:I17)</f>
        <v>3770000000</v>
      </c>
      <c r="J18" s="268">
        <f>IF(I18="","",I18/$I$18)</f>
        <v>1</v>
      </c>
      <c r="K18" s="1033">
        <f>SUM(K16:K17)</f>
        <v>2772840000</v>
      </c>
      <c r="L18" s="205"/>
      <c r="M18" s="182"/>
    </row>
    <row r="19" spans="1:13" ht="18.75" customHeight="1">
      <c r="A19" s="184"/>
      <c r="B19" s="206" t="s">
        <v>53</v>
      </c>
      <c r="C19" s="206"/>
      <c r="D19" s="206"/>
      <c r="E19" s="207"/>
      <c r="F19" s="206"/>
      <c r="G19" s="27"/>
      <c r="H19" s="183"/>
      <c r="I19" s="1024"/>
      <c r="J19" s="183"/>
      <c r="K19" s="1035"/>
      <c r="L19" s="185"/>
      <c r="M19" s="182"/>
    </row>
    <row r="20" spans="1:13" ht="18.75" customHeight="1">
      <c r="A20" s="184"/>
      <c r="B20" s="208"/>
      <c r="C20" s="208"/>
      <c r="D20" s="209"/>
      <c r="E20" s="192">
        <f>E17+1</f>
        <v>3</v>
      </c>
      <c r="F20" s="193" t="s">
        <v>31</v>
      </c>
      <c r="G20" s="22">
        <f>'事業計画書（事業決定時）'!E19</f>
        <v>359065751</v>
      </c>
      <c r="H20" s="23">
        <f>IF(G20="","",G20/$G$18)</f>
        <v>0.36008840206185566</v>
      </c>
      <c r="I20" s="1021">
        <f>'事業計画書（現行）'!E19</f>
        <v>1871266050</v>
      </c>
      <c r="J20" s="23">
        <f>IF(I20="","",I20/$G$18)</f>
        <v>1.8765955814513218</v>
      </c>
      <c r="K20" s="1034">
        <f>I20-G20</f>
        <v>1512200299</v>
      </c>
      <c r="L20" s="210"/>
      <c r="M20" s="182"/>
    </row>
    <row r="21" spans="1:13" ht="18.75" customHeight="1">
      <c r="A21" s="184"/>
      <c r="B21" s="211"/>
      <c r="C21" s="211"/>
      <c r="D21" s="212"/>
      <c r="E21" s="198">
        <f t="shared" ref="E21:E28" si="0">E20+1</f>
        <v>4</v>
      </c>
      <c r="F21" s="199" t="s">
        <v>32</v>
      </c>
      <c r="G21" s="24">
        <f>'事業計画書（事業決定時）'!F19</f>
        <v>255494675</v>
      </c>
      <c r="H21" s="25">
        <f t="shared" ref="H21:J49" si="1">IF(G21="","",G21/$G$18)</f>
        <v>0.25622234646395764</v>
      </c>
      <c r="I21" s="24">
        <f>'事業計画書（現行）'!F19</f>
        <v>498733950</v>
      </c>
      <c r="J21" s="25">
        <f t="shared" si="1"/>
        <v>0.50015438846323557</v>
      </c>
      <c r="K21" s="1026">
        <f>I21-G21</f>
        <v>243239275</v>
      </c>
      <c r="L21" s="213"/>
      <c r="M21" s="182"/>
    </row>
    <row r="22" spans="1:13" ht="18.75" customHeight="1">
      <c r="A22" s="184"/>
      <c r="B22" s="211"/>
      <c r="C22" s="211"/>
      <c r="D22" s="212"/>
      <c r="E22" s="198">
        <f t="shared" si="0"/>
        <v>5</v>
      </c>
      <c r="F22" s="199" t="s">
        <v>33</v>
      </c>
      <c r="G22" s="24">
        <f>'事業計画書（事業決定時）'!D10</f>
        <v>18496812</v>
      </c>
      <c r="H22" s="25">
        <f t="shared" si="1"/>
        <v>1.8549492558867182E-2</v>
      </c>
      <c r="I22" s="24">
        <f>'事業計画書（現行）'!D10</f>
        <v>71160000</v>
      </c>
      <c r="J22" s="25">
        <f t="shared" si="1"/>
        <v>7.1362669982751009E-2</v>
      </c>
      <c r="K22" s="1026">
        <f t="shared" ref="K22:K28" si="2">I22-G22</f>
        <v>52663188</v>
      </c>
      <c r="L22" s="214"/>
      <c r="M22" s="182"/>
    </row>
    <row r="23" spans="1:13" ht="18.75" customHeight="1">
      <c r="A23" s="184"/>
      <c r="B23" s="211"/>
      <c r="C23" s="211"/>
      <c r="D23" s="212"/>
      <c r="E23" s="198">
        <f t="shared" si="0"/>
        <v>6</v>
      </c>
      <c r="F23" s="199" t="str">
        <f>'事業計画書（現行）'!C12</f>
        <v>司法書士費用</v>
      </c>
      <c r="G23" s="24">
        <f>'事業計画書（事業決定時）'!D12</f>
        <v>100000</v>
      </c>
      <c r="H23" s="25">
        <f>IF(G23="","",G23/$G$18)</f>
        <v>1.0028480885715431E-4</v>
      </c>
      <c r="I23" s="24">
        <f>'事業計画書（現行）'!D12</f>
        <v>100000</v>
      </c>
      <c r="J23" s="25">
        <f>IF(I23="","",I23/$G$18)</f>
        <v>1.0028480885715431E-4</v>
      </c>
      <c r="K23" s="1026">
        <f t="shared" si="2"/>
        <v>0</v>
      </c>
      <c r="L23" s="216"/>
      <c r="M23" s="182"/>
    </row>
    <row r="24" spans="1:13" ht="18.75" customHeight="1">
      <c r="A24" s="215"/>
      <c r="B24" s="211"/>
      <c r="C24" s="211"/>
      <c r="D24" s="212"/>
      <c r="E24" s="198">
        <f t="shared" si="0"/>
        <v>7</v>
      </c>
      <c r="F24" s="199" t="str">
        <f>'事業計画書（現行）'!C13</f>
        <v>登録免許税</v>
      </c>
      <c r="G24" s="24">
        <f>'事業計画書（事業決定時）'!D13</f>
        <v>4670600</v>
      </c>
      <c r="H24" s="25">
        <f t="shared" si="1"/>
        <v>4.6839022824822496E-3</v>
      </c>
      <c r="I24" s="24">
        <f>'事業計画書（現行）'!D13</f>
        <v>14860800</v>
      </c>
      <c r="J24" s="25">
        <f t="shared" si="1"/>
        <v>1.4903124874643989E-2</v>
      </c>
      <c r="K24" s="1026">
        <f t="shared" si="2"/>
        <v>10190200</v>
      </c>
      <c r="L24" s="216"/>
      <c r="M24" s="182"/>
    </row>
    <row r="25" spans="1:13" ht="18.75" customHeight="1">
      <c r="A25" s="217"/>
      <c r="B25" s="211"/>
      <c r="C25" s="211"/>
      <c r="D25" s="212"/>
      <c r="E25" s="198">
        <f t="shared" si="0"/>
        <v>8</v>
      </c>
      <c r="F25" s="199" t="str">
        <f>'事業計画書（現行）'!C14</f>
        <v>不動産取得税</v>
      </c>
      <c r="G25" s="24">
        <f>'事業計画書（事業決定時）'!D14</f>
        <v>6944500</v>
      </c>
      <c r="H25" s="25">
        <f t="shared" si="1"/>
        <v>6.964278551085082E-3</v>
      </c>
      <c r="I25" s="24">
        <f>'事業計画書（現行）'!D14</f>
        <v>18787000</v>
      </c>
      <c r="J25" s="25">
        <f t="shared" si="1"/>
        <v>1.8840507039993581E-2</v>
      </c>
      <c r="K25" s="1026">
        <f t="shared" si="2"/>
        <v>11842500</v>
      </c>
      <c r="L25" s="216"/>
      <c r="M25" s="182"/>
    </row>
    <row r="26" spans="1:13" ht="18.75" customHeight="1">
      <c r="A26" s="217"/>
      <c r="B26" s="211"/>
      <c r="C26" s="211"/>
      <c r="D26" s="212"/>
      <c r="E26" s="198">
        <f t="shared" si="0"/>
        <v>9</v>
      </c>
      <c r="F26" s="199" t="str">
        <f>'事業計画書（現行）'!C15</f>
        <v>融資アップフロントfee</v>
      </c>
      <c r="G26" s="1017">
        <f>'事業計画書（事業決定時）'!D15</f>
        <v>0</v>
      </c>
      <c r="H26" s="25">
        <f t="shared" si="1"/>
        <v>0</v>
      </c>
      <c r="I26" s="24">
        <f>'事業計画書（現行）'!D15</f>
        <v>0</v>
      </c>
      <c r="J26" s="25">
        <f t="shared" si="1"/>
        <v>0</v>
      </c>
      <c r="K26" s="1026">
        <f t="shared" si="2"/>
        <v>0</v>
      </c>
      <c r="L26" s="1018"/>
      <c r="M26" s="182"/>
    </row>
    <row r="27" spans="1:13" ht="18.75" customHeight="1">
      <c r="A27" s="217"/>
      <c r="B27" s="211"/>
      <c r="C27" s="211"/>
      <c r="D27" s="212"/>
      <c r="E27" s="198">
        <f t="shared" si="0"/>
        <v>10</v>
      </c>
      <c r="F27" s="199" t="str">
        <f>'事業計画書（現行）'!C16</f>
        <v>抵当権設定費用</v>
      </c>
      <c r="G27" s="1017">
        <f>'事業計画書（事業決定時）'!D16</f>
        <v>0</v>
      </c>
      <c r="H27" s="25">
        <f t="shared" si="1"/>
        <v>0</v>
      </c>
      <c r="I27" s="24">
        <f>'事業計画書（現行）'!D16</f>
        <v>0</v>
      </c>
      <c r="J27" s="25">
        <f t="shared" si="1"/>
        <v>0</v>
      </c>
      <c r="K27" s="1026">
        <f t="shared" si="2"/>
        <v>0</v>
      </c>
      <c r="L27" s="1018"/>
      <c r="M27" s="182"/>
    </row>
    <row r="28" spans="1:13" ht="18.75" customHeight="1">
      <c r="A28" s="218"/>
      <c r="B28" s="211"/>
      <c r="C28" s="211"/>
      <c r="D28" s="212"/>
      <c r="E28" s="198">
        <f t="shared" si="0"/>
        <v>11</v>
      </c>
      <c r="F28" s="199" t="str">
        <f>'事業計画書（現行）'!C17</f>
        <v>その他（購入時信託報酬等）</v>
      </c>
      <c r="G28" s="1017">
        <f>'事業計画書（事業決定時）'!D17</f>
        <v>0</v>
      </c>
      <c r="H28" s="25">
        <f t="shared" si="1"/>
        <v>0</v>
      </c>
      <c r="I28" s="24">
        <f>'事業計画書（現行）'!D17</f>
        <v>0</v>
      </c>
      <c r="J28" s="25">
        <f t="shared" si="1"/>
        <v>0</v>
      </c>
      <c r="K28" s="1026">
        <f t="shared" si="2"/>
        <v>0</v>
      </c>
      <c r="L28" s="219"/>
      <c r="M28" s="182"/>
    </row>
    <row r="29" spans="1:13" ht="18.75" customHeight="1">
      <c r="A29" s="220"/>
      <c r="B29" s="211"/>
      <c r="C29" s="211"/>
      <c r="D29" s="201" t="s">
        <v>34</v>
      </c>
      <c r="E29" s="221"/>
      <c r="F29" s="203"/>
      <c r="G29" s="204">
        <f>SUM(G20:G28)</f>
        <v>644772338</v>
      </c>
      <c r="H29" s="222">
        <f>IF(G29="","",G29/$G$18)</f>
        <v>0.64660870672710502</v>
      </c>
      <c r="I29" s="204">
        <f>SUM(I20:I28)</f>
        <v>2474907800</v>
      </c>
      <c r="J29" s="222">
        <f>IF(I29="","",I29/$I$18)</f>
        <v>0.65647421750663126</v>
      </c>
      <c r="K29" s="1029">
        <f>I29-G29</f>
        <v>1830135462</v>
      </c>
      <c r="L29" s="223"/>
      <c r="M29" s="182"/>
    </row>
    <row r="30" spans="1:13" ht="18.75" customHeight="1">
      <c r="A30" s="217"/>
      <c r="B30" s="211"/>
      <c r="C30" s="211"/>
      <c r="D30" s="208"/>
      <c r="E30" s="192">
        <f>E28+1</f>
        <v>12</v>
      </c>
      <c r="F30" s="193" t="str">
        <f>'事業計画書（現行）'!C20</f>
        <v>基本リノベーション工事費用</v>
      </c>
      <c r="G30" s="22">
        <f>'事業計画書（事業決定時）'!D20</f>
        <v>61300000</v>
      </c>
      <c r="H30" s="23">
        <f>IF(G30="","",G30/$G$18)</f>
        <v>6.1474587829435594E-2</v>
      </c>
      <c r="I30" s="24">
        <f>'事業計画書（現行）'!D20</f>
        <v>367000000</v>
      </c>
      <c r="J30" s="23">
        <f>IF(I30="","",I30/$G$18)</f>
        <v>0.36804524850575637</v>
      </c>
      <c r="K30" s="1034">
        <f>I30-G30</f>
        <v>305700000</v>
      </c>
      <c r="L30" s="224"/>
      <c r="M30" s="182"/>
    </row>
    <row r="31" spans="1:13" ht="18.75" customHeight="1">
      <c r="A31" s="217"/>
      <c r="B31" s="211"/>
      <c r="C31" s="211"/>
      <c r="D31" s="211"/>
      <c r="E31" s="198">
        <f>E30+1</f>
        <v>13</v>
      </c>
      <c r="F31" s="199" t="str">
        <f>'事業計画書（現行）'!C33</f>
        <v>テナント賃料増額交渉用 工事費</v>
      </c>
      <c r="G31" s="24">
        <f>'事業計画書（事業決定時）'!D33</f>
        <v>10000000</v>
      </c>
      <c r="H31" s="25">
        <f t="shared" si="1"/>
        <v>1.0028480885715433E-2</v>
      </c>
      <c r="I31" s="24">
        <f>'事業計画書（現行）'!D33</f>
        <v>0</v>
      </c>
      <c r="J31" s="25">
        <f t="shared" si="1"/>
        <v>0</v>
      </c>
      <c r="K31" s="1026">
        <f>I31-G31</f>
        <v>-10000000</v>
      </c>
      <c r="L31" s="225"/>
      <c r="M31" s="182"/>
    </row>
    <row r="32" spans="1:13" ht="18.75" customHeight="1">
      <c r="A32" s="217"/>
      <c r="B32" s="211"/>
      <c r="C32" s="211"/>
      <c r="D32" s="211"/>
      <c r="E32" s="198">
        <f t="shared" ref="E32:E39" si="3">E31+1</f>
        <v>14</v>
      </c>
      <c r="F32" s="199" t="str">
        <f>'事業計画書（現行）'!C34</f>
        <v>テナント賃料ご移転費用</v>
      </c>
      <c r="G32" s="24">
        <f>'事業計画書（事業決定時）'!D34</f>
        <v>10000000</v>
      </c>
      <c r="H32" s="25">
        <f t="shared" si="1"/>
        <v>1.0028480885715433E-2</v>
      </c>
      <c r="I32" s="24">
        <f>'事業計画書（現行）'!D34</f>
        <v>0</v>
      </c>
      <c r="J32" s="25">
        <f t="shared" si="1"/>
        <v>0</v>
      </c>
      <c r="K32" s="1026">
        <f t="shared" ref="K32:K39" si="4">I32-G32</f>
        <v>-10000000</v>
      </c>
      <c r="L32" s="225"/>
      <c r="M32" s="182"/>
    </row>
    <row r="33" spans="1:13" ht="18.75" customHeight="1">
      <c r="A33" s="217"/>
      <c r="B33" s="211"/>
      <c r="C33" s="211"/>
      <c r="D33" s="212"/>
      <c r="E33" s="198">
        <f t="shared" si="3"/>
        <v>15</v>
      </c>
      <c r="F33" s="199" t="str">
        <f>'事業計画書（現行）'!C35</f>
        <v>テナント移転時 工事費</v>
      </c>
      <c r="G33" s="24">
        <f>'事業計画書（事業決定時）'!D35</f>
        <v>15500000</v>
      </c>
      <c r="H33" s="25">
        <f t="shared" si="1"/>
        <v>1.554414537285892E-2</v>
      </c>
      <c r="I33" s="24">
        <f>'事業計画書（現行）'!D35</f>
        <v>0</v>
      </c>
      <c r="J33" s="25">
        <f t="shared" si="1"/>
        <v>0</v>
      </c>
      <c r="K33" s="1026">
        <f t="shared" si="4"/>
        <v>-15500000</v>
      </c>
      <c r="L33" s="225"/>
      <c r="M33" s="182"/>
    </row>
    <row r="34" spans="1:13" ht="18.75" customHeight="1">
      <c r="A34" s="217"/>
      <c r="B34" s="211"/>
      <c r="C34" s="211"/>
      <c r="D34" s="212"/>
      <c r="E34" s="198">
        <f t="shared" si="3"/>
        <v>16</v>
      </c>
      <c r="F34" s="199" t="str">
        <f>'事業計画書（現行）'!C36</f>
        <v>テナント室内什器設置費用</v>
      </c>
      <c r="G34" s="24">
        <f>'事業計画書（事業決定時）'!D36</f>
        <v>0</v>
      </c>
      <c r="H34" s="25">
        <f t="shared" si="1"/>
        <v>0</v>
      </c>
      <c r="I34" s="24">
        <f>'事業計画書（現行）'!D36</f>
        <v>0</v>
      </c>
      <c r="J34" s="25">
        <f t="shared" si="1"/>
        <v>0</v>
      </c>
      <c r="K34" s="1026">
        <f t="shared" si="4"/>
        <v>0</v>
      </c>
      <c r="L34" s="225"/>
      <c r="M34" s="182"/>
    </row>
    <row r="35" spans="1:13" ht="18.75" customHeight="1">
      <c r="A35" s="229"/>
      <c r="B35" s="211"/>
      <c r="C35" s="211"/>
      <c r="D35" s="212"/>
      <c r="E35" s="198">
        <f t="shared" si="3"/>
        <v>17</v>
      </c>
      <c r="F35" s="199" t="str">
        <f>'事業計画書（現行）'!C37</f>
        <v>測量調査費用</v>
      </c>
      <c r="G35" s="24">
        <f>'事業計画書（事業決定時）'!D37</f>
        <v>0</v>
      </c>
      <c r="H35" s="25">
        <f t="shared" si="1"/>
        <v>0</v>
      </c>
      <c r="I35" s="24">
        <f>'事業計画書（現行）'!D37</f>
        <v>0</v>
      </c>
      <c r="J35" s="25">
        <f t="shared" si="1"/>
        <v>0</v>
      </c>
      <c r="K35" s="1026">
        <f t="shared" si="4"/>
        <v>0</v>
      </c>
      <c r="L35" s="225"/>
      <c r="M35" s="182"/>
    </row>
    <row r="36" spans="1:13" ht="18.75" customHeight="1">
      <c r="A36" s="231"/>
      <c r="B36" s="211"/>
      <c r="C36" s="211"/>
      <c r="D36" s="212"/>
      <c r="E36" s="198">
        <f t="shared" si="3"/>
        <v>18</v>
      </c>
      <c r="F36" s="199" t="str">
        <f>'事業計画書（現行）'!C38</f>
        <v>ER取得費用</v>
      </c>
      <c r="G36" s="24">
        <f>'事業計画書（事業決定時）'!D38</f>
        <v>0</v>
      </c>
      <c r="H36" s="25">
        <f t="shared" si="1"/>
        <v>0</v>
      </c>
      <c r="I36" s="24">
        <f>'事業計画書（現行）'!D38</f>
        <v>0</v>
      </c>
      <c r="J36" s="25">
        <f t="shared" si="1"/>
        <v>0</v>
      </c>
      <c r="K36" s="1026">
        <f t="shared" si="4"/>
        <v>0</v>
      </c>
      <c r="L36" s="225"/>
      <c r="M36" s="182"/>
    </row>
    <row r="37" spans="1:13" ht="18.75" customHeight="1">
      <c r="A37" s="231"/>
      <c r="B37" s="211"/>
      <c r="C37" s="211"/>
      <c r="D37" s="212"/>
      <c r="E37" s="198">
        <f t="shared" si="3"/>
        <v>19</v>
      </c>
      <c r="F37" s="199" t="str">
        <f>'事業計画書（現行）'!C39</f>
        <v>耐震診断・設計調査費用</v>
      </c>
      <c r="G37" s="24">
        <f>'事業計画書（事業決定時）'!D39</f>
        <v>0</v>
      </c>
      <c r="H37" s="25">
        <f t="shared" si="1"/>
        <v>0</v>
      </c>
      <c r="I37" s="24">
        <f>'事業計画書（現行）'!D39</f>
        <v>0</v>
      </c>
      <c r="J37" s="25">
        <f t="shared" si="1"/>
        <v>0</v>
      </c>
      <c r="K37" s="1026">
        <f t="shared" si="4"/>
        <v>0</v>
      </c>
      <c r="L37" s="1019"/>
      <c r="M37" s="182"/>
    </row>
    <row r="38" spans="1:13" ht="18.75" customHeight="1">
      <c r="A38" s="231"/>
      <c r="B38" s="211"/>
      <c r="C38" s="211"/>
      <c r="D38" s="212"/>
      <c r="E38" s="198">
        <f t="shared" si="3"/>
        <v>20</v>
      </c>
      <c r="F38" s="199" t="str">
        <f>'事業計画書（現行）'!C40</f>
        <v>近隣対策費</v>
      </c>
      <c r="G38" s="24">
        <f>'事業計画書（事業決定時）'!D40</f>
        <v>0</v>
      </c>
      <c r="H38" s="25">
        <f t="shared" si="1"/>
        <v>0</v>
      </c>
      <c r="I38" s="24">
        <f>'事業計画書（現行）'!D40</f>
        <v>0</v>
      </c>
      <c r="J38" s="25">
        <f t="shared" si="1"/>
        <v>0</v>
      </c>
      <c r="K38" s="1026">
        <f t="shared" si="4"/>
        <v>0</v>
      </c>
      <c r="L38" s="1019"/>
      <c r="M38" s="182"/>
    </row>
    <row r="39" spans="1:13" ht="18.75" customHeight="1">
      <c r="A39" s="231"/>
      <c r="B39" s="211"/>
      <c r="C39" s="211"/>
      <c r="D39" s="212"/>
      <c r="E39" s="198">
        <f t="shared" si="3"/>
        <v>21</v>
      </c>
      <c r="F39" s="199" t="str">
        <f>'事業計画書（現行）'!C41</f>
        <v>その他（建物適合判定費用）ＥＲＩ</v>
      </c>
      <c r="G39" s="24">
        <f>'事業計画書（事業決定時）'!D41</f>
        <v>1000000</v>
      </c>
      <c r="H39" s="25">
        <f t="shared" si="1"/>
        <v>1.0028480885715431E-3</v>
      </c>
      <c r="I39" s="24">
        <f>'事業計画書（現行）'!D41</f>
        <v>0</v>
      </c>
      <c r="J39" s="25">
        <f t="shared" si="1"/>
        <v>0</v>
      </c>
      <c r="K39" s="1026">
        <f t="shared" si="4"/>
        <v>-1000000</v>
      </c>
      <c r="L39" s="1019"/>
      <c r="M39" s="182"/>
    </row>
    <row r="40" spans="1:13" ht="18.75" customHeight="1">
      <c r="A40" s="217"/>
      <c r="B40" s="211"/>
      <c r="C40" s="211"/>
      <c r="D40" s="201" t="s">
        <v>37</v>
      </c>
      <c r="E40" s="221"/>
      <c r="F40" s="241"/>
      <c r="G40" s="204">
        <f>SUM(G30:G39)</f>
        <v>97800000</v>
      </c>
      <c r="H40" s="222">
        <f t="shared" si="1"/>
        <v>9.8078543062296922E-2</v>
      </c>
      <c r="I40" s="204">
        <f>SUM(I30:I39)</f>
        <v>367000000</v>
      </c>
      <c r="J40" s="222">
        <f>IF(I40="","",I40/$I$18)</f>
        <v>9.7347480106100795E-2</v>
      </c>
      <c r="K40" s="1029">
        <f t="shared" ref="K40:K50" si="5">I40-G40</f>
        <v>269200000</v>
      </c>
      <c r="L40" s="242"/>
      <c r="M40" s="182"/>
    </row>
    <row r="41" spans="1:13" ht="18.75" customHeight="1">
      <c r="A41" s="184"/>
      <c r="B41" s="211"/>
      <c r="C41" s="211"/>
      <c r="D41" s="209"/>
      <c r="E41" s="192">
        <f>E39+1</f>
        <v>22</v>
      </c>
      <c r="F41" s="193" t="str">
        <f>'事業計画書（現行）'!C44</f>
        <v>リーシング手数料</v>
      </c>
      <c r="G41" s="1021">
        <f>'事業計画書（事業決定時）'!D44</f>
        <v>3995880</v>
      </c>
      <c r="H41" s="23">
        <f t="shared" si="1"/>
        <v>4.0072606201612578E-3</v>
      </c>
      <c r="I41" s="1021">
        <f>'事業計画書（現行）'!D44</f>
        <v>28316920</v>
      </c>
      <c r="J41" s="23">
        <f t="shared" si="1"/>
        <v>2.8397569096233304E-2</v>
      </c>
      <c r="K41" s="1026">
        <f t="shared" si="5"/>
        <v>24321040</v>
      </c>
      <c r="L41" s="224"/>
      <c r="M41" s="182"/>
    </row>
    <row r="42" spans="1:13" ht="18.75" customHeight="1">
      <c r="A42" s="184"/>
      <c r="B42" s="211"/>
      <c r="C42" s="211"/>
      <c r="D42" s="212"/>
      <c r="E42" s="198">
        <f>E41+1</f>
        <v>23</v>
      </c>
      <c r="F42" s="1020" t="str">
        <f>'事業計画書（現行）'!C45</f>
        <v>at home等広告費</v>
      </c>
      <c r="G42" s="1021">
        <f>'事業計画書（事業決定時）'!D45</f>
        <v>500000</v>
      </c>
      <c r="H42" s="25">
        <f t="shared" si="1"/>
        <v>5.0142404428577154E-4</v>
      </c>
      <c r="I42" s="1021">
        <f>'事業計画書（現行）'!D45</f>
        <v>0</v>
      </c>
      <c r="J42" s="25">
        <f t="shared" si="1"/>
        <v>0</v>
      </c>
      <c r="K42" s="1026">
        <f t="shared" si="5"/>
        <v>-500000</v>
      </c>
      <c r="L42" s="1022"/>
      <c r="M42" s="182"/>
    </row>
    <row r="43" spans="1:13" ht="18.75" customHeight="1">
      <c r="A43" s="184"/>
      <c r="B43" s="211"/>
      <c r="C43" s="211"/>
      <c r="D43" s="212"/>
      <c r="E43" s="198">
        <f>E42+1</f>
        <v>24</v>
      </c>
      <c r="F43" s="1020" t="str">
        <f>'事業計画書（現行）'!C46</f>
        <v>パンフレット等印刷物制作費</v>
      </c>
      <c r="G43" s="1021">
        <f>'事業計画書（事業決定時）'!D46</f>
        <v>500000</v>
      </c>
      <c r="H43" s="25">
        <f t="shared" si="1"/>
        <v>5.0142404428577154E-4</v>
      </c>
      <c r="I43" s="1021">
        <f>'事業計画書（現行）'!D46</f>
        <v>0</v>
      </c>
      <c r="J43" s="25">
        <f t="shared" si="1"/>
        <v>0</v>
      </c>
      <c r="K43" s="1026">
        <f t="shared" si="5"/>
        <v>-500000</v>
      </c>
      <c r="L43" s="225"/>
      <c r="M43" s="182"/>
    </row>
    <row r="44" spans="1:13" ht="18.75" customHeight="1">
      <c r="A44" s="182"/>
      <c r="B44" s="211"/>
      <c r="C44" s="211"/>
      <c r="D44" s="212"/>
      <c r="E44" s="198">
        <f>E43+1</f>
        <v>25</v>
      </c>
      <c r="F44" s="1020" t="str">
        <f>'事業計画書（現行）'!C47</f>
        <v>テナント移転費負担（引越代）</v>
      </c>
      <c r="G44" s="1021">
        <f>'事業計画書（事業決定時）'!D47</f>
        <v>0</v>
      </c>
      <c r="H44" s="28">
        <f t="shared" si="1"/>
        <v>0</v>
      </c>
      <c r="I44" s="1021">
        <f>'事業計画書（現行）'!D47</f>
        <v>0</v>
      </c>
      <c r="J44" s="28">
        <f t="shared" si="1"/>
        <v>0</v>
      </c>
      <c r="K44" s="1026">
        <f t="shared" si="5"/>
        <v>0</v>
      </c>
      <c r="L44" s="236"/>
      <c r="M44" s="182"/>
    </row>
    <row r="45" spans="1:13" ht="18.75" customHeight="1">
      <c r="A45" s="182"/>
      <c r="B45" s="211"/>
      <c r="C45" s="212"/>
      <c r="D45" s="258" t="s">
        <v>159</v>
      </c>
      <c r="E45" s="259"/>
      <c r="F45" s="241"/>
      <c r="G45" s="204">
        <f>SUM(G41:G44)</f>
        <v>4995880</v>
      </c>
      <c r="H45" s="222">
        <f t="shared" si="1"/>
        <v>5.0101087087328008E-3</v>
      </c>
      <c r="I45" s="204">
        <f>SUM(I41:I44)</f>
        <v>28316920</v>
      </c>
      <c r="J45" s="222">
        <f>IF(I45="","",I45/$I$18)</f>
        <v>7.5111193633952255E-3</v>
      </c>
      <c r="K45" s="1028">
        <f t="shared" si="5"/>
        <v>23321040</v>
      </c>
      <c r="L45" s="223"/>
      <c r="M45" s="182"/>
    </row>
    <row r="46" spans="1:13" ht="18.75" customHeight="1">
      <c r="A46" s="182"/>
      <c r="B46" s="211"/>
      <c r="C46" s="208"/>
      <c r="D46" s="262"/>
      <c r="E46" s="192">
        <f>E44+1</f>
        <v>26</v>
      </c>
      <c r="F46" s="193" t="s">
        <v>160</v>
      </c>
      <c r="G46" s="22">
        <f>IF(G18&gt;5000000000,480000/2,IF(G18&gt;1000000000,320000/2,IF(G18&gt;500000000,160000/2,IF(G18&gt;100000000,60000/2,))))</f>
        <v>80000</v>
      </c>
      <c r="H46" s="23">
        <f t="shared" si="1"/>
        <v>8.0227847085723454E-5</v>
      </c>
      <c r="I46" s="22">
        <f>IF(I18&gt;5000000000,480000/2,IF(I18&gt;1000000000,320000/2,IF(I18&gt;500000000,160000/2,IF(I18&gt;100000000,60000/2,))))</f>
        <v>160000</v>
      </c>
      <c r="J46" s="23">
        <f>IF(I46="","",I46/$I$18)</f>
        <v>4.2440318302387269E-5</v>
      </c>
      <c r="K46" s="1025">
        <f t="shared" si="5"/>
        <v>80000</v>
      </c>
      <c r="L46" s="224"/>
      <c r="M46" s="182"/>
    </row>
    <row r="47" spans="1:13" ht="18.75" customHeight="1">
      <c r="A47" s="182"/>
      <c r="B47" s="211"/>
      <c r="C47" s="211"/>
      <c r="D47" s="260"/>
      <c r="E47" s="198">
        <f>E46+1</f>
        <v>27</v>
      </c>
      <c r="F47" s="199" t="str">
        <f>'事業計画書（現行）'!L15</f>
        <v>売却時仲介手数料等…E1</v>
      </c>
      <c r="G47" s="30">
        <f>'事業計画書（事業決定時）'!M15</f>
        <v>29974800</v>
      </c>
      <c r="H47" s="25">
        <f t="shared" si="1"/>
        <v>3.0060170885314291E-2</v>
      </c>
      <c r="I47" s="24">
        <f>'事業計画書（現行）'!M15</f>
        <v>113160000</v>
      </c>
      <c r="J47" s="25">
        <f>IF(I47="","",I47/$I$18)</f>
        <v>3.0015915119363395E-2</v>
      </c>
      <c r="K47" s="1026">
        <f t="shared" si="5"/>
        <v>83185200</v>
      </c>
      <c r="L47" s="225"/>
      <c r="M47" s="182"/>
    </row>
    <row r="48" spans="1:13" ht="18.75" customHeight="1">
      <c r="A48" s="182"/>
      <c r="B48" s="211"/>
      <c r="C48" s="258" t="s">
        <v>40</v>
      </c>
      <c r="D48" s="263"/>
      <c r="E48" s="202"/>
      <c r="F48" s="203"/>
      <c r="G48" s="204">
        <f>SUM(G46:G47)</f>
        <v>30054800</v>
      </c>
      <c r="H48" s="222">
        <f t="shared" si="1"/>
        <v>3.0140398732400014E-2</v>
      </c>
      <c r="I48" s="204">
        <f>SUM(I46:I47)</f>
        <v>113320000</v>
      </c>
      <c r="J48" s="222">
        <f>IF(I48="","",I48/$I$18)</f>
        <v>3.0058355437665784E-2</v>
      </c>
      <c r="K48" s="272">
        <f t="shared" si="5"/>
        <v>83265200</v>
      </c>
      <c r="L48" s="264"/>
      <c r="M48" s="182"/>
    </row>
    <row r="49" spans="1:13" ht="18.75" customHeight="1">
      <c r="A49" s="182"/>
      <c r="B49" s="258" t="s">
        <v>41</v>
      </c>
      <c r="C49" s="261"/>
      <c r="D49" s="261"/>
      <c r="E49" s="265"/>
      <c r="F49" s="203"/>
      <c r="G49" s="204">
        <f>G29+G40+G45+G48</f>
        <v>777623018</v>
      </c>
      <c r="H49" s="222">
        <f t="shared" si="1"/>
        <v>0.77983775723053472</v>
      </c>
      <c r="I49" s="204">
        <f>I29+I40+I45+I48</f>
        <v>2983544720</v>
      </c>
      <c r="J49" s="222">
        <f>IF(I49="","",I49/$I$18)</f>
        <v>0.79139117241379309</v>
      </c>
      <c r="K49" s="272">
        <f t="shared" si="5"/>
        <v>2205921702</v>
      </c>
      <c r="L49" s="264"/>
      <c r="M49" s="182"/>
    </row>
    <row r="50" spans="1:13" ht="18.75" customHeight="1">
      <c r="A50" s="182"/>
      <c r="B50" s="266" t="s">
        <v>66</v>
      </c>
      <c r="C50" s="203"/>
      <c r="D50" s="203"/>
      <c r="E50" s="265"/>
      <c r="F50" s="267"/>
      <c r="G50" s="204">
        <f>G18-G49</f>
        <v>219536982</v>
      </c>
      <c r="H50" s="268"/>
      <c r="I50" s="204">
        <f>I18-I49</f>
        <v>786455280</v>
      </c>
      <c r="J50" s="268"/>
      <c r="K50" s="272">
        <f t="shared" si="5"/>
        <v>566918298</v>
      </c>
      <c r="L50" s="264"/>
      <c r="M50" s="182"/>
    </row>
    <row r="51" spans="1:13" ht="18.75" customHeight="1">
      <c r="A51" s="182"/>
      <c r="B51" s="185" t="s">
        <v>67</v>
      </c>
      <c r="C51" s="269"/>
      <c r="D51" s="269"/>
      <c r="E51" s="269"/>
      <c r="F51" s="269"/>
      <c r="G51" s="269"/>
      <c r="H51" s="269"/>
      <c r="I51" s="269"/>
      <c r="J51" s="269"/>
      <c r="K51" s="1030"/>
      <c r="L51" s="269"/>
      <c r="M51" s="182"/>
    </row>
    <row r="52" spans="1:13" ht="18.75" customHeight="1">
      <c r="A52" s="182"/>
      <c r="B52" s="189"/>
      <c r="C52" s="190"/>
      <c r="D52" s="191"/>
      <c r="E52" s="192">
        <f>E47+1</f>
        <v>28</v>
      </c>
      <c r="F52" s="270" t="s">
        <v>68</v>
      </c>
      <c r="G52" s="22">
        <f>'事業計画書（事業決定時）'!M15</f>
        <v>29974800</v>
      </c>
      <c r="H52" s="31">
        <f t="shared" ref="H52:J63" si="6">IF(G52="","",G52/$G$18)</f>
        <v>3.0060170885314291E-2</v>
      </c>
      <c r="I52" s="22">
        <f>'事業計画書（現行）'!M15</f>
        <v>113160000</v>
      </c>
      <c r="J52" s="31">
        <f>I52/$I$54</f>
        <v>1</v>
      </c>
      <c r="K52" s="1025">
        <f>I52-G52</f>
        <v>83185200</v>
      </c>
      <c r="L52" s="210"/>
      <c r="M52" s="182"/>
    </row>
    <row r="53" spans="1:13" ht="18.75" customHeight="1">
      <c r="A53" s="182"/>
      <c r="B53" s="195"/>
      <c r="C53" s="196"/>
      <c r="D53" s="197"/>
      <c r="E53" s="198">
        <f>E52+1</f>
        <v>29</v>
      </c>
      <c r="F53" s="271" t="s">
        <v>161</v>
      </c>
      <c r="G53" s="26">
        <v>0</v>
      </c>
      <c r="H53" s="33">
        <f t="shared" si="6"/>
        <v>0</v>
      </c>
      <c r="I53" s="26">
        <v>0</v>
      </c>
      <c r="J53" s="33">
        <f>I53/$I$54</f>
        <v>0</v>
      </c>
      <c r="K53" s="1027">
        <f>I53-G53</f>
        <v>0</v>
      </c>
      <c r="L53" s="219"/>
      <c r="M53" s="182"/>
    </row>
    <row r="54" spans="1:13" ht="18.75" customHeight="1">
      <c r="A54" s="182"/>
      <c r="B54" s="201" t="s">
        <v>162</v>
      </c>
      <c r="C54" s="201"/>
      <c r="D54" s="201"/>
      <c r="E54" s="202"/>
      <c r="F54" s="267"/>
      <c r="G54" s="204">
        <f>SUM(G52:G53)</f>
        <v>29974800</v>
      </c>
      <c r="H54" s="268">
        <f>IF(G54="","",G54/$G$18)</f>
        <v>3.0060170885314291E-2</v>
      </c>
      <c r="I54" s="204">
        <f>SUM(I52:I53)</f>
        <v>113160000</v>
      </c>
      <c r="J54" s="268">
        <f>IF(I54="","",I54/$G$18)</f>
        <v>0.11348228970275583</v>
      </c>
      <c r="K54" s="272">
        <f>I54-G54</f>
        <v>83185200</v>
      </c>
      <c r="L54" s="205"/>
      <c r="M54" s="182"/>
    </row>
    <row r="55" spans="1:13" ht="18.75" customHeight="1">
      <c r="A55" s="182"/>
      <c r="B55" s="208"/>
      <c r="C55" s="273"/>
      <c r="D55" s="262"/>
      <c r="E55" s="198">
        <f>E53+1</f>
        <v>30</v>
      </c>
      <c r="F55" s="274" t="str">
        <f>'事業計画書（現行）'!C50</f>
        <v>借入金利額</v>
      </c>
      <c r="G55" s="24">
        <f>'事業計画書（事業決定時）'!D50</f>
        <v>2555309.5890410952</v>
      </c>
      <c r="H55" s="31">
        <f t="shared" si="6"/>
        <v>2.562587337078398E-3</v>
      </c>
      <c r="I55" s="24">
        <f>'事業計画書（現行）'!D50</f>
        <v>8783013.6986301374</v>
      </c>
      <c r="J55" s="31">
        <f t="shared" si="6"/>
        <v>8.808028499568913E-3</v>
      </c>
      <c r="K55" s="1026">
        <f>I55-G55</f>
        <v>6227704.1095890421</v>
      </c>
      <c r="L55" s="275"/>
      <c r="M55" s="182"/>
    </row>
    <row r="56" spans="1:13" ht="18.75" customHeight="1">
      <c r="A56" s="182"/>
      <c r="B56" s="211"/>
      <c r="C56" s="276"/>
      <c r="D56" s="260"/>
      <c r="E56" s="198">
        <f t="shared" ref="E56:E62" si="7">E55+1</f>
        <v>31</v>
      </c>
      <c r="F56" s="1023" t="str">
        <f>'事業計画書（現行）'!C51</f>
        <v>期中信託報酬</v>
      </c>
      <c r="G56" s="24">
        <f>'事業計画書（事業決定時）'!D51</f>
        <v>0</v>
      </c>
      <c r="H56" s="32">
        <f t="shared" si="6"/>
        <v>0</v>
      </c>
      <c r="I56" s="24">
        <f>'事業計画書（現行）'!D51</f>
        <v>0</v>
      </c>
      <c r="J56" s="32">
        <f t="shared" si="6"/>
        <v>0</v>
      </c>
      <c r="K56" s="1026">
        <f>I56-G56</f>
        <v>0</v>
      </c>
      <c r="L56" s="277"/>
      <c r="M56" s="182"/>
    </row>
    <row r="57" spans="1:13" ht="18.75" customHeight="1">
      <c r="A57" s="182"/>
      <c r="B57" s="211"/>
      <c r="C57" s="276"/>
      <c r="D57" s="260"/>
      <c r="E57" s="198">
        <f t="shared" si="7"/>
        <v>32</v>
      </c>
      <c r="F57" s="1023" t="str">
        <f>'事業計画書（現行）'!C52</f>
        <v xml:space="preserve">   ビルメンテナンス費用（清掃・設備）</v>
      </c>
      <c r="G57" s="24">
        <f>'事業計画書（事業決定時）'!D52</f>
        <v>2235616.4383561644</v>
      </c>
      <c r="H57" s="32">
        <f t="shared" si="6"/>
        <v>2.2419836719846007E-3</v>
      </c>
      <c r="I57" s="24">
        <f>'事業計画書（現行）'!D52</f>
        <v>3152876.7123287674</v>
      </c>
      <c r="J57" s="32">
        <f t="shared" si="6"/>
        <v>3.1618563844606354E-3</v>
      </c>
      <c r="K57" s="1026">
        <f t="shared" ref="K57:K62" si="8">I57-G57</f>
        <v>917260.27397260303</v>
      </c>
      <c r="L57" s="277"/>
      <c r="M57" s="182"/>
    </row>
    <row r="58" spans="1:13" ht="18.75" customHeight="1">
      <c r="A58" s="182"/>
      <c r="B58" s="211"/>
      <c r="C58" s="276"/>
      <c r="D58" s="260"/>
      <c r="E58" s="198">
        <f t="shared" si="7"/>
        <v>33</v>
      </c>
      <c r="F58" s="1023" t="str">
        <f>'事業計画書（現行）'!C53</f>
        <v>ビル運営管理費用（PM）</v>
      </c>
      <c r="G58" s="24">
        <f>'事業計画書（事業決定時）'!D53</f>
        <v>0</v>
      </c>
      <c r="H58" s="32">
        <f t="shared" si="6"/>
        <v>0</v>
      </c>
      <c r="I58" s="24">
        <f>'事業計画書（現行）'!D53</f>
        <v>0</v>
      </c>
      <c r="J58" s="32">
        <f t="shared" si="6"/>
        <v>0</v>
      </c>
      <c r="K58" s="1026">
        <f t="shared" si="8"/>
        <v>0</v>
      </c>
      <c r="L58" s="225"/>
      <c r="M58" s="182"/>
    </row>
    <row r="59" spans="1:13" ht="18.75" customHeight="1">
      <c r="A59" s="182"/>
      <c r="B59" s="211"/>
      <c r="C59" s="276"/>
      <c r="D59" s="260"/>
      <c r="E59" s="198">
        <f t="shared" si="7"/>
        <v>34</v>
      </c>
      <c r="F59" s="1023" t="str">
        <f>'事業計画書（現行）'!C54</f>
        <v>固定資産税・都市計画税等</v>
      </c>
      <c r="G59" s="24">
        <f>'事業計画書（事業決定時）'!D54</f>
        <v>2614797.1068493151</v>
      </c>
      <c r="H59" s="32">
        <f t="shared" si="6"/>
        <v>2.6222442806062367E-3</v>
      </c>
      <c r="I59" s="24">
        <f>'事業計画書（現行）'!D54</f>
        <v>7659163.2876712335</v>
      </c>
      <c r="J59" s="32">
        <f t="shared" si="6"/>
        <v>7.6809772630984331E-3</v>
      </c>
      <c r="K59" s="1026">
        <f t="shared" si="8"/>
        <v>5044366.180821918</v>
      </c>
      <c r="L59" s="225"/>
      <c r="M59" s="182"/>
    </row>
    <row r="60" spans="1:13" ht="18.75" customHeight="1">
      <c r="A60" s="182"/>
      <c r="B60" s="211"/>
      <c r="C60" s="276"/>
      <c r="D60" s="260"/>
      <c r="E60" s="198">
        <f t="shared" si="7"/>
        <v>35</v>
      </c>
      <c r="F60" s="1023" t="str">
        <f>'事業計画書（現行）'!C55</f>
        <v>火災保険料・賠責保険料</v>
      </c>
      <c r="G60" s="24">
        <f>'事業計画書（事業決定時）'!D55</f>
        <v>92447.210958904107</v>
      </c>
      <c r="H60" s="32">
        <f t="shared" si="6"/>
        <v>9.2710508803907208E-5</v>
      </c>
      <c r="I60" s="24">
        <f>'事業計画書（現行）'!D55</f>
        <v>225205.47945205477</v>
      </c>
      <c r="J60" s="32">
        <f t="shared" si="6"/>
        <v>2.2584688460433106E-4</v>
      </c>
      <c r="K60" s="1026">
        <f t="shared" si="8"/>
        <v>132758.26849315065</v>
      </c>
      <c r="L60" s="225"/>
      <c r="M60" s="182"/>
    </row>
    <row r="61" spans="1:13" ht="18.75" customHeight="1">
      <c r="A61" s="182"/>
      <c r="B61" s="211"/>
      <c r="C61" s="276"/>
      <c r="D61" s="260"/>
      <c r="E61" s="198">
        <f t="shared" si="7"/>
        <v>36</v>
      </c>
      <c r="F61" s="1023" t="str">
        <f>'事業計画書（現行）'!C56</f>
        <v>その他（道路占有料等）</v>
      </c>
      <c r="G61" s="24">
        <f>'事業計画書（事業決定時）'!D56</f>
        <v>0</v>
      </c>
      <c r="H61" s="32">
        <f t="shared" si="6"/>
        <v>0</v>
      </c>
      <c r="I61" s="24">
        <f>'事業計画書（現行）'!D56</f>
        <v>0</v>
      </c>
      <c r="J61" s="32">
        <f t="shared" si="6"/>
        <v>0</v>
      </c>
      <c r="K61" s="1026">
        <f t="shared" si="8"/>
        <v>0</v>
      </c>
      <c r="L61" s="225"/>
      <c r="M61" s="182"/>
    </row>
    <row r="62" spans="1:13" ht="18.75" customHeight="1">
      <c r="A62" s="182"/>
      <c r="B62" s="211"/>
      <c r="C62" s="276"/>
      <c r="D62" s="260"/>
      <c r="E62" s="198">
        <f t="shared" si="7"/>
        <v>37</v>
      </c>
      <c r="F62" s="1023" t="str">
        <f>'事業計画書（現行）'!C57</f>
        <v>水道光熱費</v>
      </c>
      <c r="G62" s="24">
        <f>'事業計画書（事業決定時）'!D57</f>
        <v>0</v>
      </c>
      <c r="H62" s="32">
        <f t="shared" si="6"/>
        <v>0</v>
      </c>
      <c r="I62" s="24">
        <f>'事業計画書（現行）'!D57</f>
        <v>0</v>
      </c>
      <c r="J62" s="32">
        <f t="shared" si="6"/>
        <v>0</v>
      </c>
      <c r="K62" s="1026">
        <f t="shared" si="8"/>
        <v>0</v>
      </c>
      <c r="L62" s="277"/>
      <c r="M62" s="182"/>
    </row>
    <row r="63" spans="1:13" ht="18.75" customHeight="1">
      <c r="A63" s="182"/>
      <c r="B63" s="258" t="s">
        <v>71</v>
      </c>
      <c r="C63" s="261"/>
      <c r="D63" s="261"/>
      <c r="E63" s="265"/>
      <c r="F63" s="267"/>
      <c r="G63" s="204">
        <f>SUM(G55:G62)</f>
        <v>7498170.3452054784</v>
      </c>
      <c r="H63" s="268">
        <f t="shared" si="6"/>
        <v>7.5195257984731418E-3</v>
      </c>
      <c r="I63" s="204">
        <f>SUM(I55:I62)</f>
        <v>19820259.178082194</v>
      </c>
      <c r="J63" s="268">
        <f t="shared" si="6"/>
        <v>1.9876709031732314E-2</v>
      </c>
      <c r="K63" s="272">
        <f>I63-G63</f>
        <v>12322088.832876716</v>
      </c>
      <c r="L63" s="264"/>
      <c r="M63" s="182"/>
    </row>
    <row r="64" spans="1:13" ht="18.75" customHeight="1">
      <c r="A64" s="182"/>
      <c r="B64" s="266" t="s">
        <v>612</v>
      </c>
      <c r="C64" s="203"/>
      <c r="D64" s="203"/>
      <c r="E64" s="265"/>
      <c r="F64" s="267"/>
      <c r="G64" s="204">
        <f>G54-G63</f>
        <v>22476629.654794522</v>
      </c>
      <c r="H64" s="268"/>
      <c r="I64" s="204">
        <f>I54-I63</f>
        <v>93339740.821917802</v>
      </c>
      <c r="J64" s="268"/>
      <c r="K64" s="272">
        <f>I64-G64</f>
        <v>70863111.167123288</v>
      </c>
      <c r="L64" s="264"/>
      <c r="M64" s="182"/>
    </row>
    <row r="65" spans="2:12" ht="17.25" customHeight="1">
      <c r="B65" s="185"/>
      <c r="C65" s="185"/>
      <c r="D65" s="185"/>
      <c r="E65" s="184"/>
      <c r="F65" s="185"/>
      <c r="G65" s="182"/>
      <c r="H65" s="182"/>
      <c r="I65" s="182"/>
      <c r="J65" s="182"/>
      <c r="K65" s="185"/>
      <c r="L65" s="185"/>
    </row>
    <row r="67" spans="2:12">
      <c r="F67" s="186"/>
      <c r="K67" s="186"/>
      <c r="L67" s="186"/>
    </row>
    <row r="68" spans="2:12">
      <c r="F68" s="186"/>
      <c r="K68" s="186"/>
      <c r="L68" s="186"/>
    </row>
    <row r="69" spans="2:12">
      <c r="F69" s="186"/>
      <c r="K69" s="186"/>
      <c r="L69" s="186"/>
    </row>
    <row r="70" spans="2:12">
      <c r="F70" s="186"/>
      <c r="K70" s="186"/>
      <c r="L70" s="186"/>
    </row>
    <row r="71" spans="2:12">
      <c r="F71" s="186"/>
      <c r="K71" s="186"/>
      <c r="L71" s="186"/>
    </row>
    <row r="72" spans="2:12">
      <c r="F72" s="186"/>
      <c r="K72" s="186"/>
      <c r="L72" s="186"/>
    </row>
    <row r="73" spans="2:12">
      <c r="F73" s="186"/>
      <c r="K73" s="186"/>
      <c r="L73" s="186"/>
    </row>
    <row r="74" spans="2:12">
      <c r="F74" s="186"/>
      <c r="K74" s="186"/>
      <c r="L74" s="186"/>
    </row>
    <row r="75" spans="2:12">
      <c r="F75" s="186"/>
      <c r="K75" s="186"/>
      <c r="L75" s="186"/>
    </row>
    <row r="76" spans="2:12">
      <c r="F76" s="186"/>
      <c r="K76" s="186"/>
      <c r="L76" s="186"/>
    </row>
    <row r="77" spans="2:12">
      <c r="F77" s="186"/>
      <c r="K77" s="186"/>
      <c r="L77" s="186"/>
    </row>
  </sheetData>
  <mergeCells count="13">
    <mergeCell ref="G2:L3"/>
    <mergeCell ref="I14:J14"/>
    <mergeCell ref="G14:H14"/>
    <mergeCell ref="B14:F15"/>
    <mergeCell ref="B1:F1"/>
    <mergeCell ref="B2:F3"/>
    <mergeCell ref="G6:G7"/>
    <mergeCell ref="G10:G11"/>
    <mergeCell ref="L14:L15"/>
    <mergeCell ref="K14:K15"/>
    <mergeCell ref="B4:F5"/>
    <mergeCell ref="B6:F7"/>
    <mergeCell ref="B8:F11"/>
  </mergeCells>
  <phoneticPr fontId="3"/>
  <dataValidations count="2">
    <dataValidation type="list" allowBlank="1" showInputMessage="1" showErrorMessage="1" sqref="L21">
      <formula1>"固定資産税評価額按分,合理的按分,その他"</formula1>
    </dataValidation>
    <dataValidation type="list" allowBlank="1" showInputMessage="1" showErrorMessage="1" sqref="I14:J14">
      <formula1>"今回計画案,売却時"</formula1>
    </dataValidation>
  </dataValidations>
  <printOptions horizontalCentered="1"/>
  <pageMargins left="0.39370078740157483" right="0.39370078740157483" top="0.6692913385826772" bottom="0.59055118110236227" header="0.19685039370078741" footer="0.15748031496062992"/>
  <pageSetup paperSize="8" fitToHeight="0" orientation="portrait" horizontalDpi="300" verticalDpi="300" r:id="rId1"/>
  <headerFooter alignWithMargins="0">
    <oddHeader>&amp;R&amp;"ＭＳ Ｐ明朝,標準"&amp;D</oddHead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pageSetUpPr fitToPage="1"/>
  </sheetPr>
  <dimension ref="A1:AV141"/>
  <sheetViews>
    <sheetView view="pageBreakPreview" topLeftCell="F49" zoomScale="50" zoomScaleNormal="55" zoomScaleSheetLayoutView="50" workbookViewId="0">
      <selection activeCell="O56" sqref="O56"/>
    </sheetView>
  </sheetViews>
  <sheetFormatPr defaultRowHeight="18.75"/>
  <cols>
    <col min="1" max="1" width="8.875" style="553" customWidth="1"/>
    <col min="2" max="2" width="8.875" style="554" customWidth="1"/>
    <col min="3" max="5" width="42.375" style="553" customWidth="1"/>
    <col min="6" max="8" width="14" style="553" customWidth="1"/>
    <col min="9" max="9" width="14.375" style="553" customWidth="1"/>
    <col min="10" max="10" width="8.875" style="553" customWidth="1"/>
    <col min="11" max="11" width="8.875" style="581" customWidth="1"/>
    <col min="12" max="13" width="42.625" style="553" customWidth="1"/>
    <col min="14" max="14" width="42.625" style="783" customWidth="1"/>
    <col min="15" max="15" width="42.625" style="553" customWidth="1"/>
    <col min="16" max="25" width="6.75" style="553" customWidth="1"/>
    <col min="26" max="27" width="6.25" style="553" customWidth="1"/>
    <col min="28" max="28" width="33.625" style="585" customWidth="1"/>
    <col min="29" max="29" width="21.5" style="553" customWidth="1"/>
    <col min="30" max="30" width="21.125" style="553" customWidth="1"/>
    <col min="31" max="31" width="19.25" style="573" customWidth="1"/>
    <col min="32" max="32" width="7" style="553" customWidth="1"/>
    <col min="33" max="33" width="31.25" style="553" customWidth="1"/>
    <col min="34" max="39" width="16.75" style="553" customWidth="1"/>
    <col min="40" max="16384" width="9" style="553"/>
  </cols>
  <sheetData>
    <row r="1" spans="1:43" s="541" customFormat="1" ht="30" customHeight="1">
      <c r="A1" s="2386" t="s">
        <v>1002</v>
      </c>
      <c r="B1" s="2387"/>
      <c r="C1" s="2388"/>
      <c r="D1" s="2388"/>
      <c r="E1" s="2388"/>
      <c r="F1" s="2389"/>
      <c r="G1" s="2389"/>
      <c r="H1" s="2389"/>
      <c r="I1" s="540"/>
      <c r="K1" s="542"/>
      <c r="N1" s="543"/>
      <c r="P1" s="545"/>
      <c r="Q1" s="2390">
        <v>43179.471045949074</v>
      </c>
      <c r="R1" s="2390"/>
      <c r="S1" s="2390"/>
      <c r="T1" s="2390"/>
      <c r="U1" s="2390"/>
      <c r="V1" s="2390"/>
      <c r="W1" s="2390"/>
      <c r="X1" s="2390"/>
      <c r="Y1" s="545"/>
      <c r="Z1" s="545"/>
      <c r="AA1" s="545"/>
      <c r="AB1" s="546"/>
      <c r="AE1" s="547"/>
    </row>
    <row r="2" spans="1:43" s="541" customFormat="1" ht="8.25" customHeight="1" thickBot="1">
      <c r="A2" s="1768"/>
      <c r="B2" s="1768"/>
      <c r="C2" s="1769"/>
      <c r="D2" s="1769"/>
      <c r="E2" s="1769"/>
      <c r="F2" s="1770"/>
      <c r="G2" s="1770"/>
      <c r="H2" s="1770"/>
      <c r="I2" s="540"/>
      <c r="K2" s="542"/>
      <c r="N2" s="543"/>
      <c r="O2" s="1771"/>
      <c r="P2" s="545"/>
      <c r="Q2" s="545"/>
      <c r="R2" s="545"/>
      <c r="S2" s="545"/>
      <c r="T2" s="545"/>
      <c r="U2" s="545"/>
      <c r="V2" s="545"/>
      <c r="W2" s="545"/>
      <c r="X2" s="545"/>
      <c r="Y2" s="545"/>
      <c r="Z2" s="545"/>
      <c r="AA2" s="545"/>
      <c r="AB2" s="546"/>
      <c r="AE2" s="547"/>
    </row>
    <row r="3" spans="1:43" s="541" customFormat="1" ht="78" customHeight="1" thickTop="1">
      <c r="A3" s="2391" t="s">
        <v>1003</v>
      </c>
      <c r="B3" s="2391"/>
      <c r="C3" s="2391"/>
      <c r="D3" s="2391"/>
      <c r="E3" s="1769"/>
      <c r="F3" s="549"/>
      <c r="G3" s="549"/>
      <c r="H3" s="549"/>
      <c r="I3" s="540"/>
      <c r="J3" s="2392" t="s">
        <v>1004</v>
      </c>
      <c r="K3" s="2393"/>
      <c r="L3" s="2393"/>
      <c r="M3" s="2393"/>
      <c r="N3" s="2393"/>
      <c r="O3" s="2398" t="s">
        <v>1005</v>
      </c>
      <c r="P3" s="2398"/>
      <c r="Q3" s="2398"/>
      <c r="R3" s="2398"/>
      <c r="S3" s="2398"/>
      <c r="T3" s="2398"/>
      <c r="U3" s="2398"/>
      <c r="V3" s="2398"/>
      <c r="W3" s="2398"/>
      <c r="X3" s="2399"/>
      <c r="Y3" s="550"/>
      <c r="Z3" s="550"/>
      <c r="AA3" s="550"/>
      <c r="AB3" s="551"/>
      <c r="AE3" s="547"/>
    </row>
    <row r="4" spans="1:43" s="541" customFormat="1" ht="6.75" customHeight="1">
      <c r="A4" s="1772"/>
      <c r="B4" s="1772"/>
      <c r="C4" s="1772"/>
      <c r="D4" s="1772"/>
      <c r="E4" s="1769"/>
      <c r="F4" s="549"/>
      <c r="G4" s="549"/>
      <c r="H4" s="549"/>
      <c r="I4" s="540"/>
      <c r="J4" s="2394"/>
      <c r="K4" s="2395"/>
      <c r="L4" s="2395"/>
      <c r="M4" s="2395"/>
      <c r="N4" s="2395"/>
      <c r="O4" s="2400"/>
      <c r="P4" s="2400"/>
      <c r="Q4" s="2400"/>
      <c r="R4" s="2400"/>
      <c r="S4" s="2400"/>
      <c r="T4" s="2400"/>
      <c r="U4" s="2400"/>
      <c r="V4" s="2400"/>
      <c r="W4" s="2400"/>
      <c r="X4" s="2401"/>
      <c r="Y4" s="550"/>
      <c r="Z4" s="550"/>
      <c r="AA4" s="550"/>
      <c r="AB4" s="551"/>
      <c r="AE4" s="547"/>
    </row>
    <row r="5" spans="1:43" ht="32.25" customHeight="1">
      <c r="A5" s="2404" t="s">
        <v>1001</v>
      </c>
      <c r="B5" s="2404"/>
      <c r="C5" s="2404"/>
      <c r="D5" s="2404"/>
      <c r="E5" s="948" t="s">
        <v>1006</v>
      </c>
      <c r="F5" s="947" t="s">
        <v>1007</v>
      </c>
      <c r="G5" s="2415" t="s">
        <v>1008</v>
      </c>
      <c r="H5" s="2415"/>
      <c r="I5" s="552" t="s">
        <v>1009</v>
      </c>
      <c r="J5" s="2394"/>
      <c r="K5" s="2395"/>
      <c r="L5" s="2395"/>
      <c r="M5" s="2395"/>
      <c r="N5" s="2395"/>
      <c r="O5" s="2400"/>
      <c r="P5" s="2400"/>
      <c r="Q5" s="2400"/>
      <c r="R5" s="2400"/>
      <c r="S5" s="2400"/>
      <c r="T5" s="2400"/>
      <c r="U5" s="2400"/>
      <c r="V5" s="2400"/>
      <c r="W5" s="2400"/>
      <c r="X5" s="2401"/>
      <c r="Y5" s="550"/>
      <c r="Z5" s="550"/>
      <c r="AA5" s="550"/>
      <c r="AB5" s="551"/>
      <c r="AC5" s="541"/>
      <c r="AD5" s="541"/>
      <c r="AE5" s="547"/>
      <c r="AF5" s="541"/>
      <c r="AG5" s="541"/>
      <c r="AH5" s="541"/>
      <c r="AI5" s="541"/>
      <c r="AJ5" s="541"/>
      <c r="AK5" s="541"/>
      <c r="AL5" s="541"/>
      <c r="AM5" s="541"/>
      <c r="AN5" s="541"/>
      <c r="AO5" s="541"/>
      <c r="AP5" s="541"/>
      <c r="AQ5" s="541"/>
    </row>
    <row r="6" spans="1:43" ht="7.5" customHeight="1" thickBot="1">
      <c r="F6" s="2405"/>
      <c r="G6" s="2405"/>
      <c r="H6" s="2405"/>
      <c r="J6" s="2394"/>
      <c r="K6" s="2395"/>
      <c r="L6" s="2395"/>
      <c r="M6" s="2395"/>
      <c r="N6" s="2395"/>
      <c r="O6" s="2400"/>
      <c r="P6" s="2400"/>
      <c r="Q6" s="2400"/>
      <c r="R6" s="2400"/>
      <c r="S6" s="2400"/>
      <c r="T6" s="2400"/>
      <c r="U6" s="2400"/>
      <c r="V6" s="2400"/>
      <c r="W6" s="2400"/>
      <c r="X6" s="2401"/>
      <c r="Y6" s="550"/>
      <c r="Z6" s="550"/>
      <c r="AA6" s="550"/>
      <c r="AB6" s="551"/>
      <c r="AC6" s="541"/>
      <c r="AD6" s="541"/>
      <c r="AE6" s="547"/>
      <c r="AF6" s="541"/>
      <c r="AG6" s="541"/>
      <c r="AH6" s="541"/>
      <c r="AI6" s="541"/>
      <c r="AJ6" s="541"/>
      <c r="AK6" s="541"/>
      <c r="AL6" s="541"/>
      <c r="AM6" s="541"/>
      <c r="AN6" s="541"/>
      <c r="AO6" s="541"/>
      <c r="AP6" s="541"/>
      <c r="AQ6" s="541"/>
    </row>
    <row r="7" spans="1:43" s="557" customFormat="1" ht="33.75" customHeight="1" thickBot="1">
      <c r="A7" s="2406" t="s">
        <v>1010</v>
      </c>
      <c r="B7" s="2407"/>
      <c r="C7" s="2407"/>
      <c r="D7" s="555" t="s">
        <v>1011</v>
      </c>
      <c r="E7" s="2408" t="s">
        <v>1012</v>
      </c>
      <c r="F7" s="2409"/>
      <c r="G7" s="2409"/>
      <c r="H7" s="2410"/>
      <c r="I7" s="556"/>
      <c r="J7" s="2394"/>
      <c r="K7" s="2395"/>
      <c r="L7" s="2395"/>
      <c r="M7" s="2395"/>
      <c r="N7" s="2395"/>
      <c r="O7" s="2400"/>
      <c r="P7" s="2400"/>
      <c r="Q7" s="2400"/>
      <c r="R7" s="2400"/>
      <c r="S7" s="2400"/>
      <c r="T7" s="2400"/>
      <c r="U7" s="2400"/>
      <c r="V7" s="2400"/>
      <c r="W7" s="2400"/>
      <c r="X7" s="2401"/>
      <c r="Y7" s="550"/>
      <c r="Z7" s="550"/>
      <c r="AA7" s="550"/>
      <c r="AB7" s="551"/>
      <c r="AC7" s="541"/>
      <c r="AD7" s="541"/>
      <c r="AE7" s="547"/>
      <c r="AF7" s="541"/>
      <c r="AG7" s="541"/>
      <c r="AH7" s="541"/>
      <c r="AI7" s="541"/>
      <c r="AJ7" s="541"/>
      <c r="AK7" s="541"/>
      <c r="AL7" s="541"/>
      <c r="AM7" s="541"/>
      <c r="AN7" s="541"/>
      <c r="AO7" s="541"/>
      <c r="AP7" s="541"/>
      <c r="AQ7" s="541"/>
    </row>
    <row r="8" spans="1:43" ht="33" customHeight="1">
      <c r="A8" s="2411" t="s">
        <v>1013</v>
      </c>
      <c r="B8" s="558">
        <v>1</v>
      </c>
      <c r="C8" s="559" t="s">
        <v>1014</v>
      </c>
      <c r="D8" s="560">
        <v>614560426</v>
      </c>
      <c r="E8" s="561" t="s">
        <v>1015</v>
      </c>
      <c r="F8" s="2368">
        <v>635000000</v>
      </c>
      <c r="G8" s="2369"/>
      <c r="H8" s="2370"/>
      <c r="I8" s="562"/>
      <c r="J8" s="2394"/>
      <c r="K8" s="2395"/>
      <c r="L8" s="2395"/>
      <c r="M8" s="2395"/>
      <c r="N8" s="2395"/>
      <c r="O8" s="2400"/>
      <c r="P8" s="2400"/>
      <c r="Q8" s="2400"/>
      <c r="R8" s="2400"/>
      <c r="S8" s="2400"/>
      <c r="T8" s="2400"/>
      <c r="U8" s="2400"/>
      <c r="V8" s="2400"/>
      <c r="W8" s="2400"/>
      <c r="X8" s="2401"/>
      <c r="Y8" s="550"/>
      <c r="Z8" s="550"/>
      <c r="AA8" s="550"/>
      <c r="AB8" s="551"/>
      <c r="AC8" s="541"/>
      <c r="AD8" s="541"/>
      <c r="AE8" s="547"/>
      <c r="AF8" s="541"/>
      <c r="AG8" s="541"/>
      <c r="AH8" s="541"/>
      <c r="AI8" s="541"/>
      <c r="AJ8" s="541"/>
      <c r="AK8" s="541"/>
      <c r="AL8" s="541"/>
      <c r="AM8" s="541"/>
    </row>
    <row r="9" spans="1:43" ht="33" customHeight="1">
      <c r="A9" s="2412"/>
      <c r="B9" s="563"/>
      <c r="C9" s="564" t="s">
        <v>1016</v>
      </c>
      <c r="D9" s="565"/>
      <c r="E9" s="566" t="s">
        <v>1017</v>
      </c>
      <c r="F9" s="2371">
        <v>20439574</v>
      </c>
      <c r="G9" s="2372"/>
      <c r="H9" s="2373"/>
      <c r="I9" s="562"/>
      <c r="J9" s="2394"/>
      <c r="K9" s="2395"/>
      <c r="L9" s="2395"/>
      <c r="M9" s="2395"/>
      <c r="N9" s="2395"/>
      <c r="O9" s="2400"/>
      <c r="P9" s="2400"/>
      <c r="Q9" s="2400"/>
      <c r="R9" s="2400"/>
      <c r="S9" s="2400"/>
      <c r="T9" s="2400"/>
      <c r="U9" s="2400"/>
      <c r="V9" s="2400"/>
      <c r="W9" s="2400"/>
      <c r="X9" s="2401"/>
      <c r="Y9" s="550"/>
      <c r="Z9" s="550"/>
      <c r="AA9" s="550"/>
      <c r="AB9" s="551"/>
      <c r="AC9" s="541"/>
      <c r="AD9" s="541"/>
      <c r="AE9" s="547"/>
      <c r="AF9" s="541"/>
      <c r="AG9" s="541"/>
      <c r="AH9" s="541"/>
      <c r="AI9" s="541"/>
      <c r="AJ9" s="541"/>
      <c r="AK9" s="541"/>
      <c r="AL9" s="541"/>
      <c r="AM9" s="541"/>
    </row>
    <row r="10" spans="1:43" ht="33" customHeight="1">
      <c r="A10" s="2412"/>
      <c r="B10" s="567">
        <v>2</v>
      </c>
      <c r="C10" s="568" t="s">
        <v>1018</v>
      </c>
      <c r="D10" s="569">
        <v>18496812</v>
      </c>
      <c r="E10" s="570" t="s">
        <v>1019</v>
      </c>
      <c r="F10" s="2374">
        <v>0.03</v>
      </c>
      <c r="G10" s="2375"/>
      <c r="H10" s="2376"/>
      <c r="I10" s="571"/>
      <c r="J10" s="2394"/>
      <c r="K10" s="2395"/>
      <c r="L10" s="2395"/>
      <c r="M10" s="2395"/>
      <c r="N10" s="2395"/>
      <c r="O10" s="2400"/>
      <c r="P10" s="2400"/>
      <c r="Q10" s="2400"/>
      <c r="R10" s="2400"/>
      <c r="S10" s="2400"/>
      <c r="T10" s="2400"/>
      <c r="U10" s="2400"/>
      <c r="V10" s="2400"/>
      <c r="W10" s="2400"/>
      <c r="X10" s="2401"/>
      <c r="Y10" s="550"/>
      <c r="Z10" s="550"/>
      <c r="AA10" s="550"/>
      <c r="AB10" s="572"/>
      <c r="AN10" s="557"/>
      <c r="AO10" s="557"/>
      <c r="AP10" s="557"/>
      <c r="AQ10" s="557"/>
    </row>
    <row r="11" spans="1:43" ht="33" customHeight="1" thickBot="1">
      <c r="A11" s="2412"/>
      <c r="B11" s="574">
        <v>3</v>
      </c>
      <c r="C11" s="575" t="s">
        <v>1020</v>
      </c>
      <c r="D11" s="576">
        <v>80000</v>
      </c>
      <c r="E11" s="577" t="s">
        <v>1021</v>
      </c>
      <c r="F11" s="2377"/>
      <c r="G11" s="2378"/>
      <c r="H11" s="2379"/>
      <c r="I11" s="578"/>
      <c r="J11" s="2396"/>
      <c r="K11" s="2397"/>
      <c r="L11" s="2397"/>
      <c r="M11" s="2397"/>
      <c r="N11" s="2397"/>
      <c r="O11" s="2402"/>
      <c r="P11" s="2402"/>
      <c r="Q11" s="2402"/>
      <c r="R11" s="2402"/>
      <c r="S11" s="2402"/>
      <c r="T11" s="2402"/>
      <c r="U11" s="2402"/>
      <c r="V11" s="2402"/>
      <c r="W11" s="2402"/>
      <c r="X11" s="2403"/>
      <c r="Y11" s="550"/>
      <c r="Z11" s="550"/>
      <c r="AA11" s="550"/>
      <c r="AB11" s="572"/>
    </row>
    <row r="12" spans="1:43" ht="33" customHeight="1" thickTop="1" thickBot="1">
      <c r="A12" s="2412"/>
      <c r="B12" s="574">
        <v>4</v>
      </c>
      <c r="C12" s="575" t="s">
        <v>1022</v>
      </c>
      <c r="D12" s="849">
        <v>100000</v>
      </c>
      <c r="E12" s="579" t="s">
        <v>1023</v>
      </c>
      <c r="F12" s="2380"/>
      <c r="G12" s="2381"/>
      <c r="H12" s="2382"/>
      <c r="I12" s="580"/>
      <c r="N12" s="582">
        <v>582605043.16274118</v>
      </c>
      <c r="O12" s="583">
        <v>414554956.83725876</v>
      </c>
      <c r="P12" s="584"/>
      <c r="Q12" s="584"/>
      <c r="R12" s="584"/>
      <c r="S12" s="584"/>
      <c r="T12" s="584"/>
      <c r="U12" s="584"/>
      <c r="V12" s="584"/>
      <c r="W12" s="584"/>
      <c r="X12" s="584"/>
      <c r="Y12" s="584"/>
      <c r="Z12" s="584"/>
      <c r="AA12" s="584"/>
      <c r="AC12" s="557"/>
      <c r="AD12" s="557"/>
      <c r="AE12" s="557"/>
      <c r="AF12" s="557"/>
      <c r="AG12" s="557"/>
      <c r="AH12" s="557"/>
      <c r="AI12" s="557"/>
      <c r="AJ12" s="557"/>
      <c r="AK12" s="557"/>
      <c r="AL12" s="557"/>
      <c r="AM12" s="557"/>
    </row>
    <row r="13" spans="1:43" ht="33" customHeight="1">
      <c r="A13" s="2412"/>
      <c r="B13" s="574">
        <v>5</v>
      </c>
      <c r="C13" s="575" t="s">
        <v>1024</v>
      </c>
      <c r="D13" s="586">
        <v>4670600</v>
      </c>
      <c r="E13" s="587" t="s">
        <v>1025</v>
      </c>
      <c r="F13" s="2383">
        <v>350000000</v>
      </c>
      <c r="G13" s="2384"/>
      <c r="H13" s="2385"/>
      <c r="I13" s="588"/>
      <c r="J13" s="2353" t="s">
        <v>1026</v>
      </c>
      <c r="K13" s="589">
        <v>32</v>
      </c>
      <c r="L13" s="590" t="s">
        <v>1027</v>
      </c>
      <c r="M13" s="591">
        <v>997160000</v>
      </c>
      <c r="N13" s="592" t="s">
        <v>1028</v>
      </c>
      <c r="O13" s="593">
        <v>1030324396.5469807</v>
      </c>
      <c r="P13" s="594"/>
      <c r="Q13" s="595" t="s">
        <v>1029</v>
      </c>
      <c r="R13" s="714"/>
      <c r="S13" s="714"/>
      <c r="T13" s="715"/>
      <c r="U13" s="716"/>
      <c r="V13" s="717"/>
      <c r="Y13" s="584"/>
      <c r="Z13" s="596"/>
      <c r="AA13" s="596"/>
      <c r="AB13" s="597"/>
      <c r="AE13" s="553"/>
    </row>
    <row r="14" spans="1:43" ht="33" customHeight="1">
      <c r="A14" s="2412"/>
      <c r="B14" s="574">
        <v>6</v>
      </c>
      <c r="C14" s="575" t="s">
        <v>1030</v>
      </c>
      <c r="D14" s="586">
        <v>6944500</v>
      </c>
      <c r="E14" s="598" t="s">
        <v>1031</v>
      </c>
      <c r="F14" s="2359">
        <f>F13/F8</f>
        <v>0.55118110236220474</v>
      </c>
      <c r="G14" s="2360"/>
      <c r="H14" s="2361"/>
      <c r="I14" s="599"/>
      <c r="J14" s="2281"/>
      <c r="K14" s="600"/>
      <c r="L14" s="601" t="s">
        <v>1016</v>
      </c>
      <c r="M14" s="602"/>
      <c r="N14" s="603" t="s">
        <v>1032</v>
      </c>
      <c r="O14" s="604">
        <v>33164396.546980701</v>
      </c>
      <c r="P14" s="605"/>
      <c r="Q14" s="2288" t="s">
        <v>1033</v>
      </c>
      <c r="R14" s="2289"/>
      <c r="S14" s="2289"/>
      <c r="T14" s="2289"/>
      <c r="U14" s="2289"/>
      <c r="V14" s="2292">
        <v>3.6461733170436115</v>
      </c>
      <c r="W14" s="2292"/>
      <c r="X14" s="2293"/>
      <c r="Y14" s="596"/>
      <c r="Z14" s="606"/>
      <c r="AA14" s="606"/>
      <c r="AB14" s="606"/>
      <c r="AE14" s="553"/>
    </row>
    <row r="15" spans="1:43" ht="33" customHeight="1" thickBot="1">
      <c r="A15" s="2412"/>
      <c r="B15" s="607">
        <v>7</v>
      </c>
      <c r="C15" s="608" t="s">
        <v>1034</v>
      </c>
      <c r="D15" s="609">
        <v>0</v>
      </c>
      <c r="E15" s="610" t="s">
        <v>1035</v>
      </c>
      <c r="F15" s="2362">
        <v>0</v>
      </c>
      <c r="G15" s="2363"/>
      <c r="H15" s="2364"/>
      <c r="I15" s="599"/>
      <c r="J15" s="2281"/>
      <c r="K15" s="611">
        <v>33</v>
      </c>
      <c r="L15" s="1480" t="s">
        <v>1036</v>
      </c>
      <c r="M15" s="613">
        <v>29974800</v>
      </c>
      <c r="N15" s="614" t="s">
        <v>1019</v>
      </c>
      <c r="O15" s="615">
        <v>0.03</v>
      </c>
      <c r="P15" s="616"/>
      <c r="Q15" s="2297" t="s">
        <v>1037</v>
      </c>
      <c r="R15" s="2298"/>
      <c r="S15" s="2298"/>
      <c r="T15" s="2298"/>
      <c r="U15" s="2298"/>
      <c r="V15" s="2299">
        <v>5.3544541695752566</v>
      </c>
      <c r="W15" s="2299"/>
      <c r="X15" s="2300"/>
      <c r="Y15" s="606"/>
      <c r="Z15" s="606"/>
      <c r="AA15" s="606"/>
      <c r="AB15" s="606"/>
      <c r="AE15" s="553"/>
    </row>
    <row r="16" spans="1:43" ht="33" customHeight="1" thickBot="1">
      <c r="A16" s="2412"/>
      <c r="B16" s="607">
        <v>8</v>
      </c>
      <c r="C16" s="575" t="s">
        <v>1038</v>
      </c>
      <c r="D16" s="576">
        <v>0</v>
      </c>
      <c r="E16" s="617" t="s">
        <v>1039</v>
      </c>
      <c r="F16" s="2365">
        <f>基本情報!E7+基本情報!E27</f>
        <v>4</v>
      </c>
      <c r="G16" s="2366"/>
      <c r="H16" s="2367"/>
      <c r="I16" s="599"/>
      <c r="J16" s="2281"/>
      <c r="K16" s="618">
        <v>34</v>
      </c>
      <c r="L16" s="619" t="s">
        <v>1040</v>
      </c>
      <c r="M16" s="613">
        <v>54794064</v>
      </c>
      <c r="N16" s="620"/>
      <c r="O16" s="621">
        <v>11319.280745289825</v>
      </c>
      <c r="P16" s="622"/>
      <c r="Q16" s="2304" t="s">
        <v>1041</v>
      </c>
      <c r="R16" s="2305"/>
      <c r="S16" s="2305"/>
      <c r="T16" s="2305"/>
      <c r="U16" s="2305"/>
      <c r="V16" s="2306">
        <v>3.1284167060234185</v>
      </c>
      <c r="W16" s="2306"/>
      <c r="X16" s="2307"/>
      <c r="Y16" s="606"/>
      <c r="Z16" s="623"/>
      <c r="AA16" s="606"/>
      <c r="AB16" s="606"/>
      <c r="AE16" s="553"/>
    </row>
    <row r="17" spans="1:31" ht="33" customHeight="1" thickBot="1">
      <c r="A17" s="2412"/>
      <c r="B17" s="624">
        <v>9</v>
      </c>
      <c r="C17" s="625" t="s">
        <v>1042</v>
      </c>
      <c r="D17" s="626">
        <v>0</v>
      </c>
      <c r="E17" s="1460" t="s">
        <v>1043</v>
      </c>
      <c r="F17" s="2413">
        <f>'収支計算表（リスク値・購入時)計画3'!C55</f>
        <v>0</v>
      </c>
      <c r="G17" s="2413"/>
      <c r="H17" s="2414"/>
      <c r="I17" s="599"/>
      <c r="J17" s="2281"/>
      <c r="K17" s="618">
        <v>35</v>
      </c>
      <c r="L17" s="612" t="s">
        <v>1044</v>
      </c>
      <c r="M17" s="613">
        <v>46517359.079999998</v>
      </c>
      <c r="N17" s="620" t="s">
        <v>1045</v>
      </c>
      <c r="O17" s="627">
        <v>34576115.375342466</v>
      </c>
      <c r="P17" s="628"/>
      <c r="Q17" s="851" t="s">
        <v>1046</v>
      </c>
      <c r="S17" s="629"/>
      <c r="T17" s="630"/>
      <c r="U17" s="630"/>
      <c r="V17" s="630"/>
      <c r="W17" s="623"/>
      <c r="X17" s="623"/>
      <c r="Y17" s="623"/>
      <c r="Z17" s="623"/>
      <c r="AA17" s="606"/>
      <c r="AB17" s="606"/>
      <c r="AE17" s="553"/>
    </row>
    <row r="18" spans="1:31" ht="33" customHeight="1" thickBot="1">
      <c r="A18" s="2270" t="s">
        <v>1047</v>
      </c>
      <c r="B18" s="2271"/>
      <c r="C18" s="2354"/>
      <c r="D18" s="631">
        <v>644852338</v>
      </c>
      <c r="E18" s="632" t="s">
        <v>1048</v>
      </c>
      <c r="F18" s="2355">
        <f>D62-F13-F17</f>
        <v>427623018</v>
      </c>
      <c r="G18" s="2356"/>
      <c r="H18" s="2357"/>
      <c r="I18" s="580"/>
      <c r="J18" s="2281"/>
      <c r="K18" s="618">
        <v>36</v>
      </c>
      <c r="L18" s="619" t="s">
        <v>1049</v>
      </c>
      <c r="M18" s="633">
        <v>5.3199999999999997E-2</v>
      </c>
      <c r="N18" s="634" t="s">
        <v>1050</v>
      </c>
      <c r="O18" s="852" t="s">
        <v>1051</v>
      </c>
      <c r="P18" s="635"/>
      <c r="Q18" s="2274">
        <v>159785340</v>
      </c>
      <c r="R18" s="2275"/>
      <c r="S18" s="2275"/>
      <c r="T18" s="2275"/>
      <c r="U18" s="2275"/>
      <c r="V18" s="2275"/>
      <c r="W18" s="2276"/>
      <c r="X18" s="850"/>
      <c r="Y18" s="623"/>
      <c r="Z18" s="636"/>
      <c r="AB18" s="553"/>
      <c r="AE18" s="553"/>
    </row>
    <row r="19" spans="1:31" ht="33" customHeight="1" thickTop="1" thickBot="1">
      <c r="E19" s="637">
        <v>359065751</v>
      </c>
      <c r="F19" s="2358">
        <v>255494675</v>
      </c>
      <c r="G19" s="2358"/>
      <c r="H19" s="2358"/>
      <c r="I19" s="638"/>
      <c r="J19" s="2281"/>
      <c r="K19" s="618">
        <v>37</v>
      </c>
      <c r="L19" s="612" t="s">
        <v>1052</v>
      </c>
      <c r="M19" s="639">
        <v>4.5100000000000001E-2</v>
      </c>
      <c r="N19" s="640" t="s">
        <v>1053</v>
      </c>
      <c r="O19" s="853">
        <v>8851056.2755192611</v>
      </c>
      <c r="P19" s="641"/>
      <c r="Q19" s="2277">
        <v>113695900</v>
      </c>
      <c r="R19" s="2278"/>
      <c r="S19" s="2278"/>
      <c r="T19" s="2278"/>
      <c r="U19" s="2278"/>
      <c r="V19" s="2278"/>
      <c r="W19" s="2279"/>
      <c r="X19" s="642"/>
      <c r="Y19" s="636"/>
      <c r="Z19" s="636"/>
      <c r="AB19" s="553"/>
      <c r="AE19" s="553"/>
    </row>
    <row r="20" spans="1:31" ht="33" customHeight="1">
      <c r="A20" s="2324" t="s">
        <v>1054</v>
      </c>
      <c r="B20" s="643">
        <v>10</v>
      </c>
      <c r="C20" s="644" t="s">
        <v>1055</v>
      </c>
      <c r="D20" s="848">
        <v>61300000</v>
      </c>
      <c r="E20" s="645" t="s">
        <v>1056</v>
      </c>
      <c r="F20" s="2326">
        <v>127434.87932145604</v>
      </c>
      <c r="G20" s="2327"/>
      <c r="H20" s="2328"/>
      <c r="I20" s="580"/>
      <c r="J20" s="2281"/>
      <c r="K20" s="646">
        <v>38</v>
      </c>
      <c r="L20" s="647" t="s">
        <v>1057</v>
      </c>
      <c r="M20" s="1353">
        <v>219536982</v>
      </c>
      <c r="N20" s="648" t="s">
        <v>1058</v>
      </c>
      <c r="O20" s="854" t="s">
        <v>1059</v>
      </c>
      <c r="P20" s="635"/>
      <c r="Q20" s="2240">
        <v>273481240</v>
      </c>
      <c r="R20" s="2241"/>
      <c r="S20" s="2241"/>
      <c r="T20" s="2241"/>
      <c r="U20" s="2241"/>
      <c r="V20" s="2241"/>
      <c r="W20" s="2242"/>
      <c r="X20" s="676"/>
      <c r="Y20" s="636"/>
      <c r="Z20" s="636"/>
      <c r="AB20" s="553"/>
      <c r="AE20" s="553"/>
    </row>
    <row r="21" spans="1:31" ht="33" customHeight="1" thickBot="1">
      <c r="A21" s="2325"/>
      <c r="B21" s="649"/>
      <c r="C21" s="859" t="s">
        <v>1060</v>
      </c>
      <c r="D21" s="650">
        <v>9.9746090712323224E-2</v>
      </c>
      <c r="E21" s="651" t="s">
        <v>1061</v>
      </c>
      <c r="F21" s="2329">
        <v>481.03</v>
      </c>
      <c r="G21" s="2330"/>
      <c r="H21" s="2331"/>
      <c r="I21" s="652"/>
      <c r="J21" s="2282"/>
      <c r="K21" s="653">
        <v>39</v>
      </c>
      <c r="L21" s="860" t="s">
        <v>1062</v>
      </c>
      <c r="M21" s="654">
        <v>0.2823</v>
      </c>
      <c r="N21" s="655" t="s">
        <v>1063</v>
      </c>
      <c r="O21" s="855">
        <v>2072968.4219279464</v>
      </c>
      <c r="P21" s="656"/>
      <c r="Q21" s="2246">
        <v>186230000</v>
      </c>
      <c r="R21" s="2247"/>
      <c r="S21" s="2247"/>
      <c r="T21" s="2247"/>
      <c r="U21" s="2247"/>
      <c r="V21" s="2247"/>
      <c r="W21" s="2248"/>
      <c r="X21" s="636"/>
      <c r="Y21" s="636"/>
      <c r="Z21" s="636"/>
      <c r="AB21" s="553"/>
      <c r="AE21" s="553"/>
    </row>
    <row r="22" spans="1:31" ht="33" customHeight="1" thickBot="1">
      <c r="A22" s="2325"/>
      <c r="B22" s="657"/>
      <c r="C22" s="658"/>
      <c r="D22" s="659"/>
      <c r="E22" s="660"/>
      <c r="F22" s="661"/>
      <c r="G22" s="662"/>
      <c r="H22" s="663"/>
      <c r="I22" s="652"/>
      <c r="J22" s="664"/>
      <c r="K22" s="665"/>
      <c r="N22" s="582">
        <v>487293999.10648352</v>
      </c>
      <c r="O22" s="583">
        <v>346736000.89351648</v>
      </c>
      <c r="P22" s="666"/>
      <c r="Q22" s="667"/>
      <c r="R22" s="623"/>
      <c r="S22" s="623"/>
      <c r="T22" s="668"/>
      <c r="U22" s="668"/>
      <c r="V22" s="668"/>
      <c r="W22" s="636"/>
      <c r="X22" s="636"/>
      <c r="Y22" s="636"/>
      <c r="Z22" s="636"/>
      <c r="AB22" s="553"/>
      <c r="AE22" s="553"/>
    </row>
    <row r="23" spans="1:31" ht="33" customHeight="1">
      <c r="A23" s="2325"/>
      <c r="B23" s="669"/>
      <c r="C23" s="670"/>
      <c r="D23" s="671"/>
      <c r="E23" s="672"/>
      <c r="F23" s="673"/>
      <c r="G23" s="674"/>
      <c r="H23" s="675"/>
      <c r="I23" s="652"/>
      <c r="J23" s="2353" t="s">
        <v>1064</v>
      </c>
      <c r="K23" s="589">
        <v>40</v>
      </c>
      <c r="L23" s="590" t="s">
        <v>1027</v>
      </c>
      <c r="M23" s="591">
        <v>834030000</v>
      </c>
      <c r="N23" s="592" t="s">
        <v>1028</v>
      </c>
      <c r="O23" s="593">
        <v>861768880.07148135</v>
      </c>
      <c r="P23" s="594"/>
      <c r="Q23" s="595" t="s">
        <v>1029</v>
      </c>
      <c r="R23" s="714"/>
      <c r="S23" s="714"/>
      <c r="T23" s="715"/>
      <c r="U23" s="716"/>
      <c r="V23" s="717"/>
      <c r="Y23" s="636"/>
      <c r="AB23" s="553"/>
      <c r="AE23" s="553"/>
    </row>
    <row r="24" spans="1:31" ht="33" customHeight="1">
      <c r="A24" s="2325"/>
      <c r="B24" s="669"/>
      <c r="C24" s="670"/>
      <c r="D24" s="671"/>
      <c r="E24" s="672"/>
      <c r="F24" s="673"/>
      <c r="G24" s="674"/>
      <c r="H24" s="675"/>
      <c r="I24" s="652"/>
      <c r="J24" s="2281"/>
      <c r="K24" s="600"/>
      <c r="L24" s="601" t="s">
        <v>1016</v>
      </c>
      <c r="M24" s="602"/>
      <c r="N24" s="603" t="s">
        <v>1032</v>
      </c>
      <c r="O24" s="604">
        <v>27738880.071481317</v>
      </c>
      <c r="P24" s="605"/>
      <c r="Q24" s="2288" t="s">
        <v>1033</v>
      </c>
      <c r="R24" s="2289"/>
      <c r="S24" s="2289"/>
      <c r="T24" s="2289"/>
      <c r="U24" s="2289"/>
      <c r="V24" s="2292">
        <v>3.0496790200307706</v>
      </c>
      <c r="W24" s="2292"/>
      <c r="X24" s="2293"/>
      <c r="AB24" s="553"/>
      <c r="AE24" s="553"/>
    </row>
    <row r="25" spans="1:31" ht="33" customHeight="1">
      <c r="A25" s="2325"/>
      <c r="B25" s="669"/>
      <c r="C25" s="670"/>
      <c r="D25" s="671"/>
      <c r="E25" s="672"/>
      <c r="F25" s="673"/>
      <c r="G25" s="674"/>
      <c r="H25" s="675"/>
      <c r="I25" s="652"/>
      <c r="J25" s="2281"/>
      <c r="K25" s="646">
        <v>41</v>
      </c>
      <c r="L25" s="1480" t="s">
        <v>1065</v>
      </c>
      <c r="M25" s="613">
        <v>25080900</v>
      </c>
      <c r="N25" s="614" t="s">
        <v>1019</v>
      </c>
      <c r="O25" s="615">
        <v>0.03</v>
      </c>
      <c r="P25" s="616"/>
      <c r="Q25" s="2297" t="s">
        <v>1037</v>
      </c>
      <c r="R25" s="2298"/>
      <c r="S25" s="2298"/>
      <c r="T25" s="2298"/>
      <c r="U25" s="2298"/>
      <c r="V25" s="2299">
        <v>4.4784943349621438</v>
      </c>
      <c r="W25" s="2299"/>
      <c r="X25" s="2300"/>
      <c r="AB25" s="553"/>
      <c r="AE25" s="553"/>
    </row>
    <row r="26" spans="1:31" ht="33" customHeight="1">
      <c r="A26" s="2325"/>
      <c r="B26" s="669"/>
      <c r="C26" s="670"/>
      <c r="D26" s="671"/>
      <c r="E26" s="672"/>
      <c r="F26" s="673"/>
      <c r="G26" s="674"/>
      <c r="H26" s="675"/>
      <c r="I26" s="652"/>
      <c r="J26" s="2281"/>
      <c r="K26" s="611">
        <v>42</v>
      </c>
      <c r="L26" s="619" t="s">
        <v>1040</v>
      </c>
      <c r="M26" s="613">
        <v>49968744.200000003</v>
      </c>
      <c r="N26" s="620"/>
      <c r="O26" s="621">
        <v>10303.08735933521</v>
      </c>
      <c r="P26" s="622"/>
      <c r="Q26" s="2304" t="s">
        <v>1041</v>
      </c>
      <c r="R26" s="2305"/>
      <c r="S26" s="2305"/>
      <c r="T26" s="2305"/>
      <c r="U26" s="2305"/>
      <c r="V26" s="2306">
        <v>2.6166245991864012</v>
      </c>
      <c r="W26" s="2306"/>
      <c r="X26" s="2307"/>
      <c r="AB26" s="553"/>
      <c r="AE26" s="553"/>
    </row>
    <row r="27" spans="1:31" ht="33" customHeight="1" thickBot="1">
      <c r="A27" s="2325"/>
      <c r="B27" s="669"/>
      <c r="C27" s="670"/>
      <c r="D27" s="671"/>
      <c r="E27" s="672"/>
      <c r="F27" s="673"/>
      <c r="G27" s="674"/>
      <c r="H27" s="675"/>
      <c r="I27" s="652"/>
      <c r="J27" s="2281"/>
      <c r="K27" s="618">
        <v>43</v>
      </c>
      <c r="L27" s="612" t="s">
        <v>1044</v>
      </c>
      <c r="M27" s="613">
        <v>41836798.874000005</v>
      </c>
      <c r="N27" s="620" t="s">
        <v>1045</v>
      </c>
      <c r="O27" s="627">
        <v>34576115.375342466</v>
      </c>
      <c r="P27" s="628"/>
      <c r="Q27" s="851" t="s">
        <v>1046</v>
      </c>
      <c r="S27" s="629"/>
      <c r="T27" s="630"/>
      <c r="U27" s="630"/>
      <c r="V27" s="630"/>
      <c r="W27" s="623"/>
      <c r="X27" s="623"/>
      <c r="Z27" s="636"/>
      <c r="AB27" s="553"/>
      <c r="AE27" s="553"/>
    </row>
    <row r="28" spans="1:31" ht="33" customHeight="1" thickBot="1">
      <c r="A28" s="2325"/>
      <c r="B28" s="669"/>
      <c r="C28" s="670"/>
      <c r="D28" s="671"/>
      <c r="E28" s="672"/>
      <c r="F28" s="673"/>
      <c r="G28" s="674"/>
      <c r="H28" s="675"/>
      <c r="I28" s="652"/>
      <c r="J28" s="2281"/>
      <c r="K28" s="618">
        <v>44</v>
      </c>
      <c r="L28" s="619" t="s">
        <v>1049</v>
      </c>
      <c r="M28" s="633">
        <v>5.8000000000000003E-2</v>
      </c>
      <c r="N28" s="634" t="s">
        <v>1066</v>
      </c>
      <c r="O28" s="852" t="s">
        <v>1051</v>
      </c>
      <c r="P28" s="635"/>
      <c r="Q28" s="2274">
        <v>159785340</v>
      </c>
      <c r="R28" s="2275"/>
      <c r="S28" s="2275"/>
      <c r="T28" s="2275"/>
      <c r="U28" s="2275"/>
      <c r="V28" s="2275"/>
      <c r="W28" s="2276"/>
      <c r="X28" s="850"/>
      <c r="Y28" s="636"/>
      <c r="Z28" s="636"/>
      <c r="AB28" s="553"/>
      <c r="AE28" s="553"/>
    </row>
    <row r="29" spans="1:31" ht="33" customHeight="1" thickTop="1" thickBot="1">
      <c r="A29" s="2325"/>
      <c r="B29" s="669"/>
      <c r="C29" s="670"/>
      <c r="D29" s="671"/>
      <c r="E29" s="672"/>
      <c r="F29" s="673"/>
      <c r="G29" s="674"/>
      <c r="H29" s="675"/>
      <c r="I29" s="652"/>
      <c r="J29" s="2281"/>
      <c r="K29" s="618">
        <v>45</v>
      </c>
      <c r="L29" s="612" t="s">
        <v>1052</v>
      </c>
      <c r="M29" s="639">
        <v>4.8500000000000001E-2</v>
      </c>
      <c r="N29" s="640" t="s">
        <v>1067</v>
      </c>
      <c r="O29" s="853">
        <v>7649288.8342932835</v>
      </c>
      <c r="P29" s="641"/>
      <c r="Q29" s="2277">
        <v>113695900</v>
      </c>
      <c r="R29" s="2278"/>
      <c r="S29" s="2278"/>
      <c r="T29" s="2278"/>
      <c r="U29" s="2278"/>
      <c r="V29" s="2278"/>
      <c r="W29" s="2279"/>
      <c r="X29" s="642"/>
      <c r="Y29" s="636"/>
      <c r="Z29" s="636"/>
      <c r="AB29" s="553"/>
      <c r="AE29" s="553"/>
    </row>
    <row r="30" spans="1:31" ht="33" customHeight="1" thickTop="1">
      <c r="A30" s="2325"/>
      <c r="B30" s="669"/>
      <c r="C30" s="670"/>
      <c r="D30" s="671"/>
      <c r="E30" s="672"/>
      <c r="F30" s="673"/>
      <c r="G30" s="674"/>
      <c r="H30" s="675"/>
      <c r="I30" s="652"/>
      <c r="J30" s="2281"/>
      <c r="K30" s="646">
        <v>46</v>
      </c>
      <c r="L30" s="647" t="s">
        <v>1057</v>
      </c>
      <c r="M30" s="1353">
        <v>88946602</v>
      </c>
      <c r="N30" s="648" t="s">
        <v>1068</v>
      </c>
      <c r="O30" s="854" t="s">
        <v>1059</v>
      </c>
      <c r="P30" s="635"/>
      <c r="Q30" s="2240">
        <v>273481240</v>
      </c>
      <c r="R30" s="2241"/>
      <c r="S30" s="2241"/>
      <c r="T30" s="2241"/>
      <c r="U30" s="2241"/>
      <c r="V30" s="2241"/>
      <c r="W30" s="2242"/>
      <c r="X30" s="676"/>
      <c r="Y30" s="636"/>
      <c r="AB30" s="553"/>
      <c r="AE30" s="553"/>
    </row>
    <row r="31" spans="1:31" ht="33" customHeight="1" thickBot="1">
      <c r="A31" s="2325"/>
      <c r="B31" s="677"/>
      <c r="C31" s="678"/>
      <c r="D31" s="679"/>
      <c r="E31" s="680"/>
      <c r="F31" s="681"/>
      <c r="G31" s="682"/>
      <c r="H31" s="683"/>
      <c r="I31" s="652"/>
      <c r="J31" s="2282"/>
      <c r="K31" s="653">
        <v>47</v>
      </c>
      <c r="L31" s="860" t="s">
        <v>1062</v>
      </c>
      <c r="M31" s="654">
        <v>0.11940000000000001</v>
      </c>
      <c r="N31" s="655" t="s">
        <v>1069</v>
      </c>
      <c r="O31" s="855">
        <v>1791507.5568498459</v>
      </c>
      <c r="P31" s="656"/>
      <c r="Q31" s="2246">
        <v>186230000</v>
      </c>
      <c r="R31" s="2247"/>
      <c r="S31" s="2247"/>
      <c r="T31" s="2247"/>
      <c r="U31" s="2247"/>
      <c r="V31" s="2247"/>
      <c r="W31" s="2248"/>
      <c r="X31" s="636"/>
      <c r="AB31" s="553"/>
      <c r="AE31" s="553"/>
    </row>
    <row r="32" spans="1:31" ht="33" customHeight="1" thickBot="1">
      <c r="A32" s="2325"/>
      <c r="B32" s="687"/>
      <c r="C32" s="688"/>
      <c r="D32" s="689" t="s">
        <v>1070</v>
      </c>
      <c r="E32" s="689" t="s">
        <v>1071</v>
      </c>
      <c r="F32" s="2345" t="s">
        <v>1072</v>
      </c>
      <c r="G32" s="2346"/>
      <c r="H32" s="2347"/>
      <c r="J32" s="690"/>
      <c r="K32" s="665"/>
      <c r="L32" s="691"/>
      <c r="M32" s="692"/>
      <c r="N32" s="582">
        <v>445793461.91433555</v>
      </c>
      <c r="O32" s="583">
        <v>317206127.08566445</v>
      </c>
      <c r="P32" s="693"/>
      <c r="Q32" s="694"/>
      <c r="R32" s="606"/>
      <c r="S32" s="606"/>
      <c r="T32" s="695"/>
      <c r="U32" s="695"/>
      <c r="V32" s="695"/>
      <c r="AB32" s="553"/>
      <c r="AE32" s="553"/>
    </row>
    <row r="33" spans="1:31" ht="33" customHeight="1">
      <c r="A33" s="2325"/>
      <c r="B33" s="696">
        <v>11</v>
      </c>
      <c r="C33" s="697" t="s">
        <v>1073</v>
      </c>
      <c r="D33" s="698">
        <v>10000000</v>
      </c>
      <c r="E33" s="698">
        <v>10000000</v>
      </c>
      <c r="F33" s="2348">
        <v>10000000</v>
      </c>
      <c r="G33" s="2349"/>
      <c r="H33" s="2350"/>
      <c r="J33" s="2280" t="s">
        <v>1074</v>
      </c>
      <c r="K33" s="589">
        <v>48</v>
      </c>
      <c r="L33" s="590" t="s">
        <v>1027</v>
      </c>
      <c r="M33" s="591">
        <v>762999589</v>
      </c>
      <c r="N33" s="592" t="s">
        <v>1028</v>
      </c>
      <c r="O33" s="593">
        <v>788376079.16685319</v>
      </c>
      <c r="P33" s="594"/>
      <c r="Q33" s="595" t="s">
        <v>1029</v>
      </c>
      <c r="R33" s="714"/>
      <c r="S33" s="714"/>
      <c r="T33" s="715"/>
      <c r="U33" s="716"/>
      <c r="V33" s="717"/>
      <c r="AB33" s="553"/>
      <c r="AE33" s="553"/>
    </row>
    <row r="34" spans="1:31" ht="33" customHeight="1">
      <c r="A34" s="2325"/>
      <c r="B34" s="696">
        <v>12</v>
      </c>
      <c r="C34" s="697" t="s">
        <v>1075</v>
      </c>
      <c r="D34" s="698">
        <v>10000000</v>
      </c>
      <c r="E34" s="698">
        <v>0</v>
      </c>
      <c r="F34" s="2348">
        <v>10000000</v>
      </c>
      <c r="G34" s="2349"/>
      <c r="H34" s="2350"/>
      <c r="J34" s="2351"/>
      <c r="K34" s="600"/>
      <c r="L34" s="601" t="s">
        <v>1016</v>
      </c>
      <c r="M34" s="602"/>
      <c r="N34" s="603" t="s">
        <v>1032</v>
      </c>
      <c r="O34" s="604">
        <v>25376490.166853156</v>
      </c>
      <c r="P34" s="605"/>
      <c r="Q34" s="2288" t="s">
        <v>1033</v>
      </c>
      <c r="R34" s="2289"/>
      <c r="S34" s="2289"/>
      <c r="T34" s="2289"/>
      <c r="U34" s="2289"/>
      <c r="V34" s="2292">
        <v>2.7899522065937687</v>
      </c>
      <c r="W34" s="2292"/>
      <c r="X34" s="2293"/>
      <c r="AB34" s="553"/>
      <c r="AE34" s="553"/>
    </row>
    <row r="35" spans="1:31" ht="33" customHeight="1">
      <c r="A35" s="2325"/>
      <c r="B35" s="696">
        <v>13</v>
      </c>
      <c r="C35" s="697" t="s">
        <v>1076</v>
      </c>
      <c r="D35" s="698">
        <v>15500000</v>
      </c>
      <c r="E35" s="698">
        <v>0</v>
      </c>
      <c r="F35" s="2348">
        <v>15500000</v>
      </c>
      <c r="G35" s="2349"/>
      <c r="H35" s="2350"/>
      <c r="J35" s="2351"/>
      <c r="K35" s="611">
        <v>49</v>
      </c>
      <c r="L35" s="1480" t="s">
        <v>1077</v>
      </c>
      <c r="M35" s="613">
        <v>22949988</v>
      </c>
      <c r="N35" s="614" t="s">
        <v>1019</v>
      </c>
      <c r="O35" s="615">
        <v>0.03</v>
      </c>
      <c r="P35" s="616"/>
      <c r="Q35" s="2297" t="s">
        <v>1037</v>
      </c>
      <c r="R35" s="2298"/>
      <c r="S35" s="2298"/>
      <c r="T35" s="2298"/>
      <c r="U35" s="2298"/>
      <c r="V35" s="2299">
        <v>4.097082043709392</v>
      </c>
      <c r="W35" s="2299"/>
      <c r="X35" s="2300"/>
      <c r="AB35" s="553"/>
      <c r="AE35" s="553"/>
    </row>
    <row r="36" spans="1:31" ht="33" customHeight="1">
      <c r="A36" s="2325"/>
      <c r="B36" s="699">
        <v>14</v>
      </c>
      <c r="C36" s="700" t="s">
        <v>1078</v>
      </c>
      <c r="D36" s="701">
        <v>0</v>
      </c>
      <c r="E36" s="701">
        <v>0</v>
      </c>
      <c r="F36" s="2339">
        <v>0</v>
      </c>
      <c r="G36" s="2340"/>
      <c r="H36" s="2341"/>
      <c r="I36" s="606"/>
      <c r="J36" s="2351"/>
      <c r="K36" s="618">
        <v>50</v>
      </c>
      <c r="L36" s="619" t="s">
        <v>1040</v>
      </c>
      <c r="M36" s="613">
        <v>46398096</v>
      </c>
      <c r="N36" s="620"/>
      <c r="O36" s="621">
        <v>9552.4313185202664</v>
      </c>
      <c r="P36" s="622"/>
      <c r="Q36" s="2304" t="s">
        <v>1041</v>
      </c>
      <c r="R36" s="2305"/>
      <c r="S36" s="2305"/>
      <c r="T36" s="2305"/>
      <c r="U36" s="2305"/>
      <c r="V36" s="2306">
        <v>2.3937789932574534</v>
      </c>
      <c r="W36" s="2306"/>
      <c r="X36" s="2307"/>
      <c r="AB36" s="553"/>
      <c r="AE36" s="553"/>
    </row>
    <row r="37" spans="1:31" ht="33" customHeight="1" thickBot="1">
      <c r="A37" s="2325"/>
      <c r="B37" s="702">
        <v>15</v>
      </c>
      <c r="C37" s="703" t="s">
        <v>1079</v>
      </c>
      <c r="D37" s="846">
        <v>0</v>
      </c>
      <c r="E37" s="2342"/>
      <c r="F37" s="2343"/>
      <c r="G37" s="2343"/>
      <c r="H37" s="2344"/>
      <c r="I37" s="606"/>
      <c r="J37" s="2351"/>
      <c r="K37" s="618">
        <v>51</v>
      </c>
      <c r="L37" s="612" t="s">
        <v>1044</v>
      </c>
      <c r="M37" s="613">
        <v>38373270.119999997</v>
      </c>
      <c r="N37" s="620" t="s">
        <v>1045</v>
      </c>
      <c r="O37" s="627">
        <v>34576115.375342466</v>
      </c>
      <c r="P37" s="628"/>
      <c r="Q37" s="851" t="s">
        <v>1046</v>
      </c>
      <c r="S37" s="629"/>
      <c r="T37" s="630"/>
      <c r="U37" s="630"/>
      <c r="V37" s="630"/>
      <c r="W37" s="623"/>
      <c r="X37" s="623"/>
      <c r="AB37" s="553"/>
      <c r="AE37" s="553"/>
    </row>
    <row r="38" spans="1:31" ht="33" customHeight="1" thickBot="1">
      <c r="A38" s="2325"/>
      <c r="B38" s="607">
        <v>16</v>
      </c>
      <c r="C38" s="704" t="s">
        <v>1080</v>
      </c>
      <c r="D38" s="576">
        <v>0</v>
      </c>
      <c r="E38" s="2332"/>
      <c r="F38" s="2262"/>
      <c r="G38" s="2262"/>
      <c r="H38" s="2263"/>
      <c r="I38" s="606"/>
      <c r="J38" s="2351"/>
      <c r="K38" s="618">
        <v>52</v>
      </c>
      <c r="L38" s="619" t="s">
        <v>1049</v>
      </c>
      <c r="M38" s="633">
        <v>5.8900000000000001E-2</v>
      </c>
      <c r="N38" s="634" t="s">
        <v>1081</v>
      </c>
      <c r="O38" s="852" t="s">
        <v>1051</v>
      </c>
      <c r="P38" s="635"/>
      <c r="Q38" s="2274">
        <v>159785340</v>
      </c>
      <c r="R38" s="2275"/>
      <c r="S38" s="2275"/>
      <c r="T38" s="2275"/>
      <c r="U38" s="2275"/>
      <c r="V38" s="2275"/>
      <c r="W38" s="2276"/>
      <c r="X38" s="850"/>
      <c r="AB38" s="553"/>
      <c r="AE38" s="553"/>
    </row>
    <row r="39" spans="1:31" ht="33" customHeight="1" thickTop="1" thickBot="1">
      <c r="A39" s="2325"/>
      <c r="B39" s="607">
        <v>17</v>
      </c>
      <c r="C39" s="704" t="s">
        <v>1082</v>
      </c>
      <c r="D39" s="576">
        <v>0</v>
      </c>
      <c r="E39" s="2332"/>
      <c r="F39" s="2262"/>
      <c r="G39" s="2262"/>
      <c r="H39" s="2263"/>
      <c r="I39" s="606"/>
      <c r="J39" s="2351"/>
      <c r="K39" s="618">
        <v>53</v>
      </c>
      <c r="L39" s="612" t="s">
        <v>1052</v>
      </c>
      <c r="M39" s="639">
        <v>4.87E-2</v>
      </c>
      <c r="N39" s="640" t="s">
        <v>1083</v>
      </c>
      <c r="O39" s="853">
        <v>6997834.8940782286</v>
      </c>
      <c r="P39" s="641"/>
      <c r="Q39" s="2277">
        <v>113695900</v>
      </c>
      <c r="R39" s="2278"/>
      <c r="S39" s="2278"/>
      <c r="T39" s="2278"/>
      <c r="U39" s="2278"/>
      <c r="V39" s="2278"/>
      <c r="W39" s="2279"/>
      <c r="X39" s="642"/>
      <c r="AB39" s="553"/>
      <c r="AE39" s="553"/>
    </row>
    <row r="40" spans="1:31" ht="33" customHeight="1" thickTop="1">
      <c r="A40" s="2325"/>
      <c r="B40" s="607">
        <v>18</v>
      </c>
      <c r="C40" s="704" t="s">
        <v>1084</v>
      </c>
      <c r="D40" s="576">
        <v>0</v>
      </c>
      <c r="E40" s="2333"/>
      <c r="F40" s="2334"/>
      <c r="G40" s="2334"/>
      <c r="H40" s="2335"/>
      <c r="I40" s="606"/>
      <c r="J40" s="2351"/>
      <c r="K40" s="646">
        <v>54</v>
      </c>
      <c r="L40" s="647" t="s">
        <v>1057</v>
      </c>
      <c r="M40" s="1353">
        <v>29904783</v>
      </c>
      <c r="N40" s="648" t="s">
        <v>1085</v>
      </c>
      <c r="O40" s="854" t="s">
        <v>1059</v>
      </c>
      <c r="P40" s="635"/>
      <c r="Q40" s="2240">
        <v>273481240</v>
      </c>
      <c r="R40" s="2241"/>
      <c r="S40" s="2241"/>
      <c r="T40" s="2241"/>
      <c r="U40" s="2241"/>
      <c r="V40" s="2241"/>
      <c r="W40" s="2242"/>
      <c r="X40" s="676"/>
      <c r="Y40" s="636"/>
      <c r="AB40" s="553"/>
      <c r="AE40" s="553"/>
    </row>
    <row r="41" spans="1:31" ht="33" customHeight="1" thickBot="1">
      <c r="A41" s="2325"/>
      <c r="B41" s="705">
        <v>19</v>
      </c>
      <c r="C41" s="706" t="s">
        <v>1086</v>
      </c>
      <c r="D41" s="847">
        <v>1000000</v>
      </c>
      <c r="E41" s="2336">
        <v>72300000</v>
      </c>
      <c r="F41" s="2337"/>
      <c r="G41" s="2337"/>
      <c r="H41" s="2338"/>
      <c r="I41" s="1780" t="s">
        <v>1087</v>
      </c>
      <c r="J41" s="2352"/>
      <c r="K41" s="653">
        <v>55</v>
      </c>
      <c r="L41" s="860" t="s">
        <v>1062</v>
      </c>
      <c r="M41" s="654">
        <v>4.0800000000000003E-2</v>
      </c>
      <c r="N41" s="655" t="s">
        <v>1088</v>
      </c>
      <c r="O41" s="855">
        <v>1638933.2872520492</v>
      </c>
      <c r="P41" s="656"/>
      <c r="Q41" s="2246">
        <v>186230000</v>
      </c>
      <c r="R41" s="2247"/>
      <c r="S41" s="2247"/>
      <c r="T41" s="2247"/>
      <c r="U41" s="2247"/>
      <c r="V41" s="2247"/>
      <c r="W41" s="2248"/>
      <c r="X41" s="636"/>
      <c r="AB41" s="553"/>
      <c r="AE41" s="553"/>
    </row>
    <row r="42" spans="1:31" ht="33" customHeight="1" thickBot="1">
      <c r="A42" s="2270" t="s">
        <v>1089</v>
      </c>
      <c r="B42" s="2271"/>
      <c r="C42" s="2271"/>
      <c r="D42" s="631">
        <v>97800000</v>
      </c>
      <c r="E42" s="2272">
        <v>97800000</v>
      </c>
      <c r="F42" s="2272"/>
      <c r="G42" s="2272"/>
      <c r="H42" s="2273"/>
      <c r="I42" s="1781" t="s">
        <v>1090</v>
      </c>
      <c r="J42" s="708"/>
      <c r="K42" s="709"/>
      <c r="L42" s="691"/>
      <c r="M42" s="692"/>
      <c r="N42" s="582">
        <v>600623755.83787751</v>
      </c>
      <c r="O42" s="583">
        <v>427376244.16212243</v>
      </c>
      <c r="P42" s="693"/>
      <c r="Q42" s="694"/>
      <c r="R42" s="606"/>
      <c r="S42" s="606"/>
      <c r="T42" s="695"/>
      <c r="U42" s="695"/>
      <c r="V42" s="695"/>
      <c r="AB42" s="553"/>
      <c r="AE42" s="553"/>
    </row>
    <row r="43" spans="1:31" ht="33" customHeight="1" thickBot="1">
      <c r="A43" s="710"/>
      <c r="B43" s="711"/>
      <c r="C43" s="710"/>
      <c r="D43" s="712"/>
      <c r="E43" s="572"/>
      <c r="F43" s="712"/>
      <c r="G43" s="713"/>
      <c r="H43" s="713"/>
      <c r="I43" s="606"/>
      <c r="J43" s="2280" t="s">
        <v>1091</v>
      </c>
      <c r="K43" s="589">
        <v>56</v>
      </c>
      <c r="L43" s="590" t="s">
        <v>1027</v>
      </c>
      <c r="M43" s="591">
        <v>1028000000</v>
      </c>
      <c r="N43" s="592" t="s">
        <v>1028</v>
      </c>
      <c r="O43" s="593">
        <v>1062190099.5329698</v>
      </c>
      <c r="P43" s="594"/>
      <c r="Q43" s="595" t="s">
        <v>1029</v>
      </c>
      <c r="R43" s="714"/>
      <c r="S43" s="714"/>
      <c r="T43" s="715"/>
      <c r="U43" s="716"/>
      <c r="V43" s="717"/>
      <c r="AB43" s="553"/>
      <c r="AE43" s="553"/>
    </row>
    <row r="44" spans="1:31" ht="33" customHeight="1">
      <c r="A44" s="2283" t="s">
        <v>1092</v>
      </c>
      <c r="B44" s="718">
        <v>20</v>
      </c>
      <c r="C44" s="719" t="s">
        <v>1093</v>
      </c>
      <c r="D44" s="720">
        <v>3995880</v>
      </c>
      <c r="E44" s="721" t="s">
        <v>1094</v>
      </c>
      <c r="F44" s="2286">
        <v>2</v>
      </c>
      <c r="G44" s="2286"/>
      <c r="H44" s="2287"/>
      <c r="I44" s="606"/>
      <c r="J44" s="2281"/>
      <c r="K44" s="600"/>
      <c r="L44" s="601" t="s">
        <v>1016</v>
      </c>
      <c r="M44" s="602"/>
      <c r="N44" s="603" t="s">
        <v>1032</v>
      </c>
      <c r="O44" s="604">
        <v>34190099.532969795</v>
      </c>
      <c r="P44" s="605"/>
      <c r="Q44" s="2288" t="s">
        <v>1033</v>
      </c>
      <c r="R44" s="2289"/>
      <c r="S44" s="2289"/>
      <c r="T44" s="2289"/>
      <c r="U44" s="2289"/>
      <c r="V44" s="2292">
        <v>3.7589415639624861</v>
      </c>
      <c r="W44" s="2292"/>
      <c r="X44" s="2293"/>
      <c r="AB44" s="553"/>
      <c r="AE44" s="553"/>
    </row>
    <row r="45" spans="1:31" ht="33" customHeight="1">
      <c r="A45" s="2284"/>
      <c r="B45" s="574">
        <v>21</v>
      </c>
      <c r="C45" s="722" t="s">
        <v>1095</v>
      </c>
      <c r="D45" s="723">
        <v>500000</v>
      </c>
      <c r="E45" s="724"/>
      <c r="F45" s="2294"/>
      <c r="G45" s="2295"/>
      <c r="H45" s="2296"/>
      <c r="I45" s="606"/>
      <c r="J45" s="2281"/>
      <c r="K45" s="611">
        <v>57</v>
      </c>
      <c r="L45" s="1480" t="s">
        <v>1096</v>
      </c>
      <c r="M45" s="613">
        <v>30900000</v>
      </c>
      <c r="N45" s="614" t="s">
        <v>1019</v>
      </c>
      <c r="O45" s="615">
        <v>0.03</v>
      </c>
      <c r="P45" s="616"/>
      <c r="Q45" s="2297" t="s">
        <v>1037</v>
      </c>
      <c r="R45" s="2298"/>
      <c r="S45" s="2298"/>
      <c r="T45" s="2298"/>
      <c r="U45" s="2298"/>
      <c r="V45" s="2299">
        <v>5.5200558449229451</v>
      </c>
      <c r="W45" s="2299"/>
      <c r="X45" s="2300"/>
      <c r="AB45" s="553"/>
      <c r="AE45" s="553"/>
    </row>
    <row r="46" spans="1:31" ht="33" customHeight="1">
      <c r="A46" s="2284"/>
      <c r="B46" s="574">
        <v>22</v>
      </c>
      <c r="C46" s="725" t="s">
        <v>1097</v>
      </c>
      <c r="D46" s="723">
        <v>500000</v>
      </c>
      <c r="E46" s="2301">
        <v>2850160</v>
      </c>
      <c r="F46" s="2302"/>
      <c r="G46" s="2302"/>
      <c r="H46" s="2303"/>
      <c r="I46" s="1780" t="s">
        <v>1098</v>
      </c>
      <c r="J46" s="2281"/>
      <c r="K46" s="618">
        <v>58</v>
      </c>
      <c r="L46" s="619" t="s">
        <v>1040</v>
      </c>
      <c r="M46" s="613">
        <v>55701024</v>
      </c>
      <c r="N46" s="620"/>
      <c r="O46" s="621">
        <v>11484.933487759006</v>
      </c>
      <c r="P46" s="622"/>
      <c r="Q46" s="2304" t="s">
        <v>1041</v>
      </c>
      <c r="R46" s="2305"/>
      <c r="S46" s="2305"/>
      <c r="T46" s="2305"/>
      <c r="U46" s="2305"/>
      <c r="V46" s="2306">
        <v>3.2251718618798129</v>
      </c>
      <c r="W46" s="2306"/>
      <c r="X46" s="2307"/>
      <c r="Z46" s="636"/>
      <c r="AB46" s="553"/>
      <c r="AE46" s="553"/>
    </row>
    <row r="47" spans="1:31" ht="33" customHeight="1" thickBot="1">
      <c r="A47" s="2285"/>
      <c r="B47" s="726">
        <v>23</v>
      </c>
      <c r="C47" s="727" t="s">
        <v>1099</v>
      </c>
      <c r="D47" s="728">
        <v>0</v>
      </c>
      <c r="E47" s="2267">
        <v>2992480</v>
      </c>
      <c r="F47" s="2268"/>
      <c r="G47" s="2268"/>
      <c r="H47" s="2269"/>
      <c r="I47" s="1781" t="s">
        <v>271</v>
      </c>
      <c r="J47" s="2281"/>
      <c r="K47" s="618">
        <v>59</v>
      </c>
      <c r="L47" s="612" t="s">
        <v>1044</v>
      </c>
      <c r="M47" s="613">
        <v>47397110.280000001</v>
      </c>
      <c r="N47" s="620" t="s">
        <v>1045</v>
      </c>
      <c r="O47" s="627">
        <v>61779382.619178079</v>
      </c>
      <c r="P47" s="628"/>
      <c r="Q47" s="851" t="s">
        <v>1046</v>
      </c>
      <c r="S47" s="629"/>
      <c r="T47" s="630"/>
      <c r="U47" s="630"/>
      <c r="V47" s="630"/>
      <c r="W47" s="623"/>
      <c r="X47" s="623"/>
      <c r="Y47" s="636"/>
      <c r="Z47" s="636"/>
      <c r="AB47" s="553"/>
      <c r="AE47" s="553"/>
    </row>
    <row r="48" spans="1:31" ht="33" customHeight="1" thickBot="1">
      <c r="A48" s="2270" t="s">
        <v>1100</v>
      </c>
      <c r="B48" s="2271"/>
      <c r="C48" s="2271"/>
      <c r="D48" s="730">
        <v>4995880</v>
      </c>
      <c r="E48" s="2272">
        <v>5127040</v>
      </c>
      <c r="F48" s="2272"/>
      <c r="G48" s="2272"/>
      <c r="H48" s="2273"/>
      <c r="I48" s="1781" t="s">
        <v>272</v>
      </c>
      <c r="J48" s="2281"/>
      <c r="K48" s="618">
        <v>60</v>
      </c>
      <c r="L48" s="619" t="s">
        <v>1049</v>
      </c>
      <c r="M48" s="633">
        <v>5.2400000000000002E-2</v>
      </c>
      <c r="N48" s="634" t="s">
        <v>1101</v>
      </c>
      <c r="O48" s="852" t="s">
        <v>1051</v>
      </c>
      <c r="P48" s="635"/>
      <c r="Q48" s="2274">
        <v>159785340</v>
      </c>
      <c r="R48" s="2275"/>
      <c r="S48" s="2275"/>
      <c r="T48" s="2275"/>
      <c r="U48" s="2275"/>
      <c r="V48" s="2275"/>
      <c r="W48" s="2276"/>
      <c r="X48" s="850"/>
      <c r="Y48" s="636"/>
      <c r="Z48" s="636"/>
      <c r="AB48" s="553"/>
      <c r="AE48" s="553"/>
    </row>
    <row r="49" spans="1:48" ht="33" customHeight="1" thickTop="1" thickBot="1">
      <c r="G49" s="553" t="s">
        <v>1102</v>
      </c>
      <c r="I49" s="731"/>
      <c r="J49" s="2281"/>
      <c r="K49" s="618">
        <v>61</v>
      </c>
      <c r="L49" s="612" t="s">
        <v>1052</v>
      </c>
      <c r="M49" s="639">
        <v>4.4600000000000001E-2</v>
      </c>
      <c r="N49" s="640" t="s">
        <v>1103</v>
      </c>
      <c r="O49" s="853">
        <v>9428280.663349634</v>
      </c>
      <c r="P49" s="641"/>
      <c r="Q49" s="2277">
        <v>113695900</v>
      </c>
      <c r="R49" s="2278"/>
      <c r="S49" s="2278"/>
      <c r="T49" s="2278"/>
      <c r="U49" s="2278"/>
      <c r="V49" s="2278"/>
      <c r="W49" s="2279"/>
      <c r="X49" s="642"/>
      <c r="Y49" s="636"/>
      <c r="Z49" s="636"/>
      <c r="AB49" s="553"/>
      <c r="AE49" s="553"/>
    </row>
    <row r="50" spans="1:48" ht="33" customHeight="1" thickTop="1">
      <c r="A50" s="2290" t="s">
        <v>1104</v>
      </c>
      <c r="B50" s="732">
        <v>24</v>
      </c>
      <c r="C50" s="733" t="s">
        <v>1105</v>
      </c>
      <c r="D50" s="734">
        <v>2555309.5890410952</v>
      </c>
      <c r="E50" s="735" t="s">
        <v>1106</v>
      </c>
      <c r="F50" s="2322">
        <v>8.9999999999999993E-3</v>
      </c>
      <c r="G50" s="2322"/>
      <c r="H50" s="2323"/>
      <c r="I50" s="736"/>
      <c r="J50" s="2281"/>
      <c r="K50" s="646">
        <v>62</v>
      </c>
      <c r="L50" s="647" t="s">
        <v>1057</v>
      </c>
      <c r="M50" s="1353">
        <v>249320622</v>
      </c>
      <c r="N50" s="648" t="s">
        <v>1107</v>
      </c>
      <c r="O50" s="854" t="s">
        <v>1059</v>
      </c>
      <c r="P50" s="635"/>
      <c r="Q50" s="2240">
        <v>273481240</v>
      </c>
      <c r="R50" s="2241"/>
      <c r="S50" s="2241"/>
      <c r="T50" s="2241"/>
      <c r="U50" s="2241"/>
      <c r="V50" s="2241"/>
      <c r="W50" s="2242"/>
      <c r="X50" s="676"/>
      <c r="Y50" s="636"/>
      <c r="Z50" s="636"/>
      <c r="AB50" s="553"/>
      <c r="AE50" s="553"/>
    </row>
    <row r="51" spans="1:48" ht="33" customHeight="1" thickBot="1">
      <c r="A51" s="2291"/>
      <c r="B51" s="624">
        <v>25</v>
      </c>
      <c r="C51" s="737" t="s">
        <v>1108</v>
      </c>
      <c r="D51" s="738">
        <v>0</v>
      </c>
      <c r="E51" s="739">
        <v>0</v>
      </c>
      <c r="F51" s="2243"/>
      <c r="G51" s="2244"/>
      <c r="H51" s="2245"/>
      <c r="I51" s="736"/>
      <c r="J51" s="2282"/>
      <c r="K51" s="653">
        <v>63</v>
      </c>
      <c r="L51" s="860" t="s">
        <v>1062</v>
      </c>
      <c r="M51" s="654">
        <v>0.32019999999999998</v>
      </c>
      <c r="N51" s="655" t="s">
        <v>1109</v>
      </c>
      <c r="O51" s="855">
        <v>2208157.7022908549</v>
      </c>
      <c r="P51" s="656"/>
      <c r="Q51" s="2246">
        <v>186230000</v>
      </c>
      <c r="R51" s="2247"/>
      <c r="S51" s="2247"/>
      <c r="T51" s="2247"/>
      <c r="U51" s="2247"/>
      <c r="V51" s="2247"/>
      <c r="W51" s="2248"/>
      <c r="X51" s="636"/>
      <c r="Y51" s="636"/>
      <c r="Z51" s="636"/>
      <c r="AB51" s="553"/>
      <c r="AC51" s="685"/>
      <c r="AD51" s="597"/>
      <c r="AE51" s="686"/>
      <c r="AF51" s="686"/>
    </row>
    <row r="52" spans="1:48" ht="33" customHeight="1" thickBot="1">
      <c r="A52" s="2291"/>
      <c r="B52" s="740">
        <v>26</v>
      </c>
      <c r="C52" s="741" t="s">
        <v>1110</v>
      </c>
      <c r="D52" s="742">
        <v>2235616.4383561644</v>
      </c>
      <c r="E52" s="2249"/>
      <c r="F52" s="2249"/>
      <c r="G52" s="2249"/>
      <c r="H52" s="2250"/>
      <c r="I52" s="736"/>
      <c r="J52" s="743"/>
      <c r="K52" s="709"/>
      <c r="L52" s="691"/>
      <c r="M52" s="692"/>
      <c r="N52" s="691"/>
      <c r="O52" s="744"/>
      <c r="P52" s="745"/>
      <c r="Q52" s="745"/>
      <c r="R52" s="745"/>
      <c r="S52" s="745"/>
      <c r="T52" s="745"/>
      <c r="U52" s="745"/>
      <c r="V52" s="745"/>
      <c r="W52" s="745"/>
      <c r="X52" s="745"/>
      <c r="Y52" s="745"/>
      <c r="Z52" s="745"/>
      <c r="AA52" s="745"/>
      <c r="AB52" s="684"/>
      <c r="AC52" s="606"/>
      <c r="AD52" s="606"/>
      <c r="AE52" s="695"/>
      <c r="AF52" s="695"/>
    </row>
    <row r="53" spans="1:48" ht="33" customHeight="1">
      <c r="A53" s="2291"/>
      <c r="B53" s="607">
        <v>27</v>
      </c>
      <c r="C53" s="746" t="s">
        <v>1111</v>
      </c>
      <c r="D53" s="747">
        <v>0</v>
      </c>
      <c r="E53" s="2251" t="s">
        <v>1112</v>
      </c>
      <c r="F53" s="2251"/>
      <c r="G53" s="2251"/>
      <c r="H53" s="2252"/>
      <c r="I53" s="736"/>
      <c r="J53" s="2253" t="s">
        <v>1113</v>
      </c>
      <c r="K53" s="2254"/>
      <c r="L53" s="861"/>
      <c r="M53" s="748" t="s">
        <v>1114</v>
      </c>
      <c r="N53" s="749" t="s">
        <v>1115</v>
      </c>
      <c r="O53" s="1765" t="s">
        <v>1116</v>
      </c>
      <c r="P53" s="2259" t="s">
        <v>1117</v>
      </c>
      <c r="Q53" s="2260"/>
      <c r="R53" s="2260"/>
      <c r="S53" s="2260"/>
      <c r="T53" s="2260"/>
      <c r="U53" s="2261"/>
      <c r="V53" s="751"/>
      <c r="W53" s="752"/>
      <c r="X53" s="752"/>
      <c r="Y53" s="752"/>
      <c r="Z53" s="752"/>
      <c r="AA53" s="752"/>
      <c r="AB53" s="752"/>
      <c r="AC53" s="606"/>
      <c r="AD53" s="606"/>
      <c r="AE53" s="715"/>
      <c r="AF53" s="716"/>
      <c r="AR53" s="753"/>
      <c r="AS53" s="753"/>
      <c r="AT53" s="753"/>
      <c r="AU53" s="753"/>
      <c r="AV53" s="753"/>
    </row>
    <row r="54" spans="1:48" s="753" customFormat="1" ht="33" customHeight="1">
      <c r="A54" s="2291"/>
      <c r="B54" s="607">
        <v>28</v>
      </c>
      <c r="C54" s="746" t="s">
        <v>1118</v>
      </c>
      <c r="D54" s="747">
        <v>2614797.1068493151</v>
      </c>
      <c r="E54" s="2262"/>
      <c r="F54" s="2262"/>
      <c r="G54" s="2262"/>
      <c r="H54" s="2263"/>
      <c r="I54" s="606"/>
      <c r="J54" s="2255"/>
      <c r="K54" s="2256"/>
      <c r="L54" s="754" t="s">
        <v>1119</v>
      </c>
      <c r="M54" s="912">
        <v>43188</v>
      </c>
      <c r="N54" s="913">
        <v>43188</v>
      </c>
      <c r="O54" s="1766">
        <v>43188</v>
      </c>
      <c r="P54" s="2264">
        <v>43188</v>
      </c>
      <c r="Q54" s="2265"/>
      <c r="R54" s="2265"/>
      <c r="S54" s="2265"/>
      <c r="T54" s="2265"/>
      <c r="U54" s="2266"/>
      <c r="V54" s="755"/>
      <c r="W54" s="756"/>
      <c r="X54" s="756"/>
      <c r="Y54" s="756"/>
      <c r="Z54" s="756"/>
      <c r="AA54" s="756"/>
      <c r="AB54" s="756"/>
      <c r="AC54" s="553"/>
      <c r="AE54" s="757"/>
      <c r="AF54" s="573"/>
      <c r="AH54" s="553"/>
      <c r="AI54" s="553"/>
      <c r="AJ54" s="553"/>
      <c r="AK54" s="553"/>
      <c r="AL54" s="553"/>
      <c r="AM54" s="553"/>
      <c r="AN54" s="553"/>
      <c r="AO54" s="553"/>
      <c r="AP54" s="553"/>
      <c r="AQ54" s="553"/>
      <c r="AR54" s="553"/>
      <c r="AS54" s="553"/>
      <c r="AT54" s="553"/>
      <c r="AU54" s="553"/>
      <c r="AV54" s="553"/>
    </row>
    <row r="55" spans="1:48" ht="33" customHeight="1">
      <c r="A55" s="2291"/>
      <c r="B55" s="758">
        <v>29</v>
      </c>
      <c r="C55" s="746" t="s">
        <v>1120</v>
      </c>
      <c r="D55" s="747">
        <v>92447.210958904107</v>
      </c>
      <c r="E55" s="2308"/>
      <c r="F55" s="2308"/>
      <c r="G55" s="2308"/>
      <c r="H55" s="2309"/>
      <c r="I55" s="1781"/>
      <c r="J55" s="2255"/>
      <c r="K55" s="2256"/>
      <c r="L55" s="759" t="s">
        <v>1121</v>
      </c>
      <c r="M55" s="915">
        <v>43259</v>
      </c>
      <c r="N55" s="916">
        <v>43259</v>
      </c>
      <c r="O55" s="1767">
        <v>43259</v>
      </c>
      <c r="P55" s="2310">
        <v>43259</v>
      </c>
      <c r="Q55" s="2311"/>
      <c r="R55" s="2311"/>
      <c r="S55" s="2311"/>
      <c r="T55" s="2311"/>
      <c r="U55" s="2312"/>
      <c r="V55" s="755"/>
      <c r="W55" s="756"/>
      <c r="X55" s="756"/>
      <c r="Y55" s="756"/>
      <c r="Z55" s="756"/>
      <c r="AA55" s="756"/>
      <c r="AB55" s="756"/>
      <c r="AF55" s="573"/>
    </row>
    <row r="56" spans="1:48" ht="33" customHeight="1">
      <c r="A56" s="2291"/>
      <c r="B56" s="607">
        <v>30</v>
      </c>
      <c r="C56" s="746" t="s">
        <v>1122</v>
      </c>
      <c r="D56" s="760">
        <v>0</v>
      </c>
      <c r="E56" s="2313">
        <v>5587677.6271120282</v>
      </c>
      <c r="F56" s="2314"/>
      <c r="G56" s="2314"/>
      <c r="H56" s="2315"/>
      <c r="I56" s="1781" t="s">
        <v>1123</v>
      </c>
      <c r="J56" s="2255"/>
      <c r="K56" s="2256"/>
      <c r="L56" s="761" t="s">
        <v>1124</v>
      </c>
      <c r="M56" s="918">
        <v>43496</v>
      </c>
      <c r="N56" s="918">
        <v>43496</v>
      </c>
      <c r="O56" s="919">
        <v>43496</v>
      </c>
      <c r="P56" s="2264">
        <v>43496</v>
      </c>
      <c r="Q56" s="2265"/>
      <c r="R56" s="2265"/>
      <c r="S56" s="2265"/>
      <c r="T56" s="2265"/>
      <c r="U56" s="2266"/>
      <c r="V56" s="755"/>
      <c r="W56" s="756"/>
      <c r="X56" s="756"/>
      <c r="Y56" s="756"/>
      <c r="Z56" s="756"/>
      <c r="AA56" s="756"/>
      <c r="AB56" s="756"/>
      <c r="AN56" s="753"/>
      <c r="AO56" s="753"/>
      <c r="AP56" s="753"/>
      <c r="AQ56" s="753"/>
    </row>
    <row r="57" spans="1:48" ht="33" customHeight="1">
      <c r="A57" s="2291"/>
      <c r="B57" s="624">
        <v>31</v>
      </c>
      <c r="C57" s="762" t="s">
        <v>1125</v>
      </c>
      <c r="D57" s="763">
        <v>0</v>
      </c>
      <c r="E57" s="2316">
        <v>5587677.6271120282</v>
      </c>
      <c r="F57" s="2317"/>
      <c r="G57" s="2317"/>
      <c r="H57" s="2318"/>
      <c r="I57" s="1781" t="s">
        <v>1126</v>
      </c>
      <c r="J57" s="2255"/>
      <c r="K57" s="2256"/>
      <c r="L57" s="759" t="s">
        <v>1127</v>
      </c>
      <c r="M57" s="920">
        <v>43524</v>
      </c>
      <c r="N57" s="921">
        <v>43524</v>
      </c>
      <c r="O57" s="922">
        <v>43524</v>
      </c>
      <c r="P57" s="2319">
        <v>43738</v>
      </c>
      <c r="Q57" s="2320"/>
      <c r="R57" s="2320"/>
      <c r="S57" s="2320"/>
      <c r="T57" s="2320"/>
      <c r="U57" s="2321"/>
      <c r="V57" s="764"/>
      <c r="W57" s="765"/>
      <c r="X57" s="765"/>
      <c r="Y57" s="765"/>
      <c r="Z57" s="765"/>
      <c r="AA57" s="765"/>
      <c r="AB57" s="765"/>
      <c r="AH57" s="753"/>
      <c r="AI57" s="753"/>
      <c r="AJ57" s="753"/>
    </row>
    <row r="58" spans="1:48" ht="33" customHeight="1" thickBot="1">
      <c r="A58" s="2212" t="s">
        <v>1128</v>
      </c>
      <c r="B58" s="2213"/>
      <c r="C58" s="2213"/>
      <c r="D58" s="766">
        <v>5587677.6271120282</v>
      </c>
      <c r="E58" s="2214">
        <v>9983865.1719722264</v>
      </c>
      <c r="F58" s="2215"/>
      <c r="G58" s="2215"/>
      <c r="H58" s="2216"/>
      <c r="I58" s="1781" t="s">
        <v>273</v>
      </c>
      <c r="J58" s="2257"/>
      <c r="K58" s="2258"/>
      <c r="L58" s="856" t="s">
        <v>1129</v>
      </c>
      <c r="M58" s="1760">
        <v>272</v>
      </c>
      <c r="N58" s="858">
        <v>272</v>
      </c>
      <c r="O58" s="1760">
        <v>272</v>
      </c>
      <c r="P58" s="2217">
        <v>486</v>
      </c>
      <c r="Q58" s="2218"/>
      <c r="R58" s="2218"/>
      <c r="S58" s="2218"/>
      <c r="T58" s="2218"/>
      <c r="U58" s="2219"/>
      <c r="V58" s="755"/>
      <c r="W58" s="756"/>
      <c r="X58" s="756"/>
      <c r="Y58" s="756"/>
      <c r="Z58" s="756"/>
      <c r="AB58" s="553"/>
      <c r="AE58" s="553"/>
    </row>
    <row r="59" spans="1:48" ht="18" customHeight="1" thickBot="1">
      <c r="A59" s="767"/>
      <c r="B59" s="768"/>
      <c r="C59" s="767"/>
      <c r="D59" s="769"/>
      <c r="E59" s="770"/>
      <c r="F59" s="771"/>
      <c r="G59" s="772"/>
      <c r="H59" s="773"/>
      <c r="I59" s="774"/>
      <c r="J59" s="775"/>
      <c r="K59" s="775"/>
      <c r="L59" s="770"/>
      <c r="M59" s="770"/>
      <c r="N59" s="774"/>
      <c r="O59" s="776"/>
      <c r="P59" s="776"/>
      <c r="Q59" s="776"/>
      <c r="R59" s="776"/>
      <c r="S59" s="776"/>
      <c r="T59" s="776"/>
      <c r="U59" s="776"/>
      <c r="V59" s="776"/>
      <c r="W59" s="776"/>
      <c r="X59" s="776"/>
      <c r="Y59" s="776"/>
      <c r="Z59" s="1482"/>
      <c r="AB59" s="753"/>
      <c r="AC59" s="753"/>
      <c r="AD59" s="753"/>
      <c r="AE59" s="553"/>
    </row>
    <row r="60" spans="1:48" ht="18" customHeight="1" thickTop="1" thickBot="1">
      <c r="A60" s="777"/>
      <c r="B60" s="711"/>
      <c r="C60" s="777"/>
      <c r="D60" s="778"/>
      <c r="E60" s="606"/>
      <c r="F60" s="779"/>
      <c r="G60" s="780"/>
      <c r="H60" s="781"/>
      <c r="I60" s="736"/>
      <c r="J60" s="782"/>
      <c r="K60" s="782"/>
      <c r="O60" s="784"/>
      <c r="P60" s="784"/>
      <c r="Q60" s="784"/>
      <c r="R60" s="784"/>
      <c r="S60" s="784"/>
      <c r="T60" s="784"/>
      <c r="U60" s="784"/>
      <c r="V60" s="784"/>
      <c r="W60" s="784"/>
      <c r="X60" s="784"/>
      <c r="Y60" s="784"/>
      <c r="Z60" s="1482"/>
      <c r="AB60" s="553"/>
      <c r="AE60" s="553"/>
    </row>
    <row r="61" spans="1:48" ht="33" customHeight="1">
      <c r="A61" s="2220" t="s">
        <v>1130</v>
      </c>
      <c r="B61" s="785"/>
      <c r="C61" s="1764" t="s">
        <v>1131</v>
      </c>
      <c r="D61" s="1761" t="s">
        <v>1132</v>
      </c>
      <c r="E61" s="1762" t="s">
        <v>1057</v>
      </c>
      <c r="F61" s="2223" t="s">
        <v>1133</v>
      </c>
      <c r="G61" s="2224"/>
      <c r="H61" s="2224"/>
      <c r="I61" s="788"/>
      <c r="J61" s="789"/>
      <c r="K61" s="790"/>
      <c r="L61" s="1764" t="s">
        <v>1131</v>
      </c>
      <c r="M61" s="1761" t="s">
        <v>1134</v>
      </c>
      <c r="N61" s="1762" t="s">
        <v>1135</v>
      </c>
      <c r="O61" s="1763" t="s">
        <v>1133</v>
      </c>
      <c r="P61" s="2225" t="s">
        <v>1136</v>
      </c>
      <c r="Q61" s="2226"/>
      <c r="R61" s="2226"/>
      <c r="S61" s="2226"/>
      <c r="T61" s="2227"/>
      <c r="U61" s="2228" t="s">
        <v>1137</v>
      </c>
      <c r="V61" s="2226"/>
      <c r="W61" s="2226"/>
      <c r="X61" s="2226"/>
      <c r="Y61" s="2229"/>
      <c r="Z61" s="792"/>
      <c r="AB61" s="553"/>
      <c r="AE61" s="553"/>
    </row>
    <row r="62" spans="1:48" ht="33" customHeight="1">
      <c r="A62" s="2221"/>
      <c r="B62" s="702">
        <v>64</v>
      </c>
      <c r="C62" s="793" t="s">
        <v>1138</v>
      </c>
      <c r="D62" s="794">
        <v>777623018</v>
      </c>
      <c r="E62" s="795">
        <v>219536982</v>
      </c>
      <c r="F62" s="2230">
        <v>0.28231800875009594</v>
      </c>
      <c r="G62" s="2230"/>
      <c r="H62" s="2230"/>
      <c r="I62" s="796"/>
      <c r="J62" s="797"/>
      <c r="K62" s="702">
        <v>68</v>
      </c>
      <c r="L62" s="798" t="s">
        <v>1139</v>
      </c>
      <c r="M62" s="799">
        <v>783210695.62711203</v>
      </c>
      <c r="N62" s="800">
        <v>248525419.74823043</v>
      </c>
      <c r="O62" s="801">
        <v>0.31731617192642858</v>
      </c>
      <c r="P62" s="2231">
        <v>7.0463531469177776E-2</v>
      </c>
      <c r="Q62" s="2232"/>
      <c r="R62" s="2232"/>
      <c r="S62" s="2232"/>
      <c r="T62" s="2233"/>
      <c r="U62" s="2234">
        <v>5.9819935885694162E-2</v>
      </c>
      <c r="V62" s="2232"/>
      <c r="W62" s="2232"/>
      <c r="X62" s="2232"/>
      <c r="Y62" s="2232"/>
      <c r="Z62" s="802"/>
      <c r="AB62" s="553"/>
      <c r="AE62" s="553"/>
    </row>
    <row r="63" spans="1:48" ht="33" customHeight="1">
      <c r="A63" s="2221"/>
      <c r="B63" s="607">
        <v>65</v>
      </c>
      <c r="C63" s="803" t="s">
        <v>1140</v>
      </c>
      <c r="D63" s="804">
        <v>745083398</v>
      </c>
      <c r="E63" s="805">
        <v>88946602</v>
      </c>
      <c r="F63" s="2207">
        <v>0.119378048469146</v>
      </c>
      <c r="G63" s="2207"/>
      <c r="H63" s="2207"/>
      <c r="I63" s="796"/>
      <c r="J63" s="797"/>
      <c r="K63" s="607">
        <v>69</v>
      </c>
      <c r="L63" s="806" t="s">
        <v>1141</v>
      </c>
      <c r="M63" s="807">
        <v>750671075.62711203</v>
      </c>
      <c r="N63" s="808">
        <v>117935039.74823043</v>
      </c>
      <c r="O63" s="809">
        <v>0.15710614619020358</v>
      </c>
      <c r="P63" s="2208">
        <v>6.7064632407767055E-2</v>
      </c>
      <c r="Q63" s="2209"/>
      <c r="R63" s="2209"/>
      <c r="S63" s="2209"/>
      <c r="T63" s="2210"/>
      <c r="U63" s="2211">
        <v>5.6150491322583471E-2</v>
      </c>
      <c r="V63" s="2209"/>
      <c r="W63" s="2209"/>
      <c r="X63" s="2209"/>
      <c r="Y63" s="2209"/>
      <c r="Z63" s="802"/>
      <c r="AB63" s="553"/>
      <c r="AE63" s="553"/>
    </row>
    <row r="64" spans="1:48" ht="33" customHeight="1">
      <c r="A64" s="2221"/>
      <c r="B64" s="607">
        <v>66</v>
      </c>
      <c r="C64" s="803" t="s">
        <v>1142</v>
      </c>
      <c r="D64" s="804">
        <v>733094806</v>
      </c>
      <c r="E64" s="805">
        <v>29904783</v>
      </c>
      <c r="F64" s="2207">
        <v>4.0792517905248946E-2</v>
      </c>
      <c r="G64" s="2207"/>
      <c r="H64" s="2207"/>
      <c r="I64" s="796"/>
      <c r="J64" s="797"/>
      <c r="K64" s="607">
        <v>70</v>
      </c>
      <c r="L64" s="806" t="s">
        <v>1143</v>
      </c>
      <c r="M64" s="807">
        <v>738682483.62711203</v>
      </c>
      <c r="N64" s="808">
        <v>58893220.748230435</v>
      </c>
      <c r="O64" s="809">
        <v>7.9727382269916963E-2</v>
      </c>
      <c r="P64" s="2208">
        <v>6.3290717135431454E-2</v>
      </c>
      <c r="Q64" s="2209"/>
      <c r="R64" s="2209"/>
      <c r="S64" s="2209"/>
      <c r="T64" s="2210"/>
      <c r="U64" s="2211">
        <v>5.2344212243675338E-2</v>
      </c>
      <c r="V64" s="2209"/>
      <c r="W64" s="2209"/>
      <c r="X64" s="2209"/>
      <c r="Y64" s="2209"/>
      <c r="Z64" s="802"/>
      <c r="AB64" s="553"/>
      <c r="AE64" s="553"/>
    </row>
    <row r="65" spans="1:31" ht="33" customHeight="1" thickBot="1">
      <c r="A65" s="2222"/>
      <c r="B65" s="810">
        <v>67</v>
      </c>
      <c r="C65" s="811" t="s">
        <v>1144</v>
      </c>
      <c r="D65" s="812">
        <v>778679378</v>
      </c>
      <c r="E65" s="813">
        <v>249320622</v>
      </c>
      <c r="F65" s="2235">
        <v>0.32018392812760477</v>
      </c>
      <c r="G65" s="2235"/>
      <c r="H65" s="2235"/>
      <c r="I65" s="814"/>
      <c r="J65" s="815"/>
      <c r="K65" s="810">
        <v>71</v>
      </c>
      <c r="L65" s="816" t="s">
        <v>1145</v>
      </c>
      <c r="M65" s="817">
        <v>788663243.17197227</v>
      </c>
      <c r="N65" s="818">
        <v>301116139.44720578</v>
      </c>
      <c r="O65" s="819">
        <v>0.38180572259983692</v>
      </c>
      <c r="P65" s="2236">
        <v>7.1532681580787932E-2</v>
      </c>
      <c r="Q65" s="2237"/>
      <c r="R65" s="2237"/>
      <c r="S65" s="2237"/>
      <c r="T65" s="2238"/>
      <c r="U65" s="2239">
        <v>6.0868582909871287E-2</v>
      </c>
      <c r="V65" s="2237"/>
      <c r="W65" s="2237"/>
      <c r="X65" s="2237"/>
      <c r="Y65" s="2237"/>
      <c r="Z65" s="802"/>
      <c r="AB65" s="553"/>
      <c r="AE65" s="553"/>
    </row>
    <row r="66" spans="1:31" ht="19.5" customHeight="1">
      <c r="A66" s="1481" t="s">
        <v>1146</v>
      </c>
      <c r="H66" s="606"/>
      <c r="Y66" s="1713"/>
      <c r="Z66" s="636"/>
      <c r="AB66" s="553"/>
      <c r="AE66" s="553"/>
    </row>
    <row r="67" spans="1:31" ht="33" customHeight="1">
      <c r="C67" s="753"/>
      <c r="D67" s="820"/>
      <c r="E67" s="753"/>
      <c r="H67" s="606"/>
      <c r="U67" s="821"/>
      <c r="V67" s="821"/>
      <c r="W67" s="821"/>
      <c r="X67" s="821"/>
      <c r="Y67" s="821"/>
      <c r="Z67" s="821"/>
      <c r="AB67" s="553"/>
      <c r="AE67" s="553"/>
    </row>
    <row r="68" spans="1:31" ht="30" customHeight="1">
      <c r="H68" s="606"/>
      <c r="Q68" s="822"/>
      <c r="R68" s="822"/>
      <c r="S68" s="822"/>
      <c r="T68" s="822"/>
      <c r="U68" s="823"/>
      <c r="V68" s="823"/>
      <c r="W68" s="823"/>
      <c r="X68" s="823"/>
      <c r="Y68" s="823"/>
      <c r="Z68" s="823"/>
      <c r="AB68" s="553"/>
      <c r="AE68" s="553"/>
    </row>
    <row r="69" spans="1:31" ht="30" customHeight="1">
      <c r="H69" s="606"/>
      <c r="U69" s="822"/>
      <c r="V69" s="822"/>
      <c r="W69" s="822"/>
      <c r="X69" s="822"/>
      <c r="Y69" s="822"/>
      <c r="Z69" s="822"/>
      <c r="AB69" s="553"/>
      <c r="AE69" s="553"/>
    </row>
    <row r="70" spans="1:31" ht="30" customHeight="1">
      <c r="H70" s="606"/>
      <c r="J70" s="753"/>
      <c r="K70" s="753"/>
      <c r="U70" s="824"/>
      <c r="V70" s="824"/>
      <c r="W70" s="824"/>
      <c r="X70" s="824"/>
      <c r="Y70" s="824"/>
      <c r="Z70" s="824"/>
      <c r="AB70" s="553"/>
      <c r="AE70" s="553"/>
    </row>
    <row r="71" spans="1:31" ht="30" customHeight="1">
      <c r="U71" s="825"/>
      <c r="V71" s="825"/>
      <c r="W71" s="825"/>
      <c r="X71" s="825"/>
      <c r="Y71" s="825"/>
      <c r="Z71" s="825"/>
      <c r="AB71" s="553"/>
      <c r="AE71" s="553"/>
    </row>
    <row r="72" spans="1:31" ht="30" customHeight="1">
      <c r="U72" s="826"/>
      <c r="V72" s="826"/>
      <c r="W72" s="826"/>
      <c r="X72" s="826"/>
      <c r="Y72" s="826"/>
      <c r="Z72" s="826"/>
      <c r="AB72" s="553"/>
      <c r="AE72" s="553"/>
    </row>
    <row r="73" spans="1:31" ht="30" customHeight="1">
      <c r="U73" s="827"/>
      <c r="V73" s="827"/>
      <c r="W73" s="827"/>
      <c r="X73" s="827"/>
      <c r="Y73" s="827"/>
      <c r="Z73" s="827"/>
      <c r="AB73" s="553"/>
      <c r="AE73" s="553"/>
    </row>
    <row r="74" spans="1:31" ht="30" customHeight="1">
      <c r="U74" s="827"/>
      <c r="V74" s="827"/>
      <c r="W74" s="827"/>
      <c r="X74" s="827"/>
      <c r="Y74" s="827"/>
      <c r="Z74" s="827"/>
      <c r="AB74" s="553"/>
      <c r="AE74" s="553"/>
    </row>
    <row r="75" spans="1:31" ht="30" customHeight="1">
      <c r="U75" s="827"/>
      <c r="V75" s="827"/>
      <c r="W75" s="827"/>
      <c r="X75" s="827"/>
      <c r="Y75" s="827"/>
      <c r="Z75" s="827"/>
      <c r="AB75" s="553"/>
      <c r="AE75" s="553"/>
    </row>
    <row r="76" spans="1:31" ht="30" customHeight="1">
      <c r="U76" s="827"/>
      <c r="V76" s="827"/>
      <c r="W76" s="827"/>
      <c r="X76" s="827"/>
      <c r="Y76" s="827"/>
      <c r="Z76" s="827"/>
      <c r="AB76" s="553"/>
      <c r="AE76" s="553"/>
    </row>
    <row r="77" spans="1:31" ht="30" customHeight="1">
      <c r="AB77" s="553"/>
      <c r="AE77" s="553"/>
    </row>
    <row r="78" spans="1:31" ht="30" customHeight="1">
      <c r="AA78" s="824"/>
      <c r="AB78" s="829"/>
      <c r="AC78" s="2206"/>
      <c r="AD78" s="2206"/>
    </row>
    <row r="79" spans="1:31" ht="30" customHeight="1">
      <c r="AA79" s="825"/>
      <c r="AB79" s="829"/>
    </row>
    <row r="80" spans="1:31" ht="30" customHeight="1">
      <c r="N80" s="833"/>
      <c r="O80" s="606"/>
      <c r="P80" s="606"/>
      <c r="Q80" s="606"/>
      <c r="R80" s="606"/>
      <c r="S80" s="606"/>
      <c r="T80" s="606"/>
      <c r="AA80" s="826"/>
      <c r="AB80" s="829"/>
    </row>
    <row r="81" spans="10:31" ht="30" customHeight="1">
      <c r="J81" s="835"/>
      <c r="K81" s="836"/>
      <c r="N81" s="736"/>
      <c r="O81" s="606"/>
      <c r="P81" s="606"/>
      <c r="Q81" s="606"/>
      <c r="R81" s="606"/>
      <c r="S81" s="606"/>
      <c r="T81" s="606"/>
      <c r="AA81" s="827"/>
      <c r="AB81" s="829"/>
    </row>
    <row r="82" spans="10:31" ht="30" customHeight="1">
      <c r="J82" s="835"/>
      <c r="K82" s="836"/>
      <c r="N82" s="736"/>
      <c r="O82" s="606"/>
      <c r="P82" s="606"/>
      <c r="Q82" s="606"/>
      <c r="R82" s="606"/>
      <c r="S82" s="606"/>
      <c r="T82" s="606"/>
      <c r="AA82" s="827"/>
      <c r="AB82" s="829"/>
    </row>
    <row r="83" spans="10:31" ht="30" customHeight="1">
      <c r="J83" s="606"/>
      <c r="K83" s="839"/>
      <c r="N83" s="553"/>
      <c r="AA83" s="827"/>
      <c r="AB83" s="830"/>
    </row>
    <row r="84" spans="10:31" ht="30" customHeight="1">
      <c r="J84" s="606"/>
      <c r="K84" s="839"/>
      <c r="N84" s="553"/>
      <c r="AA84" s="827"/>
    </row>
    <row r="85" spans="10:31" ht="30" customHeight="1">
      <c r="AB85" s="828"/>
    </row>
    <row r="86" spans="10:31" ht="30" customHeight="1">
      <c r="AB86" s="831"/>
      <c r="AE86" s="540"/>
    </row>
    <row r="87" spans="10:31" ht="30" customHeight="1">
      <c r="AB87" s="831"/>
      <c r="AE87" s="832"/>
    </row>
    <row r="88" spans="10:31" ht="30" customHeight="1">
      <c r="AB88" s="834"/>
      <c r="AE88" s="832"/>
    </row>
    <row r="89" spans="10:31" ht="30" customHeight="1">
      <c r="U89" s="606"/>
      <c r="V89" s="606"/>
      <c r="W89" s="606"/>
      <c r="X89" s="606"/>
      <c r="Y89" s="606"/>
      <c r="Z89" s="606"/>
      <c r="AB89" s="837"/>
      <c r="AE89" s="838"/>
    </row>
    <row r="90" spans="10:31" ht="30" customHeight="1">
      <c r="U90" s="606"/>
      <c r="V90" s="606"/>
      <c r="W90" s="606"/>
      <c r="X90" s="606"/>
      <c r="Y90" s="606"/>
      <c r="Z90" s="606"/>
      <c r="AB90" s="837"/>
      <c r="AE90" s="832"/>
    </row>
    <row r="91" spans="10:31" ht="30" customHeight="1">
      <c r="U91" s="606"/>
      <c r="V91" s="606"/>
      <c r="W91" s="606"/>
      <c r="X91" s="606"/>
      <c r="Y91" s="606"/>
      <c r="Z91" s="606"/>
      <c r="AB91" s="837"/>
    </row>
    <row r="92" spans="10:31" ht="30" customHeight="1">
      <c r="AB92" s="837"/>
    </row>
    <row r="93" spans="10:31" ht="30" customHeight="1">
      <c r="AB93" s="837"/>
    </row>
    <row r="94" spans="10:31" ht="30" customHeight="1">
      <c r="AB94" s="837"/>
    </row>
    <row r="95" spans="10:31" ht="30" customHeight="1">
      <c r="AB95" s="837"/>
    </row>
    <row r="96" spans="10:31" ht="30" customHeight="1">
      <c r="AB96" s="837"/>
    </row>
    <row r="97" spans="27:28" ht="30" customHeight="1">
      <c r="AA97" s="606"/>
      <c r="AB97" s="840"/>
    </row>
    <row r="98" spans="27:28" ht="30" customHeight="1">
      <c r="AA98" s="606"/>
      <c r="AB98" s="841"/>
    </row>
    <row r="99" spans="27:28" ht="30" customHeight="1">
      <c r="AA99" s="606"/>
      <c r="AB99" s="842"/>
    </row>
    <row r="100" spans="27:28" ht="30" customHeight="1">
      <c r="AB100" s="843"/>
    </row>
    <row r="101" spans="27:28" ht="30" customHeight="1">
      <c r="AB101" s="844"/>
    </row>
    <row r="102" spans="27:28" ht="30" customHeight="1"/>
    <row r="103" spans="27:28" ht="30" customHeight="1"/>
    <row r="104" spans="27:28" ht="30" customHeight="1"/>
    <row r="105" spans="27:28" ht="30" customHeight="1"/>
    <row r="106" spans="27:28" ht="30" customHeight="1">
      <c r="AB106" s="828"/>
    </row>
    <row r="107" spans="27:28" ht="30" customHeight="1">
      <c r="AB107" s="831"/>
    </row>
    <row r="108" spans="27:28" ht="30" customHeight="1">
      <c r="AB108" s="831"/>
    </row>
    <row r="109" spans="27:28" ht="30" customHeight="1">
      <c r="AB109" s="834"/>
    </row>
    <row r="110" spans="27:28" ht="30" customHeight="1">
      <c r="AB110" s="834"/>
    </row>
    <row r="111" spans="27:28" ht="30" customHeight="1">
      <c r="AB111" s="834"/>
    </row>
    <row r="112" spans="27:28" ht="30" customHeight="1"/>
    <row r="113" ht="30" customHeight="1"/>
    <row r="114" ht="30" customHeight="1"/>
    <row r="115" ht="30" customHeight="1"/>
    <row r="141" spans="28:28">
      <c r="AB141" s="845"/>
    </row>
  </sheetData>
  <mergeCells count="125">
    <mergeCell ref="F8:H8"/>
    <mergeCell ref="F9:H9"/>
    <mergeCell ref="F10:H10"/>
    <mergeCell ref="F11:H11"/>
    <mergeCell ref="F12:H12"/>
    <mergeCell ref="F13:H13"/>
    <mergeCell ref="A1:H1"/>
    <mergeCell ref="Q1:X1"/>
    <mergeCell ref="A3:D3"/>
    <mergeCell ref="J3:N11"/>
    <mergeCell ref="O3:X11"/>
    <mergeCell ref="A5:D5"/>
    <mergeCell ref="F6:H6"/>
    <mergeCell ref="A7:C7"/>
    <mergeCell ref="E7:H7"/>
    <mergeCell ref="A8:A17"/>
    <mergeCell ref="F17:H17"/>
    <mergeCell ref="G5:H5"/>
    <mergeCell ref="A18:C18"/>
    <mergeCell ref="F18:H18"/>
    <mergeCell ref="Q18:W18"/>
    <mergeCell ref="F19:H19"/>
    <mergeCell ref="Q19:W19"/>
    <mergeCell ref="J13:J21"/>
    <mergeCell ref="F14:H14"/>
    <mergeCell ref="Q14:U14"/>
    <mergeCell ref="V14:X14"/>
    <mergeCell ref="F15:H15"/>
    <mergeCell ref="Q15:U15"/>
    <mergeCell ref="V15:X15"/>
    <mergeCell ref="F16:H16"/>
    <mergeCell ref="Q16:U16"/>
    <mergeCell ref="V16:X16"/>
    <mergeCell ref="F34:H34"/>
    <mergeCell ref="Q34:U34"/>
    <mergeCell ref="V34:X34"/>
    <mergeCell ref="F35:H35"/>
    <mergeCell ref="Q35:U35"/>
    <mergeCell ref="Q21:W21"/>
    <mergeCell ref="J23:J31"/>
    <mergeCell ref="Q24:U24"/>
    <mergeCell ref="V24:X24"/>
    <mergeCell ref="Q25:U25"/>
    <mergeCell ref="V25:X25"/>
    <mergeCell ref="Q26:U26"/>
    <mergeCell ref="V26:X26"/>
    <mergeCell ref="Q28:W28"/>
    <mergeCell ref="Q29:W29"/>
    <mergeCell ref="A42:C42"/>
    <mergeCell ref="E42:H42"/>
    <mergeCell ref="A20:A41"/>
    <mergeCell ref="F20:H20"/>
    <mergeCell ref="Q20:W20"/>
    <mergeCell ref="F21:H21"/>
    <mergeCell ref="E39:H39"/>
    <mergeCell ref="Q39:W39"/>
    <mergeCell ref="E40:H40"/>
    <mergeCell ref="Q40:W40"/>
    <mergeCell ref="E41:H41"/>
    <mergeCell ref="Q41:W41"/>
    <mergeCell ref="V35:X35"/>
    <mergeCell ref="F36:H36"/>
    <mergeCell ref="Q36:U36"/>
    <mergeCell ref="V36:X36"/>
    <mergeCell ref="E37:H37"/>
    <mergeCell ref="E38:H38"/>
    <mergeCell ref="Q38:W38"/>
    <mergeCell ref="Q30:W30"/>
    <mergeCell ref="Q31:W31"/>
    <mergeCell ref="F32:H32"/>
    <mergeCell ref="F33:H33"/>
    <mergeCell ref="J33:J41"/>
    <mergeCell ref="E47:H47"/>
    <mergeCell ref="A48:C48"/>
    <mergeCell ref="E48:H48"/>
    <mergeCell ref="Q48:W48"/>
    <mergeCell ref="Q49:W49"/>
    <mergeCell ref="J43:J51"/>
    <mergeCell ref="A44:A47"/>
    <mergeCell ref="F44:H44"/>
    <mergeCell ref="Q44:U44"/>
    <mergeCell ref="A50:A57"/>
    <mergeCell ref="V44:X44"/>
    <mergeCell ref="F45:H45"/>
    <mergeCell ref="Q45:U45"/>
    <mergeCell ref="V45:X45"/>
    <mergeCell ref="E46:H46"/>
    <mergeCell ref="Q46:U46"/>
    <mergeCell ref="V46:X46"/>
    <mergeCell ref="E55:H55"/>
    <mergeCell ref="P55:U55"/>
    <mergeCell ref="E56:H56"/>
    <mergeCell ref="P56:U56"/>
    <mergeCell ref="E57:H57"/>
    <mergeCell ref="P57:U57"/>
    <mergeCell ref="F50:H50"/>
    <mergeCell ref="Q50:W50"/>
    <mergeCell ref="F51:H51"/>
    <mergeCell ref="Q51:W51"/>
    <mergeCell ref="E52:H52"/>
    <mergeCell ref="E53:H53"/>
    <mergeCell ref="J53:K58"/>
    <mergeCell ref="P53:U53"/>
    <mergeCell ref="E54:H54"/>
    <mergeCell ref="P54:U54"/>
    <mergeCell ref="AC78:AD78"/>
    <mergeCell ref="F63:H63"/>
    <mergeCell ref="P63:T63"/>
    <mergeCell ref="U63:Y63"/>
    <mergeCell ref="F64:H64"/>
    <mergeCell ref="P64:T64"/>
    <mergeCell ref="U64:Y64"/>
    <mergeCell ref="A58:C58"/>
    <mergeCell ref="E58:H58"/>
    <mergeCell ref="P58:U58"/>
    <mergeCell ref="A61:A65"/>
    <mergeCell ref="F61:H61"/>
    <mergeCell ref="P61:T61"/>
    <mergeCell ref="U61:Y61"/>
    <mergeCell ref="F62:H62"/>
    <mergeCell ref="P62:T62"/>
    <mergeCell ref="U62:Y62"/>
    <mergeCell ref="F65:H65"/>
    <mergeCell ref="P65:T65"/>
    <mergeCell ref="U65:Y65"/>
  </mergeCells>
  <phoneticPr fontId="192"/>
  <printOptions horizontalCentered="1"/>
  <pageMargins left="0.39370078740157483" right="0.39370078740157483" top="0.39370078740157483" bottom="0.39370078740157483" header="0.39370078740157483" footer="0.39370078740157483"/>
  <pageSetup paperSize="8" scale="41" orientation="landscape"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S77"/>
  <sheetViews>
    <sheetView topLeftCell="B1" workbookViewId="0">
      <selection activeCell="G7" sqref="G7"/>
    </sheetView>
  </sheetViews>
  <sheetFormatPr defaultRowHeight="13.5"/>
  <cols>
    <col min="2" max="2" width="20.25" customWidth="1"/>
    <col min="3" max="3" width="33.5" customWidth="1"/>
    <col min="4" max="4" width="10.875" bestFit="1" customWidth="1"/>
    <col min="5" max="5" width="11.25" bestFit="1" customWidth="1"/>
    <col min="6" max="6" width="11.125" customWidth="1"/>
  </cols>
  <sheetData>
    <row r="1" spans="2:6">
      <c r="B1" s="286" t="s">
        <v>206</v>
      </c>
      <c r="C1" s="303">
        <f ca="1">TODAY()</f>
        <v>43486</v>
      </c>
    </row>
    <row r="2" spans="2:6">
      <c r="B2" s="286" t="s">
        <v>823</v>
      </c>
      <c r="C2" s="303">
        <v>43465</v>
      </c>
    </row>
    <row r="3" spans="2:6">
      <c r="B3" s="286" t="s">
        <v>590</v>
      </c>
      <c r="C3" s="313" t="s">
        <v>1184</v>
      </c>
      <c r="D3" s="2416" t="s">
        <v>1185</v>
      </c>
      <c r="E3" s="2417"/>
      <c r="F3" s="2418"/>
    </row>
    <row r="4" spans="2:6">
      <c r="B4" s="286" t="s">
        <v>511</v>
      </c>
      <c r="C4" s="313" t="s">
        <v>1155</v>
      </c>
      <c r="D4" s="1702" t="s">
        <v>968</v>
      </c>
    </row>
    <row r="5" spans="2:6">
      <c r="B5" s="286" t="s">
        <v>207</v>
      </c>
      <c r="C5" s="313" t="s">
        <v>1155</v>
      </c>
      <c r="D5" s="1703" t="s">
        <v>969</v>
      </c>
      <c r="F5" s="1"/>
    </row>
    <row r="6" spans="2:6">
      <c r="B6" s="286" t="s">
        <v>208</v>
      </c>
      <c r="C6" s="304" t="s">
        <v>1156</v>
      </c>
      <c r="D6" s="1"/>
      <c r="E6" s="1"/>
      <c r="F6" s="1"/>
    </row>
    <row r="7" spans="2:6">
      <c r="B7" s="286" t="s">
        <v>209</v>
      </c>
      <c r="C7" s="304" t="s">
        <v>1157</v>
      </c>
      <c r="D7" s="287" t="s">
        <v>325</v>
      </c>
      <c r="E7" s="500">
        <v>3</v>
      </c>
      <c r="F7" s="1"/>
    </row>
    <row r="8" spans="2:6">
      <c r="C8" s="1"/>
      <c r="D8" s="1"/>
      <c r="E8" s="1"/>
      <c r="F8" s="1"/>
    </row>
    <row r="9" spans="2:6">
      <c r="B9" s="286"/>
      <c r="C9" s="287" t="s">
        <v>57</v>
      </c>
      <c r="D9" s="290" t="s">
        <v>58</v>
      </c>
      <c r="E9" s="291"/>
      <c r="F9" s="287" t="s">
        <v>59</v>
      </c>
    </row>
    <row r="10" spans="2:6">
      <c r="B10" s="292" t="s">
        <v>538</v>
      </c>
      <c r="C10" s="293" t="s">
        <v>1158</v>
      </c>
      <c r="D10" s="294" t="s">
        <v>1159</v>
      </c>
      <c r="E10" s="295" t="s">
        <v>1162</v>
      </c>
      <c r="F10" s="296" t="s">
        <v>975</v>
      </c>
    </row>
    <row r="11" spans="2:6">
      <c r="B11" s="297" t="s">
        <v>539</v>
      </c>
      <c r="C11" s="298" t="s">
        <v>1160</v>
      </c>
      <c r="D11" s="299" t="s">
        <v>1161</v>
      </c>
      <c r="E11" s="300" t="s">
        <v>1163</v>
      </c>
      <c r="F11" s="301" t="s">
        <v>1164</v>
      </c>
    </row>
    <row r="12" spans="2:6">
      <c r="B12" s="297" t="s">
        <v>540</v>
      </c>
      <c r="C12" s="1716" t="s">
        <v>1165</v>
      </c>
      <c r="D12" s="299" t="s">
        <v>1166</v>
      </c>
      <c r="E12" s="932" t="s">
        <v>1167</v>
      </c>
      <c r="F12" s="301" t="s">
        <v>1168</v>
      </c>
    </row>
    <row r="13" spans="2:6">
      <c r="B13" s="297" t="s">
        <v>541</v>
      </c>
      <c r="C13" s="931" t="s">
        <v>1169</v>
      </c>
      <c r="D13" s="299" t="s">
        <v>1170</v>
      </c>
      <c r="E13" s="932"/>
      <c r="F13" s="301" t="s">
        <v>1171</v>
      </c>
    </row>
    <row r="14" spans="2:6">
      <c r="B14" s="297" t="s">
        <v>542</v>
      </c>
      <c r="C14" s="931"/>
      <c r="D14" s="299"/>
      <c r="E14" s="932"/>
      <c r="F14" s="301"/>
    </row>
    <row r="15" spans="2:6">
      <c r="B15" s="302" t="s">
        <v>543</v>
      </c>
      <c r="C15" s="931"/>
      <c r="D15" s="1715"/>
      <c r="E15" s="932"/>
      <c r="F15" s="301"/>
    </row>
    <row r="16" spans="2:6">
      <c r="C16" s="319"/>
      <c r="D16" s="310"/>
      <c r="E16" s="310"/>
      <c r="F16" s="310"/>
    </row>
    <row r="17" spans="2:6">
      <c r="B17" s="286" t="s">
        <v>210</v>
      </c>
      <c r="C17" s="288" t="s">
        <v>211</v>
      </c>
      <c r="D17" s="1"/>
      <c r="E17" s="1"/>
      <c r="F17" s="1"/>
    </row>
    <row r="18" spans="2:6">
      <c r="B18" s="286" t="s">
        <v>212</v>
      </c>
      <c r="C18" s="288" t="s">
        <v>274</v>
      </c>
      <c r="D18" s="1"/>
      <c r="E18" s="1"/>
      <c r="F18" s="1"/>
    </row>
    <row r="19" spans="2:6">
      <c r="B19" s="305" t="s">
        <v>213</v>
      </c>
      <c r="C19" s="306" t="s">
        <v>214</v>
      </c>
      <c r="D19" s="2"/>
      <c r="E19" s="2"/>
      <c r="F19" s="2"/>
    </row>
    <row r="20" spans="2:6">
      <c r="B20" s="286" t="s">
        <v>215</v>
      </c>
      <c r="C20" s="307">
        <v>354.52</v>
      </c>
      <c r="D20" s="308" t="s">
        <v>216</v>
      </c>
      <c r="E20" s="307">
        <f>ROUNDDOWN(C20*0.3025,2)</f>
        <v>107.24</v>
      </c>
      <c r="F20" s="291" t="s">
        <v>217</v>
      </c>
    </row>
    <row r="21" spans="2:6">
      <c r="B21" s="286" t="s">
        <v>219</v>
      </c>
      <c r="C21" s="307">
        <v>0</v>
      </c>
      <c r="D21" s="308" t="s">
        <v>218</v>
      </c>
      <c r="E21" s="307">
        <f>ROUNDDOWN(C21*0.3025,2)</f>
        <v>0</v>
      </c>
      <c r="F21" s="291" t="s">
        <v>217</v>
      </c>
    </row>
    <row r="22" spans="2:6">
      <c r="B22" s="286" t="s">
        <v>220</v>
      </c>
      <c r="C22" s="288"/>
      <c r="D22" s="309"/>
      <c r="E22" s="310"/>
      <c r="F22" s="310"/>
    </row>
    <row r="23" spans="2:6">
      <c r="B23" s="286" t="s">
        <v>544</v>
      </c>
      <c r="C23" s="288" t="s">
        <v>976</v>
      </c>
      <c r="D23" s="311"/>
      <c r="E23" s="312"/>
      <c r="F23" s="312"/>
    </row>
    <row r="24" spans="2:6">
      <c r="B24" s="286" t="s">
        <v>545</v>
      </c>
      <c r="C24" s="288"/>
      <c r="D24" s="311"/>
      <c r="E24" s="312"/>
      <c r="F24" s="312"/>
    </row>
    <row r="25" spans="2:6">
      <c r="B25" s="286" t="s">
        <v>546</v>
      </c>
      <c r="C25" s="288"/>
      <c r="D25" s="312"/>
      <c r="E25" s="312"/>
      <c r="F25" s="312"/>
    </row>
    <row r="26" spans="2:6">
      <c r="C26" s="1"/>
      <c r="D26" s="1"/>
      <c r="E26" s="1"/>
      <c r="F26" s="1"/>
    </row>
    <row r="27" spans="2:6">
      <c r="B27" s="286" t="s">
        <v>221</v>
      </c>
      <c r="C27" s="304" t="s">
        <v>1172</v>
      </c>
      <c r="D27" s="287" t="s">
        <v>326</v>
      </c>
      <c r="E27" s="500">
        <v>1</v>
      </c>
      <c r="F27" s="320"/>
    </row>
    <row r="28" spans="2:6">
      <c r="B28" s="286" t="s">
        <v>222</v>
      </c>
      <c r="C28" s="307" t="s">
        <v>1173</v>
      </c>
      <c r="D28" s="319"/>
      <c r="E28" s="319"/>
      <c r="F28" s="317"/>
    </row>
    <row r="29" spans="2:6">
      <c r="B29" s="286" t="s">
        <v>223</v>
      </c>
      <c r="C29" s="307" t="s">
        <v>1174</v>
      </c>
      <c r="D29" s="319"/>
      <c r="E29" s="319"/>
      <c r="F29" s="317"/>
    </row>
    <row r="30" spans="2:6">
      <c r="B30" s="286" t="s">
        <v>224</v>
      </c>
      <c r="C30" s="1748">
        <v>2132.0300000000002</v>
      </c>
      <c r="D30" s="308" t="s">
        <v>218</v>
      </c>
      <c r="E30" s="307">
        <f>ROUNDDOWN(C30*0.3025,2)</f>
        <v>644.92999999999995</v>
      </c>
      <c r="F30" s="291" t="s">
        <v>217</v>
      </c>
    </row>
    <row r="31" spans="2:6">
      <c r="B31" s="286" t="s">
        <v>225</v>
      </c>
      <c r="C31" s="1748"/>
      <c r="D31" s="308" t="s">
        <v>218</v>
      </c>
      <c r="E31" s="307">
        <f>ROUNDDOWN(C31*0.3025,2)</f>
        <v>0</v>
      </c>
      <c r="F31" s="291" t="s">
        <v>217</v>
      </c>
    </row>
    <row r="32" spans="2:6">
      <c r="B32" s="286" t="s">
        <v>28</v>
      </c>
      <c r="C32" s="318">
        <f>'収支計算表（見込）計画1'!C11</f>
        <v>1923.2312500000003</v>
      </c>
      <c r="D32" s="308" t="s">
        <v>218</v>
      </c>
      <c r="E32" s="307">
        <f>ROUNDDOWN(C32*0.3025,2)</f>
        <v>581.77</v>
      </c>
      <c r="F32" s="291" t="s">
        <v>217</v>
      </c>
    </row>
    <row r="33" spans="2:6">
      <c r="B33" s="286" t="s">
        <v>0</v>
      </c>
      <c r="C33" s="313">
        <v>30749</v>
      </c>
      <c r="D33" s="315" t="s">
        <v>60</v>
      </c>
      <c r="E33" s="316">
        <f ca="1">(C1-C33)/365</f>
        <v>34.895890410958906</v>
      </c>
      <c r="F33" s="317"/>
    </row>
    <row r="34" spans="2:6">
      <c r="B34" s="286" t="s">
        <v>1</v>
      </c>
      <c r="C34" s="304" t="s">
        <v>977</v>
      </c>
      <c r="D34" s="309"/>
      <c r="E34" s="314"/>
      <c r="F34" s="310"/>
    </row>
    <row r="35" spans="2:6">
      <c r="C35" s="1"/>
      <c r="D35" s="1"/>
      <c r="E35" s="1"/>
      <c r="F35" s="1"/>
    </row>
    <row r="36" spans="2:6">
      <c r="B36" s="286" t="s">
        <v>2</v>
      </c>
      <c r="C36" s="304" t="s">
        <v>979</v>
      </c>
      <c r="D36" s="1"/>
      <c r="E36" s="1"/>
      <c r="F36" s="1"/>
    </row>
    <row r="37" spans="2:6">
      <c r="B37" s="286" t="s">
        <v>3</v>
      </c>
      <c r="C37" s="304" t="s">
        <v>4</v>
      </c>
      <c r="D37" s="1"/>
      <c r="E37" s="1"/>
      <c r="F37" s="1"/>
    </row>
    <row r="38" spans="2:6">
      <c r="B38" s="286" t="s">
        <v>5</v>
      </c>
      <c r="C38" s="304" t="s">
        <v>6</v>
      </c>
      <c r="D38" s="1"/>
      <c r="E38" s="1"/>
      <c r="F38" s="1"/>
    </row>
    <row r="39" spans="2:6">
      <c r="B39" s="286" t="s">
        <v>7</v>
      </c>
      <c r="C39" s="304" t="s">
        <v>978</v>
      </c>
      <c r="D39" s="1"/>
      <c r="E39" s="1"/>
      <c r="F39" s="1"/>
    </row>
    <row r="40" spans="2:6">
      <c r="C40" s="1"/>
      <c r="D40" s="1"/>
      <c r="E40" s="1"/>
      <c r="F40" s="1"/>
    </row>
    <row r="41" spans="2:6">
      <c r="B41" s="286" t="s">
        <v>8</v>
      </c>
      <c r="C41" s="304" t="s">
        <v>980</v>
      </c>
      <c r="D41" s="1"/>
      <c r="E41" s="1"/>
      <c r="F41" s="1"/>
    </row>
    <row r="42" spans="2:6">
      <c r="B42" s="286" t="s">
        <v>9</v>
      </c>
      <c r="C42" s="1717">
        <v>0.8</v>
      </c>
      <c r="D42" s="1"/>
      <c r="E42" s="1"/>
      <c r="F42" s="1"/>
    </row>
    <row r="43" spans="2:6">
      <c r="B43" s="286" t="s">
        <v>10</v>
      </c>
      <c r="C43" s="1717">
        <v>6</v>
      </c>
      <c r="D43" s="1"/>
      <c r="E43" s="1"/>
      <c r="F43" s="1"/>
    </row>
    <row r="44" spans="2:6">
      <c r="B44" s="286" t="s">
        <v>11</v>
      </c>
      <c r="C44" s="304" t="s">
        <v>981</v>
      </c>
      <c r="D44" s="1"/>
      <c r="E44" s="1"/>
      <c r="F44" s="1"/>
    </row>
    <row r="45" spans="2:6">
      <c r="B45" s="286" t="s">
        <v>12</v>
      </c>
      <c r="C45" s="304" t="s">
        <v>13</v>
      </c>
      <c r="D45" s="1"/>
      <c r="E45" s="1"/>
      <c r="F45" s="1"/>
    </row>
    <row r="46" spans="2:6">
      <c r="B46" s="286" t="s">
        <v>14</v>
      </c>
      <c r="C46" s="304" t="s">
        <v>982</v>
      </c>
      <c r="D46" s="1"/>
      <c r="E46" s="1"/>
      <c r="F46" s="1"/>
    </row>
    <row r="47" spans="2:6">
      <c r="B47" s="286" t="s">
        <v>15</v>
      </c>
      <c r="C47" s="1784" t="s">
        <v>1175</v>
      </c>
      <c r="D47" s="1"/>
      <c r="E47" s="1"/>
      <c r="F47" s="1"/>
    </row>
    <row r="49" spans="1:19">
      <c r="B49" s="286" t="s">
        <v>16</v>
      </c>
      <c r="C49" s="304"/>
    </row>
    <row r="50" spans="1:19">
      <c r="B50" s="286" t="s">
        <v>17</v>
      </c>
      <c r="C50" s="304"/>
    </row>
    <row r="51" spans="1:19" s="907" customFormat="1"/>
    <row r="53" spans="1:19">
      <c r="A53" s="909" t="s">
        <v>163</v>
      </c>
      <c r="B53" s="279" t="s">
        <v>637</v>
      </c>
    </row>
    <row r="54" spans="1:19">
      <c r="A54" s="499" t="s">
        <v>494</v>
      </c>
      <c r="B54" s="286" t="s">
        <v>483</v>
      </c>
      <c r="C54" s="289" t="s">
        <v>1152</v>
      </c>
    </row>
    <row r="55" spans="1:19">
      <c r="A55" s="499"/>
      <c r="B55" s="286" t="s">
        <v>691</v>
      </c>
      <c r="C55" s="289" t="s">
        <v>1153</v>
      </c>
    </row>
    <row r="56" spans="1:19">
      <c r="B56" s="286" t="s">
        <v>485</v>
      </c>
      <c r="C56" s="1779" t="s">
        <v>1154</v>
      </c>
      <c r="D56" s="1038" t="s">
        <v>681</v>
      </c>
      <c r="E56" s="1047"/>
      <c r="F56" s="1047"/>
    </row>
    <row r="57" spans="1:19">
      <c r="B57" s="286" t="s">
        <v>484</v>
      </c>
      <c r="C57" s="1779" t="s">
        <v>1154</v>
      </c>
      <c r="D57" s="1038" t="s">
        <v>681</v>
      </c>
      <c r="E57" s="1047"/>
      <c r="F57" s="1047"/>
    </row>
    <row r="58" spans="1:19">
      <c r="B58" s="286" t="s">
        <v>495</v>
      </c>
      <c r="C58" s="289"/>
      <c r="D58" s="1038" t="s">
        <v>682</v>
      </c>
      <c r="E58" s="1047"/>
      <c r="F58" s="1047"/>
    </row>
    <row r="59" spans="1:19" s="1039" customFormat="1" ht="13.5" customHeight="1">
      <c r="B59" s="1040" t="s">
        <v>499</v>
      </c>
      <c r="C59" s="1041"/>
      <c r="H59" s="1043"/>
      <c r="I59" s="1043"/>
      <c r="J59" s="1043"/>
      <c r="K59" s="1043"/>
      <c r="L59" s="1043"/>
      <c r="M59" s="1043"/>
      <c r="N59" s="1043"/>
      <c r="O59" s="1043"/>
    </row>
    <row r="60" spans="1:19" s="1039" customFormat="1" ht="13.5" customHeight="1">
      <c r="B60" s="1040" t="s">
        <v>504</v>
      </c>
      <c r="C60" s="2419" t="s">
        <v>505</v>
      </c>
      <c r="D60" s="2419"/>
      <c r="E60" s="2419"/>
      <c r="F60" s="2419"/>
      <c r="G60" s="410"/>
      <c r="H60" s="2423" t="s">
        <v>635</v>
      </c>
      <c r="I60" s="2423"/>
      <c r="J60" s="2423"/>
      <c r="K60" s="2423"/>
      <c r="L60" s="2423"/>
      <c r="M60" s="2423"/>
      <c r="N60" s="2423"/>
      <c r="O60" s="2423"/>
      <c r="P60" s="2423"/>
      <c r="Q60" s="2423"/>
      <c r="R60" s="2423"/>
      <c r="S60" s="2423"/>
    </row>
    <row r="61" spans="1:19" s="1042" customFormat="1">
      <c r="B61" s="1040" t="s">
        <v>508</v>
      </c>
      <c r="C61" s="2420" t="s">
        <v>1147</v>
      </c>
      <c r="D61" s="2420"/>
      <c r="E61" s="2420"/>
      <c r="F61" s="2420"/>
      <c r="G61" s="1038" t="s">
        <v>636</v>
      </c>
      <c r="H61" s="2423"/>
      <c r="I61" s="2423"/>
      <c r="J61" s="2423"/>
      <c r="K61" s="2423"/>
      <c r="L61" s="2423"/>
      <c r="M61" s="2423"/>
      <c r="N61" s="2423"/>
      <c r="O61" s="2423"/>
      <c r="P61" s="2423"/>
      <c r="Q61" s="2423"/>
      <c r="R61" s="2423"/>
      <c r="S61" s="2423"/>
    </row>
    <row r="62" spans="1:19" s="905" customFormat="1">
      <c r="B62" s="2422" t="s">
        <v>522</v>
      </c>
      <c r="C62" s="2421" t="s">
        <v>1148</v>
      </c>
      <c r="D62" s="2421"/>
      <c r="E62" s="2421"/>
      <c r="F62" s="2421"/>
      <c r="G62" s="2421"/>
      <c r="H62" s="2421"/>
      <c r="I62" s="2421"/>
      <c r="J62" s="2421"/>
    </row>
    <row r="63" spans="1:19" s="905" customFormat="1">
      <c r="B63" s="2422"/>
      <c r="C63" s="2421" t="s">
        <v>1149</v>
      </c>
      <c r="D63" s="2421"/>
      <c r="E63" s="2421"/>
      <c r="F63" s="2421"/>
      <c r="G63" s="2421"/>
      <c r="H63" s="2421"/>
      <c r="I63" s="2421"/>
      <c r="J63" s="2421"/>
    </row>
    <row r="64" spans="1:19" s="905" customFormat="1">
      <c r="B64" s="904"/>
      <c r="C64" s="923"/>
      <c r="D64" s="911"/>
    </row>
    <row r="65" spans="1:15">
      <c r="A65" s="499" t="s">
        <v>517</v>
      </c>
      <c r="B65" s="286" t="s">
        <v>513</v>
      </c>
      <c r="C65" s="289" t="s">
        <v>486</v>
      </c>
      <c r="D65" s="1048"/>
    </row>
    <row r="66" spans="1:15">
      <c r="A66" s="499"/>
      <c r="B66" s="286" t="s">
        <v>829</v>
      </c>
      <c r="C66" s="289" t="s">
        <v>828</v>
      </c>
      <c r="D66" s="905"/>
    </row>
    <row r="67" spans="1:15">
      <c r="A67" s="499"/>
      <c r="B67" s="286" t="s">
        <v>483</v>
      </c>
      <c r="C67" s="289" t="s">
        <v>518</v>
      </c>
    </row>
    <row r="68" spans="1:15">
      <c r="B68" s="286" t="s">
        <v>515</v>
      </c>
      <c r="C68" s="289" t="s">
        <v>486</v>
      </c>
      <c r="D68" s="1038" t="s">
        <v>681</v>
      </c>
      <c r="E68" s="1047"/>
      <c r="F68" s="1047"/>
    </row>
    <row r="69" spans="1:15">
      <c r="B69" s="286" t="s">
        <v>514</v>
      </c>
      <c r="C69" s="289" t="s">
        <v>486</v>
      </c>
      <c r="D69" s="1038" t="s">
        <v>681</v>
      </c>
      <c r="E69" s="1047"/>
      <c r="F69" s="1047"/>
    </row>
    <row r="70" spans="1:15">
      <c r="B70" s="286" t="s">
        <v>495</v>
      </c>
      <c r="C70" s="289" t="s">
        <v>496</v>
      </c>
      <c r="D70" s="1038" t="s">
        <v>682</v>
      </c>
      <c r="E70" s="1047"/>
      <c r="F70" s="1047"/>
    </row>
    <row r="71" spans="1:15" s="1039" customFormat="1" ht="13.5" customHeight="1">
      <c r="B71" s="1040" t="s">
        <v>499</v>
      </c>
      <c r="C71" s="1041">
        <v>100000000</v>
      </c>
      <c r="H71" s="1043"/>
      <c r="I71" s="1043"/>
      <c r="J71" s="1043"/>
      <c r="K71" s="1043"/>
      <c r="L71" s="1043"/>
      <c r="M71" s="1043"/>
      <c r="N71" s="1043"/>
      <c r="O71" s="1043"/>
    </row>
    <row r="72" spans="1:15">
      <c r="B72" s="286" t="s">
        <v>504</v>
      </c>
      <c r="C72" s="2421" t="s">
        <v>525</v>
      </c>
      <c r="D72" s="2421"/>
      <c r="E72" s="2421"/>
      <c r="F72" s="2421"/>
    </row>
    <row r="73" spans="1:15" s="905" customFormat="1">
      <c r="B73" s="286" t="s">
        <v>508</v>
      </c>
      <c r="C73" s="2421" t="s">
        <v>521</v>
      </c>
      <c r="D73" s="2421"/>
      <c r="E73" s="2421"/>
      <c r="F73" s="2421"/>
    </row>
    <row r="74" spans="1:15" s="905" customFormat="1">
      <c r="B74" s="2422" t="s">
        <v>522</v>
      </c>
      <c r="C74" s="2421" t="s">
        <v>523</v>
      </c>
      <c r="D74" s="2421"/>
      <c r="E74" s="2421"/>
      <c r="F74" s="2421"/>
      <c r="G74" s="2421"/>
      <c r="H74" s="2421"/>
      <c r="I74" s="2421"/>
      <c r="J74" s="2421"/>
    </row>
    <row r="75" spans="1:15" s="905" customFormat="1">
      <c r="B75" s="2422"/>
      <c r="C75" s="2421" t="s">
        <v>524</v>
      </c>
      <c r="D75" s="2421"/>
      <c r="E75" s="2421"/>
      <c r="F75" s="2421"/>
      <c r="G75" s="2421"/>
      <c r="H75" s="2421"/>
      <c r="I75" s="2421"/>
      <c r="J75" s="2421"/>
    </row>
    <row r="76" spans="1:15" s="905" customFormat="1">
      <c r="C76" s="910"/>
      <c r="D76" s="911"/>
    </row>
    <row r="77" spans="1:15">
      <c r="B77" s="894" t="s">
        <v>487</v>
      </c>
      <c r="C77" s="895">
        <v>0.08</v>
      </c>
    </row>
  </sheetData>
  <mergeCells count="12">
    <mergeCell ref="B62:B63"/>
    <mergeCell ref="H60:S61"/>
    <mergeCell ref="C62:J62"/>
    <mergeCell ref="C63:J63"/>
    <mergeCell ref="B74:B75"/>
    <mergeCell ref="C74:J74"/>
    <mergeCell ref="C75:J75"/>
    <mergeCell ref="D3:F3"/>
    <mergeCell ref="C60:F60"/>
    <mergeCell ref="C61:F61"/>
    <mergeCell ref="C72:F72"/>
    <mergeCell ref="C73:F73"/>
  </mergeCells>
  <phoneticPr fontId="3"/>
  <dataValidations count="3">
    <dataValidation type="list" allowBlank="1" showInputMessage="1" showErrorMessage="1" sqref="C34">
      <formula1>"建物・昇降機共に有,昇降機のみ有,無,確認中"</formula1>
    </dataValidation>
    <dataValidation type="list" allowBlank="1" showInputMessage="1" showErrorMessage="1" sqref="C19">
      <formula1>"所有権,信託受益権,借地権,敷地権"</formula1>
    </dataValidation>
    <dataValidation type="list" allowBlank="1" showInputMessage="1" showErrorMessage="1" sqref="C22">
      <formula1>"官民・民民共に確定済,確定作業中,官民・民民共に未確定,売主にて確定予定,民民一部のみ確定済,官民一部のみ確定済,官民のみ確定済,民民のみ確定済,官民・民民の一部のみ確定済"</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17</vt:i4>
      </vt:variant>
    </vt:vector>
  </HeadingPairs>
  <TitlesOfParts>
    <vt:vector size="38" baseType="lpstr">
      <vt:lpstr>取締役会説明（購入決議）</vt:lpstr>
      <vt:lpstr>取締役会説明（売却決議）</vt:lpstr>
      <vt:lpstr>取締役会説明（購入報告）</vt:lpstr>
      <vt:lpstr>取締役会説明（売却報告）</vt:lpstr>
      <vt:lpstr>購入稟議書</vt:lpstr>
      <vt:lpstr>売却稟議書</vt:lpstr>
      <vt:lpstr>事業計画予実表</vt:lpstr>
      <vt:lpstr>事業計画書（事業決定時）</vt:lpstr>
      <vt:lpstr>基本情報</vt:lpstr>
      <vt:lpstr>CF（SFF保有時）</vt:lpstr>
      <vt:lpstr>物件概要書（購入）</vt:lpstr>
      <vt:lpstr>物件概要書（売却）</vt:lpstr>
      <vt:lpstr>収支計算表（販売資料）</vt:lpstr>
      <vt:lpstr>RN予算計画書</vt:lpstr>
      <vt:lpstr>事業計画書（現行）</vt:lpstr>
      <vt:lpstr>収支計算表（見込）計画1</vt:lpstr>
      <vt:lpstr>収支計算表（下限）計画2</vt:lpstr>
      <vt:lpstr>収支計算表（リスク値・購入時)計画3</vt:lpstr>
      <vt:lpstr>収支計算表（チャレンジ）計画4</vt:lpstr>
      <vt:lpstr>売買価格按分(購入)</vt:lpstr>
      <vt:lpstr>売買価格按分(売却)</vt:lpstr>
      <vt:lpstr>'CF（SFF保有時）'!Print_Area</vt:lpstr>
      <vt:lpstr>RN予算計画書!Print_Area</vt:lpstr>
      <vt:lpstr>購入稟議書!Print_Area</vt:lpstr>
      <vt:lpstr>'事業計画書（現行）'!Print_Area</vt:lpstr>
      <vt:lpstr>'事業計画書（事業決定時）'!Print_Area</vt:lpstr>
      <vt:lpstr>'取締役会説明（購入決議）'!Print_Area</vt:lpstr>
      <vt:lpstr>'取締役会説明（購入報告）'!Print_Area</vt:lpstr>
      <vt:lpstr>'取締役会説明（売却決議）'!Print_Area</vt:lpstr>
      <vt:lpstr>'取締役会説明（売却報告）'!Print_Area</vt:lpstr>
      <vt:lpstr>'収支計算表（チャレンジ）計画4'!Print_Area</vt:lpstr>
      <vt:lpstr>'収支計算表（リスク値・購入時)計画3'!Print_Area</vt:lpstr>
      <vt:lpstr>'収支計算表（下限）計画2'!Print_Area</vt:lpstr>
      <vt:lpstr>'収支計算表（見込）計画1'!Print_Area</vt:lpstr>
      <vt:lpstr>'収支計算表（販売資料）'!Print_Area</vt:lpstr>
      <vt:lpstr>売却稟議書!Print_Area</vt:lpstr>
      <vt:lpstr>'物件概要書（購入）'!Print_Area</vt:lpstr>
      <vt:lpstr>'物件概要書（売却）'!Print_Area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高橋 覚</dc:creator>
  <cp:lastModifiedBy>山下将広</cp:lastModifiedBy>
  <cp:lastPrinted>2019-01-16T03:17:29Z</cp:lastPrinted>
  <dcterms:created xsi:type="dcterms:W3CDTF">2014-03-13T22:39:16Z</dcterms:created>
  <dcterms:modified xsi:type="dcterms:W3CDTF">2019-01-21T10:31:26Z</dcterms:modified>
</cp:coreProperties>
</file>